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NTA SEIS\Downloads\"/>
    </mc:Choice>
  </mc:AlternateContent>
  <bookViews>
    <workbookView xWindow="-105" yWindow="-105" windowWidth="23250" windowHeight="12450"/>
  </bookViews>
  <sheets>
    <sheet name="PFE4" sheetId="1" r:id="rId1"/>
    <sheet name="Actividades" sheetId="2" r:id="rId2"/>
    <sheet name="Municipios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286" i="1" l="1"/>
  <c r="G9001" i="1"/>
  <c r="G8782" i="1"/>
  <c r="G8664" i="1"/>
  <c r="G8626" i="1"/>
  <c r="G8559" i="1"/>
  <c r="G8558" i="1"/>
  <c r="G8550" i="1"/>
  <c r="G8546" i="1"/>
  <c r="G8545" i="1"/>
  <c r="G8544" i="1"/>
  <c r="G8543" i="1"/>
  <c r="G8542" i="1"/>
  <c r="G8541" i="1"/>
  <c r="G8539" i="1"/>
  <c r="G8538" i="1"/>
  <c r="G8521" i="1"/>
  <c r="G8520" i="1"/>
  <c r="G8519" i="1"/>
  <c r="G8518" i="1"/>
  <c r="G8512" i="1"/>
  <c r="G8507" i="1"/>
  <c r="G8504" i="1"/>
  <c r="G8499" i="1"/>
  <c r="G8491" i="1"/>
  <c r="G8490" i="1"/>
  <c r="G8487" i="1"/>
  <c r="G8485" i="1"/>
  <c r="G8482" i="1"/>
  <c r="G8468" i="1"/>
  <c r="G8464" i="1"/>
  <c r="G8463" i="1"/>
  <c r="G8460" i="1"/>
  <c r="G8455" i="1"/>
  <c r="G8446" i="1"/>
  <c r="G8443" i="1"/>
  <c r="G8440" i="1"/>
  <c r="G8436" i="1"/>
  <c r="G8433" i="1"/>
  <c r="G8430" i="1"/>
  <c r="G8429" i="1"/>
  <c r="G8425" i="1"/>
  <c r="G8421" i="1"/>
  <c r="G8405" i="1"/>
  <c r="G8401" i="1"/>
  <c r="G8396" i="1"/>
  <c r="G8395" i="1"/>
  <c r="G8389" i="1"/>
  <c r="G8388" i="1"/>
  <c r="G8386" i="1"/>
  <c r="G8385" i="1"/>
  <c r="G8381" i="1"/>
  <c r="G8373" i="1"/>
  <c r="G8371" i="1"/>
  <c r="G8369" i="1"/>
  <c r="G8366" i="1"/>
  <c r="G8364" i="1"/>
  <c r="G8362" i="1"/>
  <c r="G8358" i="1"/>
  <c r="G8356" i="1"/>
  <c r="G8347" i="1"/>
  <c r="G8344" i="1"/>
  <c r="G8334" i="1"/>
  <c r="G8328" i="1"/>
  <c r="G8326" i="1"/>
  <c r="G8324" i="1"/>
  <c r="G8314" i="1"/>
  <c r="G8276" i="1"/>
  <c r="G8274" i="1"/>
  <c r="G8273" i="1"/>
  <c r="G8268" i="1"/>
  <c r="G8266" i="1"/>
  <c r="G8265" i="1"/>
  <c r="G8261" i="1"/>
  <c r="G8258" i="1"/>
  <c r="G8255" i="1"/>
  <c r="G8254" i="1"/>
  <c r="G8253" i="1"/>
  <c r="G8250" i="1"/>
  <c r="G8248" i="1"/>
  <c r="G8245" i="1"/>
  <c r="G8235" i="1"/>
  <c r="G8233" i="1"/>
  <c r="G8225" i="1"/>
  <c r="G8221" i="1"/>
  <c r="G8209" i="1"/>
  <c r="G8207" i="1"/>
  <c r="G8203" i="1"/>
  <c r="G8190" i="1"/>
  <c r="G8186" i="1"/>
  <c r="G8165" i="1"/>
  <c r="G8155" i="1"/>
  <c r="G8152" i="1"/>
  <c r="G8143" i="1"/>
  <c r="G8142" i="1"/>
  <c r="G8138" i="1"/>
  <c r="G8136" i="1"/>
  <c r="G8125" i="1"/>
  <c r="G8124" i="1"/>
  <c r="G8120" i="1"/>
  <c r="G8114" i="1"/>
  <c r="G8108" i="1"/>
  <c r="G8085" i="1"/>
  <c r="G8083" i="1"/>
  <c r="G8073" i="1"/>
  <c r="G8068" i="1"/>
  <c r="G8061" i="1"/>
  <c r="G8055" i="1"/>
  <c r="G8053" i="1"/>
  <c r="G8051" i="1"/>
  <c r="G8049" i="1"/>
  <c r="G8048" i="1"/>
  <c r="G8047" i="1"/>
  <c r="G8046" i="1"/>
  <c r="G8042" i="1"/>
  <c r="G8030" i="1"/>
  <c r="G8026" i="1"/>
  <c r="G8024" i="1"/>
  <c r="G8023" i="1"/>
  <c r="G8016" i="1"/>
  <c r="G8011" i="1"/>
  <c r="G8010" i="1"/>
  <c r="G8009" i="1"/>
  <c r="G7999" i="1"/>
  <c r="G7989" i="1"/>
  <c r="G7983" i="1"/>
  <c r="G7974" i="1"/>
  <c r="G7971" i="1"/>
  <c r="G7962" i="1"/>
  <c r="G7959" i="1"/>
  <c r="G7958" i="1"/>
  <c r="G7956" i="1"/>
  <c r="G7950" i="1"/>
  <c r="G7944" i="1"/>
  <c r="G7942" i="1"/>
  <c r="G7938" i="1"/>
  <c r="G7935" i="1"/>
  <c r="G7934" i="1"/>
  <c r="G7923" i="1"/>
  <c r="G7922" i="1"/>
  <c r="G7918" i="1"/>
  <c r="G7897" i="1"/>
  <c r="G7890" i="1"/>
  <c r="G7882" i="1"/>
  <c r="G7872" i="1"/>
  <c r="G7866" i="1"/>
  <c r="G7860" i="1"/>
  <c r="G7859" i="1"/>
  <c r="G7858" i="1"/>
  <c r="G7852" i="1"/>
  <c r="G7847" i="1"/>
  <c r="G7840" i="1"/>
  <c r="G7839" i="1"/>
  <c r="G7833" i="1"/>
  <c r="G7827" i="1"/>
  <c r="G7822" i="1"/>
  <c r="G7820" i="1"/>
  <c r="G7811" i="1"/>
  <c r="G7810" i="1"/>
  <c r="G7793" i="1"/>
  <c r="G7786" i="1"/>
  <c r="G7776" i="1"/>
  <c r="G7772" i="1"/>
  <c r="G7766" i="1"/>
  <c r="G7762" i="1"/>
  <c r="G7760" i="1"/>
  <c r="G7754" i="1"/>
  <c r="G7753" i="1"/>
  <c r="G7744" i="1"/>
  <c r="G7743" i="1"/>
  <c r="G7738" i="1"/>
  <c r="G7727" i="1"/>
  <c r="G7725" i="1"/>
  <c r="G7721" i="1"/>
  <c r="G7719" i="1"/>
  <c r="G7712" i="1"/>
  <c r="G7704" i="1"/>
  <c r="G7703" i="1"/>
  <c r="G7701" i="1"/>
  <c r="G7695" i="1"/>
  <c r="G7694" i="1"/>
  <c r="G7687" i="1"/>
  <c r="G7683" i="1"/>
  <c r="G7672" i="1"/>
  <c r="G7665" i="1"/>
  <c r="G7662" i="1"/>
  <c r="G7658" i="1"/>
  <c r="G7652" i="1"/>
  <c r="G7649" i="1"/>
  <c r="G7647" i="1"/>
  <c r="G7646" i="1"/>
  <c r="G7642" i="1"/>
  <c r="G7637" i="1"/>
  <c r="G7632" i="1"/>
  <c r="G7624" i="1"/>
  <c r="G7619" i="1"/>
  <c r="G7616" i="1"/>
  <c r="G7615" i="1"/>
  <c r="G7611" i="1"/>
  <c r="G7608" i="1"/>
  <c r="G7599" i="1"/>
  <c r="G7597" i="1"/>
  <c r="G7593" i="1"/>
  <c r="G7591" i="1"/>
  <c r="G7589" i="1"/>
  <c r="G7587" i="1"/>
  <c r="G7586" i="1"/>
  <c r="G7584" i="1"/>
  <c r="G7581" i="1"/>
  <c r="G7574" i="1"/>
  <c r="G7571" i="1"/>
  <c r="G7557" i="1"/>
  <c r="G7552" i="1"/>
  <c r="G7545" i="1"/>
  <c r="G7542" i="1"/>
  <c r="G7541" i="1"/>
  <c r="G7539" i="1"/>
  <c r="G7538" i="1"/>
  <c r="G7533" i="1"/>
  <c r="G7532" i="1"/>
  <c r="G7528" i="1"/>
  <c r="G7524" i="1"/>
  <c r="G7521" i="1"/>
  <c r="G7518" i="1"/>
  <c r="G7517" i="1"/>
  <c r="G7498" i="1"/>
  <c r="G7492" i="1"/>
  <c r="G7490" i="1"/>
  <c r="G7478" i="1"/>
  <c r="G7476" i="1"/>
  <c r="G7474" i="1"/>
  <c r="G7473" i="1"/>
  <c r="G7466" i="1"/>
  <c r="G7448" i="1"/>
  <c r="G7447" i="1"/>
  <c r="G7446" i="1"/>
  <c r="G7445" i="1"/>
  <c r="G7443" i="1"/>
  <c r="G7439" i="1"/>
  <c r="G7438" i="1"/>
  <c r="G7434" i="1"/>
  <c r="G7431" i="1"/>
  <c r="G7430" i="1"/>
  <c r="G7427" i="1"/>
  <c r="G7420" i="1"/>
  <c r="G7412" i="1"/>
  <c r="G7405" i="1"/>
  <c r="G7404" i="1"/>
  <c r="G7402" i="1"/>
  <c r="G7401" i="1"/>
  <c r="G7399" i="1"/>
  <c r="G7398" i="1"/>
  <c r="G7392" i="1"/>
  <c r="G7389" i="1"/>
  <c r="G7383" i="1"/>
  <c r="G7374" i="1"/>
  <c r="G7370" i="1"/>
  <c r="G7368" i="1"/>
  <c r="G7365" i="1"/>
  <c r="G7349" i="1"/>
  <c r="G7346" i="1"/>
  <c r="G7344" i="1"/>
  <c r="G7334" i="1"/>
  <c r="G7330" i="1"/>
  <c r="G7328" i="1"/>
  <c r="G7327" i="1"/>
  <c r="G7326" i="1"/>
  <c r="G7324" i="1"/>
  <c r="G7314" i="1"/>
  <c r="G7309" i="1"/>
  <c r="G7304" i="1"/>
  <c r="G7301" i="1"/>
  <c r="G7299" i="1"/>
  <c r="G7281" i="1"/>
  <c r="G7279" i="1"/>
  <c r="G7277" i="1"/>
  <c r="G7271" i="1"/>
  <c r="G7268" i="1"/>
  <c r="G7265" i="1"/>
  <c r="G7264" i="1"/>
  <c r="G7258" i="1"/>
  <c r="G7256" i="1"/>
  <c r="G7250" i="1"/>
  <c r="G7243" i="1"/>
  <c r="G7234" i="1"/>
  <c r="G7233" i="1"/>
  <c r="G7220" i="1"/>
  <c r="G7219" i="1"/>
  <c r="G7216" i="1"/>
  <c r="G7202" i="1"/>
  <c r="G7196" i="1"/>
  <c r="G7195" i="1"/>
  <c r="G7190" i="1"/>
  <c r="G7183" i="1"/>
  <c r="G7181" i="1"/>
  <c r="G7179" i="1"/>
  <c r="G7178" i="1"/>
  <c r="G7171" i="1"/>
  <c r="G7162" i="1"/>
  <c r="G7160" i="1"/>
  <c r="G7159" i="1"/>
  <c r="G7133" i="1"/>
  <c r="G7130" i="1"/>
  <c r="G7126" i="1"/>
  <c r="G7125" i="1"/>
  <c r="G7118" i="1"/>
  <c r="G7109" i="1"/>
  <c r="G7107" i="1"/>
  <c r="G7106" i="1"/>
  <c r="G7099" i="1"/>
  <c r="G7097" i="1"/>
  <c r="G7094" i="1"/>
  <c r="G7092" i="1"/>
  <c r="G7082" i="1"/>
  <c r="G7069" i="1"/>
  <c r="G7066" i="1"/>
  <c r="G7063" i="1"/>
  <c r="G7061" i="1"/>
  <c r="G7056" i="1"/>
  <c r="G7041" i="1"/>
  <c r="G7036" i="1"/>
  <c r="G7031" i="1"/>
  <c r="G7029" i="1"/>
  <c r="G7026" i="1"/>
  <c r="G7020" i="1"/>
  <c r="G7019" i="1"/>
  <c r="G7012" i="1"/>
  <c r="G7009" i="1"/>
  <c r="G7008" i="1"/>
  <c r="G6999" i="1"/>
  <c r="G6996" i="1"/>
  <c r="G6991" i="1"/>
  <c r="G6984" i="1"/>
  <c r="G6980" i="1"/>
  <c r="G6966" i="1"/>
  <c r="G6962" i="1"/>
  <c r="G6952" i="1"/>
  <c r="G6939" i="1"/>
  <c r="G6936" i="1"/>
  <c r="G6934" i="1"/>
  <c r="G6925" i="1"/>
  <c r="G6920" i="1"/>
  <c r="G6919" i="1"/>
  <c r="G6917" i="1"/>
  <c r="G6914" i="1"/>
  <c r="G6913" i="1"/>
  <c r="G6911" i="1"/>
  <c r="G6910" i="1"/>
  <c r="G6907" i="1"/>
  <c r="G6899" i="1"/>
  <c r="G6889" i="1"/>
  <c r="G6884" i="1"/>
  <c r="G6880" i="1"/>
  <c r="G6877" i="1"/>
  <c r="G6874" i="1"/>
  <c r="G6873" i="1"/>
  <c r="G6871" i="1"/>
  <c r="G6870" i="1"/>
  <c r="G6860" i="1"/>
  <c r="G6855" i="1"/>
  <c r="G6852" i="1"/>
  <c r="G6847" i="1"/>
  <c r="G6841" i="1"/>
  <c r="G6833" i="1"/>
  <c r="G6830" i="1"/>
  <c r="G6827" i="1"/>
  <c r="G6818" i="1"/>
  <c r="G6816" i="1"/>
  <c r="G6814" i="1"/>
  <c r="G6811" i="1"/>
  <c r="G6802" i="1"/>
  <c r="G6792" i="1"/>
  <c r="G6789" i="1"/>
  <c r="G6786" i="1"/>
  <c r="G6780" i="1"/>
  <c r="G6779" i="1"/>
  <c r="G6778" i="1"/>
  <c r="G6772" i="1"/>
  <c r="G6769" i="1"/>
  <c r="G6766" i="1"/>
  <c r="G6757" i="1"/>
  <c r="G6755" i="1"/>
  <c r="G6751" i="1"/>
  <c r="G6750" i="1"/>
  <c r="G6742" i="1"/>
  <c r="G6740" i="1"/>
  <c r="G6736" i="1"/>
  <c r="G6723" i="1"/>
  <c r="G6714" i="1"/>
  <c r="G6710" i="1"/>
  <c r="G6707" i="1"/>
  <c r="G6706" i="1"/>
  <c r="G6705" i="1"/>
  <c r="G6698" i="1"/>
  <c r="G6696" i="1"/>
  <c r="G6691" i="1"/>
  <c r="G6685" i="1"/>
  <c r="G6683" i="1"/>
  <c r="G6681" i="1"/>
  <c r="G6680" i="1"/>
  <c r="G6675" i="1"/>
  <c r="G6673" i="1"/>
  <c r="G6671" i="1"/>
  <c r="G6666" i="1"/>
  <c r="G6658" i="1"/>
  <c r="G6651" i="1"/>
  <c r="G6650" i="1"/>
  <c r="G6648" i="1"/>
  <c r="G6642" i="1"/>
  <c r="G6639" i="1"/>
  <c r="G6634" i="1"/>
  <c r="G6630" i="1"/>
  <c r="G6617" i="1"/>
  <c r="G6613" i="1"/>
  <c r="G6609" i="1"/>
  <c r="G6605" i="1"/>
  <c r="G6596" i="1"/>
  <c r="G6594" i="1"/>
  <c r="G6593" i="1"/>
  <c r="G6589" i="1"/>
  <c r="G6588" i="1"/>
  <c r="G6584" i="1"/>
  <c r="G6579" i="1"/>
  <c r="G6578" i="1"/>
  <c r="G6566" i="1"/>
  <c r="G6558" i="1"/>
  <c r="G6543" i="1"/>
  <c r="G6540" i="1"/>
  <c r="G6535" i="1"/>
  <c r="G6527" i="1"/>
  <c r="G6522" i="1"/>
  <c r="G6509" i="1"/>
  <c r="G6506" i="1"/>
  <c r="G6505" i="1"/>
  <c r="G6501" i="1"/>
  <c r="G6494" i="1"/>
  <c r="G6481" i="1"/>
  <c r="G6474" i="1"/>
  <c r="G6470" i="1"/>
  <c r="G6468" i="1"/>
  <c r="G6463" i="1"/>
  <c r="G6461" i="1"/>
  <c r="G6448" i="1"/>
  <c r="G6447" i="1"/>
  <c r="G6443" i="1"/>
  <c r="G6438" i="1"/>
  <c r="G6431" i="1"/>
  <c r="G6425" i="1"/>
  <c r="G6423" i="1"/>
  <c r="G6421" i="1"/>
  <c r="G6419" i="1"/>
  <c r="G6417" i="1"/>
  <c r="G6404" i="1"/>
  <c r="G6396" i="1"/>
  <c r="G6391" i="1"/>
  <c r="G6384" i="1"/>
  <c r="G6381" i="1"/>
  <c r="G6380" i="1"/>
  <c r="G6375" i="1"/>
  <c r="G6374" i="1"/>
  <c r="G6370" i="1"/>
  <c r="G6353" i="1"/>
  <c r="G6347" i="1"/>
  <c r="G6346" i="1"/>
  <c r="G6341" i="1"/>
  <c r="G6336" i="1"/>
  <c r="G6322" i="1"/>
  <c r="G6318" i="1"/>
  <c r="G6307" i="1"/>
  <c r="G6299" i="1"/>
  <c r="G6297" i="1"/>
  <c r="G6293" i="1"/>
  <c r="G6278" i="1"/>
  <c r="G6274" i="1"/>
  <c r="G6273" i="1"/>
  <c r="G6270" i="1"/>
  <c r="G6268" i="1"/>
  <c r="G6263" i="1"/>
  <c r="G6261" i="1"/>
  <c r="G6253" i="1"/>
  <c r="G6251" i="1"/>
  <c r="G6247" i="1"/>
  <c r="G6246" i="1"/>
  <c r="G6242" i="1"/>
  <c r="G6240" i="1"/>
  <c r="G6239" i="1"/>
  <c r="G6238" i="1"/>
  <c r="G6232" i="1"/>
  <c r="G6223" i="1"/>
  <c r="G6221" i="1"/>
  <c r="G6219" i="1"/>
  <c r="G6218" i="1"/>
  <c r="G6216" i="1"/>
  <c r="G6215" i="1"/>
  <c r="G6213" i="1"/>
  <c r="G6212" i="1"/>
  <c r="G6209" i="1"/>
  <c r="G6204" i="1"/>
  <c r="G6198" i="1"/>
  <c r="G6185" i="1"/>
  <c r="G6178" i="1"/>
  <c r="G6176" i="1"/>
  <c r="G6168" i="1"/>
  <c r="G6167" i="1"/>
  <c r="G6164" i="1"/>
  <c r="G6162" i="1"/>
  <c r="G6158" i="1"/>
  <c r="G6155" i="1"/>
  <c r="G6154" i="1"/>
  <c r="G6151" i="1"/>
  <c r="G6147" i="1"/>
  <c r="G6145" i="1"/>
  <c r="G6144" i="1"/>
  <c r="G6143" i="1"/>
  <c r="G6142" i="1"/>
  <c r="G6138" i="1"/>
  <c r="G6133" i="1"/>
  <c r="G6131" i="1"/>
  <c r="G6128" i="1"/>
  <c r="G6122" i="1"/>
  <c r="G6109" i="1"/>
  <c r="G6108" i="1"/>
  <c r="G6099" i="1"/>
  <c r="G6097" i="1"/>
  <c r="G6096" i="1"/>
  <c r="G6083" i="1"/>
  <c r="G6073" i="1"/>
  <c r="G6063" i="1"/>
  <c r="G6049" i="1"/>
  <c r="G6048" i="1"/>
  <c r="G6047" i="1"/>
  <c r="G6033" i="1"/>
  <c r="G6007" i="1"/>
  <c r="G5996" i="1"/>
  <c r="G5993" i="1"/>
  <c r="G5985" i="1"/>
  <c r="G5983" i="1"/>
  <c r="G5982" i="1"/>
  <c r="G5965" i="1"/>
  <c r="G5962" i="1"/>
  <c r="G5961" i="1"/>
  <c r="G5950" i="1"/>
  <c r="G5939" i="1"/>
  <c r="G5925" i="1"/>
  <c r="G5918" i="1"/>
  <c r="G5917" i="1"/>
  <c r="G5915" i="1"/>
  <c r="G5909" i="1"/>
  <c r="G5908" i="1"/>
  <c r="G5905" i="1"/>
  <c r="G5903" i="1"/>
  <c r="G5891" i="1"/>
  <c r="G5885" i="1"/>
  <c r="G5883" i="1"/>
  <c r="G5880" i="1"/>
  <c r="G5874" i="1"/>
  <c r="G5872" i="1"/>
  <c r="G5870" i="1"/>
  <c r="G5868" i="1"/>
  <c r="G5865" i="1"/>
  <c r="G5862" i="1"/>
  <c r="G5856" i="1"/>
  <c r="G5855" i="1"/>
  <c r="G5854" i="1"/>
  <c r="G5852" i="1"/>
  <c r="G5851" i="1"/>
  <c r="G5850" i="1"/>
  <c r="G5830" i="1"/>
  <c r="G5819" i="1"/>
  <c r="G5811" i="1"/>
  <c r="G5809" i="1"/>
  <c r="G5808" i="1"/>
  <c r="G5801" i="1"/>
  <c r="G5799" i="1"/>
  <c r="G5780" i="1"/>
  <c r="G5775" i="1"/>
  <c r="G5767" i="1"/>
  <c r="G5766" i="1"/>
  <c r="G5750" i="1"/>
  <c r="G5747" i="1"/>
  <c r="G5740" i="1"/>
  <c r="G5736" i="1"/>
  <c r="G5720" i="1"/>
  <c r="G5717" i="1"/>
  <c r="G5709" i="1"/>
  <c r="G5702" i="1"/>
  <c r="G5688" i="1"/>
  <c r="G5685" i="1"/>
  <c r="G5673" i="1"/>
  <c r="G5672" i="1"/>
  <c r="G5667" i="1"/>
  <c r="G5665" i="1"/>
  <c r="G5662" i="1"/>
  <c r="G5660" i="1"/>
  <c r="G5654" i="1"/>
  <c r="G5653" i="1"/>
  <c r="G5652" i="1"/>
  <c r="G5645" i="1"/>
  <c r="G5643" i="1"/>
  <c r="G5632" i="1"/>
  <c r="G5628" i="1"/>
  <c r="G5614" i="1"/>
  <c r="G5611" i="1"/>
  <c r="G5607" i="1"/>
  <c r="G5601" i="1"/>
  <c r="G5600" i="1"/>
  <c r="G5597" i="1"/>
  <c r="G5596" i="1"/>
  <c r="G5591" i="1"/>
  <c r="G5580" i="1"/>
  <c r="G5577" i="1"/>
  <c r="G5566" i="1"/>
  <c r="G5557" i="1"/>
  <c r="G5552" i="1"/>
  <c r="G5547" i="1"/>
  <c r="G5545" i="1"/>
  <c r="G5542" i="1"/>
  <c r="G5541" i="1"/>
  <c r="G5538" i="1"/>
  <c r="G5528" i="1"/>
  <c r="G5513" i="1"/>
  <c r="G5510" i="1"/>
  <c r="G5501" i="1"/>
  <c r="G5478" i="1"/>
  <c r="G5477" i="1"/>
  <c r="G5471" i="1"/>
  <c r="G5469" i="1"/>
  <c r="G5466" i="1"/>
  <c r="G5464" i="1"/>
  <c r="G5462" i="1"/>
  <c r="G5459" i="1"/>
  <c r="G5447" i="1"/>
  <c r="G5445" i="1"/>
  <c r="G5442" i="1"/>
  <c r="G5437" i="1"/>
  <c r="G5434" i="1"/>
  <c r="G5431" i="1"/>
  <c r="G5428" i="1"/>
  <c r="G5422" i="1"/>
  <c r="G5420" i="1"/>
  <c r="G5419" i="1"/>
  <c r="G5415" i="1"/>
  <c r="G5403" i="1"/>
  <c r="G5396" i="1"/>
  <c r="G5394" i="1"/>
  <c r="G5392" i="1"/>
  <c r="G5386" i="1"/>
  <c r="G5385" i="1"/>
  <c r="G5378" i="1"/>
  <c r="G5377" i="1"/>
  <c r="G5374" i="1"/>
  <c r="G5373" i="1"/>
  <c r="G5372" i="1"/>
  <c r="G5370" i="1"/>
  <c r="G5369" i="1"/>
  <c r="G5367" i="1"/>
  <c r="G5363" i="1"/>
  <c r="G5360" i="1"/>
  <c r="G5359" i="1"/>
  <c r="G5356" i="1"/>
  <c r="G5348" i="1"/>
  <c r="G5347" i="1"/>
  <c r="G5344" i="1"/>
  <c r="G5343" i="1"/>
  <c r="G5342" i="1"/>
  <c r="G5340" i="1"/>
  <c r="G5334" i="1"/>
  <c r="G5330" i="1"/>
  <c r="G5328" i="1"/>
  <c r="G5327" i="1"/>
  <c r="G5322" i="1"/>
  <c r="G5317" i="1"/>
  <c r="G5308" i="1"/>
  <c r="G5303" i="1"/>
  <c r="G5300" i="1"/>
  <c r="G5298" i="1"/>
  <c r="G5294" i="1"/>
  <c r="G5293" i="1"/>
  <c r="G5288" i="1"/>
  <c r="G5282" i="1"/>
  <c r="G5281" i="1"/>
  <c r="G5280" i="1"/>
  <c r="G5273" i="1"/>
  <c r="G5269" i="1"/>
  <c r="G5263" i="1"/>
  <c r="G5259" i="1"/>
  <c r="G5258" i="1"/>
  <c r="G5252" i="1"/>
  <c r="G5114" i="1"/>
  <c r="G4017" i="1"/>
  <c r="G4014" i="1"/>
  <c r="G4009" i="1"/>
  <c r="G3991" i="1"/>
  <c r="G3986" i="1"/>
  <c r="G3985" i="1"/>
  <c r="G3983" i="1"/>
  <c r="G3978" i="1"/>
  <c r="G3975" i="1"/>
  <c r="G3969" i="1"/>
  <c r="G3953" i="1"/>
  <c r="G3935" i="1"/>
  <c r="G3931" i="1"/>
  <c r="G3921" i="1"/>
  <c r="G3917" i="1"/>
  <c r="G3913" i="1"/>
  <c r="G3910" i="1"/>
  <c r="G3904" i="1"/>
  <c r="G3893" i="1"/>
  <c r="G3892" i="1"/>
  <c r="G3885" i="1"/>
  <c r="G3880" i="1"/>
  <c r="G3874" i="1"/>
  <c r="G3862" i="1"/>
  <c r="G3858" i="1"/>
  <c r="G3857" i="1"/>
  <c r="G3856" i="1"/>
  <c r="G3852" i="1"/>
  <c r="G3850" i="1"/>
  <c r="G3844" i="1"/>
  <c r="G3843" i="1"/>
  <c r="G3842" i="1"/>
  <c r="G3841" i="1"/>
  <c r="G3840" i="1"/>
  <c r="G3834" i="1"/>
  <c r="G3833" i="1"/>
  <c r="G3832" i="1"/>
  <c r="G3829" i="1"/>
  <c r="G3827" i="1"/>
  <c r="G3824" i="1"/>
  <c r="G3821" i="1"/>
  <c r="G3819" i="1"/>
  <c r="G3818" i="1"/>
  <c r="G3817" i="1"/>
  <c r="G3814" i="1"/>
  <c r="G3813" i="1"/>
  <c r="G3811" i="1"/>
  <c r="G3810" i="1"/>
  <c r="G3807" i="1"/>
  <c r="G3801" i="1"/>
  <c r="G3798" i="1"/>
  <c r="G3797" i="1"/>
  <c r="G3793" i="1"/>
  <c r="G3787" i="1"/>
  <c r="G3786" i="1"/>
  <c r="G3785" i="1"/>
  <c r="G3783" i="1"/>
  <c r="G3765" i="1"/>
  <c r="G3739" i="1"/>
  <c r="G3737" i="1"/>
  <c r="G3734" i="1"/>
  <c r="G3733" i="1"/>
  <c r="G3732" i="1"/>
  <c r="G3729" i="1"/>
  <c r="G3719" i="1"/>
  <c r="G3718" i="1"/>
  <c r="G3715" i="1"/>
  <c r="G3709" i="1"/>
  <c r="G3708" i="1"/>
  <c r="G3705" i="1"/>
  <c r="G3703" i="1"/>
  <c r="G3700" i="1"/>
  <c r="G3693" i="1"/>
  <c r="G3688" i="1"/>
  <c r="G3685" i="1"/>
  <c r="G3673" i="1"/>
  <c r="G3672" i="1"/>
  <c r="G3671" i="1"/>
  <c r="G3664" i="1"/>
  <c r="G3663" i="1"/>
  <c r="G3661" i="1"/>
  <c r="G3659" i="1"/>
  <c r="G3651" i="1"/>
  <c r="G3643" i="1"/>
  <c r="G3638" i="1"/>
  <c r="G3637" i="1"/>
  <c r="G3630" i="1"/>
  <c r="G3614" i="1"/>
  <c r="G3613" i="1"/>
  <c r="G3612" i="1"/>
  <c r="G3585" i="1"/>
  <c r="G3580" i="1"/>
  <c r="G3579" i="1"/>
  <c r="G3577" i="1"/>
  <c r="G3574" i="1"/>
  <c r="G3568" i="1"/>
  <c r="G3564" i="1"/>
  <c r="G3562" i="1"/>
  <c r="G3557" i="1"/>
  <c r="G3555" i="1"/>
  <c r="G3544" i="1"/>
  <c r="G3542" i="1"/>
  <c r="G3539" i="1"/>
  <c r="G3534" i="1"/>
  <c r="G3527" i="1"/>
  <c r="G3525" i="1"/>
  <c r="G3523" i="1"/>
  <c r="G3514" i="1"/>
  <c r="G3513" i="1"/>
  <c r="G3512" i="1"/>
  <c r="G3506" i="1"/>
  <c r="G3500" i="1"/>
  <c r="G3497" i="1"/>
  <c r="G3488" i="1"/>
  <c r="G3487" i="1"/>
  <c r="G3484" i="1"/>
  <c r="G3478" i="1"/>
  <c r="G3471" i="1"/>
  <c r="G3460" i="1"/>
  <c r="G3458" i="1"/>
  <c r="G3451" i="1"/>
  <c r="G3447" i="1"/>
  <c r="G3441" i="1"/>
  <c r="G3439" i="1"/>
  <c r="G3436" i="1"/>
  <c r="G3433" i="1"/>
  <c r="G3432" i="1"/>
  <c r="G3429" i="1"/>
  <c r="G3420" i="1"/>
  <c r="G3418" i="1"/>
  <c r="G3408" i="1"/>
  <c r="G3396" i="1"/>
  <c r="G3395" i="1"/>
  <c r="G3389" i="1"/>
  <c r="G3388" i="1"/>
  <c r="G3387" i="1"/>
  <c r="G3386" i="1"/>
  <c r="G3381" i="1"/>
  <c r="G3371" i="1"/>
  <c r="G3360" i="1"/>
  <c r="G3358" i="1"/>
  <c r="G3356" i="1"/>
  <c r="G3353" i="1"/>
  <c r="G3339" i="1"/>
  <c r="G3338" i="1"/>
  <c r="G3334" i="1"/>
  <c r="G3333" i="1"/>
  <c r="G3329" i="1"/>
  <c r="G3328" i="1"/>
  <c r="G3327" i="1"/>
  <c r="G3321" i="1"/>
  <c r="G3319" i="1"/>
  <c r="G3315" i="1"/>
  <c r="G3311" i="1"/>
  <c r="G3302" i="1"/>
  <c r="G3301" i="1"/>
  <c r="G3297" i="1"/>
  <c r="G3296" i="1"/>
  <c r="G3294" i="1"/>
  <c r="G3292" i="1"/>
  <c r="G3291" i="1"/>
  <c r="G3286" i="1"/>
  <c r="G3285" i="1"/>
  <c r="G3277" i="1"/>
  <c r="G3276" i="1"/>
  <c r="G3274" i="1"/>
  <c r="G3268" i="1"/>
  <c r="G3264" i="1"/>
  <c r="G3259" i="1"/>
  <c r="G3254" i="1"/>
  <c r="G3248" i="1"/>
  <c r="G3245" i="1"/>
  <c r="G3238" i="1"/>
  <c r="G3237" i="1"/>
  <c r="G3236" i="1"/>
  <c r="G3234" i="1"/>
  <c r="G3233" i="1"/>
  <c r="G3230" i="1"/>
  <c r="G3228" i="1"/>
  <c r="G3216" i="1"/>
  <c r="G3213" i="1"/>
  <c r="G3205" i="1"/>
  <c r="G3200" i="1"/>
  <c r="G3190" i="1"/>
  <c r="G3176" i="1"/>
  <c r="G3172" i="1"/>
  <c r="G3167" i="1"/>
  <c r="G3166" i="1"/>
  <c r="G3155" i="1"/>
  <c r="G3147" i="1"/>
  <c r="G3140" i="1"/>
  <c r="G3136" i="1"/>
  <c r="G3133" i="1"/>
  <c r="G3130" i="1"/>
  <c r="G3129" i="1"/>
  <c r="G3125" i="1"/>
  <c r="G3124" i="1"/>
  <c r="G3106" i="1"/>
  <c r="G3104" i="1"/>
  <c r="G3103" i="1"/>
  <c r="G3096" i="1"/>
  <c r="G3094" i="1"/>
  <c r="G3088" i="1"/>
  <c r="G3085" i="1"/>
  <c r="G3082" i="1"/>
  <c r="G3080" i="1"/>
  <c r="G3079" i="1"/>
  <c r="G3077" i="1"/>
  <c r="G3075" i="1"/>
  <c r="G3074" i="1"/>
  <c r="G3071" i="1"/>
  <c r="G3068" i="1"/>
  <c r="G3065" i="1"/>
  <c r="G3063" i="1"/>
  <c r="G3057" i="1"/>
  <c r="G3050" i="1"/>
  <c r="G3049" i="1"/>
  <c r="G3046" i="1"/>
  <c r="G3043" i="1"/>
  <c r="G3039" i="1"/>
  <c r="G3031" i="1"/>
  <c r="G3027" i="1"/>
  <c r="G3024" i="1"/>
  <c r="G3022" i="1"/>
  <c r="G3018" i="1"/>
  <c r="G3007" i="1"/>
  <c r="G2998" i="1"/>
  <c r="G2997" i="1"/>
  <c r="G2987" i="1"/>
  <c r="G2978" i="1"/>
  <c r="G2976" i="1"/>
  <c r="G2974" i="1"/>
  <c r="G2973" i="1"/>
  <c r="G2963" i="1"/>
  <c r="G2960" i="1"/>
  <c r="G2958" i="1"/>
  <c r="G2955" i="1"/>
  <c r="G2943" i="1"/>
  <c r="G2915" i="1"/>
  <c r="G2911" i="1"/>
  <c r="G2906" i="1"/>
  <c r="G2901" i="1"/>
  <c r="G2900" i="1"/>
  <c r="G2895" i="1"/>
  <c r="G2880" i="1"/>
  <c r="G2879" i="1"/>
  <c r="G2875" i="1"/>
  <c r="G2869" i="1"/>
  <c r="G2867" i="1"/>
  <c r="G2863" i="1"/>
  <c r="G2861" i="1"/>
  <c r="G2856" i="1"/>
  <c r="G2853" i="1"/>
  <c r="G2848" i="1"/>
  <c r="G2843" i="1"/>
  <c r="G2834" i="1"/>
  <c r="G2833" i="1"/>
  <c r="G2832" i="1"/>
  <c r="G2828" i="1"/>
  <c r="G2826" i="1"/>
  <c r="G2825" i="1"/>
  <c r="G2824" i="1"/>
  <c r="G2813" i="1"/>
  <c r="G2811" i="1"/>
  <c r="G2805" i="1"/>
  <c r="G2804" i="1"/>
  <c r="G2802" i="1"/>
  <c r="G2798" i="1"/>
  <c r="G2796" i="1"/>
  <c r="G2795" i="1"/>
  <c r="G2791" i="1"/>
  <c r="G2789" i="1"/>
  <c r="G2783" i="1"/>
  <c r="G2777" i="1"/>
  <c r="G2769" i="1"/>
  <c r="G2765" i="1"/>
  <c r="G2759" i="1"/>
  <c r="G2758" i="1"/>
  <c r="G2757" i="1"/>
  <c r="G2753" i="1"/>
  <c r="G2750" i="1"/>
  <c r="G2742" i="1"/>
  <c r="G2740" i="1"/>
  <c r="G2724" i="1"/>
  <c r="G2717" i="1"/>
  <c r="G2709" i="1"/>
  <c r="G2708" i="1"/>
  <c r="G2701" i="1"/>
  <c r="G2700" i="1"/>
  <c r="G2698" i="1"/>
  <c r="G2696" i="1"/>
  <c r="G2694" i="1"/>
  <c r="G2693" i="1"/>
  <c r="G2690" i="1"/>
  <c r="G2687" i="1"/>
  <c r="G2681" i="1"/>
  <c r="G2679" i="1"/>
  <c r="G2678" i="1"/>
  <c r="G2677" i="1"/>
  <c r="G2663" i="1"/>
  <c r="G2659" i="1"/>
  <c r="G2653" i="1"/>
  <c r="G2650" i="1"/>
  <c r="G2626" i="1"/>
  <c r="G2624" i="1"/>
  <c r="G2623" i="1"/>
  <c r="G2621" i="1"/>
  <c r="G2616" i="1"/>
  <c r="G2606" i="1"/>
  <c r="G2600" i="1"/>
  <c r="G2598" i="1"/>
  <c r="G2595" i="1"/>
  <c r="G2581" i="1"/>
  <c r="G2577" i="1"/>
  <c r="G2554" i="1"/>
  <c r="G2553" i="1"/>
  <c r="G2548" i="1"/>
  <c r="G2545" i="1"/>
  <c r="G2543" i="1"/>
  <c r="G2541" i="1"/>
  <c r="G2534" i="1"/>
  <c r="G2533" i="1"/>
  <c r="G2525" i="1"/>
  <c r="G2521" i="1"/>
  <c r="G2515" i="1"/>
  <c r="G2513" i="1"/>
  <c r="G2510" i="1"/>
  <c r="G2508" i="1"/>
  <c r="G2505" i="1"/>
  <c r="G2495" i="1"/>
  <c r="G2494" i="1"/>
  <c r="G2483" i="1"/>
  <c r="G2469" i="1"/>
  <c r="G2464" i="1"/>
  <c r="G2463" i="1"/>
  <c r="G2445" i="1"/>
  <c r="G2443" i="1"/>
  <c r="G2442" i="1"/>
  <c r="G2441" i="1"/>
  <c r="G2440" i="1"/>
  <c r="G2435" i="1"/>
  <c r="G2433" i="1"/>
  <c r="G2431" i="1"/>
  <c r="G2425" i="1"/>
  <c r="G2424" i="1"/>
  <c r="G2423" i="1"/>
  <c r="G2422" i="1"/>
  <c r="G2420" i="1"/>
  <c r="G2418" i="1"/>
  <c r="G2414" i="1"/>
  <c r="G2411" i="1"/>
  <c r="G2383" i="1"/>
  <c r="G2380" i="1"/>
  <c r="G2376" i="1"/>
  <c r="G2370" i="1"/>
  <c r="G2369" i="1"/>
  <c r="G2368" i="1"/>
  <c r="G2362" i="1"/>
  <c r="G2360" i="1"/>
  <c r="G2353" i="1"/>
  <c r="G2344" i="1"/>
  <c r="G2339" i="1"/>
  <c r="G2337" i="1"/>
  <c r="G2336" i="1"/>
  <c r="G2331" i="1"/>
  <c r="G2330" i="1"/>
  <c r="G2327" i="1"/>
  <c r="G2324" i="1"/>
  <c r="G2320" i="1"/>
  <c r="G2311" i="1"/>
  <c r="G2305" i="1"/>
  <c r="G2304" i="1"/>
  <c r="G2299" i="1"/>
  <c r="G2293" i="1"/>
  <c r="G2283" i="1"/>
  <c r="G2281" i="1"/>
  <c r="G2271" i="1"/>
  <c r="G2270" i="1"/>
  <c r="G2264" i="1"/>
  <c r="G2262" i="1"/>
  <c r="G2254" i="1"/>
  <c r="G2250" i="1"/>
  <c r="G2246" i="1"/>
  <c r="G2244" i="1"/>
  <c r="G2240" i="1"/>
  <c r="G2223" i="1"/>
  <c r="G2221" i="1"/>
  <c r="G2211" i="1"/>
  <c r="G2210" i="1"/>
  <c r="G2209" i="1"/>
  <c r="G2205" i="1"/>
  <c r="G2203" i="1"/>
  <c r="G2200" i="1"/>
  <c r="G2198" i="1"/>
  <c r="G2188" i="1"/>
  <c r="G2187" i="1"/>
  <c r="G2185" i="1"/>
  <c r="G2180" i="1"/>
  <c r="G2179" i="1"/>
  <c r="G2178" i="1"/>
  <c r="G2174" i="1"/>
  <c r="G2162" i="1"/>
  <c r="G2150" i="1"/>
  <c r="G2146" i="1"/>
  <c r="G2138" i="1"/>
  <c r="G2135" i="1"/>
  <c r="G2130" i="1"/>
  <c r="G2127" i="1"/>
  <c r="G2126" i="1"/>
  <c r="G2125" i="1"/>
  <c r="G2121" i="1"/>
  <c r="G2119" i="1"/>
  <c r="G2114" i="1"/>
  <c r="G2108" i="1"/>
  <c r="G2105" i="1"/>
  <c r="G2100" i="1"/>
  <c r="G2099" i="1"/>
  <c r="G2095" i="1"/>
  <c r="G2092" i="1"/>
  <c r="G2089" i="1"/>
  <c r="G2086" i="1"/>
  <c r="G2083" i="1"/>
  <c r="G2080" i="1"/>
  <c r="G2076" i="1"/>
  <c r="G2074" i="1"/>
  <c r="G2069" i="1"/>
  <c r="G2065" i="1"/>
  <c r="G2064" i="1"/>
  <c r="G2056" i="1"/>
  <c r="G2051" i="1"/>
  <c r="G2050" i="1"/>
  <c r="G2043" i="1"/>
  <c r="G2040" i="1"/>
  <c r="G2031" i="1"/>
  <c r="G2030" i="1"/>
  <c r="G2025" i="1"/>
  <c r="G2018" i="1"/>
  <c r="G2016" i="1"/>
  <c r="G1998" i="1"/>
  <c r="G1982" i="1"/>
  <c r="G1949" i="1"/>
  <c r="G1948" i="1"/>
  <c r="G1941" i="1"/>
  <c r="G1939" i="1"/>
  <c r="G1928" i="1"/>
  <c r="G1922" i="1"/>
  <c r="G1920" i="1"/>
  <c r="G1919" i="1"/>
  <c r="G1918" i="1"/>
  <c r="G1911" i="1"/>
  <c r="G1906" i="1"/>
  <c r="G1905" i="1"/>
  <c r="G1901" i="1"/>
  <c r="G1899" i="1"/>
  <c r="G1898" i="1"/>
  <c r="G1894" i="1"/>
  <c r="G1892" i="1"/>
  <c r="G1891" i="1"/>
  <c r="G1890" i="1"/>
  <c r="G1880" i="1"/>
  <c r="G1879" i="1"/>
  <c r="G1876" i="1"/>
  <c r="G1873" i="1"/>
  <c r="G1866" i="1"/>
  <c r="G1860" i="1"/>
  <c r="G1859" i="1"/>
  <c r="G1856" i="1"/>
  <c r="G1853" i="1"/>
  <c r="G1849" i="1"/>
  <c r="G1843" i="1"/>
  <c r="G1841" i="1"/>
  <c r="G1838" i="1"/>
  <c r="G1837" i="1"/>
  <c r="G1832" i="1"/>
  <c r="G1824" i="1"/>
  <c r="G1821" i="1"/>
  <c r="G1820" i="1"/>
  <c r="G1814" i="1"/>
  <c r="G1809" i="1"/>
  <c r="G1804" i="1"/>
  <c r="G1801" i="1"/>
  <c r="G1799" i="1"/>
  <c r="G1797" i="1"/>
  <c r="G1796" i="1"/>
  <c r="G1794" i="1"/>
  <c r="G1792" i="1"/>
  <c r="G1790" i="1"/>
  <c r="G1789" i="1"/>
  <c r="G1779" i="1"/>
  <c r="G1778" i="1"/>
  <c r="G1774" i="1"/>
  <c r="G1772" i="1"/>
  <c r="G1766" i="1"/>
  <c r="G1763" i="1"/>
  <c r="G1761" i="1"/>
  <c r="G1760" i="1"/>
  <c r="G1757" i="1"/>
  <c r="G1752" i="1"/>
  <c r="G1749" i="1"/>
  <c r="G1746" i="1"/>
  <c r="G1745" i="1"/>
  <c r="G1736" i="1"/>
  <c r="G1733" i="1"/>
  <c r="G1729" i="1"/>
  <c r="G1728" i="1"/>
  <c r="G1724" i="1"/>
  <c r="G1723" i="1"/>
  <c r="G1717" i="1"/>
  <c r="G1712" i="1"/>
  <c r="G1710" i="1"/>
  <c r="G1704" i="1"/>
  <c r="G1701" i="1"/>
  <c r="G1700" i="1"/>
  <c r="G1699" i="1"/>
  <c r="G1697" i="1"/>
  <c r="G1692" i="1"/>
  <c r="G1691" i="1"/>
  <c r="G1690" i="1"/>
  <c r="G1689" i="1"/>
  <c r="G1688" i="1"/>
  <c r="G1683" i="1"/>
  <c r="G1682" i="1"/>
  <c r="G1681" i="1"/>
  <c r="G1673" i="1"/>
  <c r="G1670" i="1"/>
  <c r="G1667" i="1"/>
  <c r="G1665" i="1"/>
  <c r="G1660" i="1"/>
  <c r="G1657" i="1"/>
  <c r="G1655" i="1"/>
  <c r="G1647" i="1"/>
  <c r="G1646" i="1"/>
  <c r="G1645" i="1"/>
  <c r="G1643" i="1"/>
  <c r="G1639" i="1"/>
  <c r="G1631" i="1"/>
  <c r="G1629" i="1"/>
  <c r="G1624" i="1"/>
  <c r="G1620" i="1"/>
  <c r="G1619" i="1"/>
  <c r="G1617" i="1"/>
  <c r="G1614" i="1"/>
  <c r="G1609" i="1"/>
  <c r="G1608" i="1"/>
  <c r="G1607" i="1"/>
  <c r="G1601" i="1"/>
  <c r="G1598" i="1"/>
  <c r="G1592" i="1"/>
  <c r="G1589" i="1"/>
  <c r="G1581" i="1"/>
  <c r="G1580" i="1"/>
  <c r="G1577" i="1"/>
  <c r="G1575" i="1"/>
  <c r="G1570" i="1"/>
  <c r="G1564" i="1"/>
  <c r="G1562" i="1"/>
  <c r="G1556" i="1"/>
  <c r="G1554" i="1"/>
  <c r="G1550" i="1"/>
  <c r="G1548" i="1"/>
  <c r="G1545" i="1"/>
  <c r="G1544" i="1"/>
  <c r="G1539" i="1"/>
  <c r="G1537" i="1"/>
  <c r="G1532" i="1"/>
  <c r="G1531" i="1"/>
  <c r="G1528" i="1"/>
  <c r="G1522" i="1"/>
  <c r="G1519" i="1"/>
  <c r="G1515" i="1"/>
  <c r="G1512" i="1"/>
  <c r="G1509" i="1"/>
  <c r="G1508" i="1"/>
  <c r="G1507" i="1"/>
  <c r="G1504" i="1"/>
  <c r="G1503" i="1"/>
  <c r="G1482" i="1"/>
  <c r="G1475" i="1"/>
  <c r="G1467" i="1"/>
  <c r="G1466" i="1"/>
  <c r="G1464" i="1"/>
  <c r="G1462" i="1"/>
  <c r="G1461" i="1"/>
  <c r="G1459" i="1"/>
  <c r="G1455" i="1"/>
  <c r="G1453" i="1"/>
  <c r="G1452" i="1"/>
  <c r="G1448" i="1"/>
  <c r="G1446" i="1"/>
  <c r="G1443" i="1"/>
  <c r="G1438" i="1"/>
  <c r="G1433" i="1"/>
  <c r="G1432" i="1"/>
  <c r="G1431" i="1"/>
  <c r="G1428" i="1"/>
  <c r="G1426" i="1"/>
  <c r="G1422" i="1"/>
  <c r="G1420" i="1"/>
  <c r="G1416" i="1"/>
  <c r="G1408" i="1"/>
  <c r="G1402" i="1"/>
  <c r="G1397" i="1"/>
  <c r="G1393" i="1"/>
  <c r="G1392" i="1"/>
  <c r="G1391" i="1"/>
  <c r="G1384" i="1"/>
  <c r="G1383" i="1"/>
  <c r="G1382" i="1"/>
  <c r="G1381" i="1"/>
  <c r="G1378" i="1"/>
  <c r="G1373" i="1"/>
  <c r="G1371" i="1"/>
  <c r="G1370" i="1"/>
  <c r="G1369" i="1"/>
  <c r="G1366" i="1"/>
  <c r="G1363" i="1"/>
  <c r="G1360" i="1"/>
  <c r="G1359" i="1"/>
  <c r="G1358" i="1"/>
  <c r="G1354" i="1"/>
  <c r="G1353" i="1"/>
  <c r="G1352" i="1"/>
  <c r="G1342" i="1"/>
  <c r="G1341" i="1"/>
  <c r="G1331" i="1"/>
  <c r="G1324" i="1"/>
  <c r="G1323" i="1"/>
  <c r="G1320" i="1"/>
  <c r="G1319" i="1"/>
  <c r="G1310" i="1"/>
  <c r="G1309" i="1"/>
  <c r="G1307" i="1"/>
  <c r="G1302" i="1"/>
  <c r="G1301" i="1"/>
  <c r="G1299" i="1"/>
  <c r="G1297" i="1"/>
  <c r="G1287" i="1"/>
  <c r="G1280" i="1"/>
  <c r="G1277" i="1"/>
  <c r="G1275" i="1"/>
  <c r="G1274" i="1"/>
  <c r="G1273" i="1"/>
  <c r="G1272" i="1"/>
  <c r="G1268" i="1"/>
  <c r="G1267" i="1"/>
  <c r="G1265" i="1"/>
  <c r="G1259" i="1"/>
  <c r="G1247" i="1"/>
  <c r="G1245" i="1"/>
  <c r="G1238" i="1"/>
  <c r="G1235" i="1"/>
  <c r="G1233" i="1"/>
  <c r="G1231" i="1"/>
  <c r="G1229" i="1"/>
  <c r="G1227" i="1"/>
  <c r="G1222" i="1"/>
  <c r="G1215" i="1"/>
  <c r="G1214" i="1"/>
  <c r="G1202" i="1"/>
  <c r="G1199" i="1"/>
  <c r="G1195" i="1"/>
  <c r="G1194" i="1"/>
  <c r="G1193" i="1"/>
  <c r="G1190" i="1"/>
  <c r="G1188" i="1"/>
  <c r="G1186" i="1"/>
  <c r="G1180" i="1"/>
  <c r="G1171" i="1"/>
  <c r="G1170" i="1"/>
  <c r="G1169" i="1"/>
  <c r="G1168" i="1"/>
  <c r="G1166" i="1"/>
  <c r="G1155" i="1"/>
  <c r="G1146" i="1"/>
  <c r="G1145" i="1"/>
  <c r="G1144" i="1"/>
  <c r="G1142" i="1"/>
  <c r="G1141" i="1"/>
  <c r="G1140" i="1"/>
  <c r="G1139" i="1"/>
  <c r="G1137" i="1"/>
  <c r="G1130" i="1"/>
  <c r="G1124" i="1"/>
  <c r="G1120" i="1"/>
  <c r="G1119" i="1"/>
  <c r="G1118" i="1"/>
  <c r="G1114" i="1"/>
  <c r="G1109" i="1"/>
  <c r="G1106" i="1"/>
  <c r="G1102" i="1"/>
  <c r="G1096" i="1"/>
  <c r="G1093" i="1"/>
  <c r="G1092" i="1"/>
  <c r="G1084" i="1"/>
  <c r="G1082" i="1"/>
  <c r="G1077" i="1"/>
  <c r="G1072" i="1"/>
  <c r="G1071" i="1"/>
  <c r="G1067" i="1"/>
  <c r="G1065" i="1"/>
  <c r="G1062" i="1"/>
  <c r="G1061" i="1"/>
  <c r="G1060" i="1"/>
  <c r="G1055" i="1"/>
  <c r="G1054" i="1"/>
  <c r="G1050" i="1"/>
  <c r="G1048" i="1"/>
  <c r="G1047" i="1"/>
  <c r="G1040" i="1"/>
  <c r="G1034" i="1"/>
  <c r="G1031" i="1"/>
  <c r="G1028" i="1"/>
  <c r="G1023" i="1"/>
  <c r="G1020" i="1"/>
  <c r="G1019" i="1"/>
  <c r="G1018" i="1"/>
  <c r="G1017" i="1"/>
  <c r="G1013" i="1"/>
  <c r="G1006" i="1"/>
  <c r="G1000" i="1"/>
  <c r="G997" i="1"/>
  <c r="G991" i="1"/>
  <c r="G990" i="1"/>
  <c r="G988" i="1"/>
  <c r="G986" i="1"/>
  <c r="G985" i="1"/>
  <c r="G979" i="1"/>
  <c r="G977" i="1"/>
  <c r="G973" i="1"/>
  <c r="G970" i="1"/>
  <c r="G968" i="1"/>
  <c r="G960" i="1"/>
  <c r="G956" i="1"/>
  <c r="G953" i="1"/>
  <c r="G950" i="1"/>
  <c r="G946" i="1"/>
  <c r="G945" i="1"/>
  <c r="G940" i="1"/>
  <c r="G938" i="1"/>
  <c r="G937" i="1"/>
  <c r="G936" i="1"/>
  <c r="G932" i="1"/>
  <c r="G895" i="1"/>
  <c r="G892" i="1"/>
  <c r="G872" i="1"/>
  <c r="G865" i="1"/>
  <c r="G857" i="1"/>
  <c r="G855" i="1"/>
  <c r="G852" i="1"/>
  <c r="G848" i="1"/>
  <c r="G843" i="1"/>
  <c r="G839" i="1"/>
  <c r="G837" i="1"/>
  <c r="G836" i="1"/>
  <c r="G835" i="1"/>
  <c r="G834" i="1"/>
  <c r="G833" i="1"/>
  <c r="G825" i="1"/>
  <c r="G820" i="1"/>
  <c r="G819" i="1"/>
  <c r="G818" i="1"/>
  <c r="G814" i="1"/>
  <c r="G811" i="1"/>
  <c r="G809" i="1"/>
  <c r="G808" i="1"/>
  <c r="G804" i="1"/>
  <c r="G803" i="1"/>
  <c r="G796" i="1"/>
  <c r="G789" i="1"/>
  <c r="G787" i="1"/>
  <c r="G785" i="1"/>
  <c r="G783" i="1"/>
  <c r="G780" i="1"/>
  <c r="G778" i="1"/>
  <c r="G773" i="1"/>
  <c r="G765" i="1"/>
  <c r="G755" i="1"/>
  <c r="G745" i="1"/>
  <c r="G743" i="1"/>
  <c r="G738" i="1"/>
  <c r="G737" i="1"/>
  <c r="G736" i="1"/>
  <c r="G732" i="1"/>
  <c r="G725" i="1"/>
  <c r="G710" i="1"/>
  <c r="G709" i="1"/>
  <c r="G705" i="1"/>
  <c r="G704" i="1"/>
  <c r="G699" i="1"/>
  <c r="G694" i="1"/>
  <c r="G693" i="1"/>
  <c r="G690" i="1"/>
  <c r="G682" i="1"/>
  <c r="G675" i="1"/>
  <c r="G664" i="1"/>
  <c r="G656" i="1"/>
  <c r="G654" i="1"/>
  <c r="G653" i="1"/>
  <c r="G650" i="1"/>
  <c r="G646" i="1"/>
  <c r="G644" i="1"/>
  <c r="G640" i="1"/>
  <c r="G639" i="1"/>
  <c r="G636" i="1"/>
  <c r="G632" i="1"/>
  <c r="G628" i="1"/>
  <c r="G625" i="1"/>
  <c r="G621" i="1"/>
  <c r="G619" i="1"/>
  <c r="G614" i="1"/>
  <c r="G609" i="1"/>
  <c r="G596" i="1"/>
  <c r="G591" i="1"/>
  <c r="G579" i="1"/>
  <c r="G576" i="1"/>
  <c r="G571" i="1"/>
  <c r="G567" i="1"/>
  <c r="G564" i="1"/>
  <c r="G563" i="1"/>
  <c r="G562" i="1"/>
  <c r="G559" i="1"/>
  <c r="G551" i="1"/>
  <c r="G550" i="1"/>
  <c r="G546" i="1"/>
  <c r="G540" i="1"/>
  <c r="G534" i="1"/>
  <c r="G532" i="1"/>
  <c r="G521" i="1"/>
  <c r="G518" i="1"/>
  <c r="G513" i="1"/>
  <c r="G509" i="1"/>
  <c r="G508" i="1"/>
  <c r="G507" i="1"/>
  <c r="G489" i="1"/>
  <c r="G488" i="1"/>
  <c r="G484" i="1"/>
  <c r="G480" i="1"/>
  <c r="G479" i="1"/>
  <c r="G468" i="1"/>
  <c r="G465" i="1"/>
  <c r="G464" i="1"/>
  <c r="G460" i="1"/>
  <c r="G454" i="1"/>
  <c r="G453" i="1"/>
  <c r="G446" i="1"/>
  <c r="G445" i="1"/>
  <c r="G443" i="1"/>
  <c r="G439" i="1"/>
  <c r="G438" i="1"/>
  <c r="G437" i="1"/>
  <c r="G430" i="1"/>
  <c r="G429" i="1"/>
  <c r="G419" i="1"/>
  <c r="G416" i="1"/>
  <c r="G413" i="1"/>
  <c r="G412" i="1"/>
  <c r="G407" i="1"/>
  <c r="G404" i="1"/>
  <c r="G394" i="1"/>
  <c r="G389" i="1"/>
  <c r="G386" i="1"/>
  <c r="G384" i="1"/>
  <c r="G377" i="1"/>
  <c r="G374" i="1"/>
  <c r="G367" i="1"/>
  <c r="G362" i="1"/>
  <c r="G349" i="1"/>
  <c r="G348" i="1"/>
  <c r="G338" i="1"/>
  <c r="G333" i="1"/>
  <c r="G332" i="1"/>
  <c r="G315" i="1"/>
  <c r="G311" i="1"/>
  <c r="G309" i="1"/>
  <c r="G302" i="1"/>
  <c r="G288" i="1"/>
  <c r="G283" i="1"/>
  <c r="G273" i="1"/>
  <c r="G271" i="1"/>
  <c r="G267" i="1"/>
  <c r="G262" i="1"/>
  <c r="G261" i="1"/>
  <c r="G257" i="1"/>
  <c r="G256" i="1"/>
  <c r="G247" i="1"/>
  <c r="G246" i="1"/>
  <c r="G245" i="1"/>
  <c r="G237" i="1"/>
  <c r="G229" i="1"/>
  <c r="G227" i="1"/>
  <c r="G225" i="1"/>
  <c r="G219" i="1"/>
  <c r="G218" i="1"/>
  <c r="G216" i="1"/>
  <c r="G214" i="1"/>
  <c r="G213" i="1"/>
  <c r="G211" i="1"/>
  <c r="G210" i="1"/>
  <c r="G208" i="1"/>
  <c r="G203" i="1"/>
  <c r="G201" i="1"/>
  <c r="G199" i="1"/>
  <c r="G192" i="1"/>
  <c r="G190" i="1"/>
  <c r="G188" i="1"/>
  <c r="G182" i="1"/>
  <c r="G178" i="1"/>
  <c r="G176" i="1"/>
  <c r="G175" i="1"/>
  <c r="G174" i="1"/>
  <c r="G167" i="1"/>
  <c r="G163" i="1"/>
  <c r="G162" i="1"/>
  <c r="G159" i="1"/>
  <c r="G152" i="1"/>
  <c r="G146" i="1"/>
  <c r="G145" i="1"/>
  <c r="G143" i="1"/>
  <c r="G141" i="1"/>
  <c r="G140" i="1"/>
  <c r="G139" i="1"/>
  <c r="G131" i="1"/>
  <c r="G128" i="1"/>
  <c r="G126" i="1"/>
  <c r="G125" i="1"/>
  <c r="G123" i="1"/>
  <c r="G117" i="1"/>
  <c r="G116" i="1"/>
  <c r="G110" i="1"/>
  <c r="G109" i="1"/>
  <c r="G108" i="1"/>
  <c r="G107" i="1"/>
  <c r="G106" i="1"/>
  <c r="G102" i="1"/>
  <c r="G95" i="1"/>
  <c r="G91" i="1"/>
  <c r="G90" i="1"/>
  <c r="G88" i="1"/>
  <c r="G85" i="1"/>
  <c r="G73" i="1"/>
  <c r="G72" i="1"/>
  <c r="G65" i="1"/>
  <c r="G49" i="1"/>
  <c r="G47" i="1"/>
  <c r="G46" i="1"/>
  <c r="G39" i="1"/>
  <c r="G38" i="1"/>
</calcChain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<sst xmlns="http://schemas.openxmlformats.org/spreadsheetml/2006/main" count="77214" uniqueCount="54486">
  <si>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</si>
  <si>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</si>
  <si>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</si>
  <si>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</si>
  <si>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</si>
  <si>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</si>
  <si>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</si>
  <si>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</si>
  <si>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</si>
  <si>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</si>
  <si>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</si>
  <si>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</si>
  <si>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</si>
  <si>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</si>
  <si>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</si>
  <si>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</si>
  <si>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</si>
  <si>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</si>
  <si>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</si>
  <si>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</si>
  <si>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</si>
  <si>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</si>
  <si>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</si>
  <si>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</si>
  <si>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</si>
  <si>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</si>
  <si>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</si>
  <si>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</si>
  <si>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</si>
  <si>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</si>
  <si>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</si>
  <si>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</si>
  <si>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</si>
  <si>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</si>
  <si>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</si>
  <si>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</si>
  <si>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</si>
  <si>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</si>
  <si>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</si>
  <si>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</si>
  <si>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</si>
  <si>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</si>
  <si>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</si>
  <si>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</si>
  <si>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</si>
  <si>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</si>
  <si>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</si>
  <si>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</si>
  <si>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</si>
  <si>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</si>
  <si>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</si>
  <si>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</si>
  <si>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</si>
  <si>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</si>
  <si>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</si>
  <si>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</si>
  <si>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</si>
  <si>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</si>
  <si>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</si>
  <si>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</si>
  <si>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</si>
  <si>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</si>
  <si>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</si>
  <si>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</si>
  <si>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</si>
  <si>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</si>
  <si>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</si>
  <si>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</si>
  <si>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</si>
  <si>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</si>
  <si>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</si>
  <si>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</si>
  <si>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</si>
  <si>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</si>
  <si>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</si>
  <si>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</si>
  <si>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</si>
  <si>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</si>
  <si>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</si>
  <si>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</si>
  <si>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</si>
  <si>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</si>
  <si>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</si>
  <si>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</si>
  <si>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</si>
  <si>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</si>
  <si>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</si>
  <si>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</si>
  <si>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</si>
  <si>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</si>
  <si>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</si>
  <si>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</si>
  <si>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</si>
  <si>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</si>
  <si>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</si>
  <si>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</si>
  <si>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</si>
  <si>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</si>
  <si>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</si>
  <si>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</si>
  <si>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</si>
  <si>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</si>
  <si>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</si>
  <si>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</si>
  <si>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</si>
  <si>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</si>
  <si>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</si>
  <si>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</si>
  <si>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</si>
  <si>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</si>
  <si>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</si>
  <si>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</si>
  <si>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</si>
  <si>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</si>
  <si>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</si>
  <si>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</si>
  <si>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</si>
  <si>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</si>
  <si>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</si>
  <si>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</si>
  <si>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</si>
  <si>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</si>
  <si>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</si>
  <si>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</si>
  <si>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</si>
  <si>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</si>
  <si>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</si>
  <si>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</si>
  <si>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</si>
  <si>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</si>
  <si>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</si>
  <si>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</si>
  <si>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</si>
  <si>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</si>
  <si>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</si>
  <si>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</si>
  <si>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</si>
  <si>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</si>
  <si>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</si>
  <si>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</si>
  <si>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</si>
  <si>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</si>
  <si>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</si>
  <si>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</si>
  <si>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</si>
  <si>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</si>
  <si>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</si>
  <si>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</si>
  <si>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</si>
  <si>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</si>
  <si>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</si>
  <si>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</si>
  <si>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</si>
  <si>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</si>
  <si>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</si>
  <si>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</si>
  <si>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</si>
  <si>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</si>
  <si>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</si>
  <si>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</si>
  <si>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</si>
  <si>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</si>
  <si>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</si>
  <si>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</si>
  <si>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</si>
  <si>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</si>
  <si>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</si>
  <si>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</si>
  <si>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</si>
  <si>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</si>
  <si>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</si>
  <si>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</si>
  <si>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</si>
  <si>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</si>
  <si>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</si>
  <si>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</si>
  <si>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</si>
  <si>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</si>
  <si>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</si>
  <si>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</si>
  <si>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</si>
  <si>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</si>
  <si>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</si>
  <si>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</si>
  <si>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</si>
  <si>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</si>
  <si>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</si>
  <si>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</si>
  <si>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</si>
  <si>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</si>
  <si>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</si>
  <si>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</si>
  <si>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</si>
  <si>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</si>
  <si>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</si>
  <si>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</si>
  <si>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</si>
  <si>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</si>
  <si>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</si>
  <si>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</si>
  <si>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</si>
  <si>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</si>
  <si>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</si>
  <si>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</si>
  <si>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</si>
  <si>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</si>
  <si>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</si>
  <si>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</si>
  <si>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</si>
  <si>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</si>
  <si>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</si>
  <si>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</si>
  <si>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</si>
  <si>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</si>
  <si>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</si>
  <si>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</si>
  <si>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</si>
  <si>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</si>
  <si>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</si>
  <si>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</si>
  <si>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</si>
  <si>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</si>
  <si>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</si>
  <si>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</si>
  <si>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</si>
  <si>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</si>
  <si>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</si>
  <si>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</si>
  <si>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</si>
  <si>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</si>
  <si>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</si>
  <si>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</si>
  <si>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</si>
  <si>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</si>
  <si>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</si>
  <si>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</si>
  <si>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</si>
  <si>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</si>
  <si>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</si>
  <si>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</si>
  <si>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</si>
  <si>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</si>
  <si>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</si>
  <si>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</si>
  <si>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</si>
  <si>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</si>
  <si>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</si>
  <si>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</si>
  <si>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</si>
  <si>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</si>
  <si>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</si>
  <si>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</si>
  <si>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</si>
  <si>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</si>
  <si>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</si>
  <si>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</si>
  <si>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</si>
  <si>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</si>
  <si>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</si>
  <si>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</si>
  <si>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</si>
  <si>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</si>
  <si>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</si>
  <si>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</si>
  <si>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</si>
  <si>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</si>
  <si>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</si>
  <si>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</si>
  <si>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</si>
  <si>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</si>
  <si>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</si>
  <si>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</si>
  <si>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</si>
  <si>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</si>
  <si>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</si>
  <si>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</si>
  <si>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</si>
  <si>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</si>
  <si>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</si>
  <si>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</si>
  <si>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</si>
  <si>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</si>
  <si>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</si>
  <si>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</si>
  <si>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</si>
  <si>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</si>
  <si>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</si>
  <si>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</si>
  <si>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</si>
  <si>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</si>
  <si>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</si>
  <si>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</si>
  <si>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</si>
  <si>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</si>
  <si>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</si>
  <si>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</si>
  <si>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</si>
  <si>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</si>
  <si>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</si>
  <si>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</si>
  <si>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</si>
  <si>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</si>
  <si>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</si>
  <si>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</si>
  <si>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</si>
  <si>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</si>
  <si>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</si>
  <si>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</si>
  <si>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</si>
  <si>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</si>
  <si>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</si>
  <si>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</si>
  <si>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</si>
  <si>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</si>
  <si>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</si>
  <si>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</si>
  <si>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</si>
  <si>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</si>
  <si>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</si>
  <si>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</si>
  <si>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</si>
  <si>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</si>
  <si>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</si>
  <si>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</si>
  <si>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</si>
  <si>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</si>
  <si>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</si>
  <si>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</si>
  <si>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</si>
  <si>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</si>
  <si>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</si>
  <si>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</si>
  <si>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</si>
  <si>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</si>
  <si>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</si>
  <si>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</si>
  <si>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</si>
  <si>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</si>
  <si>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</si>
  <si>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</si>
  <si>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</si>
  <si>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</si>
  <si>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</si>
  <si>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</si>
  <si>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</si>
  <si>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</si>
  <si>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</si>
  <si>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</si>
  <si>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</si>
  <si>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</si>
  <si>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</si>
  <si>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</si>
  <si>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</si>
  <si>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</si>
  <si>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</si>
  <si>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</si>
  <si>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</si>
  <si>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</si>
  <si>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</si>
  <si>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</si>
  <si>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</si>
  <si>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</si>
  <si>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</si>
  <si>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</si>
  <si>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</si>
  <si>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</si>
  <si>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</si>
  <si>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</si>
  <si>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</si>
  <si>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</si>
  <si>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</si>
  <si>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</si>
  <si>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</si>
  <si>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</si>
  <si>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</si>
  <si>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</si>
  <si>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</si>
  <si>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</si>
  <si>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</si>
  <si>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</si>
  <si>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</si>
  <si>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</si>
  <si>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</si>
  <si>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</si>
  <si>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</si>
  <si>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</si>
  <si>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</si>
  <si>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</si>
  <si>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</si>
  <si>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</si>
  <si>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</si>
  <si>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</si>
  <si>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</si>
  <si>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</si>
  <si>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</si>
  <si>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</si>
  <si>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</si>
  <si>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</si>
  <si>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</si>
  <si>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</si>
  <si>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</si>
  <si>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</si>
  <si>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</si>
  <si>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</si>
  <si>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</si>
  <si>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</si>
  <si>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</si>
  <si>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</si>
  <si>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</si>
  <si>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</si>
  <si>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</si>
  <si>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</si>
  <si>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</si>
  <si>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</si>
  <si>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</si>
  <si>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</si>
  <si>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</si>
  <si>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</si>
  <si>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</si>
  <si>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</si>
  <si>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</si>
  <si>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</si>
  <si>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</si>
  <si>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</si>
  <si>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</si>
  <si>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</si>
  <si>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</si>
  <si>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</si>
  <si>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</si>
  <si>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</si>
  <si>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</si>
  <si>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</si>
  <si>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</si>
  <si>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</si>
  <si>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</si>
  <si>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</si>
  <si>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</si>
  <si>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</si>
  <si>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</si>
  <si>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</si>
  <si>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</si>
  <si>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</si>
  <si>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</si>
  <si>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</si>
  <si>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</si>
  <si>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</si>
  <si>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</si>
  <si>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</si>
  <si>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</si>
  <si>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</si>
  <si>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</si>
  <si>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</si>
  <si>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</si>
  <si>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</si>
  <si>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</si>
  <si>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</si>
  <si>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</si>
  <si>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</si>
  <si>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</si>
  <si>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</si>
  <si>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</si>
  <si>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</si>
  <si>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</si>
  <si>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</si>
  <si>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</si>
  <si>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</si>
  <si>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</si>
  <si>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</si>
  <si>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</si>
  <si>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</si>
  <si>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</si>
  <si>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</si>
  <si>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</si>
  <si>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</si>
  <si>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</si>
  <si>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</si>
  <si>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</si>
  <si>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</si>
  <si>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</si>
  <si>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</si>
  <si>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</si>
  <si>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</si>
  <si>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</si>
  <si>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</si>
  <si>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</si>
  <si>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</si>
  <si>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</si>
  <si>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</si>
  <si>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</si>
  <si>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</si>
  <si>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</si>
  <si>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</si>
  <si>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</si>
  <si>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</si>
  <si>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</si>
  <si>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</si>
  <si>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</si>
  <si>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</si>
  <si>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</si>
  <si>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</si>
  <si>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</si>
  <si>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</si>
  <si>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</si>
  <si>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</si>
  <si>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</si>
  <si>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</si>
  <si>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</si>
  <si>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</si>
  <si>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</si>
  <si>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</si>
  <si>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</si>
  <si>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</si>
  <si>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</si>
  <si>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</si>
  <si>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</si>
  <si>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</si>
  <si>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</si>
  <si>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</si>
  <si>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</si>
  <si>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</si>
  <si>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</si>
  <si>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</si>
  <si>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</si>
  <si>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</si>
  <si>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</si>
  <si>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</si>
  <si>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</si>
  <si>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</si>
  <si>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</si>
  <si>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</si>
  <si>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</si>
  <si>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</si>
  <si>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</si>
  <si>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</si>
  <si>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</si>
  <si>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</si>
  <si>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</si>
  <si>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</si>
  <si>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</si>
  <si>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</si>
  <si>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</si>
  <si>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</si>
  <si>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</si>
  <si>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</si>
  <si>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</si>
  <si>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</si>
  <si>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</si>
  <si>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</si>
  <si>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</si>
  <si>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</si>
  <si>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</si>
  <si>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</si>
  <si>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</si>
  <si>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</si>
  <si>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</si>
  <si>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</si>
  <si>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</si>
  <si>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</si>
  <si>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</si>
  <si>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</si>
  <si>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</si>
  <si>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</si>
  <si>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</si>
  <si>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</si>
  <si>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</si>
  <si>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</si>
  <si>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</si>
  <si>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</si>
  <si>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</si>
  <si>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</si>
  <si>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</si>
  <si>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</si>
  <si>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</si>
  <si>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</si>
  <si>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</si>
  <si>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</si>
  <si>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</si>
  <si>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</si>
  <si>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</si>
  <si>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</si>
  <si>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</si>
  <si>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</si>
  <si>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</si>
  <si>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</si>
  <si>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</si>
  <si>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</si>
  <si>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</si>
  <si>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</si>
  <si>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</si>
  <si>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</si>
  <si>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</si>
  <si>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</si>
  <si>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</si>
  <si>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</si>
  <si>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</si>
  <si>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</si>
  <si>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</si>
  <si>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</si>
  <si>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</si>
  <si>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</si>
  <si>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</si>
  <si>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</si>
  <si>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</si>
  <si>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</si>
  <si>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</si>
  <si>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</si>
  <si>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</si>
  <si>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</si>
  <si>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</si>
  <si>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</si>
  <si>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</si>
  <si>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</si>
  <si>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</si>
  <si>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</si>
  <si>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</si>
  <si>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</si>
  <si>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</si>
  <si>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</si>
  <si>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</si>
  <si>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</si>
  <si>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</si>
  <si>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</si>
  <si>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</si>
  <si>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</si>
  <si>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</si>
  <si>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</si>
  <si>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</si>
  <si>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</si>
  <si>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</si>
  <si>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</si>
  <si>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</si>
  <si>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</si>
  <si>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</si>
  <si>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</si>
  <si>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</si>
  <si>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</si>
  <si>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</si>
  <si>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</si>
  <si>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</si>
  <si>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</si>
  <si>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</si>
  <si>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</si>
  <si>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</si>
  <si>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</si>
  <si>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</si>
  <si>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</si>
  <si>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</si>
  <si>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</si>
  <si>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</si>
  <si>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</si>
  <si>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</si>
  <si>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</si>
  <si>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</si>
  <si>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</si>
  <si>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</si>
  <si>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</si>
  <si>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</si>
  <si>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</si>
  <si>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</si>
  <si>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</si>
  <si>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</si>
  <si>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</si>
  <si>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</si>
  <si>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</si>
  <si>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</si>
  <si>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</si>
  <si>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</si>
  <si>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</si>
  <si>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</si>
  <si>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</si>
  <si>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</si>
  <si>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</si>
  <si>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</si>
  <si>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</si>
  <si>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</si>
  <si>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</si>
  <si>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</si>
  <si>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</si>
  <si>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</si>
  <si>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</si>
  <si>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</si>
  <si>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</si>
  <si>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</si>
  <si>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</si>
  <si>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</si>
  <si>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</si>
  <si>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</si>
  <si>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</si>
  <si>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</si>
  <si>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</si>
  <si>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</si>
  <si>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</si>
  <si>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</si>
  <si>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</si>
  <si>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</si>
  <si>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</si>
  <si>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</si>
  <si>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</si>
  <si>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</si>
  <si>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</si>
  <si>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</si>
  <si>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</si>
  <si>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</si>
  <si>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</si>
  <si>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</si>
  <si>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</si>
  <si>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</si>
  <si>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</si>
  <si>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</si>
  <si>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</si>
  <si>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</si>
  <si>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</si>
  <si>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</si>
  <si>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</si>
  <si>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</si>
  <si>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</si>
  <si>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</si>
  <si>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</si>
  <si>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</si>
  <si>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</si>
  <si>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</si>
  <si>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</si>
  <si>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</si>
  <si>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</si>
  <si>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</si>
  <si>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</si>
  <si>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</si>
  <si>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</si>
  <si>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</si>
  <si>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</si>
  <si>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</si>
  <si>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</si>
  <si>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</si>
  <si>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</si>
  <si>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</si>
  <si>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</si>
  <si>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</si>
  <si>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</si>
  <si>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</si>
  <si>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</si>
  <si>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</si>
  <si>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</si>
  <si>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</si>
  <si>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</si>
  <si>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</si>
  <si>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</si>
  <si>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</si>
  <si>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</si>
  <si>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</si>
  <si>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</si>
  <si>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</si>
  <si>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</si>
  <si>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</si>
  <si>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</si>
  <si>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</si>
  <si>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</si>
  <si>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</si>
  <si>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</si>
  <si>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</si>
  <si>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</si>
  <si>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</si>
  <si>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</si>
  <si>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</si>
  <si>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</si>
  <si>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</si>
  <si>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</si>
  <si>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</si>
  <si>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</si>
  <si>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</si>
  <si>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</si>
  <si>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</si>
  <si>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</si>
  <si>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</si>
  <si>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</si>
  <si>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</si>
  <si>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</si>
  <si>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</si>
  <si>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</si>
  <si>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</si>
  <si>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</si>
  <si>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</si>
  <si>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</si>
  <si>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</si>
  <si>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</si>
  <si>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</si>
  <si>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</si>
  <si>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</si>
  <si>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</si>
  <si>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</si>
  <si>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</si>
  <si>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</si>
  <si>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</si>
  <si>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</si>
  <si>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</si>
  <si>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</si>
  <si>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</si>
  <si>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</si>
  <si>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</si>
  <si>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</si>
  <si>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</si>
  <si>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</si>
  <si>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</si>
  <si>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</si>
  <si>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</si>
  <si>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</si>
  <si>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</si>
  <si>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</si>
  <si>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</si>
  <si>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</si>
  <si>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</si>
  <si>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</si>
  <si>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</si>
  <si>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</si>
  <si>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</si>
  <si>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</si>
  <si>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</si>
  <si>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</si>
  <si>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</si>
  <si>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</si>
  <si>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</si>
  <si>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</si>
  <si>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</si>
  <si>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</si>
  <si>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</si>
  <si>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</si>
  <si>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</si>
  <si>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</si>
  <si>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</si>
  <si>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</si>
  <si>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</si>
  <si>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</si>
  <si>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</si>
  <si>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</si>
  <si>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</si>
  <si>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</si>
  <si>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</si>
  <si>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</si>
  <si>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</si>
  <si>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</si>
  <si>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</si>
  <si>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</si>
  <si>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</si>
  <si>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</si>
  <si>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</si>
  <si>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</si>
  <si>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</si>
  <si>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</si>
  <si>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</si>
  <si>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</si>
  <si>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</si>
  <si>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</si>
  <si>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</si>
  <si>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</si>
  <si>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</si>
  <si>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</si>
  <si>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</si>
  <si>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</si>
  <si>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</si>
  <si>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</si>
  <si>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</si>
  <si>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</si>
  <si>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</si>
  <si>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</si>
  <si>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</si>
  <si>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</si>
  <si>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</si>
  <si>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</si>
  <si>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</si>
  <si>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</si>
  <si>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</si>
  <si>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</si>
  <si>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</si>
  <si>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</si>
  <si>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</si>
  <si>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</si>
  <si>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</si>
  <si>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</si>
  <si>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</si>
  <si>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</si>
  <si>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</si>
  <si>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</si>
  <si>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</si>
  <si>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</si>
  <si>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</si>
  <si>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</si>
  <si>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</si>
  <si>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</si>
  <si>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</si>
  <si>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</si>
  <si>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</si>
  <si>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</si>
  <si>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</si>
  <si>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</si>
  <si>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</si>
  <si>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</si>
  <si>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</si>
  <si>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</si>
  <si>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</si>
  <si>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</si>
  <si>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</si>
  <si>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</si>
  <si>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</si>
  <si>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</si>
  <si>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</si>
  <si>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</si>
  <si>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</si>
  <si>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</si>
  <si>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</si>
  <si>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</si>
  <si>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</si>
  <si>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</si>
  <si>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</si>
  <si>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</si>
  <si>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</si>
  <si>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</si>
  <si>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</si>
  <si>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</si>
  <si>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</si>
  <si>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</si>
  <si>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</si>
  <si>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</si>
  <si>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</si>
  <si>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</si>
  <si>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</si>
  <si>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</si>
  <si>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</si>
  <si>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</si>
  <si>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</si>
  <si>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</si>
  <si>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</si>
  <si>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</si>
  <si>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</si>
  <si>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</si>
  <si>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</si>
  <si>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</si>
  <si>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</si>
  <si>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</si>
  <si>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</si>
  <si>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</si>
  <si>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</si>
  <si>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</si>
  <si>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</si>
  <si>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</si>
  <si>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</si>
  <si>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</si>
  <si>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</si>
  <si>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</si>
  <si>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</si>
  <si>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</si>
  <si>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</si>
  <si>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</si>
  <si>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</si>
  <si>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</si>
  <si>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</si>
  <si>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</si>
  <si>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</si>
  <si>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</si>
  <si>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</si>
  <si>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</si>
  <si>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</si>
  <si>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</si>
  <si>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</si>
  <si>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</si>
  <si>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</si>
  <si>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</si>
  <si>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</si>
  <si>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</si>
  <si>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</si>
  <si>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</si>
  <si>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</si>
  <si>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</si>
  <si>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</si>
  <si>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</si>
  <si>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</si>
  <si>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</si>
  <si>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</si>
  <si>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</si>
  <si>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</si>
  <si>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</si>
  <si>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</si>
  <si>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</si>
  <si>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</si>
  <si>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</si>
  <si>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</si>
  <si>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</si>
  <si>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</si>
  <si>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</si>
  <si>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</si>
  <si>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</si>
  <si>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</si>
  <si>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</si>
  <si>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</si>
  <si>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</si>
  <si>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</si>
  <si>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</si>
  <si>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</si>
  <si>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</si>
  <si>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</si>
  <si>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</si>
  <si>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</si>
  <si>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</si>
  <si>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</si>
  <si>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</si>
  <si>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</si>
  <si>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</si>
  <si>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</si>
  <si>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</si>
  <si>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</si>
  <si>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</si>
  <si>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</si>
  <si>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</si>
  <si>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</si>
  <si>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</si>
  <si>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</si>
  <si>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</si>
  <si>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</si>
  <si>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</si>
  <si>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</si>
  <si>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</si>
  <si>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</si>
  <si>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</si>
  <si>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</si>
  <si>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</si>
  <si>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</si>
  <si>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</si>
  <si>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</si>
  <si>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</si>
  <si>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</si>
  <si>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</si>
  <si>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</si>
  <si>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</si>
  <si>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</si>
  <si>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</si>
  <si>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</si>
  <si>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</si>
  <si>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</si>
  <si>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</si>
  <si>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</si>
  <si>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</si>
  <si>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</si>
  <si>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</si>
  <si>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</si>
  <si>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</si>
  <si>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</si>
  <si>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</si>
  <si>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</si>
  <si>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</si>
  <si>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</si>
  <si>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</si>
  <si>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</si>
  <si>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</si>
  <si>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</si>
  <si>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</si>
  <si>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</si>
  <si>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</si>
  <si>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</si>
  <si>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</si>
  <si>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</si>
  <si>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</si>
  <si>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</si>
  <si>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</si>
  <si>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</si>
  <si>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</si>
  <si>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</si>
  <si>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</si>
  <si>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</si>
  <si>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</si>
  <si>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</si>
  <si>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</si>
  <si>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</si>
  <si>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</si>
  <si>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</si>
  <si>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</si>
  <si>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</si>
  <si>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</si>
  <si>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</si>
  <si>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</si>
  <si>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</si>
  <si>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</si>
  <si>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</si>
  <si>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</si>
  <si>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</si>
  <si>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</si>
  <si>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</si>
  <si>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</si>
  <si>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</si>
  <si>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</si>
  <si>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</si>
  <si>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</si>
  <si>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</si>
  <si>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</si>
  <si>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</si>
  <si>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</si>
  <si>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</si>
  <si>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</si>
  <si>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</si>
  <si>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</si>
  <si>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</si>
  <si>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</si>
  <si>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</si>
  <si>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</si>
  <si>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</si>
  <si>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</si>
  <si>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</si>
  <si>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</si>
  <si>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</si>
  <si>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</si>
  <si>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</si>
  <si>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</si>
  <si>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</si>
  <si>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</si>
  <si>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</si>
  <si>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</si>
  <si>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</si>
  <si>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</si>
  <si>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</si>
  <si>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</si>
  <si>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</si>
  <si>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</si>
  <si>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</si>
  <si>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</si>
  <si>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</si>
  <si>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</si>
  <si>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</si>
  <si>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</si>
  <si>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</si>
  <si>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</si>
  <si>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</si>
  <si>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</si>
  <si>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</si>
  <si>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</si>
  <si>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</si>
  <si>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</si>
  <si>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</si>
  <si>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</si>
  <si>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</si>
  <si>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</si>
  <si>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</si>
  <si>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</si>
  <si>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</si>
  <si>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</si>
  <si>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</si>
  <si>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</si>
  <si>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</si>
  <si>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</si>
  <si>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</si>
  <si>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</si>
  <si>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</si>
  <si>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</si>
  <si>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</si>
  <si>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</si>
  <si>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</si>
  <si>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</si>
  <si>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</si>
  <si>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</si>
  <si>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</si>
  <si>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</si>
  <si>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</si>
  <si>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</si>
  <si>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</si>
  <si>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</si>
  <si>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</si>
  <si>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</si>
  <si>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</si>
  <si>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</si>
  <si>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</si>
  <si>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</si>
  <si>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</si>
  <si>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</si>
  <si>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</si>
  <si>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</si>
  <si>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</si>
  <si>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</si>
  <si>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</si>
  <si>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</si>
  <si>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</si>
  <si>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</si>
  <si>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</si>
  <si>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</si>
  <si>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</si>
  <si>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</si>
  <si>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</si>
  <si>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</si>
  <si>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</si>
  <si>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</si>
  <si>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</si>
  <si>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</si>
  <si>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</si>
  <si>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</si>
  <si>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</si>
  <si>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</si>
  <si>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</si>
  <si>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</si>
  <si>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</si>
  <si>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</si>
  <si>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</si>
  <si>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</si>
  <si>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</si>
  <si>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</si>
  <si>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</si>
  <si>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</si>
  <si>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</si>
  <si>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</si>
  <si>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</si>
  <si>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</si>
  <si>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</si>
  <si>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</si>
  <si>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</si>
  <si>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</si>
  <si>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</si>
  <si>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</si>
  <si>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</si>
  <si>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</si>
  <si>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</si>
  <si>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</si>
  <si>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</si>
  <si>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</si>
  <si>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</si>
  <si>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</si>
  <si>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</si>
  <si>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</si>
  <si>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</si>
  <si>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</si>
  <si>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</si>
  <si>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</si>
  <si>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</si>
  <si>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</si>
  <si>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</si>
  <si>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</si>
  <si>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</si>
  <si>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</si>
  <si>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</si>
  <si>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</si>
  <si>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</si>
  <si>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</si>
  <si>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</si>
  <si>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</si>
  <si>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</si>
  <si>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</si>
  <si>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</si>
  <si>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</si>
  <si>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</si>
  <si>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</si>
  <si>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</si>
  <si>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</si>
  <si>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</si>
  <si>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</si>
  <si>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</si>
  <si>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</si>
  <si>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</si>
  <si>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</si>
  <si>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</si>
  <si>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</si>
  <si>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</si>
  <si>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</si>
  <si>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</si>
  <si>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</si>
  <si>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</si>
  <si>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</si>
  <si>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</si>
  <si>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</si>
  <si>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</si>
  <si>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</si>
  <si>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</si>
  <si>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</si>
  <si>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</si>
  <si>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</si>
  <si>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</si>
  <si>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</si>
  <si>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</si>
  <si>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</si>
  <si>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</si>
  <si>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</si>
  <si>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</si>
  <si>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</si>
  <si>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</si>
  <si>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</si>
  <si>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</si>
  <si>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</si>
  <si>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</si>
  <si>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</si>
  <si>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</si>
  <si>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</si>
  <si>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</si>
  <si>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</si>
  <si>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</si>
  <si>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</si>
  <si>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</si>
  <si>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</si>
  <si>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</si>
  <si>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</si>
  <si>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</si>
  <si>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</si>
  <si>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</si>
  <si>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</si>
  <si>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</si>
  <si>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</si>
  <si>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</si>
  <si>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</si>
  <si>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</si>
  <si>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</si>
  <si>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</si>
  <si>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</si>
  <si>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</si>
  <si>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</si>
  <si>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</si>
  <si>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</si>
  <si>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</si>
  <si>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</si>
  <si>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</si>
  <si>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</si>
  <si>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</si>
  <si>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</si>
  <si>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</si>
  <si>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</si>
  <si>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</si>
  <si>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</si>
  <si>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</si>
  <si>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</si>
  <si>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</si>
  <si>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</si>
  <si>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</si>
  <si>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</si>
  <si>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</si>
  <si>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</si>
  <si>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</si>
  <si>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</si>
  <si>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</si>
  <si>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</si>
  <si>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</si>
  <si>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</si>
  <si>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</si>
  <si>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</si>
  <si>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</si>
  <si>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</si>
  <si>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</si>
  <si>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</si>
  <si>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</si>
  <si>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</si>
  <si>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</si>
  <si>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</si>
  <si>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</si>
  <si>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</si>
  <si>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</si>
  <si>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</si>
  <si>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</si>
  <si>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</si>
  <si>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</si>
  <si>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</si>
  <si>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</si>
  <si>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</si>
  <si>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</si>
  <si>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</si>
  <si>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</si>
  <si>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</si>
  <si>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</si>
  <si>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</si>
  <si>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</si>
  <si>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</si>
  <si>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</si>
  <si>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</si>
  <si>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</si>
  <si>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</si>
  <si>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</si>
  <si>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</si>
  <si>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</si>
  <si>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</si>
  <si>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</si>
  <si>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</si>
  <si>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</si>
  <si>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</si>
  <si>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</si>
  <si>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</si>
  <si>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</si>
  <si>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</si>
  <si>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</si>
  <si>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</si>
  <si>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</si>
  <si>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</si>
  <si>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</si>
  <si>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</si>
  <si>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</si>
  <si>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</si>
  <si>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</si>
  <si>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</si>
  <si>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</si>
  <si>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</si>
  <si>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</si>
  <si>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</si>
  <si>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</si>
  <si>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</si>
  <si>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</si>
  <si>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</si>
  <si>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</si>
  <si>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</si>
  <si>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</si>
  <si>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</si>
  <si>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</si>
  <si>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</si>
  <si>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</si>
  <si>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</si>
  <si>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</si>
  <si>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</si>
  <si>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</si>
  <si>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</si>
  <si>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</si>
  <si>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</si>
  <si>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</si>
  <si>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</si>
  <si>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</si>
  <si>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</si>
  <si>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</si>
  <si>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</si>
  <si>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</si>
  <si>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</si>
  <si>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</si>
  <si>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</si>
  <si>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</si>
  <si>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</si>
  <si>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</si>
  <si>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</si>
  <si>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</si>
  <si>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</si>
  <si>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</si>
  <si>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</si>
  <si>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</si>
  <si>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</si>
  <si>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</si>
  <si>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</si>
  <si>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</si>
  <si>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</si>
  <si>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</si>
  <si>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</si>
  <si>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</si>
  <si>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</si>
  <si>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</si>
  <si>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</si>
  <si>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</si>
  <si>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</si>
  <si>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</si>
  <si>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</si>
  <si>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</si>
  <si>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</si>
  <si>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</si>
  <si>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</si>
  <si>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</si>
  <si>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</si>
  <si>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</si>
  <si>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</si>
  <si>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</si>
  <si>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</si>
  <si>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</si>
  <si>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</si>
  <si>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</si>
  <si>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</si>
  <si>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</si>
  <si>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</si>
  <si>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</si>
  <si>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</si>
  <si>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</si>
  <si>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</si>
  <si>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</si>
  <si>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</si>
  <si>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</si>
  <si>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</si>
  <si>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</si>
  <si>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</si>
  <si>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</si>
  <si>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</si>
  <si>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</si>
  <si>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</si>
  <si>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</si>
  <si>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</si>
  <si>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</si>
  <si>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</si>
  <si>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</si>
  <si>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</si>
  <si>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</si>
  <si>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</si>
  <si>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</si>
  <si>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</si>
  <si>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</si>
  <si>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</si>
  <si>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</si>
  <si>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</si>
  <si>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</si>
  <si>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</si>
  <si>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</si>
  <si>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</si>
  <si>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</si>
  <si>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</si>
  <si>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</si>
  <si>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</si>
  <si>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</si>
  <si>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</si>
  <si>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</si>
  <si>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</si>
  <si>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</si>
  <si>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</si>
  <si>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</si>
  <si>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</si>
  <si>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</si>
  <si>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</si>
  <si>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</si>
  <si>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</si>
  <si>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</si>
  <si>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</si>
  <si>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</si>
  <si>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</si>
  <si>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</si>
  <si>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</si>
  <si>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</si>
  <si>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</si>
  <si>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</si>
  <si>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</si>
  <si>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</si>
  <si>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</si>
  <si>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</si>
  <si>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</si>
  <si>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</si>
  <si>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</si>
  <si>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</si>
  <si>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</si>
  <si>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</si>
  <si>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</si>
  <si>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</si>
  <si>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</si>
  <si>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</si>
  <si>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</si>
  <si>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</si>
  <si>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</si>
  <si>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</si>
  <si>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</si>
  <si>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</si>
  <si>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</si>
  <si>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</si>
  <si>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</si>
  <si>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</si>
  <si>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</si>
  <si>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</si>
  <si>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</si>
  <si>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</si>
  <si>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</si>
  <si>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</si>
  <si>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</si>
  <si>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</si>
  <si>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</si>
  <si>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</si>
  <si>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</si>
  <si>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</si>
  <si>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</si>
  <si>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</si>
  <si>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</si>
  <si>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</si>
  <si>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</si>
  <si>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</si>
  <si>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</si>
  <si>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</si>
  <si>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</si>
  <si>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</si>
  <si>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</si>
  <si>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</si>
  <si>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</si>
  <si>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</si>
  <si>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</si>
  <si>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</si>
  <si>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</si>
  <si>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</si>
  <si>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</si>
  <si>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</si>
  <si>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</si>
  <si>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</si>
  <si>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</si>
  <si>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</si>
  <si>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</si>
  <si>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</si>
  <si>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</si>
  <si>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</si>
  <si>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</si>
  <si>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</si>
  <si>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</si>
  <si>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</si>
  <si>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</si>
  <si>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</si>
  <si>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</si>
  <si>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</si>
  <si>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</si>
  <si>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</si>
  <si>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</si>
  <si>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</si>
  <si>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</si>
  <si>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</si>
  <si>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</si>
  <si>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</si>
  <si>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</si>
  <si>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</si>
  <si>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</si>
  <si>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</si>
  <si>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</si>
  <si>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</si>
  <si>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</si>
  <si>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</si>
  <si>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</si>
  <si>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</si>
  <si>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</si>
  <si>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</si>
  <si>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</si>
  <si>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</si>
  <si>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</si>
  <si>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</si>
  <si>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</si>
  <si>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</si>
  <si>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</si>
  <si>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</si>
  <si>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</si>
  <si>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</si>
  <si>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</si>
  <si>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</si>
  <si>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</si>
  <si>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</si>
  <si>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</si>
  <si>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</si>
  <si>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</si>
  <si>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</si>
  <si>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</si>
  <si>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</si>
  <si>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</si>
  <si>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</si>
  <si>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</si>
  <si>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</si>
  <si>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</si>
  <si>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</si>
  <si>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</si>
  <si>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</si>
  <si>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</si>
  <si>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</si>
  <si>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</si>
  <si>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</si>
  <si>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</si>
  <si>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</si>
  <si>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</si>
  <si>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</si>
  <si>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</si>
  <si>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</si>
  <si>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</si>
  <si>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</si>
  <si>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</si>
  <si>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</si>
  <si>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</si>
  <si>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</si>
  <si>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</si>
  <si>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</si>
  <si>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</si>
  <si>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</si>
  <si>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</si>
  <si>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</si>
  <si>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</si>
  <si>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</si>
  <si>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</si>
  <si>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</si>
  <si>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</si>
  <si>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</si>
  <si>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</si>
  <si>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</si>
  <si>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</si>
  <si>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</si>
  <si>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</si>
  <si>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</si>
  <si>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</si>
  <si>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</si>
  <si>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</si>
  <si>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</si>
  <si>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</si>
  <si>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</si>
  <si>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</si>
  <si>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</si>
  <si>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</si>
  <si>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</si>
  <si>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</si>
  <si>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</si>
  <si>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</si>
  <si>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</si>
  <si>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</si>
  <si>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</si>
  <si>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</si>
  <si>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</si>
  <si>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</si>
  <si>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</si>
  <si>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</si>
  <si>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</si>
  <si>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</si>
  <si>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</si>
  <si>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</si>
  <si>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</si>
  <si>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</si>
  <si>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</si>
  <si>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</si>
  <si>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</si>
  <si>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</si>
  <si>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</si>
  <si>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</si>
  <si>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</si>
  <si>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</si>
  <si>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</si>
  <si>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</si>
  <si>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</si>
  <si>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</si>
  <si>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</si>
  <si>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</si>
  <si>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</si>
  <si>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</si>
  <si>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</si>
  <si>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</si>
  <si>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</si>
  <si>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</si>
  <si>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</si>
  <si>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</si>
  <si>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</si>
  <si>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</si>
  <si>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</si>
  <si>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</si>
  <si>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</si>
  <si>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</si>
  <si>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</si>
  <si>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</si>
  <si>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</si>
  <si>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</si>
  <si>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</si>
  <si>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</si>
  <si>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</si>
  <si>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</si>
  <si>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</si>
  <si>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</si>
  <si>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</si>
  <si>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</si>
  <si>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</si>
  <si>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</si>
  <si>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</si>
  <si>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</si>
  <si>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</si>
  <si>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</si>
  <si>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</si>
  <si>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</si>
  <si>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</si>
  <si>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</si>
  <si>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</si>
  <si>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</si>
  <si>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</si>
  <si>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</si>
  <si>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</si>
  <si>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</si>
  <si>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</si>
  <si>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</si>
  <si>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</si>
  <si>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</si>
  <si>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</si>
  <si>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</si>
  <si>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</si>
  <si>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</si>
  <si>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</si>
  <si>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</si>
  <si>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</si>
  <si>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</si>
  <si>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</si>
  <si>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</si>
  <si>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</si>
  <si>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</si>
  <si>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</si>
  <si>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</si>
  <si>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</si>
  <si>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</si>
  <si>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</si>
  <si>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</si>
  <si>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</si>
  <si>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</si>
  <si>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</si>
  <si>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</si>
  <si>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</si>
  <si>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</si>
  <si>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</si>
  <si>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</si>
  <si>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</si>
  <si>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</si>
  <si>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</si>
  <si>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</si>
  <si>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</si>
  <si>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</si>
  <si>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</si>
  <si>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</si>
  <si>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</si>
  <si>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</si>
  <si>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</si>
  <si>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</si>
  <si>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</si>
  <si>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</si>
  <si>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</si>
  <si>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</si>
  <si>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</si>
  <si>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</si>
  <si>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</si>
  <si>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</si>
  <si>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</si>
  <si>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</si>
  <si>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</si>
  <si>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</si>
  <si>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</si>
  <si>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</si>
  <si>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</si>
  <si>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</si>
  <si>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</si>
  <si>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</si>
  <si>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</si>
  <si>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</si>
  <si>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</si>
  <si>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</si>
  <si>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</si>
  <si>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</si>
  <si>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</si>
  <si>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</si>
  <si>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</si>
  <si>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</si>
  <si>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</si>
  <si>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</si>
  <si>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</si>
  <si>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</si>
  <si>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</si>
  <si>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</si>
  <si>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</si>
  <si>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</si>
  <si>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</si>
  <si>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</si>
  <si>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</si>
  <si>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</si>
  <si>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</si>
  <si>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</si>
  <si>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</si>
  <si>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</si>
  <si>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</si>
  <si>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</si>
  <si>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</si>
  <si>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</si>
  <si>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</si>
  <si>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</si>
  <si>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</si>
  <si>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</si>
  <si>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</si>
  <si>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</si>
  <si>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</si>
  <si>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</si>
  <si>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</si>
  <si>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</si>
  <si>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</si>
  <si>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</si>
  <si>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</si>
  <si>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</si>
  <si>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</si>
  <si>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</si>
  <si>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</si>
  <si>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</si>
  <si>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</si>
  <si>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</si>
  <si>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</si>
  <si>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</si>
  <si>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</si>
  <si>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</si>
  <si>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</si>
  <si>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</si>
  <si>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</si>
  <si>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</si>
  <si>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</si>
  <si>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</si>
  <si>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</si>
  <si>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</si>
  <si>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</si>
  <si>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</si>
  <si>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</si>
  <si>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</si>
  <si>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</si>
  <si>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</si>
  <si>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</si>
  <si>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</si>
  <si>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</si>
  <si>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</si>
  <si>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</si>
  <si>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</si>
  <si>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</si>
  <si>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</si>
  <si>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</si>
  <si>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</si>
  <si>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</si>
  <si>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</si>
  <si>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</si>
  <si>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</si>
  <si>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</si>
  <si>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</si>
  <si>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</si>
  <si>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</si>
  <si>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</si>
  <si>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</si>
  <si>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</si>
  <si>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</si>
  <si>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</si>
  <si>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</si>
  <si>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</si>
  <si>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</si>
  <si>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</si>
  <si>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</si>
  <si>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</si>
  <si>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</si>
  <si>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</si>
  <si>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</si>
  <si>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</si>
  <si>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</si>
  <si>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</si>
  <si>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</si>
  <si>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</si>
  <si>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</si>
  <si>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</si>
  <si>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</si>
  <si>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</si>
  <si>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</si>
  <si>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</si>
  <si>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</si>
  <si>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</si>
  <si>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</si>
  <si>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</si>
  <si>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</si>
  <si>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</si>
  <si>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</si>
  <si>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</si>
  <si>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</si>
  <si>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</si>
  <si>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</si>
  <si>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</si>
  <si>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</si>
  <si>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</si>
  <si>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</si>
  <si>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</si>
  <si>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</si>
  <si>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</si>
  <si>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</si>
  <si>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</si>
  <si>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</si>
  <si>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</si>
  <si>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</si>
  <si>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</si>
  <si>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</si>
  <si>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</si>
  <si>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</si>
  <si>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</si>
  <si>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</si>
  <si>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</si>
  <si>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</si>
  <si>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</si>
  <si>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</si>
  <si>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</si>
  <si>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</si>
  <si>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</si>
  <si>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</si>
  <si>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</si>
  <si>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</si>
  <si>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</si>
  <si>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</si>
  <si>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</si>
  <si>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</si>
  <si>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</si>
  <si>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</si>
  <si>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</si>
  <si>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</si>
  <si>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</si>
  <si>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</si>
  <si>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</si>
  <si>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</si>
  <si>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</si>
  <si>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</si>
  <si>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</si>
  <si>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</si>
  <si>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</si>
  <si>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</si>
  <si>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</si>
  <si>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</si>
  <si>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</si>
  <si>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</si>
  <si>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</si>
  <si>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</si>
  <si>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</si>
  <si>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</si>
  <si>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</si>
  <si>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</si>
  <si>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</si>
  <si>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</si>
  <si>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</si>
  <si>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</si>
  <si>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</si>
  <si>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</si>
  <si>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</si>
  <si>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</si>
  <si>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</si>
  <si>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</si>
  <si>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</si>
  <si>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</si>
  <si>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</si>
  <si>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</si>
  <si>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</si>
  <si>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</si>
  <si>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</si>
  <si>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</si>
  <si>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</si>
  <si>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</si>
  <si>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</si>
  <si>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</si>
  <si>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</si>
  <si>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</si>
  <si>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</si>
  <si>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</si>
  <si>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</si>
  <si>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</si>
  <si>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</si>
  <si>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</si>
  <si>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</si>
  <si>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</si>
  <si>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</si>
  <si>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</si>
  <si>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</si>
  <si>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</si>
  <si>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</si>
  <si>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</si>
  <si>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</si>
  <si>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</si>
  <si>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</si>
  <si>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</si>
  <si>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</si>
  <si>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</si>
  <si>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</si>
  <si>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</si>
  <si>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</si>
  <si>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</si>
  <si>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</si>
  <si>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</si>
  <si>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</si>
  <si>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</si>
  <si>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</si>
  <si>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</si>
  <si>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</si>
  <si>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</si>
  <si>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</si>
  <si>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</si>
  <si>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</si>
  <si>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</si>
  <si>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</si>
  <si>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</si>
  <si>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</si>
  <si>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</si>
  <si>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</si>
  <si>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</si>
  <si>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</si>
  <si>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</si>
  <si>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</si>
  <si>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</si>
  <si>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</si>
  <si>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</si>
  <si>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</si>
  <si>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</si>
  <si>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</si>
  <si>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</si>
  <si>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</si>
  <si>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</si>
  <si>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</si>
  <si>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</si>
  <si>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</si>
  <si>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</si>
  <si>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</si>
  <si>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</si>
  <si>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</si>
  <si>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</si>
  <si>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</si>
  <si>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</si>
  <si>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</si>
  <si>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</si>
  <si>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</si>
  <si>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</si>
  <si>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</si>
  <si>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</si>
  <si>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</si>
  <si>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</si>
  <si>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</si>
  <si>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</si>
  <si>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</si>
  <si>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</si>
  <si>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</si>
  <si>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</si>
  <si>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</si>
  <si>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</si>
  <si>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</si>
  <si>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</si>
  <si>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</si>
  <si>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</si>
  <si>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</si>
  <si>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</si>
  <si>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</si>
  <si>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</si>
  <si>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</si>
  <si>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</si>
  <si>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</si>
  <si>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</si>
  <si>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</si>
  <si>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</si>
  <si>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</si>
  <si>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</si>
  <si>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</si>
  <si>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</si>
  <si>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</si>
  <si>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</si>
  <si>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</si>
  <si>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</si>
  <si>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</si>
  <si>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</si>
  <si>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</si>
  <si>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</si>
  <si>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</si>
  <si>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</si>
  <si>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</si>
  <si>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</si>
  <si>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</si>
  <si>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</si>
  <si>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</si>
  <si>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</si>
  <si>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</si>
  <si>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</si>
  <si>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</si>
  <si>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</si>
  <si>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</si>
  <si>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</si>
  <si>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</si>
  <si>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</si>
  <si>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</si>
  <si>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</si>
  <si>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</si>
  <si>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</si>
  <si>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</si>
  <si>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</si>
  <si>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</si>
  <si>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</si>
  <si>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</si>
  <si>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</si>
  <si>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</si>
  <si>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</si>
  <si>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</si>
  <si>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</si>
  <si>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</si>
  <si>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</si>
  <si>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</si>
  <si>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</si>
  <si>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</si>
  <si>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</si>
  <si>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</si>
  <si>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</si>
  <si>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</si>
  <si>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</si>
  <si>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</si>
  <si>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</si>
  <si>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</si>
  <si>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</si>
  <si>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</si>
  <si>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</si>
  <si>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</si>
  <si>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</si>
  <si>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</si>
  <si>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</si>
  <si>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</si>
  <si>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</si>
  <si>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</si>
  <si>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</si>
  <si>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</si>
  <si>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</si>
  <si>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</si>
  <si>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</si>
  <si>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</si>
  <si>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</si>
  <si>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</si>
  <si>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</si>
  <si>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</si>
  <si>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</si>
  <si>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</si>
  <si>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</si>
  <si>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</si>
  <si>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</si>
  <si>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</si>
  <si>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</si>
  <si>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</si>
  <si>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</si>
  <si>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</si>
  <si>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</si>
  <si>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</si>
  <si>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</si>
  <si>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</si>
  <si>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</si>
  <si>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</si>
  <si>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</si>
  <si>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</si>
  <si>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</si>
  <si>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</si>
  <si>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</si>
  <si>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</si>
  <si>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</si>
  <si>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</si>
  <si>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</si>
  <si>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</si>
  <si>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</si>
  <si>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</si>
  <si>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</si>
  <si>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</si>
  <si>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</si>
  <si>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</si>
  <si>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</si>
  <si>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</si>
  <si>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</si>
  <si>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</si>
  <si>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</si>
  <si>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</si>
  <si>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</si>
  <si>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</si>
  <si>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</si>
  <si>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</si>
  <si>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</si>
  <si>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</si>
  <si>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</si>
  <si>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</si>
  <si>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</si>
  <si>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</si>
  <si>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</si>
  <si>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</si>
  <si>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</si>
  <si>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</si>
  <si>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</si>
  <si>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</si>
  <si>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</si>
  <si>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</si>
  <si>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</si>
  <si>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</si>
  <si>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</si>
  <si>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</si>
  <si>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</si>
  <si>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</si>
  <si>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</si>
  <si>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</si>
  <si>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</si>
  <si>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</si>
  <si>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</si>
  <si>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</si>
  <si>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</si>
  <si>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ESPEJO CAMARGO JOSE MARIO</t>
  </si>
  <si>
    <t>ACOSTA CAMACHO MARIO ALONSO</t>
  </si>
  <si>
    <t>JIMENEZ GARCIA CESAR AUGUSTO</t>
  </si>
  <si>
    <t xml:space="preserve">ROMAN  CRISTIAN </t>
  </si>
  <si>
    <t>NAJAR COLADO GLADYS GRISELDA</t>
  </si>
  <si>
    <t xml:space="preserve">DEMIR  ENES </t>
  </si>
  <si>
    <t>RUBIO GONZALEZ DAVID ROMAN</t>
  </si>
  <si>
    <t>TORRES QUINTERO JAVIER ERNESTO</t>
  </si>
  <si>
    <t>CONTRERAS MARQUEZ EDIXSON JAVIER</t>
  </si>
  <si>
    <t>ALVAREZ  ASTRID CAROLINA</t>
  </si>
  <si>
    <t>GIL CARDENAS JOSE AGUSTIN</t>
  </si>
  <si>
    <t>ACERO LEON JULIO HUMBERTO</t>
  </si>
  <si>
    <t>PEREZ ANGARITA CARMEN JULIO</t>
  </si>
  <si>
    <t xml:space="preserve">GALLO CARDENAS ABELARDO </t>
  </si>
  <si>
    <t xml:space="preserve">ROJAS NEITA  ERIBERTO </t>
  </si>
  <si>
    <t xml:space="preserve">ROJAS  NAIRO </t>
  </si>
  <si>
    <t xml:space="preserve">ROJAS ROJAS GERMAN </t>
  </si>
  <si>
    <t xml:space="preserve">CARDENAS  ORLANDO </t>
  </si>
  <si>
    <t>CRISTANCHO FERNANDEZ RAUL ALVEIRO</t>
  </si>
  <si>
    <t>GALLOCARDENAS  HECTOR JULIO</t>
  </si>
  <si>
    <t>ACERO UCHAMOCHA RUBEN DARIO</t>
  </si>
  <si>
    <t>CARDENAS MONTAÑEZ FABIO ALBERTO</t>
  </si>
  <si>
    <t xml:space="preserve">GIL GIL  ALFONSO </t>
  </si>
  <si>
    <t xml:space="preserve">GIL GIL HAMILTON </t>
  </si>
  <si>
    <t>ROJAS GOMEZ PEDRO ALEJANDRO</t>
  </si>
  <si>
    <t xml:space="preserve">BELLO CORREA SAUL </t>
  </si>
  <si>
    <t>PICO DIAZ JOSE VICENTE</t>
  </si>
  <si>
    <t>RODRIGUEZ  JUAN JOSE</t>
  </si>
  <si>
    <t xml:space="preserve">BECERRA PEREZ ALVARO </t>
  </si>
  <si>
    <t>NOSSA NIÑO JOSE MANUEL</t>
  </si>
  <si>
    <t xml:space="preserve">PATIÑO PINTO JAIRO </t>
  </si>
  <si>
    <t xml:space="preserve">ORLANDO  JUSTO </t>
  </si>
  <si>
    <t>CASTILLO VELASQUEZ YECCICA CAROLINA</t>
  </si>
  <si>
    <t>TORRES LIZARAZO JOSE ALFONSO</t>
  </si>
  <si>
    <t>IBARRA ANGARITA PEDRO EMEL</t>
  </si>
  <si>
    <t xml:space="preserve">BAUTISTA MORA JUAN </t>
  </si>
  <si>
    <t xml:space="preserve">CAMACHO ALVARADO OLEGARIO </t>
  </si>
  <si>
    <t xml:space="preserve">MENDIVELSO PANQUEBA JOSE </t>
  </si>
  <si>
    <t>BOTIA GONZALEZ OSCAR JAVIER</t>
  </si>
  <si>
    <t>PEREZ CRISTANCHO JOSE JOAQUIN</t>
  </si>
  <si>
    <t>SOLANO MALPICA PEDRO MANUEL</t>
  </si>
  <si>
    <t xml:space="preserve">VIASUS LARGO JOHNSON </t>
  </si>
  <si>
    <t>CASTRO FONSECA MARIA PAOLA</t>
  </si>
  <si>
    <t>LAS LAJAS GALLO JOSE ANANIAS</t>
  </si>
  <si>
    <t xml:space="preserve">CARVAJAL CARVAJAL MARIO </t>
  </si>
  <si>
    <t xml:space="preserve">PINZON MURILLO PEDRO </t>
  </si>
  <si>
    <t xml:space="preserve">OROZCO SANDOVAL NEVARDO </t>
  </si>
  <si>
    <t xml:space="preserve">MANRIQUE ESTUPINAN  JORGE AUGUSTO </t>
  </si>
  <si>
    <t>VEGA  JOSE RICARDO</t>
  </si>
  <si>
    <t>MANRIQUE RANGEL LUIS ERNESTO</t>
  </si>
  <si>
    <t>GONZALEZ DURAN JUAN BERNARDO</t>
  </si>
  <si>
    <t>GIL RIVERA JOSE MARIA</t>
  </si>
  <si>
    <t>RODRIGUEZ MARTINEZ OLIMPO ENRRIQUE</t>
  </si>
  <si>
    <t xml:space="preserve">OROZCO SANDOVAL ISAAC </t>
  </si>
  <si>
    <t xml:space="preserve">SOLANO  JORGE </t>
  </si>
  <si>
    <t xml:space="preserve">TRIANA  ALBERTO </t>
  </si>
  <si>
    <t>PLAZA RANGEL ABRAHAN DAVID</t>
  </si>
  <si>
    <t xml:space="preserve">CORREA BERNAL  LUIS ANTONIO </t>
  </si>
  <si>
    <t>SUAREZ PARRA AUGUSTO BIMBERTO</t>
  </si>
  <si>
    <t xml:space="preserve">GOMEZ SILVA LAUREANO </t>
  </si>
  <si>
    <t xml:space="preserve">JOSE  CARDENAS </t>
  </si>
  <si>
    <t>PINEDA PINEDA JOSE HENRRY</t>
  </si>
  <si>
    <t xml:space="preserve">CIENDUA SALAMANCA JUVENAL </t>
  </si>
  <si>
    <t xml:space="preserve">ALVAREZ DIAZ FLORO </t>
  </si>
  <si>
    <t>MOLINA RAMIREZ ORIANA NOHELY</t>
  </si>
  <si>
    <t>OROZCO TORRES JOSE ANDRES</t>
  </si>
  <si>
    <t>ZAMBRANO MORENO JESUS ORLANDO</t>
  </si>
  <si>
    <t>GRISALES MORALES JOSE JESUS</t>
  </si>
  <si>
    <t>LEON MONTILLA SILVERIO ALEXANDER</t>
  </si>
  <si>
    <t xml:space="preserve">RINCON MARIÑO DOMINGO </t>
  </si>
  <si>
    <t>HERRERA MARTINEZ ARMANDO EFRAIN</t>
  </si>
  <si>
    <t>ROJAS GONZALEZ DIEGO EFRAIN</t>
  </si>
  <si>
    <t>USAQUEN MURCIA ALIRIO HERNANDO</t>
  </si>
  <si>
    <t>ROBINSON ENRIQUE VANEGAS ROMERO</t>
  </si>
  <si>
    <t>BARRERA FLOREZ JAIME OLMEDO</t>
  </si>
  <si>
    <t>PINEDA PEÑA HECTOR MISAEL</t>
  </si>
  <si>
    <t xml:space="preserve">AVELLANEDA HORTUA  EDUARDO </t>
  </si>
  <si>
    <t xml:space="preserve">FLOREZ AMAYA RICAUTE </t>
  </si>
  <si>
    <t>OSORIO SANDOVAL MAURICIO ALBERTO</t>
  </si>
  <si>
    <t>RAMOS MALDONADO LUIS HERNAN</t>
  </si>
  <si>
    <t xml:space="preserve">GARZON  ANGEL </t>
  </si>
  <si>
    <t>BELLO PINILLA WILLIAM ALBERTO</t>
  </si>
  <si>
    <t xml:space="preserve">SANABRIA  SIERVO </t>
  </si>
  <si>
    <t>MORALES MORA NELSON HUMBERTO</t>
  </si>
  <si>
    <t>PANQUEVA  JUAN ISRAEL</t>
  </si>
  <si>
    <t xml:space="preserve">VIVAS MATEUS ANIBAL </t>
  </si>
  <si>
    <t>RAMIREZRINCON  MIGUEL ALEXIS</t>
  </si>
  <si>
    <t>BELTRAN BELTRAN JUAN GABRIEL</t>
  </si>
  <si>
    <t>CELY PUENTES MARIO AUGUSTO</t>
  </si>
  <si>
    <t>RODRIGUEZ PALACIOS GUILLERMO ARTURO</t>
  </si>
  <si>
    <t>MENDOZA TORRES ORLANDO MANUEL</t>
  </si>
  <si>
    <t>VEGA NIÑO JULIO HERNAN</t>
  </si>
  <si>
    <t xml:space="preserve">SUAREZ  DULMAR </t>
  </si>
  <si>
    <t>ROJAS REYES LUIS OMAR</t>
  </si>
  <si>
    <t xml:space="preserve">PINEDA PINEDA GRAVELY </t>
  </si>
  <si>
    <t xml:space="preserve">BALAGUERA PARRA RAUL </t>
  </si>
  <si>
    <t>MARTINEZ  RAFAEL EDUARDO</t>
  </si>
  <si>
    <t>CELY BERDUGO JOSE DEL CARMEN</t>
  </si>
  <si>
    <t xml:space="preserve">RUIZ  JAIME </t>
  </si>
  <si>
    <t xml:space="preserve">AYALA CASTRO MERARDO </t>
  </si>
  <si>
    <t>RINCON LOPEZ JUAN EVANGELISTA</t>
  </si>
  <si>
    <t>ROJAS LANDINEZ RAFAEL ANTONIO</t>
  </si>
  <si>
    <t>VEGA JAIME SEGUNDO SENEN</t>
  </si>
  <si>
    <t>ESLAVA CUERVO JOSE ANANIAS</t>
  </si>
  <si>
    <t>MIGUEL ANTONIO CHIQUILLO RINCON</t>
  </si>
  <si>
    <t xml:space="preserve">ESLAVA CUERVO JAIRO </t>
  </si>
  <si>
    <t xml:space="preserve">PEREZ ROZO  VICTOR HUGO </t>
  </si>
  <si>
    <t xml:space="preserve">MORENO CAMARGO JOSELIN </t>
  </si>
  <si>
    <t>VARGAS SAAVEDRA PEDRO AGUSTIN</t>
  </si>
  <si>
    <t>GALVIS GALVIS CARLOS ALBERTO</t>
  </si>
  <si>
    <t>GUERRERO PEREZ VICTOR JULIO</t>
  </si>
  <si>
    <t>PORRAS ALVAREZ JOSE LUIS</t>
  </si>
  <si>
    <t>BAEZ VALDERRAMA HECTOR JULIO</t>
  </si>
  <si>
    <t xml:space="preserve">INFANTE GRANADOS ERNESTO </t>
  </si>
  <si>
    <t xml:space="preserve">GALLO ARAQUE JOSE </t>
  </si>
  <si>
    <t>PARRA TRIANA LUIS FRANCISCO</t>
  </si>
  <si>
    <t>MORANTES  OMAR RICARDO</t>
  </si>
  <si>
    <t>GUZMAN BUITRAGO LUIS ANTONIO</t>
  </si>
  <si>
    <t xml:space="preserve">PATIÑO PATIÑO IGNACIO </t>
  </si>
  <si>
    <t xml:space="preserve">APONTE COGOLLO LUIS </t>
  </si>
  <si>
    <t xml:space="preserve">DUITAMA LAGOS PATROCINIO </t>
  </si>
  <si>
    <t>MONTAÑA ROSAS FRANCISCO LUIS</t>
  </si>
  <si>
    <t>MORA MEDINA TULIO ERNESTO</t>
  </si>
  <si>
    <t xml:space="preserve">TRIANA GARCIA CAMILO </t>
  </si>
  <si>
    <t>GALLON LIZARAZO OMAR JAVIER</t>
  </si>
  <si>
    <t xml:space="preserve">CAMERO  HUMBERTO </t>
  </si>
  <si>
    <t>ELIZALDE SANCHEZ RAFAEL EDUARDO</t>
  </si>
  <si>
    <t xml:space="preserve">JAIME ROMERO NELSON </t>
  </si>
  <si>
    <t>HERNANDEZ PORRAS LUIS GUILLERMO</t>
  </si>
  <si>
    <t xml:space="preserve">GALVIS VELOZA DOMINGO </t>
  </si>
  <si>
    <t xml:space="preserve">AYALA HERNANDEZ MILTON </t>
  </si>
  <si>
    <t xml:space="preserve">LOPEZ BURGOS WILLIAM </t>
  </si>
  <si>
    <t>BECERRA CORSO FABIO AUGUSTO</t>
  </si>
  <si>
    <t>BURGOS HINESTROZA PEDRO ALFONSO</t>
  </si>
  <si>
    <t>SALAMANCA SERRANO FABIO JOSE</t>
  </si>
  <si>
    <t>TORRES GUEVARA ROMULO HERNAN</t>
  </si>
  <si>
    <t>SALCEDO TORRES JOSE LUIS</t>
  </si>
  <si>
    <t xml:space="preserve">PINTO PEDRO MORALES </t>
  </si>
  <si>
    <t>MUNEVAR CARDENAS JESUS RAFAEL</t>
  </si>
  <si>
    <t>RODRIGUEZ  JOSE ANTONIO</t>
  </si>
  <si>
    <t>BAEZ VEGA JOSE ANTONIO</t>
  </si>
  <si>
    <t>REYES VEGA PEDRO ABELARDO</t>
  </si>
  <si>
    <t xml:space="preserve">LEON LEON UBALDO </t>
  </si>
  <si>
    <t xml:space="preserve">RODRIGUEZ MARTINEZ LIBARDO </t>
  </si>
  <si>
    <t>RINCON PARADA LEONARDO DE JESUS</t>
  </si>
  <si>
    <t xml:space="preserve">CASTRO CASTRO LUDBIN </t>
  </si>
  <si>
    <t>REYES PICO HIPOLITO DE JESUS</t>
  </si>
  <si>
    <t xml:space="preserve">LEON  RAUL </t>
  </si>
  <si>
    <t xml:space="preserve">ALBARRACIN CASTRO HENRY </t>
  </si>
  <si>
    <t>PINTO VARGAS EDGAR ARCENIO</t>
  </si>
  <si>
    <t>MORALES MORALES VICTOR HERNAN</t>
  </si>
  <si>
    <t>BAEZ CERON LUIS ALBERTO</t>
  </si>
  <si>
    <t>BAUTISTA MORANTES ADAN DE JESUS</t>
  </si>
  <si>
    <t xml:space="preserve">DALLOS DALLOS OLIVERIO </t>
  </si>
  <si>
    <t xml:space="preserve">BECERRA  VICTOR </t>
  </si>
  <si>
    <t xml:space="preserve">GARCIA JAIME  OSVALDO </t>
  </si>
  <si>
    <t>TORRES ORTIZ LUIS ALFREDO</t>
  </si>
  <si>
    <t xml:space="preserve">GOMEZ GOMEZ LIGIO </t>
  </si>
  <si>
    <t>PUERTO FUQUEN NELSON GIOVANNI</t>
  </si>
  <si>
    <t>ZORRO CRUZ JOSE SILVANO</t>
  </si>
  <si>
    <t xml:space="preserve">MARTINEZ  JULIO </t>
  </si>
  <si>
    <t>GONZALEZ PEREZ VICTOR MANUEL</t>
  </si>
  <si>
    <t>TORRES  JULIO ABEL</t>
  </si>
  <si>
    <t xml:space="preserve">RIVERA . EUTEQUIANO </t>
  </si>
  <si>
    <t>AGUDELO GUEVARA PEDRO ALBERTO</t>
  </si>
  <si>
    <t xml:space="preserve">ROJAS CORREDOR PARMENIO </t>
  </si>
  <si>
    <t xml:space="preserve">ACEVEDO PEDRO HERNANDO </t>
  </si>
  <si>
    <t>TORRES AGUDELO LUIS ALBERTO</t>
  </si>
  <si>
    <t>ACERO NINO MANUEL RODRIGO</t>
  </si>
  <si>
    <t>ROJAS COLMENARES MANUEL ALBERTO</t>
  </si>
  <si>
    <t>ROJAS CARDENAS ALVARO ORLANDO</t>
  </si>
  <si>
    <t>ROJAS CARDENAS JAIME ANDRES</t>
  </si>
  <si>
    <t>OMAR ALONZO LOPEZ SANDOVAL</t>
  </si>
  <si>
    <t>PEREZ RODRIGUEZ MARCO JULIO</t>
  </si>
  <si>
    <t>CUBIDES RODRIGUEZ RAFAEL EDUARDO</t>
  </si>
  <si>
    <t>ALVARADO MONGUI JOSE ALCIDES</t>
  </si>
  <si>
    <t>PEREZ ESLAVA JUAN DOMINGO</t>
  </si>
  <si>
    <t xml:space="preserve">PEREZ  GERMAN </t>
  </si>
  <si>
    <t xml:space="preserve">AVENDAÑO GONZALEZ ALVARO </t>
  </si>
  <si>
    <t>GOMEZ CETINA RODOLFO DE JESUS</t>
  </si>
  <si>
    <t xml:space="preserve">CETINA NIÑO EULOGIO </t>
  </si>
  <si>
    <t>TINJACA  GABRIEL EDUARDO</t>
  </si>
  <si>
    <t xml:space="preserve">REYES CAICEDO EDGARDO </t>
  </si>
  <si>
    <t>BERNAL SOLANO SANTOS MIGUEL</t>
  </si>
  <si>
    <t xml:space="preserve">COMBARIZA  ARISTOBULO </t>
  </si>
  <si>
    <t xml:space="preserve">RODRIGUEZ  JOSELIN </t>
  </si>
  <si>
    <t>LUIS MIGUEL MEDINA BERNAL</t>
  </si>
  <si>
    <t>ADAME  JOSE SALVADOR</t>
  </si>
  <si>
    <t xml:space="preserve">CHAPARRO SOGAMOSO ELCIARIO </t>
  </si>
  <si>
    <t>LUIS FRANCISCO VEGA LEON</t>
  </si>
  <si>
    <t>ZAMBRANO SILVA CARLOS ALBERTO</t>
  </si>
  <si>
    <t xml:space="preserve">CORREDOR  EDILBERTO </t>
  </si>
  <si>
    <t>VELANDIA RIVERA JULIO ENRIQUE</t>
  </si>
  <si>
    <t xml:space="preserve">NIÑO RAMIREZ ARQUIMIDES </t>
  </si>
  <si>
    <t xml:space="preserve">GENARO  BECERRA </t>
  </si>
  <si>
    <t>RINCON MORALES CARLOS ALFREDO</t>
  </si>
  <si>
    <t>RAMIREZ  JOSE MIGUEL</t>
  </si>
  <si>
    <t xml:space="preserve">ALBA MANUEL ANTONIO </t>
  </si>
  <si>
    <t xml:space="preserve">QUINTERO  RICARDO </t>
  </si>
  <si>
    <t xml:space="preserve">GUEVARA VELANDIA HELISERIO </t>
  </si>
  <si>
    <t>CAMACHO RUIZ JAIRO ANDRES</t>
  </si>
  <si>
    <t>MANRIQUE PINTO LUIS ERNESTO</t>
  </si>
  <si>
    <t>GOMEZ GOYENECHE VICTOR JULIO</t>
  </si>
  <si>
    <t>CORTES MURILLO HECTOR JULIO</t>
  </si>
  <si>
    <t>CORTES MURILLO FRANKIN ALEXANDER</t>
  </si>
  <si>
    <t>AVELLA RODRIGUEZ LUIS RAFAEL</t>
  </si>
  <si>
    <t xml:space="preserve">MARTINEZ SANABRIA  HERNAN </t>
  </si>
  <si>
    <t xml:space="preserve">SALAMANCA ZEA HERNAN </t>
  </si>
  <si>
    <t>PIRAGAUTA VARGAS NESTOR EUTIMIO</t>
  </si>
  <si>
    <t>GUERRERO ZEA JUAN EDILBERTO</t>
  </si>
  <si>
    <t xml:space="preserve">COY  HECTOR </t>
  </si>
  <si>
    <t xml:space="preserve">GONZALEZ  SIMON </t>
  </si>
  <si>
    <t xml:space="preserve">QUIJANO PEREZ GENARO </t>
  </si>
  <si>
    <t>SALAMANCA NIÑO CARLOS HERNANDO</t>
  </si>
  <si>
    <t xml:space="preserve">DIG 11A 10A 86 VARGAS ARMANDO </t>
  </si>
  <si>
    <t>MONROY CABEZAS JOSE JAVIER</t>
  </si>
  <si>
    <t>MORENO GONZALEZ GUSTAVO ADOLFO</t>
  </si>
  <si>
    <t>VARGAS SUAREZ JEYSON EDUARDO</t>
  </si>
  <si>
    <t xml:space="preserve">FONSECA MONTAÑEZ OTONIEL </t>
  </si>
  <si>
    <t>RINCON BASTIDAS LUIS FRANCISCO</t>
  </si>
  <si>
    <t xml:space="preserve">NIÑO ALBARRACIN MAXIMINO </t>
  </si>
  <si>
    <t>VARGAS MARTINEZ ANGEL MARIA</t>
  </si>
  <si>
    <t>JOSE DE JESUS CELY ROJAS</t>
  </si>
  <si>
    <t>GARCIA RINCON JOSE ISMAEL</t>
  </si>
  <si>
    <t>HERNANDEZ NINO JUAN JOSE</t>
  </si>
  <si>
    <t>CRISTANCHO MARIÑO CARLOS JULIO</t>
  </si>
  <si>
    <t>RINCON VARGAS MANUEL ANTONIO</t>
  </si>
  <si>
    <t>PIZA REINA GILBERTO .</t>
  </si>
  <si>
    <t>FRASICA GONZALEZ CARLOS ARTURO</t>
  </si>
  <si>
    <t>COLMENARES RINCON CARLOS ALBERTO</t>
  </si>
  <si>
    <t>TIBADUIZA  ANGEL BERTO</t>
  </si>
  <si>
    <t>RUIZ GOMEZ LUIS PASTOR</t>
  </si>
  <si>
    <t>FONSECA PINTO JESUS DE</t>
  </si>
  <si>
    <t xml:space="preserve">PARRA PARRA ISMAEL </t>
  </si>
  <si>
    <t>BALLESTEROS BALLESTEROS LUIS FERNANDO</t>
  </si>
  <si>
    <t>CUTA ROMERO FABIO ENRIQUE</t>
  </si>
  <si>
    <t xml:space="preserve">GUTIERREZ VILLAMARIN OMAR </t>
  </si>
  <si>
    <t>GONZALEZ FERNANDEZ JOSE ALVARO</t>
  </si>
  <si>
    <t>MERCHAN SIAUCHO JOSE PRESCILIANO</t>
  </si>
  <si>
    <t>GUTIERREZ RINCON JORGE HUMBERTO</t>
  </si>
  <si>
    <t>CRUZ FONSECA VICTOR MANUEL</t>
  </si>
  <si>
    <t xml:space="preserve">CUTA ROMERO HENRY </t>
  </si>
  <si>
    <t xml:space="preserve">PINTO PINTO GUSTAVO </t>
  </si>
  <si>
    <t xml:space="preserve">CARRILLO VERGARA  MARCO ANTONIO </t>
  </si>
  <si>
    <t xml:space="preserve">LIZARAZO  CESAR </t>
  </si>
  <si>
    <t>HOLGUIN VILLAREAL EDWIN JAVIER</t>
  </si>
  <si>
    <t xml:space="preserve">MESA  LUIS </t>
  </si>
  <si>
    <t>OBREGON SOLANO JOSE CRISPINIANO</t>
  </si>
  <si>
    <t xml:space="preserve">ANTONIO YOMAYUSA  NELSON MAURICIO </t>
  </si>
  <si>
    <t>MORENO PINEDA NELSON ENRIQUE</t>
  </si>
  <si>
    <t>RODRIGUEZ FONSECA ANGEL RAMIRO</t>
  </si>
  <si>
    <t>SANCHEZ MORALES LUIS ALFONSO</t>
  </si>
  <si>
    <t>TAMAYO BRAVO JOSE LILIAN</t>
  </si>
  <si>
    <t>FIGUEROA TAITA JOSE BENIGNO</t>
  </si>
  <si>
    <t xml:space="preserve">DIAZ BAEZ HUMBERTO </t>
  </si>
  <si>
    <t>SANABRIA LIZCANO MIGUEL HERNANDO</t>
  </si>
  <si>
    <t>FERNANDEZ TOBO NELSON DARIO</t>
  </si>
  <si>
    <t>CORREA  LUIS ALFREDO</t>
  </si>
  <si>
    <t xml:space="preserve">SUAREZ GARCIA EDUARDO </t>
  </si>
  <si>
    <t xml:space="preserve">PANQUEVA  CRISPINIANO </t>
  </si>
  <si>
    <t xml:space="preserve">AVELLANEDA  OLIMPO </t>
  </si>
  <si>
    <t>ESTUPINAN CETINA  WILLIAM FRANCISCO</t>
  </si>
  <si>
    <t>GARCIA GOMEZ HENRY EDISON</t>
  </si>
  <si>
    <t>GOMEZ VEGA JOSE ANTONIO</t>
  </si>
  <si>
    <t>MENDIVELSO  JONH DANILO</t>
  </si>
  <si>
    <t>SIABATO RINCON MARIO EDILBERTO</t>
  </si>
  <si>
    <t>RODRIGUEZ DUARTE LUIS ENRRIQUE</t>
  </si>
  <si>
    <t xml:space="preserve">MENDOZA QUEZADA  ALFONSO </t>
  </si>
  <si>
    <t>MONTAÑA PEREZ GABRIEL AUGUSTO</t>
  </si>
  <si>
    <t xml:space="preserve">ALARCON  ANDERSON </t>
  </si>
  <si>
    <t>LOPEZ LOPEZ SEGUNDO ARBEY</t>
  </si>
  <si>
    <t>ROJAS CAMARGO GELBER ANTONIO</t>
  </si>
  <si>
    <t xml:space="preserve">RAMIREZ BERNAL ALEXANDER </t>
  </si>
  <si>
    <t>CUIDA CASTRO OSCAR LEONEL</t>
  </si>
  <si>
    <t>ALBA FARIAS ANGEL FERNANDO</t>
  </si>
  <si>
    <t xml:space="preserve">CHAPARRO CHAPARRO GUILLERMO </t>
  </si>
  <si>
    <t xml:space="preserve">NORE BERNAL OSCAR </t>
  </si>
  <si>
    <t>MOLANO SANCHEZ NELSON FERNANDO</t>
  </si>
  <si>
    <t xml:space="preserve">ALARCON FAJARDO GILBERTO </t>
  </si>
  <si>
    <t>LOPEZ ZAMBRANO ALDEMAR DISLEY</t>
  </si>
  <si>
    <t>REYES PULIDO JUAN CARLOS</t>
  </si>
  <si>
    <t xml:space="preserve">VELANDIA FIGUEROA FREDY </t>
  </si>
  <si>
    <t>CORREDOR CADENA JOSE ALBERTO</t>
  </si>
  <si>
    <t>SANA  JHON ALEXANDER</t>
  </si>
  <si>
    <t xml:space="preserve">ARANGUREN GRANADOS  YIMY </t>
  </si>
  <si>
    <t>ALBA CORREA EDGAR ALFONSO</t>
  </si>
  <si>
    <t>CARDOZO PULIDO JULIO CESAR</t>
  </si>
  <si>
    <t xml:space="preserve">LEON  IBAN </t>
  </si>
  <si>
    <t>ALVARADO BAYONA CAMILO ANDRES</t>
  </si>
  <si>
    <t>PEREZ TEJEDOR EDGAR GILDARDO</t>
  </si>
  <si>
    <t>CORREDOR CAMARGO WILBERTH ALEJANDRO</t>
  </si>
  <si>
    <t>CORREDOR CADENA JULIO CESAR</t>
  </si>
  <si>
    <t>MOLANO SANMIGUEL JUAN CARLOS</t>
  </si>
  <si>
    <t>JEREZ BUITRAGO JOSE JAIME</t>
  </si>
  <si>
    <t>ARDILA FAJARDO FERNEY ALEJANDRO</t>
  </si>
  <si>
    <t>PEREZ ABELLA CRISTIAN OCTAVIO</t>
  </si>
  <si>
    <t>ESTRADA SANTOS LONGINO ALBERTO</t>
  </si>
  <si>
    <t>CASTRO CHIRVA WILMAR JAVIER</t>
  </si>
  <si>
    <t xml:space="preserve">CHAPARRO  SIXTO </t>
  </si>
  <si>
    <t xml:space="preserve">GUTIERREZ GONZALEZ JAIME </t>
  </si>
  <si>
    <t xml:space="preserve">SARMIENTO RUIZ GERMAN </t>
  </si>
  <si>
    <t>ALVARADO CABEZAS HECTOR EFREN</t>
  </si>
  <si>
    <t>JORGE  SUAREZ CORREDOR</t>
  </si>
  <si>
    <t xml:space="preserve">TANGUA TIBADUIZA SAMUEL </t>
  </si>
  <si>
    <t>PEREZ GAITAN MARCO FIDEL</t>
  </si>
  <si>
    <t>CUJABAN VEGA JULIO CESAR</t>
  </si>
  <si>
    <t xml:space="preserve">RINCON TORRES BENJAMIN </t>
  </si>
  <si>
    <t>LISANDRO EMILIO CRISTANCHO CELY</t>
  </si>
  <si>
    <t xml:space="preserve">MONTAÑEZ GAITAN GUILLERMO </t>
  </si>
  <si>
    <t>LLORENTE MALDONADO JOSE DAVID</t>
  </si>
  <si>
    <t>DAZA AHUE JHON ALEXANDER</t>
  </si>
  <si>
    <t>RUIZ TORRES LUIS GERMAN</t>
  </si>
  <si>
    <t>CAMARGO CASTILLO LEONARDO SIMON</t>
  </si>
  <si>
    <t xml:space="preserve">SIERRA PEREZ RAIMUNDO </t>
  </si>
  <si>
    <t xml:space="preserve">ARIAS MORENO HENRY </t>
  </si>
  <si>
    <t>CARRERO GOMEZ JUAN FRANCISCO</t>
  </si>
  <si>
    <t>AVILA PAEZ MARTIN DE LOS REYES</t>
  </si>
  <si>
    <t>ALARCON PAIPA GERZAN DAVID</t>
  </si>
  <si>
    <t>TRISTANCHO CORREA SERGIO SAUL</t>
  </si>
  <si>
    <t>CUBIDES MONTAÑA JOSE GUSTAVO</t>
  </si>
  <si>
    <t>SOLER RINCON JESUS DE</t>
  </si>
  <si>
    <t>JOSE MIGUEL TRISTANCHO MOLANO</t>
  </si>
  <si>
    <t>HERNANDEZ BERMUDEZ ANGEL OCTAVIO</t>
  </si>
  <si>
    <t>RODRIGUEZ ROJAS PABLO NEL</t>
  </si>
  <si>
    <t>MONROY GALLO RICARDO ALFONSO</t>
  </si>
  <si>
    <t>CUBIDES CUBIDES HENRY ALBERTO</t>
  </si>
  <si>
    <t>AGUILAR MORENO JOSE PAULINO</t>
  </si>
  <si>
    <t xml:space="preserve">DIAZ HERNANDEZ  LUIS ERNESTO </t>
  </si>
  <si>
    <t>CUBIDES MONTANA HECTOR MANUEL</t>
  </si>
  <si>
    <t>DIAZ  LUIS ALBERTO</t>
  </si>
  <si>
    <t>TORRES GUATAQUI LUIS ALFONSO</t>
  </si>
  <si>
    <t xml:space="preserve">FAJARDO BOADA  ALARO </t>
  </si>
  <si>
    <t>SALAMANCA ZARATE JORGE ENRIQUE</t>
  </si>
  <si>
    <t xml:space="preserve">SILVA  JAHIR </t>
  </si>
  <si>
    <t xml:space="preserve">AGUILAR TORRES WILSON </t>
  </si>
  <si>
    <t>MARINO AMAYA JOHN FRANKLIN</t>
  </si>
  <si>
    <t>GRANADOS . JAIME ALBERTO</t>
  </si>
  <si>
    <t xml:space="preserve">NINO GUAIDIA ARGEMIRO </t>
  </si>
  <si>
    <t>CAMACHO CAMACHO JUAN CARLOS</t>
  </si>
  <si>
    <t>VASQUEZ MORENO ALVEIRO JOSE</t>
  </si>
  <si>
    <t>MEJIA PATIÑO  ORLANDO</t>
  </si>
  <si>
    <t xml:space="preserve">GONZALEZ ASCENCIO  HOLMAN LEONEL </t>
  </si>
  <si>
    <t xml:space="preserve">SANCHEZ SALCEDO PRIMITIVO </t>
  </si>
  <si>
    <t>MATEUS QUIJANO DIEGO ELPIDIO</t>
  </si>
  <si>
    <t xml:space="preserve">ISIDRO  JOSE </t>
  </si>
  <si>
    <t>OTALORA MORENO FABIO ALBERTO</t>
  </si>
  <si>
    <t>CORREDOR PLAZAS JOSE FERNANDO</t>
  </si>
  <si>
    <t xml:space="preserve">PEDRAZA  ANGELMIRO </t>
  </si>
  <si>
    <t xml:space="preserve">DAZA HIGUERA CEFERINO </t>
  </si>
  <si>
    <t xml:space="preserve">CORREDOR PEDRAZA ORLANDO </t>
  </si>
  <si>
    <t xml:space="preserve">NIÑO BRIJALDO FERNANDO </t>
  </si>
  <si>
    <t xml:space="preserve">SANCHEZ MONROY DARIO </t>
  </si>
  <si>
    <t>ZORRO  JHON SERAFIN</t>
  </si>
  <si>
    <t>SUAREZ AVENDAÑO CARLOS ARTURO</t>
  </si>
  <si>
    <t xml:space="preserve">GUAMAN IGUAVITA CALIXTO </t>
  </si>
  <si>
    <t>VARGAS PUERTO JAIRO HERNAN</t>
  </si>
  <si>
    <t>RAMIREZ GRANADOS ARIEL FERNANDO</t>
  </si>
  <si>
    <t xml:space="preserve">MATEUS JIMENEZ ALEJANDRO </t>
  </si>
  <si>
    <t>GUIO RODRIGUEZ LUIS CARLOS</t>
  </si>
  <si>
    <t>CAMARGO CAMARGO EIMER MAURICIO</t>
  </si>
  <si>
    <t>MONGUI CORREDOR FERNEY ALEXANDER</t>
  </si>
  <si>
    <t>SUAREZ SUAREZ ANGEL MARIA</t>
  </si>
  <si>
    <t>JIMENEZ CUADROS DANIEL EDUARDO</t>
  </si>
  <si>
    <t>DUANCA CONDE ANDRES FRANCISCO</t>
  </si>
  <si>
    <t xml:space="preserve">PACHECO  ELKIN </t>
  </si>
  <si>
    <t>SANABRIA CHAPARRO JHON FREDY</t>
  </si>
  <si>
    <t xml:space="preserve">ALVARADO  WILLIAM </t>
  </si>
  <si>
    <t>TRIANA PEDRAZA YESID YAHIR</t>
  </si>
  <si>
    <t>RINCON SANCHEZ MIGUEL ANGEL</t>
  </si>
  <si>
    <t>HERNANDEZ PUERTO RAFAEL ENRIQUE</t>
  </si>
  <si>
    <t>CUEVAS TELLEZ LUIS ALFREDO</t>
  </si>
  <si>
    <t xml:space="preserve">SANTOS TRIANA JOSE </t>
  </si>
  <si>
    <t>PINZON GOYENECHE ANTONIO CRUZ</t>
  </si>
  <si>
    <t>GOMEZ VEGA MARCO ANTONIO</t>
  </si>
  <si>
    <t>AMAYA ARAQUE JORGE ALBERTO</t>
  </si>
  <si>
    <t xml:space="preserve">CARDENAS GIL ALFREDO </t>
  </si>
  <si>
    <t>CARDENAS RANGEL CLAUDIO EDILBERTO</t>
  </si>
  <si>
    <t>CARVAJAL PEREZ JESUS RAMIRO</t>
  </si>
  <si>
    <t xml:space="preserve">BENITEZ MENDIVELSO ADELMO </t>
  </si>
  <si>
    <t>JOSE ALBERTO MARQUEZ REYES</t>
  </si>
  <si>
    <t>DIAZ FUENTES LUIS ORLANDO</t>
  </si>
  <si>
    <t>MESA  LUIS LEONEL</t>
  </si>
  <si>
    <t xml:space="preserve">MORENO HERRERA GUSTAVO </t>
  </si>
  <si>
    <t xml:space="preserve">LEON REYES ARTURO </t>
  </si>
  <si>
    <t xml:space="preserve">GOMEZ GOMEZ MARIO </t>
  </si>
  <si>
    <t>MARTINEZ PATINO CESAR JULIO</t>
  </si>
  <si>
    <t>GOMEZ MIRANDA JUAN JOSE</t>
  </si>
  <si>
    <t>DUARTE SUAREZ FABIO ANTONIO</t>
  </si>
  <si>
    <t>MIRANDA MARQUEZ LUIS VIDAL</t>
  </si>
  <si>
    <t xml:space="preserve">ROJAS DIAZ JAIRO </t>
  </si>
  <si>
    <t>MARTINEZ ESTUPINAN MISAEL FRANCISCO</t>
  </si>
  <si>
    <t>CUEVAS ARAQUE JUAN MARIA</t>
  </si>
  <si>
    <t>ROJAS ARAQUE MAURO JULIO</t>
  </si>
  <si>
    <t xml:space="preserve">MONROY  PEDRO </t>
  </si>
  <si>
    <t xml:space="preserve">BLANCO ANGARITA JAIME </t>
  </si>
  <si>
    <t>MARTINEZ PATIÑO OMAR DE JESUS</t>
  </si>
  <si>
    <t>DURAN ESTUPINAN JAIRO EXPEDITO</t>
  </si>
  <si>
    <t>ARAQUE PERILLA GUSTAVO ELIECER</t>
  </si>
  <si>
    <t>MERCHAN AVELLANEDA LUIS AUGUSTO</t>
  </si>
  <si>
    <t xml:space="preserve">ARAQUE CRISTANCHO  GUILLERMO </t>
  </si>
  <si>
    <t>ESTUPIÑAN  JOSE OLMEDO</t>
  </si>
  <si>
    <t xml:space="preserve">SILVA VARGAS  ALBERTO </t>
  </si>
  <si>
    <t>MIRANDA GOMEZ PABLO ANTONIO</t>
  </si>
  <si>
    <t>ANGARITA CASTRO JOEL IVAN</t>
  </si>
  <si>
    <t>ARAQUE RODRIGUEZ HECTOR MANUEL</t>
  </si>
  <si>
    <t xml:space="preserve">CARDENAS RANGEL AMAURE </t>
  </si>
  <si>
    <t>CASTILLO  FERNANDO DE JESUS</t>
  </si>
  <si>
    <t xml:space="preserve">MOJICA ACERO RODRIGO </t>
  </si>
  <si>
    <t>TRIANA  JOSE HUMBERTO</t>
  </si>
  <si>
    <t xml:space="preserve">CONTRERAS FONSECA  ANIVAL </t>
  </si>
  <si>
    <t xml:space="preserve">GOMEZ FUENTES  ADOLFO </t>
  </si>
  <si>
    <t>AVELLANEDA  JOSE DIEGO</t>
  </si>
  <si>
    <t xml:space="preserve">GONZALEZ GOMEZ EUCLIDES </t>
  </si>
  <si>
    <t>ARAQUE PERILLA VICTOR HERNANDO</t>
  </si>
  <si>
    <t xml:space="preserve">GOMEZ GOMEZ LORENZO </t>
  </si>
  <si>
    <t xml:space="preserve">ROJAS ARAQUE AMADEO </t>
  </si>
  <si>
    <t xml:space="preserve">HERRERA ESTUPIÑAN EDGAR </t>
  </si>
  <si>
    <t xml:space="preserve">ESLAVA MOJICA MAURICIO </t>
  </si>
  <si>
    <t>PEREZ GARAVITO JOSE IGNACIO</t>
  </si>
  <si>
    <t>AMAYA . HECTOR EULISES</t>
  </si>
  <si>
    <t>CASTILLO  JULIO CESAR</t>
  </si>
  <si>
    <t xml:space="preserve">CRUZ SILVA ROBERTO </t>
  </si>
  <si>
    <t>OROZCO SANDOVAL CARLOS ANDRES</t>
  </si>
  <si>
    <t xml:space="preserve">ROJAS LEON FERNANDO </t>
  </si>
  <si>
    <t xml:space="preserve">MENDIVELSO .  GUILLERMO </t>
  </si>
  <si>
    <t>MARTINEZ  ESGAR IVAN</t>
  </si>
  <si>
    <t>CALDERON LIZARAZO ASIS DE JESUS</t>
  </si>
  <si>
    <t>SANDOVAL  JAVIER ALFONSO</t>
  </si>
  <si>
    <t>CUY CASERES LUIS ALBERTO</t>
  </si>
  <si>
    <t xml:space="preserve">AGUDELO  JAVIER </t>
  </si>
  <si>
    <t>ARAQUE ANGARITA ORLANDO JESUS</t>
  </si>
  <si>
    <t>GOMEZ LIZARAZO LUIS RODOLFO</t>
  </si>
  <si>
    <t>TRIANA . JOSE JIMENO</t>
  </si>
  <si>
    <t>MOJICA  FREDY MANUEL</t>
  </si>
  <si>
    <t xml:space="preserve">VARGAS BALAGUERA BALDOMERO </t>
  </si>
  <si>
    <t xml:space="preserve">SALAZAR ORTIZ EDILBERTO </t>
  </si>
  <si>
    <t xml:space="preserve">ESTUPIÑAN AVELLANEDA SALOMON </t>
  </si>
  <si>
    <t>ARAQUE ROJAS LUIS ALBERTO</t>
  </si>
  <si>
    <t>GONZALEZ ROJAS WILSON MANOLO</t>
  </si>
  <si>
    <t xml:space="preserve">DELGADO ROMERO EUSEBIO </t>
  </si>
  <si>
    <t>GOYENECHE ESTUPIÑAN OSCAR OSVALDO</t>
  </si>
  <si>
    <t>ESTEPA SILVA JUAN JOSE</t>
  </si>
  <si>
    <t>GOYENECHE CUCUNUBA SEGUNDO EURIPEREZ</t>
  </si>
  <si>
    <t>RAMOS CRUZ NELSON ENOC</t>
  </si>
  <si>
    <t>MANRIQUE CASTRO JOSE ALEJANDRO</t>
  </si>
  <si>
    <t>ORTIZ MARTINEZ WILSON ALEXANDER</t>
  </si>
  <si>
    <t>MANOSALVA DALLOS RITO RAFAEL</t>
  </si>
  <si>
    <t>VARGAS ANGARITA PEDRO ESNEIDER</t>
  </si>
  <si>
    <t>GUALTEROS ROMERO PABLO EMILIO</t>
  </si>
  <si>
    <t>ROA MOJICA CARLOS EDUARDO</t>
  </si>
  <si>
    <t>SIZA CAMARGO JORGE ASDRUBAL</t>
  </si>
  <si>
    <t>MARTINEZ . JOSE HUMBERTO</t>
  </si>
  <si>
    <t>DURAN PEREZ JUAN VICENTE</t>
  </si>
  <si>
    <t>MARTINEZ GARCIA JAVIER ARMANDO</t>
  </si>
  <si>
    <t>GONZALEZ GONZALEZ LUIS ARMANDO</t>
  </si>
  <si>
    <t xml:space="preserve">ESTUPIÑAN DIAZ ENRIQUE </t>
  </si>
  <si>
    <t>SOTO AMAYA JUAN EDILBERTO</t>
  </si>
  <si>
    <t xml:space="preserve">SALAZAR ROMERO  HUGO </t>
  </si>
  <si>
    <t xml:space="preserve">NOVA LIZARAZO  CARLOS FREDY </t>
  </si>
  <si>
    <t>GONZALEZ GONZALEZ HAROLD WALTER</t>
  </si>
  <si>
    <t xml:space="preserve">ESTUPINAN ESTUPINAN  FREDY ALONSO </t>
  </si>
  <si>
    <t xml:space="preserve">MEDINA CACERES ROY </t>
  </si>
  <si>
    <t>RINCON CARO HECTOR ALEXANDER</t>
  </si>
  <si>
    <t xml:space="preserve">CONTRERAS GOMEZ ALEXADER </t>
  </si>
  <si>
    <t>FUENTES MESA FREDY ALEXANDER</t>
  </si>
  <si>
    <t xml:space="preserve">ESLAVA HERNANDEZ OLMAN </t>
  </si>
  <si>
    <t>LIZARAZO  ELVER YESID</t>
  </si>
  <si>
    <t xml:space="preserve">GOYENECHE ESTUPINAN  EULISES </t>
  </si>
  <si>
    <t xml:space="preserve">ARAQUE ROJAS  JIMENO </t>
  </si>
  <si>
    <t>DURAN LIZARAZO WILSON FERNANDO</t>
  </si>
  <si>
    <t>RAMOS CRUZ LUIS FREDY</t>
  </si>
  <si>
    <t>LIZARAZO AMAYA LUIS FRANCISCO</t>
  </si>
  <si>
    <t>AVELLANEDA ORTIZ PEDRO EMILIO</t>
  </si>
  <si>
    <t xml:space="preserve">FUENTES MARQUEZ MARQUEZ RODRIGO </t>
  </si>
  <si>
    <t>FONSECA SUAREZ CARLOS NIRIO</t>
  </si>
  <si>
    <t xml:space="preserve">TORRES .  CLODOMIRO </t>
  </si>
  <si>
    <t>SALAMANCA NIÑO HUGO ALEXANDER</t>
  </si>
  <si>
    <t xml:space="preserve">ESTUPINAN ALVARADO ARMANDO </t>
  </si>
  <si>
    <t>BAEZ DIAZ LEO ADNEIDER</t>
  </si>
  <si>
    <t>CUEVAS . RUBEN DARIO</t>
  </si>
  <si>
    <t xml:space="preserve">ARAQUE ROJAS ABELARDO </t>
  </si>
  <si>
    <t>PATIÑO MOJICA ELBER JOBANNY</t>
  </si>
  <si>
    <t>SANTIESTEBAN CASTRO IVAN DARIO</t>
  </si>
  <si>
    <t>MARTINEZ AVILA LUIS ALEJANDRO</t>
  </si>
  <si>
    <t xml:space="preserve">PINZON  WILSON </t>
  </si>
  <si>
    <t xml:space="preserve">VERA BALAGUERA DAGOBERTO </t>
  </si>
  <si>
    <t xml:space="preserve">ESPINDOLA  JAIRO </t>
  </si>
  <si>
    <t xml:space="preserve">NOVA LIZARAZO  NELSON GERARDO </t>
  </si>
  <si>
    <t xml:space="preserve">MIRANDA SALAZAR PEDRO </t>
  </si>
  <si>
    <t>CELY ARAQUE LUIS CARLOS</t>
  </si>
  <si>
    <t>AVELLANEDA MOJICA JOSE RICARDO</t>
  </si>
  <si>
    <t>PEREZ GARAVITO JOSE HERNANDO</t>
  </si>
  <si>
    <t>GANZALEZ NAUSA CARLOS YOBANY</t>
  </si>
  <si>
    <t>PEREZ GONZALEZ FREDY ALEXANDER</t>
  </si>
  <si>
    <t>ROJAS BARBOSA JEFFER ALBERTO</t>
  </si>
  <si>
    <t>NOVA DIAZ JORGE ORLANDO</t>
  </si>
  <si>
    <t xml:space="preserve">RIAÑO ROJAS EDWIN </t>
  </si>
  <si>
    <t>MERCHAN  RICHARD ALEXANDER</t>
  </si>
  <si>
    <t xml:space="preserve">AVELLANEA  JOSE </t>
  </si>
  <si>
    <t>MARQUEZ GOMEZ SAMIR OSWALDO</t>
  </si>
  <si>
    <t>TRIANA GALLO JOSE DANILO</t>
  </si>
  <si>
    <t xml:space="preserve">MESA ESTUPIÑAN ELKIN </t>
  </si>
  <si>
    <t>GONZALEZ GONZALEZ OSCAR ALONSO</t>
  </si>
  <si>
    <t>AVELLANEDA GALLO CARLOS AGUSTO</t>
  </si>
  <si>
    <t>NOVA DIAZ PEDRO NELSON</t>
  </si>
  <si>
    <t>DURAN CACERES CARLOS HUMBERTO</t>
  </si>
  <si>
    <t>BOSA MORALES JUAN EDGARDO</t>
  </si>
  <si>
    <t xml:space="preserve">NAVAS  JULIAN </t>
  </si>
  <si>
    <t>MARTINEZ MUÑOZ JOSE GABRIEL</t>
  </si>
  <si>
    <t xml:space="preserve">AVELLANEDA REYES GERARDO </t>
  </si>
  <si>
    <t xml:space="preserve">ARMANDO  NESTOR </t>
  </si>
  <si>
    <t xml:space="preserve">ESTUPIÑAN CALDERON PEDRO </t>
  </si>
  <si>
    <t>SALAZAR SEQUERA MARCO EDISON</t>
  </si>
  <si>
    <t>MOJICA DURAN EDUIN BAYARDO</t>
  </si>
  <si>
    <t xml:space="preserve">GARCIA HERNANDEZ ADRIANO </t>
  </si>
  <si>
    <t>MARQUEZ GOMEZ FREDY ROLANDO</t>
  </si>
  <si>
    <t>PATIÑO CACERES CARLOS FREDY</t>
  </si>
  <si>
    <t>CRISTANCHO  WILDER GILBERTO</t>
  </si>
  <si>
    <t>MANRIQUE MONTOYA EDISON JAVIER</t>
  </si>
  <si>
    <t xml:space="preserve">ESTUPINAN ABRIL ADRIAN </t>
  </si>
  <si>
    <t xml:space="preserve">CHAPARRO RODRIGUEZ CRISTOBAL </t>
  </si>
  <si>
    <t>RODRIGUEZ RODRIGUEZ LINO ARTEMIO</t>
  </si>
  <si>
    <t>LOPEZ HERRERA MANUEL ALFONSO</t>
  </si>
  <si>
    <t xml:space="preserve">MALDONADO CHAPARRO WILSON </t>
  </si>
  <si>
    <t>SANCHEZ  JOSE VICENTE</t>
  </si>
  <si>
    <t xml:space="preserve">CEPEDA ACEVEDO GRATINIANO </t>
  </si>
  <si>
    <t>SANCHEZ BARRERA JOEL ANGEL</t>
  </si>
  <si>
    <t>LOPEZ GUTIERREZ VICTOR ALBERTO</t>
  </si>
  <si>
    <t>PEDRAZA PEREZ OSCAR DANILO</t>
  </si>
  <si>
    <t>RODRIGUEZ MARTINEZ SAMUEL OSVALDO</t>
  </si>
  <si>
    <t>BARINAS RIVEROS FABIO ORLANDO</t>
  </si>
  <si>
    <t>TORRES BARRERA FREDY ALEXANDER</t>
  </si>
  <si>
    <t>COLMENARES RODRIGUEZ CRISTO NOLBERTO</t>
  </si>
  <si>
    <t>GONZALEZ CASTRO HECTOR MANUEL</t>
  </si>
  <si>
    <t>GUTIERREZ LOPEZ NESTOR EDUARDO</t>
  </si>
  <si>
    <t>TORRES DIAZ SEGUNDO BENILDO</t>
  </si>
  <si>
    <t>AMADO ESPITIA DANIEL ALFONSO</t>
  </si>
  <si>
    <t>RODRIGUEZ JEREZ HECTOR AUDIN</t>
  </si>
  <si>
    <t>ALFONSO HERNANDEZ JOSE MARIA</t>
  </si>
  <si>
    <t>CHINCHILLA PARRA CARLOS ENRIQUE</t>
  </si>
  <si>
    <t>AREVALO MATAMOROS CARLOS ARTURO</t>
  </si>
  <si>
    <t>SANCHEZ  LUIS HERNANDO</t>
  </si>
  <si>
    <t>MUÑOZ ANGULO JOSE ABSALON</t>
  </si>
  <si>
    <t xml:space="preserve">BLANCO CORREA DAVID </t>
  </si>
  <si>
    <t>VARGAS ROBALLO LUIS HENRRY</t>
  </si>
  <si>
    <t xml:space="preserve">BOTIA GOMEZ RODRIGO </t>
  </si>
  <si>
    <t>GALVIS HERNANDEZ PEDRO NELSON</t>
  </si>
  <si>
    <t xml:space="preserve">MONROY CAMACHO HECTOR </t>
  </si>
  <si>
    <t>ROBAYO PEDRAZA HUGO OSVALDO</t>
  </si>
  <si>
    <t xml:space="preserve">RODRIGUEZ TORRES HERNANDO </t>
  </si>
  <si>
    <t xml:space="preserve">MANOSALVA  RAUL </t>
  </si>
  <si>
    <t>SILVA CALIXTO LUIS CARLOS</t>
  </si>
  <si>
    <t>RAMIREZ MARIÑO HENRY DE JESUS</t>
  </si>
  <si>
    <t>BRICEÑO AVELLANEDA PABLO ANTONIO</t>
  </si>
  <si>
    <t xml:space="preserve">HIGUERA BAEZ EDILBERTO </t>
  </si>
  <si>
    <t xml:space="preserve">AVILA MESA  CARLOS BLADIMIR </t>
  </si>
  <si>
    <t xml:space="preserve">TEQUITA GARCIA ALBEIRO </t>
  </si>
  <si>
    <t>AVILA MESA GIOVANY IVAN</t>
  </si>
  <si>
    <t>FREDY ANDRES GOMEZ GOMEZ</t>
  </si>
  <si>
    <t>RODRIGUEZ ARIZA RUBEN DARIO</t>
  </si>
  <si>
    <t xml:space="preserve">ESTUPINAN MONTANEZ EMIR </t>
  </si>
  <si>
    <t>CELY ESTUPIÑAN JORGE ORLANDO</t>
  </si>
  <si>
    <t xml:space="preserve">SALAZAR SALAZAR  JUAN NEPOMUCENO </t>
  </si>
  <si>
    <t>MARTINEZ NOVA JOSE MIGUEL</t>
  </si>
  <si>
    <t>SANDOVAL LOPEZ HECTOR JULIO</t>
  </si>
  <si>
    <t>GOMEZ RUIZ JOSE JOAQUIN</t>
  </si>
  <si>
    <t>PEREZ MENDIVELSO JAIME DE JESUS</t>
  </si>
  <si>
    <t xml:space="preserve">BARAJAS BLANCO NORBERTO </t>
  </si>
  <si>
    <t>GOMEZ  WILIAN YOBANI</t>
  </si>
  <si>
    <t>PATINO . FABIO ADOLFO</t>
  </si>
  <si>
    <t>MARTINEZ MARIÑO JOSE NELSON</t>
  </si>
  <si>
    <t>APONTE SANCHEZ GUSTAVO SAUL</t>
  </si>
  <si>
    <t>SANABRIA GALLO CIRO ALFONSO</t>
  </si>
  <si>
    <t>BOHORQUEZ BLANCO LUIS JOSE</t>
  </si>
  <si>
    <t xml:space="preserve">BAEZ SUESCUN  PEDRO ANTONIO </t>
  </si>
  <si>
    <t>BAEZ MARTINEZ CARLOS ENRIQUE</t>
  </si>
  <si>
    <t>SANABRIA GALLO JOSE MIGUEL</t>
  </si>
  <si>
    <t>DUARTE FUENTES HECTOR HUGO</t>
  </si>
  <si>
    <t>BONILLA MELENDEZ WILLIAM LEONARDO</t>
  </si>
  <si>
    <t>SEPULVEDA MEDINA JAVIER ALBERTO</t>
  </si>
  <si>
    <t>BOHORQUEZ BLANCO JAIME HUMBERTO</t>
  </si>
  <si>
    <t>FUENTES  PEDRO DOMINGO</t>
  </si>
  <si>
    <t xml:space="preserve">CHAPARRO BRICENO  LUIS ANTONIO </t>
  </si>
  <si>
    <t xml:space="preserve">CORREA NIÑO JOSE </t>
  </si>
  <si>
    <t>DUARTE DUARTE LUIS ALFREDO</t>
  </si>
  <si>
    <t>LUIS JORGE MANRIQUE SALAZAR</t>
  </si>
  <si>
    <t>RODRIGUEZ CORREA WILLIAM YONELDER</t>
  </si>
  <si>
    <t>HERNANDEZ FIGUEROA EDWIN ARNULFO</t>
  </si>
  <si>
    <t>VARGAS VALDERRAMA CARLOS JEFERSON</t>
  </si>
  <si>
    <t>LEAL TORES JOSE POLICARPO</t>
  </si>
  <si>
    <t xml:space="preserve">VARGAS  HERNANDO </t>
  </si>
  <si>
    <t xml:space="preserve">LEAL PARADA FERMIN </t>
  </si>
  <si>
    <t>CALDERON  PEDRO ANTONIO</t>
  </si>
  <si>
    <t>CRISTIANO RIAÑO JOSE MOISES</t>
  </si>
  <si>
    <t xml:space="preserve">MEJIA NIÑO RAMIRO </t>
  </si>
  <si>
    <t xml:space="preserve">SALCEDO LEAL ARIEL </t>
  </si>
  <si>
    <t xml:space="preserve">BLANCO MENDIVELSO RODRIGO </t>
  </si>
  <si>
    <t xml:space="preserve">DURAN PEREZ FREDY </t>
  </si>
  <si>
    <t>SARMIENTO ESTUPIÑAN JOSE FRANCISCO</t>
  </si>
  <si>
    <t xml:space="preserve">DURAN ABRIL EDILBERTO </t>
  </si>
  <si>
    <t>SANCHEZ MESA LUIS DANIEL</t>
  </si>
  <si>
    <t xml:space="preserve">AMAYA CASTRO MELITON </t>
  </si>
  <si>
    <t>MOJICA MOJICA JOSE ISMAEL</t>
  </si>
  <si>
    <t xml:space="preserve">CARVAJAL  IGNACIO </t>
  </si>
  <si>
    <t>JOSE ANTONIO AMAYA ROJAS</t>
  </si>
  <si>
    <t xml:space="preserve">AVELLA  LUIS </t>
  </si>
  <si>
    <t>PIÑEROS  LUIS EDUARDO</t>
  </si>
  <si>
    <t xml:space="preserve">ROBLES LOPEZ SILVANO </t>
  </si>
  <si>
    <t>OSTOS SALAMANCA LUIS FERNANDO</t>
  </si>
  <si>
    <t>GRANADOS MATEUS EDGAR ARTURO</t>
  </si>
  <si>
    <t xml:space="preserve">ALEXANDER  GONZALEZ </t>
  </si>
  <si>
    <t xml:space="preserve">MATEUS FUQUEN YOVANNY </t>
  </si>
  <si>
    <t>BRICEÑO JOYA LUIS EUGENIO</t>
  </si>
  <si>
    <t xml:space="preserve">VEGA URIBE TEODORO </t>
  </si>
  <si>
    <t>RUIZ SANDOVAL JOSE PANONO</t>
  </si>
  <si>
    <t>DUARTE SANDOVAL PEDRO ARTURO</t>
  </si>
  <si>
    <t>CASTAÑEDA SILVA JOSE DAVID</t>
  </si>
  <si>
    <t>FERNANDEZ ANGEL EDGAR ALBERTO</t>
  </si>
  <si>
    <t>CRUZ SANDOVAL VICTOR JULIO</t>
  </si>
  <si>
    <t xml:space="preserve">MERIDA  JAIRO </t>
  </si>
  <si>
    <t>LIZARAZO BARRERA LUIS ABDON</t>
  </si>
  <si>
    <t xml:space="preserve">LIZARAZO RUIZ EFREN </t>
  </si>
  <si>
    <t xml:space="preserve">MEJIA BERNAL ANYELO </t>
  </si>
  <si>
    <t>ARCHILA MEJIA LUIS HERNANDO</t>
  </si>
  <si>
    <t xml:space="preserve">SUAREZ MESA ANIBAL </t>
  </si>
  <si>
    <t>VEGA SANDOVAL HELIO RAFAEL</t>
  </si>
  <si>
    <t xml:space="preserve">FRANCO MEJIA GUIOVANY </t>
  </si>
  <si>
    <t xml:space="preserve">VARGAS SUAREZ RAFAEL </t>
  </si>
  <si>
    <t xml:space="preserve">ROJAS CASTRO YUBANY </t>
  </si>
  <si>
    <t xml:space="preserve">HERNANDEZ BARRERA GREGORIO </t>
  </si>
  <si>
    <t>VARGAS BLANCO MARIO ALEXANDER</t>
  </si>
  <si>
    <t xml:space="preserve">LIZARAZO BARRERA JESUS </t>
  </si>
  <si>
    <t xml:space="preserve">BRICEÑO RUIZ LEONEL </t>
  </si>
  <si>
    <t>CRUZ TORREZ PEDRO ANTONIO</t>
  </si>
  <si>
    <t>CELY  MIGUEL ANTONIO</t>
  </si>
  <si>
    <t xml:space="preserve">BUSTACARA  MANUEL </t>
  </si>
  <si>
    <t>MARQUEZ RINCON JORGE ARMANDO</t>
  </si>
  <si>
    <t xml:space="preserve">CHAPARRO FUENTES EVARISTO </t>
  </si>
  <si>
    <t xml:space="preserve">HERNANDEZ NARANJO MANUEL </t>
  </si>
  <si>
    <t>VEGA VERDUGO JAIME ALIRIO</t>
  </si>
  <si>
    <t xml:space="preserve">BECERRA  HENRY </t>
  </si>
  <si>
    <t xml:space="preserve">CR 19 4 33 OROZCO GUILLERMO </t>
  </si>
  <si>
    <t>GUAUQUE BARRERA ALVARO RAUL</t>
  </si>
  <si>
    <t>ALVA OROZCO NESTOR RAUL</t>
  </si>
  <si>
    <t xml:space="preserve">ROBERTO  JULIO </t>
  </si>
  <si>
    <t>GUTIERREZ IBAÑEZ JOSE NARCISO</t>
  </si>
  <si>
    <t>GARAVITO GARAVITO RODRIGO ALFREDO</t>
  </si>
  <si>
    <t>CARRERO SOLANO LUIS GUILLERMO</t>
  </si>
  <si>
    <t>MOLANO NEIRA CARLOS MOISES</t>
  </si>
  <si>
    <t xml:space="preserve">BAEZ MOLANO EDILBERTO </t>
  </si>
  <si>
    <t>GALVIS HERNANDEZ JUAN ELIECER</t>
  </si>
  <si>
    <t xml:space="preserve">CASTRO AGUILAR GUSTAVO </t>
  </si>
  <si>
    <t>MONTAÑA PEREZ OMAR JOSE</t>
  </si>
  <si>
    <t>GUAUQUE BARRERA JOSE LOS ANGELES</t>
  </si>
  <si>
    <t xml:space="preserve">SALCEDO GAVIRIA EDUARDO </t>
  </si>
  <si>
    <t>PATIÑO  MARCO ANTONIO</t>
  </si>
  <si>
    <t xml:space="preserve">AUGUSTO  FIDEL </t>
  </si>
  <si>
    <t xml:space="preserve">BONILLA ZEA OLEGARIO </t>
  </si>
  <si>
    <t>ROSAS ZORRO PEDRO ANTONIO</t>
  </si>
  <si>
    <t>MEDINA TORRES PEDRO ADOLFO</t>
  </si>
  <si>
    <t xml:space="preserve">LOPEZ  FERNANDO </t>
  </si>
  <si>
    <t>ZEA ZEA JOSE LUIS</t>
  </si>
  <si>
    <t>CHAPARRO PATINO MIGUEL ALFONSO</t>
  </si>
  <si>
    <t>GRANADOS PATIÑO NAIRO ANTONIO</t>
  </si>
  <si>
    <t>GIRATA CACHOPE JAIRO HERNAN</t>
  </si>
  <si>
    <t>PATIÑO  GUSTAVO ADOLFO</t>
  </si>
  <si>
    <t>PEREZ MOLANO FABIO LEON</t>
  </si>
  <si>
    <t xml:space="preserve">MOLANO SANABRIA  ROBERTO </t>
  </si>
  <si>
    <t>MOLANO GARAVITO OSCAR WILLIAM</t>
  </si>
  <si>
    <t>AVELLA OCHOA ISMAEL ORLANDO</t>
  </si>
  <si>
    <t xml:space="preserve">ANTONIO  MAURICIO </t>
  </si>
  <si>
    <t>CEPEDA CARRERO LUIS ANTONIO</t>
  </si>
  <si>
    <t xml:space="preserve">BONILLA SUPELANO NELSON </t>
  </si>
  <si>
    <t xml:space="preserve">ROSAS ZORRO NORBERTO </t>
  </si>
  <si>
    <t xml:space="preserve">MOJICA MANRIQUE CARLOS </t>
  </si>
  <si>
    <t>MEDINA NUNEZ JOSE ORLANDO</t>
  </si>
  <si>
    <t>AGUILAR FONSECA LUIS ALFONSO</t>
  </si>
  <si>
    <t xml:space="preserve">ARMANDO  GUILLERMO </t>
  </si>
  <si>
    <t>PEREZ VERGARA ELADIO ALFONSO</t>
  </si>
  <si>
    <t>CARDOZO PINEDA JOSE NELSON</t>
  </si>
  <si>
    <t>FERNADEZ ALVAREZ FELIX ANTONIO</t>
  </si>
  <si>
    <t>SILVA RINCON LUIS JAVIER</t>
  </si>
  <si>
    <t xml:space="preserve">NUNEZ ROJAS ESTEBAN </t>
  </si>
  <si>
    <t>WILSON GERMAN CASTAÑEDA LOZANO</t>
  </si>
  <si>
    <t>PEREZ CALDERON HUGO ALFREDO</t>
  </si>
  <si>
    <t xml:space="preserve">NIÑO SUAREZ JORGE </t>
  </si>
  <si>
    <t xml:space="preserve">BARRERA VARGAS PEDRO </t>
  </si>
  <si>
    <t>ALARCON CRUZ NEL GERARDO</t>
  </si>
  <si>
    <t>ROJAS  LUIS EDUARDO</t>
  </si>
  <si>
    <t>HENAO MUÑOZ YAMID HARLEY</t>
  </si>
  <si>
    <t xml:space="preserve">CRUZ RIAÑO ARISTOBULO </t>
  </si>
  <si>
    <t>CHAPARRO ARANGUREN LUCIANO JAVIER</t>
  </si>
  <si>
    <t xml:space="preserve">MOLANO PLAZAS EUCLIDES </t>
  </si>
  <si>
    <t>CANO CARDOZO SILVERIO DE JESUS</t>
  </si>
  <si>
    <t>MOLANO PLAZAS LUIS ALEJANDRO</t>
  </si>
  <si>
    <t>FIGUEREDO HERNANDEZ HENRY DANIEL</t>
  </si>
  <si>
    <t>RAVELO SISSA JUAN DE DIOS</t>
  </si>
  <si>
    <t xml:space="preserve">OJEDA BENAVIDES OSCAR </t>
  </si>
  <si>
    <t xml:space="preserve">GUERRERO NIÑO MARIO DE JESUS </t>
  </si>
  <si>
    <t>MORENO RABON JOSE AQUILEO</t>
  </si>
  <si>
    <t>OTALORA OTALORA DANIEL ALBERTO</t>
  </si>
  <si>
    <t>MORENO RABON LUIS HUMBERTO</t>
  </si>
  <si>
    <t>ARIAS PINEDA PEDRO ALFONSO</t>
  </si>
  <si>
    <t>JUYA PATINO SERGIO ANTONIO</t>
  </si>
  <si>
    <t>HENAO RAMIREZ JOSE RAMIRO</t>
  </si>
  <si>
    <t xml:space="preserve">MORALES  GIRALDO </t>
  </si>
  <si>
    <t xml:space="preserve">MONROY CARDENAS MARIA </t>
  </si>
  <si>
    <t>DIAZ NIÑO YENY MARCELA</t>
  </si>
  <si>
    <t xml:space="preserve">CONTRERAS MARTINEZ MARTHA </t>
  </si>
  <si>
    <t>CASTRO ESPITIA ANGELA GREIS</t>
  </si>
  <si>
    <t xml:space="preserve">CASTRO  YUILIA </t>
  </si>
  <si>
    <t xml:space="preserve">VARGAS AVENDAÑO MELANIA </t>
  </si>
  <si>
    <t>FIGUEROA TAITA NANCY SOFIA</t>
  </si>
  <si>
    <t>RUBIANO  ERICK RENE</t>
  </si>
  <si>
    <t>CORTES RUBIO SASI CAROLINA</t>
  </si>
  <si>
    <t>MALDONADO ADARME JUNIOR EDUARDO</t>
  </si>
  <si>
    <t xml:space="preserve">OSORIO MEDINA AURELIANO </t>
  </si>
  <si>
    <t>QUINTERO OLLARVES JESUS DAVID</t>
  </si>
  <si>
    <t xml:space="preserve">CASTAÑEDA  RUTH </t>
  </si>
  <si>
    <t xml:space="preserve">MARQUEZ  ROSMI </t>
  </si>
  <si>
    <t xml:space="preserve">BRACHO RODRIGUEZ ERALDIMAR </t>
  </si>
  <si>
    <t>ORTIZ PALENCIA CARLOS JULIO</t>
  </si>
  <si>
    <t>BOTELLO VELANDIA JAIRO RODRIGO</t>
  </si>
  <si>
    <t>AMAYA PALLARES NELSON ANTONIO</t>
  </si>
  <si>
    <t xml:space="preserve">CARVAJAL PEREZ AGAPITO </t>
  </si>
  <si>
    <t xml:space="preserve">GAMBOA PORTILLA GUSTAVO </t>
  </si>
  <si>
    <t xml:space="preserve">MARIQUE CADENA ALVARO </t>
  </si>
  <si>
    <t xml:space="preserve">BECERRA GIRATA HORACIO </t>
  </si>
  <si>
    <t xml:space="preserve">ALBARACIN  JAIME </t>
  </si>
  <si>
    <t>VELASCO MORENO JORGE ALIRIO</t>
  </si>
  <si>
    <t>BLANCO ALMEYDA HELBER ALEXIS</t>
  </si>
  <si>
    <t xml:space="preserve">SILVA CORREDOR EDILBERTO </t>
  </si>
  <si>
    <t xml:space="preserve">AMAYA BLANCO PATRICIO </t>
  </si>
  <si>
    <t>CAMACHO TORRES JESUS ANTONIO</t>
  </si>
  <si>
    <t>JOYA CANELON CARLOS JOSE</t>
  </si>
  <si>
    <t>DIAZ TIQUE ANDRES MISAEL</t>
  </si>
  <si>
    <t xml:space="preserve">BARRIOS DIAZ HELIODORO </t>
  </si>
  <si>
    <t xml:space="preserve">GOMEZ GUZMAN  JAIRO </t>
  </si>
  <si>
    <t>FUENTES BUCARITO PEDRO ANTONIO</t>
  </si>
  <si>
    <t xml:space="preserve">GARCIA GONZALEZ HECTOR </t>
  </si>
  <si>
    <t xml:space="preserve">GRACIA CRUZ ROBERTO </t>
  </si>
  <si>
    <t>QUIROZ ALVAREZ VALLE DEL</t>
  </si>
  <si>
    <t xml:space="preserve">DUCUARA  GERMAN </t>
  </si>
  <si>
    <t xml:space="preserve">TRUJILLO BARRETO HERNAN </t>
  </si>
  <si>
    <t>ACHURIA SAAVEDRA JORGE HUMBERTO</t>
  </si>
  <si>
    <t>SOTO  RICHARD ASDRUBAL</t>
  </si>
  <si>
    <t xml:space="preserve">SEGURA RIVERA EUGENIO </t>
  </si>
  <si>
    <t xml:space="preserve">JIMENEZ TORRES GUSTAVO </t>
  </si>
  <si>
    <t xml:space="preserve">CASIERRA  FANOR </t>
  </si>
  <si>
    <t>GONZALEZ QUINTERO MARIA EUGENIA</t>
  </si>
  <si>
    <t>OVALLES QUINTERO MARIA TRINIDAD</t>
  </si>
  <si>
    <t>GOMEZ LOPEZ JUAN DE JESUS</t>
  </si>
  <si>
    <t xml:space="preserve">WILMAN  JOSE </t>
  </si>
  <si>
    <t xml:space="preserve">DELGADO CETINA SALUSTIANO </t>
  </si>
  <si>
    <t>CAMILO  SINDICUE AGUDELO</t>
  </si>
  <si>
    <t>VELANDIA NIÑO FABIAN EDUARDO</t>
  </si>
  <si>
    <t>IBAÑEZ HIGUERA JOSE GUSTABO</t>
  </si>
  <si>
    <t>MONROY VARGAS JOSE ALIPIO</t>
  </si>
  <si>
    <t xml:space="preserve">FAGUA AGUSTIN GUERRERO </t>
  </si>
  <si>
    <t xml:space="preserve">CORTES RODRIGUEZ OSCAR </t>
  </si>
  <si>
    <t>BURGOS LARA RUBEN DARIO</t>
  </si>
  <si>
    <t xml:space="preserve">LIZARAZO PINZON FEDERMAN </t>
  </si>
  <si>
    <t>SANCHEZ PACHECO MARCO FIDEL</t>
  </si>
  <si>
    <t>LEON BAEZ INDALECIO DE JESUS</t>
  </si>
  <si>
    <t xml:space="preserve">RIVERA  HERNANDO </t>
  </si>
  <si>
    <t>BARRERA OCHOA LUIS ANGEL</t>
  </si>
  <si>
    <t>ACEVEDO SANABRIA VICTOR MANUEL</t>
  </si>
  <si>
    <t>PINZON  JUAN GERMAN</t>
  </si>
  <si>
    <t xml:space="preserve">DIAZ  ANDRES </t>
  </si>
  <si>
    <t xml:space="preserve">VILLANUEVA  FLORENCIO </t>
  </si>
  <si>
    <t>PINZON BORDA CARLOS ARTURO</t>
  </si>
  <si>
    <t>PULIDO GUERRERO JOSE ANGEL</t>
  </si>
  <si>
    <t>GARAVITO HIGUERA JOSE BERNARDO</t>
  </si>
  <si>
    <t xml:space="preserve">PIRATOBA MORALES ULISES </t>
  </si>
  <si>
    <t>PEÑA CORTES NELSON ARIOLFO</t>
  </si>
  <si>
    <t>ACERO  CARLOS ARTURO</t>
  </si>
  <si>
    <t xml:space="preserve">GARCIA LOPEZ HECTOR </t>
  </si>
  <si>
    <t xml:space="preserve">ROJAS  HUGO </t>
  </si>
  <si>
    <t>HERNANDEZ GALLO MARIO ERNESTO</t>
  </si>
  <si>
    <t xml:space="preserve">MERCHAN SOLANO  MILTON </t>
  </si>
  <si>
    <t>PIRAZAN PEÑA HUGO ALIRIO</t>
  </si>
  <si>
    <t>JOSE MIGUEL SUAREZ APONTE</t>
  </si>
  <si>
    <t>FONSECA HERNANDEZ LUIS ALBERTO</t>
  </si>
  <si>
    <t xml:space="preserve">BRICEÑO LIZARAZO EPIMACO </t>
  </si>
  <si>
    <t>VELASQUEZ RICO JORGE HUMBERTO</t>
  </si>
  <si>
    <t xml:space="preserve">VEREDA SANTA LUCIA ESPITIA ALFREDO </t>
  </si>
  <si>
    <t>ARANGURE DIAZ DIEGO MARIO</t>
  </si>
  <si>
    <t>ESPINOSA CIPACON LUIS ALVARO</t>
  </si>
  <si>
    <t xml:space="preserve">GUTIERREZ RIVERA OMAR </t>
  </si>
  <si>
    <t>GARCIA MOLANO JAIME HERACLIO</t>
  </si>
  <si>
    <t>SANDOVAL SANCHEZ JOSE ALEJANDRO</t>
  </si>
  <si>
    <t>PLAZAS DIAZ VICTOR MANUEL</t>
  </si>
  <si>
    <t>MACIAS LOPEZ RAMIRO ARCADIO</t>
  </si>
  <si>
    <t xml:space="preserve">AVILA PINTO RODRIGO </t>
  </si>
  <si>
    <t xml:space="preserve">ZIPA MOGOLLON  CARLOS ORLANDO </t>
  </si>
  <si>
    <t xml:space="preserve">SARMIENTO AGUILAR ALFONSO </t>
  </si>
  <si>
    <t xml:space="preserve">BENITEZ  DARIO </t>
  </si>
  <si>
    <t>ESTUPIÑAN AMAYA JOSE ANTONIO</t>
  </si>
  <si>
    <t>SALINAS FORERO WILLIAN DANIEL</t>
  </si>
  <si>
    <t xml:space="preserve">GRANADOS  OSWALDO </t>
  </si>
  <si>
    <t>CAMACHO JIMENEZ JOSE ROBERTO</t>
  </si>
  <si>
    <t xml:space="preserve">WILCHES  JAVIER </t>
  </si>
  <si>
    <t>GUERRA MORENO MANUEL DE JESUS</t>
  </si>
  <si>
    <t>TORRES BARAHONA EDGAR ABSALON</t>
  </si>
  <si>
    <t>MOYA ESPINOSA PEDRO IGNASIO</t>
  </si>
  <si>
    <t>QUINTERO PAREDES GUILLERMO ABELARDO</t>
  </si>
  <si>
    <t>OCHICA RODRIGUEZ JOSE SANTIAGO</t>
  </si>
  <si>
    <t xml:space="preserve">PIRATOBA SAMACA MARCEDONIO </t>
  </si>
  <si>
    <t>GONZALES MORA JAVIER BAYARDO</t>
  </si>
  <si>
    <t>LOPEZ ARENAS LUIS ALFREDO</t>
  </si>
  <si>
    <t>ACUÑA GALAN MANUEL ANTONIO</t>
  </si>
  <si>
    <t xml:space="preserve">ZABALA GAVIRIA TEOFILO </t>
  </si>
  <si>
    <t>MORALES GONZALEZ JOSE LUIS</t>
  </si>
  <si>
    <t>CHIVATA  EDGAR JOSE</t>
  </si>
  <si>
    <t>BLANCO ESAAC YOSMARY DEL CARMEN</t>
  </si>
  <si>
    <t>ROVIRA COLMENARES VICTOR ADRIAN</t>
  </si>
  <si>
    <t xml:space="preserve">ARIZA  DALADIER </t>
  </si>
  <si>
    <t xml:space="preserve">ENRIQUE  DIDIER </t>
  </si>
  <si>
    <t>CASTRO BARRERA URIEL EDILSON</t>
  </si>
  <si>
    <t>RODRIGUEZ TORRES VICTOR ALFONSO</t>
  </si>
  <si>
    <t>PARADA . OLIVO ALEJO</t>
  </si>
  <si>
    <t>TRISTANCHO URIBE FRANCISCO JAVIER</t>
  </si>
  <si>
    <t xml:space="preserve">SANTOS PEDRAZA DIEGO </t>
  </si>
  <si>
    <t>PEDRAZA PEREZ FERNANDO EFREN</t>
  </si>
  <si>
    <t>ALFONSO AYALA VICTOR ALFONSO</t>
  </si>
  <si>
    <t xml:space="preserve">MARTINEZ  HECTOR </t>
  </si>
  <si>
    <t>MORENO AFRICANO JOHN YADER</t>
  </si>
  <si>
    <t xml:space="preserve">MORENO AFRICANO YAMID </t>
  </si>
  <si>
    <t>ALAYON RIOS OSCAR FERNANDO</t>
  </si>
  <si>
    <t>VARGAS  MAURO HERNAN</t>
  </si>
  <si>
    <t>BUITRAGO NEIZA JOSE ALBERTO</t>
  </si>
  <si>
    <t>QUINTERO PAREDES HOLMAN JAVIER</t>
  </si>
  <si>
    <t xml:space="preserve">GAMBA NIÑO ALFREDO </t>
  </si>
  <si>
    <t xml:space="preserve">ELIAS  CAMPO </t>
  </si>
  <si>
    <t>CARO GOMEZ JULIAN RICARDO</t>
  </si>
  <si>
    <t>GARAVITO ROBERTO YUBER NAIRO</t>
  </si>
  <si>
    <t>CONTRERAS RUIZ JUAN CARLOS</t>
  </si>
  <si>
    <t xml:space="preserve">FAGUAR  RODRIGO </t>
  </si>
  <si>
    <t>GAMBA NIÑO JORGE ENRIQUE</t>
  </si>
  <si>
    <t xml:space="preserve">TIBADUIZA TORRES GUILLERMO </t>
  </si>
  <si>
    <t xml:space="preserve">ALVAREZ MORENO YOFRE </t>
  </si>
  <si>
    <t>PINTO  CARLOS EDUARDO</t>
  </si>
  <si>
    <t>SANCHEZ HERNANDEZ MARCO POLO</t>
  </si>
  <si>
    <t>ACOSTA SUPELANO LUIS HERNANDO</t>
  </si>
  <si>
    <t>LOZANO ZUÑIGA LUIS FERNANDO</t>
  </si>
  <si>
    <t>GRANADOS VILLAMIL CARLOS DARIO</t>
  </si>
  <si>
    <t>MOLANO ESPITIA JAIRO ANIBAL</t>
  </si>
  <si>
    <t xml:space="preserve">MENDOZA QUEZADA HUMBERTO </t>
  </si>
  <si>
    <t>CELIS NIÑO MAURICIO EDGAR</t>
  </si>
  <si>
    <t>MORALES PACHECO JUAN RICARDO</t>
  </si>
  <si>
    <t>MARTINEZ CAJAMARCA JOSE ERIBERTO</t>
  </si>
  <si>
    <t>SERRANO GONZALEZ OSCAR FERNANDO</t>
  </si>
  <si>
    <t>RODRIGUEZ TOBASURA HECTOR EDUARDO</t>
  </si>
  <si>
    <t>SARMIENTO GOMEZ NELSON AGUSTIN</t>
  </si>
  <si>
    <t xml:space="preserve">ORTEGON CORREDOR ALEJANDRO </t>
  </si>
  <si>
    <t xml:space="preserve">VARGAS  NESTOR </t>
  </si>
  <si>
    <t>TOBA APONTE PEDRO ANTONIO</t>
  </si>
  <si>
    <t>GUERRERO MORENO GUSTAVO ARMANDO</t>
  </si>
  <si>
    <t>CALVO RIVERA SIGIFREDO ALEXIS</t>
  </si>
  <si>
    <t xml:space="preserve">CIFUENTES SUAREZ WILSON </t>
  </si>
  <si>
    <t xml:space="preserve">QUIROGA SUAREZ NORBERTO </t>
  </si>
  <si>
    <t xml:space="preserve">LARGO LOPEZ RODOLFO </t>
  </si>
  <si>
    <t xml:space="preserve">BUITRAGO LOPEZ GONZALO </t>
  </si>
  <si>
    <t xml:space="preserve">BERNAL MORENO TEOBALDO </t>
  </si>
  <si>
    <t>PARRA MONROY JULIO CESAR</t>
  </si>
  <si>
    <t xml:space="preserve">MORALES MORALES  BELMAR </t>
  </si>
  <si>
    <t xml:space="preserve">RODRIGUEZ CHOCONTA FILIBERTO </t>
  </si>
  <si>
    <t>BUITRAGO CARDENAS WILLIAM IVAN</t>
  </si>
  <si>
    <t>CARDENAS GARZON GEOVANNY HERNAN</t>
  </si>
  <si>
    <t>CARDENAS CORREA EDWIN FRANCIS</t>
  </si>
  <si>
    <t>CRUZ CRUZ DANNY FERLEY</t>
  </si>
  <si>
    <t>HUERTAS  LUIS EDUARDO</t>
  </si>
  <si>
    <t>VARGAS ARIAS JOSUE DULBE</t>
  </si>
  <si>
    <t>CAMARGO SANABRIA JOHN JAIRO</t>
  </si>
  <si>
    <t>CUESTA NUMPAQUE JOSE YESID</t>
  </si>
  <si>
    <t>BECERRA VARGAS CARLOS EDUARDO</t>
  </si>
  <si>
    <t>LLANO HERNANDEZ JUAN CARLOS</t>
  </si>
  <si>
    <t>CRUZ VARGAS OSCAR JULIAN</t>
  </si>
  <si>
    <t>PINEDA MOZO MIYER FERNANDO</t>
  </si>
  <si>
    <t>RUIZ MORALES GIOVANNI ALBERTO</t>
  </si>
  <si>
    <t>SUAREZ HERNANDEZ WILSON JAVIER</t>
  </si>
  <si>
    <t>NIÑO LLANOS WILMAR ARTURO</t>
  </si>
  <si>
    <t>SANCHEZ SUAREZ JAIRO ANDRES</t>
  </si>
  <si>
    <t xml:space="preserve">OSPINO AYALA ALBERT </t>
  </si>
  <si>
    <t>SANCHEZ MANOSALVA JOHAO ALEXANDER</t>
  </si>
  <si>
    <t>GARCIA FERNANDO LUIS FERNANDO</t>
  </si>
  <si>
    <t>RODRIGUEZ DIAZ EDUARDO ARTURO</t>
  </si>
  <si>
    <t xml:space="preserve">PRIETO  NELSON GOVANNI </t>
  </si>
  <si>
    <t>CRUZ APONTE JULIO ERNESTO</t>
  </si>
  <si>
    <t>RODRIGUEZ MUÑOZ PLINIO FERNANDO</t>
  </si>
  <si>
    <t>ROJAS ALFONSO FAVIO ANDRES</t>
  </si>
  <si>
    <t xml:space="preserve">ESCAMILLA CORREA EDUAR </t>
  </si>
  <si>
    <t xml:space="preserve">GONZALEZ MARTINEZ MARDOQUEO </t>
  </si>
  <si>
    <t>AVENDAÑO BECERRA JESUS ALBEIRO</t>
  </si>
  <si>
    <t xml:space="preserve">ROMERO GRANDAS FAMER </t>
  </si>
  <si>
    <t>CHINOME JIMENEZ JULIAN ANDRES</t>
  </si>
  <si>
    <t xml:space="preserve">CARLOS  JUAN </t>
  </si>
  <si>
    <t xml:space="preserve">BUITRAGO CARLOS ALBERTO </t>
  </si>
  <si>
    <t>CASTELLANOS BERNAL DIEGO ALEXANDER</t>
  </si>
  <si>
    <t xml:space="preserve">RUIZ TIBOCHE ARMANDO </t>
  </si>
  <si>
    <t xml:space="preserve">ARMANDO  RUIZ </t>
  </si>
  <si>
    <t>NAUSAN NONTOA JOSE ERNESTO</t>
  </si>
  <si>
    <t>PATIÑO LAROTTA JULIO CESAR</t>
  </si>
  <si>
    <t>RODRIGUEZ FUQUENE JHON JAIRO</t>
  </si>
  <si>
    <t>MILLAN BAYONA YAMITH RAMIRO</t>
  </si>
  <si>
    <t>MOLINA POVEDA JAIRO ALBERTO</t>
  </si>
  <si>
    <t>HERNANDEZ DELGADILLO JAVIER HUGO</t>
  </si>
  <si>
    <t>MURILLO AREVALO ALVARO HERNANDO</t>
  </si>
  <si>
    <t>RUIZ LOPEZ JAHIR ANDRES</t>
  </si>
  <si>
    <t>BOTIA MORA JORGE ENRIQUE</t>
  </si>
  <si>
    <t>AYALA AVILA JOSE NAPOLEON</t>
  </si>
  <si>
    <t>QUITO  JUAN CARLOS</t>
  </si>
  <si>
    <t xml:space="preserve">RAMIREZ AGUDELO FAUSTO </t>
  </si>
  <si>
    <t>PIRA QUICA JUAN GUILLERMO</t>
  </si>
  <si>
    <t>CHINOME JIMENEZ CESAR AUGUSTO</t>
  </si>
  <si>
    <t xml:space="preserve">VARGAS RODRIGUEZ ORLANDO </t>
  </si>
  <si>
    <t>UYABAN BARON HECTOR HORACIO</t>
  </si>
  <si>
    <t>RINCON RIVERA LUIS CARLOS</t>
  </si>
  <si>
    <t>LOPEZ MACIAS CESAR LEONARDO</t>
  </si>
  <si>
    <t xml:space="preserve">SNNEYDER  WILBER </t>
  </si>
  <si>
    <t>SAMACA GARCIA JOSE GILBERTO</t>
  </si>
  <si>
    <t>PABON SOLER NELSON DANIEL</t>
  </si>
  <si>
    <t>PATARROYO ROSAS NESTOR FERNANDO</t>
  </si>
  <si>
    <t xml:space="preserve">CAMARGO FONSECA APULEYO </t>
  </si>
  <si>
    <t>PACHECO GARCIA CARLOS ANDRES</t>
  </si>
  <si>
    <t>CORTES ARISMENDY OSCAR ANDREY</t>
  </si>
  <si>
    <t>AMEZQUITA AMEZQUITA FABIO ALDEMAR</t>
  </si>
  <si>
    <t xml:space="preserve">CUESTA RUIZ FABIO </t>
  </si>
  <si>
    <t xml:space="preserve">MORENO VARGAS ROBINSON </t>
  </si>
  <si>
    <t>SILVA BECERRA LUIS FERNANDO</t>
  </si>
  <si>
    <t xml:space="preserve">HUERTAS VIASUS HAMILTON </t>
  </si>
  <si>
    <t>ALVARADO CARMONA MANUEL ADOLFO</t>
  </si>
  <si>
    <t>SOTO QUINTERO JAVIER CAMILO</t>
  </si>
  <si>
    <t xml:space="preserve">LOPEZ LOPEZ SIERVO </t>
  </si>
  <si>
    <t xml:space="preserve">MONROY ROJAS GERMAN </t>
  </si>
  <si>
    <t xml:space="preserve">VARGAS  HUMBERTO </t>
  </si>
  <si>
    <t xml:space="preserve">CACERES APONTE RAMIRO </t>
  </si>
  <si>
    <t xml:space="preserve">VEGA BARRERA FERNANDO </t>
  </si>
  <si>
    <t>GOMEZ SALCEDO MARCOS HERNAN</t>
  </si>
  <si>
    <t>CASTRO BARRERA JOSE DESIDERIO</t>
  </si>
  <si>
    <t>RODRIGUEZ MORENO CARLOS FRANCISO</t>
  </si>
  <si>
    <t>RINCON LOPEZ MARCOS JOSE</t>
  </si>
  <si>
    <t>CRUZ FIGUEREDO LUIS FERNANDO</t>
  </si>
  <si>
    <t xml:space="preserve">CRISTANCHO TINJACA AGUSTIN </t>
  </si>
  <si>
    <t>BECERRA GUEVARA LUIS FRANCISCO</t>
  </si>
  <si>
    <t>CASTRO  LUIS ENRIQUE</t>
  </si>
  <si>
    <t xml:space="preserve">BECERRA CORREDOR HERIBERTO </t>
  </si>
  <si>
    <t>JIMENEZ BECERRA CARLOS EDGAR</t>
  </si>
  <si>
    <t>PARRA BECERRA HECTOR GABRIEL</t>
  </si>
  <si>
    <t>ROJAS CARDENAS CARLOS JULIO</t>
  </si>
  <si>
    <t>PEREZ CORREDOR LUIS MARIA</t>
  </si>
  <si>
    <t xml:space="preserve">UYABAN RAMIREZ ELPIDIO </t>
  </si>
  <si>
    <t xml:space="preserve">GARZON TUTA GUSTAVO </t>
  </si>
  <si>
    <t xml:space="preserve">AGUDELO CORREDOR ALVARO </t>
  </si>
  <si>
    <t>BECERRA  JACOBO ALIRIO</t>
  </si>
  <si>
    <t>LOZANO  FABIO ELEAZAR</t>
  </si>
  <si>
    <t xml:space="preserve">ADAME  PEDRO </t>
  </si>
  <si>
    <t>CONTRERAS ALONSO CESAR AUGUSTO</t>
  </si>
  <si>
    <t>PULIDO CORREDOR SAUL ANGEL</t>
  </si>
  <si>
    <t>NOCUA OTALORA JOSE ISRAEL</t>
  </si>
  <si>
    <t xml:space="preserve">PEDRAZA ALVAREZ GABRIEL </t>
  </si>
  <si>
    <t>TOBO ROJAS LINO ANTONIO</t>
  </si>
  <si>
    <t>ACERO CARO JOSE DOMINGO</t>
  </si>
  <si>
    <t>PEÑA ESTUPIÑAN MARIO ERNESTO</t>
  </si>
  <si>
    <t>VALENZUELA SUAREZ JUAN JOSE</t>
  </si>
  <si>
    <t xml:space="preserve">VILLATE ALFONSO ISRAEL </t>
  </si>
  <si>
    <t>LUIS EMILIO ZEA PEREZ</t>
  </si>
  <si>
    <t>GONZALEZ MONTAÑA GERMAN HERNANDO</t>
  </si>
  <si>
    <t xml:space="preserve">FLOREZ BAEZ ISIDRO </t>
  </si>
  <si>
    <t>PITA BARRERA DOMINGO JOSE</t>
  </si>
  <si>
    <t>PIEDRAHITA GARCIA JAVIER IGNACIO</t>
  </si>
  <si>
    <t>SALCEDO LOPEZ JULIO ENRIQUE</t>
  </si>
  <si>
    <t>HECTOR RAFAEL PERICO PRIETO</t>
  </si>
  <si>
    <t>OCHOA VIVAS FELIX DEL CARMEN</t>
  </si>
  <si>
    <t xml:space="preserve">GONZALEZ GONZALEZ POMPILIO </t>
  </si>
  <si>
    <t>HERNADEZ MARTINEZ NORBERTO ANSELMO</t>
  </si>
  <si>
    <t>PORRAS  GONZALO ESCOBAR</t>
  </si>
  <si>
    <t xml:space="preserve">ROJAS  CARLOS </t>
  </si>
  <si>
    <t xml:space="preserve">VARGAS  ROSENDO </t>
  </si>
  <si>
    <t xml:space="preserve">GOMEZ LIZARAZO JESUS </t>
  </si>
  <si>
    <t>CASTELLANOS CORREA ALVARO DE JESUS</t>
  </si>
  <si>
    <t>SALAMANCA CONDE HUGO RAMIRO</t>
  </si>
  <si>
    <t>MEDRANO SOLANO EDGAR FRANCISCO</t>
  </si>
  <si>
    <t>MERCHAN VERGARA LUIS EDUARDO</t>
  </si>
  <si>
    <t xml:space="preserve">COMBARIZA  PABLO </t>
  </si>
  <si>
    <t xml:space="preserve">FLOREZ RODRIGUEZ  RAFAEL </t>
  </si>
  <si>
    <t xml:space="preserve">GONZALEZ TRIANA SEVERO </t>
  </si>
  <si>
    <t xml:space="preserve">HUMBERTO  JAIME </t>
  </si>
  <si>
    <t xml:space="preserve">HERNANDEZ  NEPONUCENO </t>
  </si>
  <si>
    <t>HERNANDEZ CHAPARRO GABRIEL ANTONIO</t>
  </si>
  <si>
    <t>MORALES HIGUERA MIGUEL ANTONIO</t>
  </si>
  <si>
    <t>VELANDIA CARDENAS CARLOS JULIO</t>
  </si>
  <si>
    <t xml:space="preserve">LEON  ADOLFO </t>
  </si>
  <si>
    <t xml:space="preserve">CAMARGO CHAPARRO REINALDO </t>
  </si>
  <si>
    <t xml:space="preserve">MESA CARDOZO NEFTALI </t>
  </si>
  <si>
    <t>GALINDO ALVAREZ JOSE FRANCISCO</t>
  </si>
  <si>
    <t>GONZALEZ CUERVO LUIS IGNACIO</t>
  </si>
  <si>
    <t xml:space="preserve">ANGARITA PINZON GONZALO </t>
  </si>
  <si>
    <t xml:space="preserve">NIÑO  LUIS ERNESTO </t>
  </si>
  <si>
    <t xml:space="preserve">DIAZ PULIDO RODOLFO </t>
  </si>
  <si>
    <t>LARA SALAMANCA RAFAEL ENRIQUE</t>
  </si>
  <si>
    <t xml:space="preserve">PUERTA  ESTELA </t>
  </si>
  <si>
    <t xml:space="preserve">LOZANO SUAREZ EDUARDO </t>
  </si>
  <si>
    <t>ZABALA SUAREZ JOSE MIGUEL</t>
  </si>
  <si>
    <t>ROJAS CRISTANCHO FABIO ENRIQUE</t>
  </si>
  <si>
    <t xml:space="preserve">VALDERRAMA VARGAS FRANCELINO </t>
  </si>
  <si>
    <t>CAMARGO MANOSALVA ROMULO HUMBERTO</t>
  </si>
  <si>
    <t>SANTAMARIA CIFUENTES LUIS EDILBERTO</t>
  </si>
  <si>
    <t>ENCISO HOYOS HECTOR HELINCER</t>
  </si>
  <si>
    <t>BENITEZ NUNEZ RAFAEL ANTONIO</t>
  </si>
  <si>
    <t xml:space="preserve">SANDOVAL PUERTO JORGE </t>
  </si>
  <si>
    <t xml:space="preserve">HIGUERA  SANTOS </t>
  </si>
  <si>
    <t xml:space="preserve">SALAMANCA FLECHAS FELIX </t>
  </si>
  <si>
    <t xml:space="preserve">CASTAÑEDA FERRER CRISTOBAL </t>
  </si>
  <si>
    <t xml:space="preserve">JIMENEZ TAMAYO ELBERTO </t>
  </si>
  <si>
    <t xml:space="preserve">RINCON RINCON JAIRO </t>
  </si>
  <si>
    <t>TRIANA  JOSE PABLO</t>
  </si>
  <si>
    <t>ESTUPIÑAN ESTUPIÑAN CARLOS ALFONSO</t>
  </si>
  <si>
    <t xml:space="preserve">BAYONA VALDERRAMA OCTAVIO </t>
  </si>
  <si>
    <t>MANCIPE QUINTERO JORGE ANTONIO</t>
  </si>
  <si>
    <t xml:space="preserve">BARRERA CARVAJAL HECTOR </t>
  </si>
  <si>
    <t>PEDRAZA ARCHILA LUIS FRANCISCO</t>
  </si>
  <si>
    <t xml:space="preserve">PEREZ CORREDOR FRANCISCO </t>
  </si>
  <si>
    <t xml:space="preserve">ACERO  FLORENTINO </t>
  </si>
  <si>
    <t>GARCIA MESA RODRIGO ALFONSO</t>
  </si>
  <si>
    <t xml:space="preserve">GARCIA GARCIA PEDRO </t>
  </si>
  <si>
    <t xml:space="preserve">MARTINEZ PUERTO GERMAN </t>
  </si>
  <si>
    <t>BECERRA RUIZ LICINIO 6</t>
  </si>
  <si>
    <t xml:space="preserve">CELY MOGOLLON AGAPITO </t>
  </si>
  <si>
    <t>MARTINEZ VARGAS PEDRO MANUEL</t>
  </si>
  <si>
    <t xml:space="preserve">GUICHA DE JESUS BAUTISTA </t>
  </si>
  <si>
    <t>FONSECA PINTO JORGE ENRIQUE</t>
  </si>
  <si>
    <t xml:space="preserve">MOGOLLON MARTINEZ FERNANDO </t>
  </si>
  <si>
    <t xml:space="preserve">SANABRIA  LUIS </t>
  </si>
  <si>
    <t xml:space="preserve">NIÑO CHAPARRO REINALDO </t>
  </si>
  <si>
    <t xml:space="preserve">PEÑARANDA  HUMBERTO </t>
  </si>
  <si>
    <t xml:space="preserve">AMAYA ALVARO ACERO </t>
  </si>
  <si>
    <t>PARADA AGUILAR JOSE BERNARDO</t>
  </si>
  <si>
    <t>INFANTE SEPULVEDA JORGE HERNAN</t>
  </si>
  <si>
    <t>GONZALEZ VIVAS ALFONSO DE JESUS</t>
  </si>
  <si>
    <t xml:space="preserve">LASPRILLA  LUIS </t>
  </si>
  <si>
    <t xml:space="preserve">MALDONADO MALDONADO ABELARDO </t>
  </si>
  <si>
    <t xml:space="preserve">LOPEZ SANCHEZ MIGUEL </t>
  </si>
  <si>
    <t xml:space="preserve">SANDOVAL PUERTO NORBERTO </t>
  </si>
  <si>
    <t xml:space="preserve">CASTRO  MARDOQUEO </t>
  </si>
  <si>
    <t>GUAUQUE BARRERA JOSE ARMANDO</t>
  </si>
  <si>
    <t xml:space="preserve">ALVARDO MERCHAN NORBERTO </t>
  </si>
  <si>
    <t xml:space="preserve">RINCON HIGUERA BEDOU </t>
  </si>
  <si>
    <t xml:space="preserve">SALAZAR SOSA ALVARO </t>
  </si>
  <si>
    <t>FONSECA HERNANDEZ JAIME ALBERTO</t>
  </si>
  <si>
    <t>PEREZ CAMACHO RAFAEL ANTONIO</t>
  </si>
  <si>
    <t>TAMAYO SUAREZ NELSON ALEJANDRO</t>
  </si>
  <si>
    <t>DURAN TORRES JUAN DAVID</t>
  </si>
  <si>
    <t xml:space="preserve">MERCHAN OCHOA JAIRO </t>
  </si>
  <si>
    <t xml:space="preserve">GOMEZ RAMIREZ MAURICIO </t>
  </si>
  <si>
    <t xml:space="preserve">PUERTO SIMON CAMARGO </t>
  </si>
  <si>
    <t>PAEZ RIOS FABIO OSWALDO</t>
  </si>
  <si>
    <t>MORENO VEGA EDGAR ISRAEL</t>
  </si>
  <si>
    <t>FUENTES DIAZ JOSE MANUEL</t>
  </si>
  <si>
    <t xml:space="preserve">OCHOA VIVAS JAIME </t>
  </si>
  <si>
    <t>VIVAS CORREDOR JORGE ALFONSO</t>
  </si>
  <si>
    <t xml:space="preserve">CAMARGO  JAIRO </t>
  </si>
  <si>
    <t xml:space="preserve">TORRES  OVIDIO </t>
  </si>
  <si>
    <t xml:space="preserve">SUAREZ ALARCON ARMANDO </t>
  </si>
  <si>
    <t xml:space="preserve">HERRERA CUSBA ANGELMIRO </t>
  </si>
  <si>
    <t xml:space="preserve">GIL LEON EURIPIDES </t>
  </si>
  <si>
    <t>AGUDELO FLOREZ PLACIDO EDUARDO</t>
  </si>
  <si>
    <t xml:space="preserve">GOMEZ MEJIA BENEDICTO </t>
  </si>
  <si>
    <t xml:space="preserve">HERNANDEZ MOJICA GERARDO </t>
  </si>
  <si>
    <t xml:space="preserve">LOPEZ  FABIO </t>
  </si>
  <si>
    <t>WILCHES SUAREZ JOSE HERNANDO</t>
  </si>
  <si>
    <t>QUEMBA RODRIGUEZ PEDRO NEL</t>
  </si>
  <si>
    <t xml:space="preserve">DE JESUS ARTURO </t>
  </si>
  <si>
    <t>BECERRA SALCEDO JAIME ARTURO</t>
  </si>
  <si>
    <t>VARGAS FERNANDEZ GUILLERMO ALFONSO</t>
  </si>
  <si>
    <t>IGUAVITA RODRIGUEZ VICTOR ARMANDO</t>
  </si>
  <si>
    <t>HERNANDEZ BARRERA JOSE MANUEL</t>
  </si>
  <si>
    <t>BARRETO ALVAREZ LUIS CARLOS</t>
  </si>
  <si>
    <t>BAYONA ESPITIA NELSON YENITH</t>
  </si>
  <si>
    <t xml:space="preserve">ANTONIO  JOSE </t>
  </si>
  <si>
    <t xml:space="preserve">MORENO AVENDANO  AGUSTIN </t>
  </si>
  <si>
    <t xml:space="preserve">QUINTANA GUARIN SAMUEL </t>
  </si>
  <si>
    <t>ADAME SUAREZ JOSE HILDEBRANDO</t>
  </si>
  <si>
    <t xml:space="preserve">RIAÑO MALPICA TIBERIO </t>
  </si>
  <si>
    <t xml:space="preserve">PEREZ VILLAMARIN OVIDIO </t>
  </si>
  <si>
    <t xml:space="preserve">EDUARDO  LUIS </t>
  </si>
  <si>
    <t>GUEVARA INFANTE LUIS CARLOS</t>
  </si>
  <si>
    <t>CASTIBLANCO CHIVATA MARCO ANTONIO</t>
  </si>
  <si>
    <t xml:space="preserve">CAMARGO  OCTAVIO </t>
  </si>
  <si>
    <t>JOSE ALONSO GUARIN VIVAS</t>
  </si>
  <si>
    <t xml:space="preserve">SUAREZ  ORLANDO </t>
  </si>
  <si>
    <t>VEGA GARCIA LUIS GUILLERMO</t>
  </si>
  <si>
    <t>CARDENAS ESTUPINAN FABIO ABDENAGO</t>
  </si>
  <si>
    <t>HERNANDEZ  MARCO ANTONIO</t>
  </si>
  <si>
    <t>SANTOS LOPEZ HECTOR MARIO</t>
  </si>
  <si>
    <t xml:space="preserve">FONSECA CORDOBA AURELIO </t>
  </si>
  <si>
    <t>PITA GARCIA JUAN DE</t>
  </si>
  <si>
    <t>RIOS BARON JOSE ARMANDO</t>
  </si>
  <si>
    <t>ESCOBAR BOADA JOSE ALEJANDRO</t>
  </si>
  <si>
    <t>ROJAS RIVERA ESTEBAN SENON</t>
  </si>
  <si>
    <t>GALLO GALLO LUIS ALBERTO</t>
  </si>
  <si>
    <t xml:space="preserve">PINEDA NIÑO ERNESTO </t>
  </si>
  <si>
    <t xml:space="preserve">LOPEZ FAJARDO JAIRO </t>
  </si>
  <si>
    <t xml:space="preserve">CHAPARRO PATIÑO GILBERTO </t>
  </si>
  <si>
    <t>AVELLA MORALES LUIS GUILLERMO</t>
  </si>
  <si>
    <t>NEIRA PINZON JAIME OCTAVIO</t>
  </si>
  <si>
    <t>CUTA CHACON JOSE EUCLIDES</t>
  </si>
  <si>
    <t xml:space="preserve">ACOSTA  JOSE ALBERTO </t>
  </si>
  <si>
    <t>GOMEZ GONZALEZ PABLO EMILIO</t>
  </si>
  <si>
    <t>JIMENEZ TORRES JOSE ORLANDO</t>
  </si>
  <si>
    <t>VELASCO GALLO LUIS ALONSO</t>
  </si>
  <si>
    <t xml:space="preserve">VARGAS BAEZ MAURICIO </t>
  </si>
  <si>
    <t xml:space="preserve">CARDENAS ACERO GUSTAVO </t>
  </si>
  <si>
    <t>ACOSTA VANEGAS GERMAN ROBERTO</t>
  </si>
  <si>
    <t>RIZO CACERES FABIO ARTURO</t>
  </si>
  <si>
    <t>NIÑO BECERRA JORGE DANIEL</t>
  </si>
  <si>
    <t>PUERTO BECERRA LUIS ARMANDO</t>
  </si>
  <si>
    <t xml:space="preserve">ROJAS VELANDIA HENRY </t>
  </si>
  <si>
    <t>PEDRAZA BECERRA JOSE HORACIO</t>
  </si>
  <si>
    <t xml:space="preserve">BECERRA ALVARADO  JUAN JOSE </t>
  </si>
  <si>
    <t xml:space="preserve">WILCHES  JORGE </t>
  </si>
  <si>
    <t xml:space="preserve">FAJARDO QUIJANO MARIO </t>
  </si>
  <si>
    <t xml:space="preserve">FAJARDO QUIJANO FABIO </t>
  </si>
  <si>
    <t>BARAJAS CASTRO HAMER EDUARDO</t>
  </si>
  <si>
    <t>SOSA VALDERRAMA HECTOR JULIO</t>
  </si>
  <si>
    <t>MORALES MORALES VICTOR JULIO</t>
  </si>
  <si>
    <t>AGUILAR MORENO MARIO ALFREDO</t>
  </si>
  <si>
    <t>VIVAS  CAMPO IGNACIO</t>
  </si>
  <si>
    <t>HIGUERA VALDERRAMA DILBAR ALFONSO</t>
  </si>
  <si>
    <t>LOPEZ DIAZ WILLAM JOSE</t>
  </si>
  <si>
    <t>CAMARGO .  JOSE ENRIQUE</t>
  </si>
  <si>
    <t xml:space="preserve">GUTIERREZ PINTO PEDRO </t>
  </si>
  <si>
    <t xml:space="preserve">ESPITIA  NELSON </t>
  </si>
  <si>
    <t xml:space="preserve">PINEDA GACHARNA ARISTIDES </t>
  </si>
  <si>
    <t xml:space="preserve">BLANCO PEREZ ORLANDO </t>
  </si>
  <si>
    <t xml:space="preserve">RINCON SEGURA SIGIFREDO </t>
  </si>
  <si>
    <t>PAREDES AVELLANEDA PEDRO ALEJANDRO</t>
  </si>
  <si>
    <t xml:space="preserve">SOTO PARAMO  GUSTAVO </t>
  </si>
  <si>
    <t xml:space="preserve">CELY  GONZALO </t>
  </si>
  <si>
    <t>BECERRA GONZALEZ ANGEL MERARDO</t>
  </si>
  <si>
    <t>SANTOS SANTOS JAIRO RAMIRO</t>
  </si>
  <si>
    <t>PICO REYES SEGUNDO GUILLERMO</t>
  </si>
  <si>
    <t>CASTAÑEDA FERRER JORGE ERNESTO</t>
  </si>
  <si>
    <t>VALDERRAMA CAMARGO LUIS HUMBERTO</t>
  </si>
  <si>
    <t xml:space="preserve">VILLAMARIN DIAZ ESTANISLAO </t>
  </si>
  <si>
    <t>VARGAS SALCEDO JAIME ALFONSO</t>
  </si>
  <si>
    <t>MOLANO BECERRA JHON IGNACIO</t>
  </si>
  <si>
    <t xml:space="preserve">ROSAS PITA  RAFAEL </t>
  </si>
  <si>
    <t>MONTANEZ USCATEGUI JOSE REIMUNDO</t>
  </si>
  <si>
    <t>CHAPARRO CELY LUIS ALBERTO</t>
  </si>
  <si>
    <t xml:space="preserve">TRIANA RIVERA MILTON </t>
  </si>
  <si>
    <t>VERGARA  LUIS ALBERTO</t>
  </si>
  <si>
    <t xml:space="preserve">SANCHEZ OCHOA GUILLERMO </t>
  </si>
  <si>
    <t>CARDENAS RAVELO MILTON ORLANDO</t>
  </si>
  <si>
    <t>GALVIS SIABATO JORGE ALFREDO</t>
  </si>
  <si>
    <t>MARIÑO CAMACHO GERMAN NORBERTO</t>
  </si>
  <si>
    <t xml:space="preserve">PINEDA VEGA ULICES </t>
  </si>
  <si>
    <t>CHAPARRO OROZCO JUAN MANUEL</t>
  </si>
  <si>
    <t xml:space="preserve">ACEVEDO DUARTE RODOLFO </t>
  </si>
  <si>
    <t xml:space="preserve">TORRES TORRES  CAYETANO </t>
  </si>
  <si>
    <t>UYABA SEPULVEDA RAFAEL ANDRES</t>
  </si>
  <si>
    <t xml:space="preserve">TORRES GUEVARA REIMUNDO </t>
  </si>
  <si>
    <t>MOLANO  LUIS ALEJANDRO</t>
  </si>
  <si>
    <t xml:space="preserve">TIBADUIZA BALAGUERA ALVARO </t>
  </si>
  <si>
    <t>ACOSTA GOYA JORGE ENRIQUE</t>
  </si>
  <si>
    <t xml:space="preserve">GAITAN SANDOVAL HUMBERTO </t>
  </si>
  <si>
    <t>ESTUPIÑAN MERCHAN GERMAN OCAMPO</t>
  </si>
  <si>
    <t xml:space="preserve">MEDINA MEDINA RAUL </t>
  </si>
  <si>
    <t>SANA  JOSE ANANIAS</t>
  </si>
  <si>
    <t xml:space="preserve">ENRIQUE  JAIME </t>
  </si>
  <si>
    <t xml:space="preserve">SANCHEZ HERNANDEZ ALFONSO </t>
  </si>
  <si>
    <t xml:space="preserve">NIÑO CHAPARRO EDUARDO </t>
  </si>
  <si>
    <t xml:space="preserve">GALLO GALLO MARTIN </t>
  </si>
  <si>
    <t>VIVAS BECERRA JAIME HERNANDO</t>
  </si>
  <si>
    <t xml:space="preserve">ACEVEDO  LUIS </t>
  </si>
  <si>
    <t>CASTRO PUERTO LUIS GERARDO</t>
  </si>
  <si>
    <t>MEDINA BECERRA JAVIER ANTONIO</t>
  </si>
  <si>
    <t>DURAN TORRES BERNARDO ALIRIO</t>
  </si>
  <si>
    <t>VARGAS MARTINEZ ALVARO HUMBERTO DE JESUS</t>
  </si>
  <si>
    <t>ARIAS GOMEZ HUGO HERNAN</t>
  </si>
  <si>
    <t>VALDERRAMA PEDRAZA RODRIGO ANGEL</t>
  </si>
  <si>
    <t xml:space="preserve">CUVAQUE GUAJE HERNANDO </t>
  </si>
  <si>
    <t xml:space="preserve">BARRERA CORREDOR RICARDO </t>
  </si>
  <si>
    <t>CORREA TORRES SEGUNDO ISRRAEL</t>
  </si>
  <si>
    <t xml:space="preserve">CAMARGO HIGUERA ROBERTO </t>
  </si>
  <si>
    <t>GUTIERREZ RODRIGUEZ RAMON IGNACIO</t>
  </si>
  <si>
    <t>PEREZ FONSECA JORGE DE LOS REYES</t>
  </si>
  <si>
    <t xml:space="preserve">PINEDA NIÑO ERNERSTO </t>
  </si>
  <si>
    <t xml:space="preserve">PUERTO  FERNANDO </t>
  </si>
  <si>
    <t>REYES CRISTANCHO JORGE ANDRES</t>
  </si>
  <si>
    <t xml:space="preserve">RINCON VERDUGO GUSTAVO </t>
  </si>
  <si>
    <t>BARRERA CARVAJAL JOSE BENITO</t>
  </si>
  <si>
    <t>LUQUE BLANCO HENRY AGUSTIN</t>
  </si>
  <si>
    <t>LAGOS MARTINEZ NELSON ENRIQUE</t>
  </si>
  <si>
    <t>LEON GARCIA LUIS RAFAEL</t>
  </si>
  <si>
    <t xml:space="preserve">RAMIREZ  JESUS </t>
  </si>
  <si>
    <t>BECERRA ZANABRIA JOSE ARMANDO</t>
  </si>
  <si>
    <t>MANRIQUE ESPINDOLA RAMON DE JESUS</t>
  </si>
  <si>
    <t xml:space="preserve">QUIJANO CABRERA ALIRIO </t>
  </si>
  <si>
    <t xml:space="preserve">NOCUA DUEÑAS RODULFO </t>
  </si>
  <si>
    <t>CARVAJAL CRISTANCHO RAFAEL ANTONIO</t>
  </si>
  <si>
    <t xml:space="preserve">LIZARAZO VELASCO EDILBERTO </t>
  </si>
  <si>
    <t>HERNADEZ CHAPARRO JOSE EDGAR</t>
  </si>
  <si>
    <t>NINO NINO JOSE NOEL</t>
  </si>
  <si>
    <t>RINCON GALVIS FRANCKLYN ALFREDO</t>
  </si>
  <si>
    <t xml:space="preserve">LOPEZ MOLINA ARMANDO </t>
  </si>
  <si>
    <t xml:space="preserve">HERNANDEZ MERCHAN GILBERTO </t>
  </si>
  <si>
    <t>CARDOZO AFRICANO MARCO AURELIO</t>
  </si>
  <si>
    <t>CELY CANARIA JERMAN ENRIQUE</t>
  </si>
  <si>
    <t xml:space="preserve">DAVID  HENRY </t>
  </si>
  <si>
    <t xml:space="preserve">PATIÑO QUIJANO JULIO EDUARDO </t>
  </si>
  <si>
    <t xml:space="preserve">PATARROYO  JOGE </t>
  </si>
  <si>
    <t>REYES RINCON CESAR TIBERIO</t>
  </si>
  <si>
    <t>CORREA CORREA JUAN BAUTISTA</t>
  </si>
  <si>
    <t xml:space="preserve">VARGAS CARDENAS PABLO </t>
  </si>
  <si>
    <t>SISSA SISSA SEGUNDO LUIS</t>
  </si>
  <si>
    <t xml:space="preserve">HERNANDEZ GARCIA JACINTO </t>
  </si>
  <si>
    <t>VARGAS CRISTANCHO LUIS ANTONIO</t>
  </si>
  <si>
    <t>CHAPARRO IGUAVITA EDGAR HERNAN</t>
  </si>
  <si>
    <t>GAVIRIA SANCHEZ IVAN DARIO</t>
  </si>
  <si>
    <t xml:space="preserve">MANRRIQUE  OMAR HERNANDO </t>
  </si>
  <si>
    <t>CORREDOR CELY HECTOR MANUEL</t>
  </si>
  <si>
    <t>CELY BECERRA LUIS ANTONIO</t>
  </si>
  <si>
    <t>MEJIA SUAREZ JAIRO RAUL</t>
  </si>
  <si>
    <t>LARA PATIÑO JOSE IGNACIO</t>
  </si>
  <si>
    <t>BECERRA MUÑOZ HUGO ENRIQUE</t>
  </si>
  <si>
    <t>VELANDIA VELANDIA JAIRO ENRIQUE</t>
  </si>
  <si>
    <t xml:space="preserve">PEREZ VELANDIA LAUREANO </t>
  </si>
  <si>
    <t>GONZALEZ ORTIZ PEDRO PABLO</t>
  </si>
  <si>
    <t xml:space="preserve">MARQUES  LUIS ORLANDO </t>
  </si>
  <si>
    <t>CARDENAS CASTRO ARMANDO DE JESUS</t>
  </si>
  <si>
    <t>MESA HIGUERA LUIS GUILLERMO</t>
  </si>
  <si>
    <t>LARA SALAMANCA LUIS FRANCISCO</t>
  </si>
  <si>
    <t>ALBA GOMEZ WILLAM GERMAN</t>
  </si>
  <si>
    <t xml:space="preserve">BELTRAN  ALFREDO </t>
  </si>
  <si>
    <t>GARZON AGUIRRE OSCAR GUSTAVO</t>
  </si>
  <si>
    <t xml:space="preserve">BECERRA NEIRA ALBERTO </t>
  </si>
  <si>
    <t>BECERRA FONSECA GILBERTO DE JESUS</t>
  </si>
  <si>
    <t>BECERRA FUENTES LUIS ALBERTO</t>
  </si>
  <si>
    <t xml:space="preserve">MONROY  JOSE </t>
  </si>
  <si>
    <t>SANABRIA CHOCONTA JUAN RAMON</t>
  </si>
  <si>
    <t>REYES ACUNA FABIO FLAMINIO</t>
  </si>
  <si>
    <t>FAJARDO QUIJANO LUIS CEDIEL</t>
  </si>
  <si>
    <t>MERCHAN FLECHAS PEDRO EMILIO</t>
  </si>
  <si>
    <t>CHAPARRO PATIÑO CARLOS ARTURO</t>
  </si>
  <si>
    <t>ALBARRACIN SUA LUIS ALFREDO</t>
  </si>
  <si>
    <t>PESCA HIGUERA ISMAEL AGAPITO</t>
  </si>
  <si>
    <t>GONZALES VIVAS JUAN CARLOS</t>
  </si>
  <si>
    <t>GOMEZ TIBADUIZA JOSE LIBARDO</t>
  </si>
  <si>
    <t xml:space="preserve">CHINOME MATEUS GUILLERMO </t>
  </si>
  <si>
    <t>LOPEZ LOPEZ LUIS HERNANDO</t>
  </si>
  <si>
    <t xml:space="preserve">GUIO BARRERA HENRY </t>
  </si>
  <si>
    <t>LEON LEON LUIS ORLANDO</t>
  </si>
  <si>
    <t>SUAREZ RAMOS JOSE DEL CARMEN</t>
  </si>
  <si>
    <t>CASTAÑEDA  JULIO HERNAN</t>
  </si>
  <si>
    <t>SANTOYO ARDILA CARLOS RAUL</t>
  </si>
  <si>
    <t>NIÑO PEDRO MANUEL .</t>
  </si>
  <si>
    <t xml:space="preserve">SANCHEZ FLOREZ ERNESTO </t>
  </si>
  <si>
    <t xml:space="preserve">FONSECA CORREDOR DANIEL </t>
  </si>
  <si>
    <t xml:space="preserve">GONZALES GONZALES GUSTAVO </t>
  </si>
  <si>
    <t>PUERTO NITOLA JOSE JOAQUIN</t>
  </si>
  <si>
    <t xml:space="preserve">INFANTE  SERAFIN </t>
  </si>
  <si>
    <t>TOLOSA SUAREZ JUAN FERNANDO</t>
  </si>
  <si>
    <t>MONTOYA MONTOYA PEDRO NEL</t>
  </si>
  <si>
    <t>DALLOS DALLOS NEVARDO DE JESUS</t>
  </si>
  <si>
    <t>CARREÑO LEON LUIS FELIPE</t>
  </si>
  <si>
    <t>NEGRO TORRES PABLO CESAR</t>
  </si>
  <si>
    <t>MESA LEMUS JOSE TIBERIO</t>
  </si>
  <si>
    <t>ESPEJO MALDONADO JORGE ELIECER</t>
  </si>
  <si>
    <t xml:space="preserve">MONTAÑEZ ANTOLINES EDUARDO </t>
  </si>
  <si>
    <t xml:space="preserve">PEREZ  JOSE </t>
  </si>
  <si>
    <t>CASTELLANOS TOVAR JUAN CARLOS</t>
  </si>
  <si>
    <t>MEDINA ALARCON JOSE RICARDO</t>
  </si>
  <si>
    <t xml:space="preserve">RUEDA PINTO MAURICIO </t>
  </si>
  <si>
    <t xml:space="preserve">TURGA MARTINEZ  PARMENIO </t>
  </si>
  <si>
    <t>BECERRA CAMARGO SERGIO ARMANDO</t>
  </si>
  <si>
    <t>BECERRA MONTOYA CARLOS ARTURO</t>
  </si>
  <si>
    <t>MOGOLLON FERNANDEZ JORGE OSWALDO</t>
  </si>
  <si>
    <t xml:space="preserve">RICAURTE FLECHAS HERNANDO </t>
  </si>
  <si>
    <t>MOGOLLON AMEZQUITA JOSE MANUEL</t>
  </si>
  <si>
    <t>JOSUE ARMANDO HERRERA ALBA</t>
  </si>
  <si>
    <t>MANOSALVA LUIS ERNESTO</t>
  </si>
  <si>
    <t xml:space="preserve">PESCA PITA OMAR </t>
  </si>
  <si>
    <t>MORENO . JORGE ALBERTO</t>
  </si>
  <si>
    <t>CAMARGO CAMPOS LUIS ALBERTO</t>
  </si>
  <si>
    <t>CORREA OCHOA LUIS ALBERTO</t>
  </si>
  <si>
    <t>BAEZ ROA CARLOS ALBERTO</t>
  </si>
  <si>
    <t>PUERTO TORRES CARLOS ARTURO</t>
  </si>
  <si>
    <t xml:space="preserve">ALVARADO  MANUEL </t>
  </si>
  <si>
    <t>SOSA MATEUS JOSE JAIME</t>
  </si>
  <si>
    <t>NITOLA GONZALEZ JOSE ALONSO</t>
  </si>
  <si>
    <t xml:space="preserve">CARDENAZ  FAVIO </t>
  </si>
  <si>
    <t xml:space="preserve">Ruge Buitrago  Luis Alberto </t>
  </si>
  <si>
    <t>CEPEDA SANTOS LUIS ALBERTO</t>
  </si>
  <si>
    <t>FONSECA GUERRERO EDGAR MANUEL</t>
  </si>
  <si>
    <t xml:space="preserve">PEÑALOZA CHACON DOMINGO </t>
  </si>
  <si>
    <t>LIZARAZO RAMIREZ LIBARDO MAURICIO</t>
  </si>
  <si>
    <t>RAMIREZ GUARIN FABIO DE JESUS</t>
  </si>
  <si>
    <t xml:space="preserve">CAMARGO  ALBERTO </t>
  </si>
  <si>
    <t xml:space="preserve">BLANCO RINCON ARGEMIRO </t>
  </si>
  <si>
    <t>BECERRA AVENDAÑO PEDRO ENRRIQUE</t>
  </si>
  <si>
    <t>SUAREZ GARCIA JAIME ALBERTO</t>
  </si>
  <si>
    <t>VELANDIA ESCOBAR JORGE ENRIQUE</t>
  </si>
  <si>
    <t xml:space="preserve">GONZALO  EDGAR GONZALO </t>
  </si>
  <si>
    <t>BARRERA  LUIS ALBERTO</t>
  </si>
  <si>
    <t xml:space="preserve">BERNAL VARGAS CALIXTO </t>
  </si>
  <si>
    <t>BOHORQUEZ CRISTIAN JOSE VICENTE</t>
  </si>
  <si>
    <t>VILLATE ALFONSO ALFONSO JUAN MARTIN</t>
  </si>
  <si>
    <t>FLOREZ SILVA BRAULIO ORLANDO</t>
  </si>
  <si>
    <t>BECERRA RIAÑO CARLOS JULIO</t>
  </si>
  <si>
    <t>CORREDOR ESPEJO GERMAN LEONARDO</t>
  </si>
  <si>
    <t xml:space="preserve">CELY TRIANA ISMAEL </t>
  </si>
  <si>
    <t>DIAZ MATEUS LUIS HUMBERTO</t>
  </si>
  <si>
    <t xml:space="preserve">ZIMBAQUEVA MONTAÑEZ URIEL </t>
  </si>
  <si>
    <t xml:space="preserve">CELY CELY FAUSTINO </t>
  </si>
  <si>
    <t>LARA DUEÑAS LUIS GERMAN</t>
  </si>
  <si>
    <t>MOLANO BECERRA HUGO HERNANDO</t>
  </si>
  <si>
    <t xml:space="preserve">MESA TINJACA HERNAN </t>
  </si>
  <si>
    <t>BONILLA ROJAS JOSE HUMBERTO</t>
  </si>
  <si>
    <t xml:space="preserve">EDUARDO  GABRIEL </t>
  </si>
  <si>
    <t>HOLGUIN REYES LUIS ALEJANDRO</t>
  </si>
  <si>
    <t>MACHUCA NINO CARLOS ARTURO</t>
  </si>
  <si>
    <t xml:space="preserve">SANDOVAL  RAFAEL </t>
  </si>
  <si>
    <t xml:space="preserve">MARTINEZ  ALVARO </t>
  </si>
  <si>
    <t>MEDINA GUTIBONZA MAURICIO ANTONIO</t>
  </si>
  <si>
    <t>PUERTO LARA HENRY ALFONSO</t>
  </si>
  <si>
    <t>PEDRAZA REYES LUIS ARNULFO</t>
  </si>
  <si>
    <t xml:space="preserve">BECERRA CAMARGO ELIBERTO </t>
  </si>
  <si>
    <t xml:space="preserve">LADINO VELANDIA MARCOLINO </t>
  </si>
  <si>
    <t>LIZARAZO ESTUPIÑAN LUIS ENRIQUE</t>
  </si>
  <si>
    <t>GOMEZ CAMACHO MARIO ALONSO</t>
  </si>
  <si>
    <t>VEGA MORANTES LUIS ANTONIO</t>
  </si>
  <si>
    <t xml:space="preserve">TORRES BAEZ LIBARDO </t>
  </si>
  <si>
    <t>REYES GARCIA HECTOR GABRIEL</t>
  </si>
  <si>
    <t xml:space="preserve">GONZALEZ  ARCENIO </t>
  </si>
  <si>
    <t>HIGUERA PENA PEDRO JOSE</t>
  </si>
  <si>
    <t xml:space="preserve">ALBERTO LOPEZ MANUEL </t>
  </si>
  <si>
    <t xml:space="preserve">RINCON LOPEZ WILSON </t>
  </si>
  <si>
    <t>CORREA LOPEZ OSCAR RAFAEL</t>
  </si>
  <si>
    <t>NIETO GALINDO CARLOS ARTURO</t>
  </si>
  <si>
    <t>RODRIGUEZ TOBOS GONZALO ALEJANDRINO</t>
  </si>
  <si>
    <t>MERIDA DIAZ LUIS HUMBERTO</t>
  </si>
  <si>
    <t xml:space="preserve">LARA BECERRA WILLIAM </t>
  </si>
  <si>
    <t xml:space="preserve">AVELLANEDA MIRANDA LEONARDO </t>
  </si>
  <si>
    <t xml:space="preserve">MESA  WILLIAM </t>
  </si>
  <si>
    <t>ROJAS SALAZAR VICTOR JULIO</t>
  </si>
  <si>
    <t>CUSBA ALBARRACIN PABLO ENRIQUE</t>
  </si>
  <si>
    <t xml:space="preserve">CERON  JUAN </t>
  </si>
  <si>
    <t>GONZALES PARRA JORGE ALFREDO</t>
  </si>
  <si>
    <t xml:space="preserve">RAMIREZ CORREA ORLANDO </t>
  </si>
  <si>
    <t xml:space="preserve">CHAPARRO CERON NELSON </t>
  </si>
  <si>
    <t>LARA PEREZ MIGUEL ANTONIO</t>
  </si>
  <si>
    <t>TORRES MARTINEZ EDGAR WILSON</t>
  </si>
  <si>
    <t xml:space="preserve">VEGA MOLANO GERMAN </t>
  </si>
  <si>
    <t xml:space="preserve">LOPEZ QUIJANO ALFONSO </t>
  </si>
  <si>
    <t xml:space="preserve">ZABALA RODRIGUEZ EDGAR </t>
  </si>
  <si>
    <t>CARVAJAL SUTTA VICTOR JAIME</t>
  </si>
  <si>
    <t>ROJAS RINCON WILLIAM HERNANDO</t>
  </si>
  <si>
    <t>CAMARGO BOADA LUIS ANGEL</t>
  </si>
  <si>
    <t xml:space="preserve">ROSAS  WILLIAM </t>
  </si>
  <si>
    <t>PAEZ TOBITO WILLIAM ALBERTO</t>
  </si>
  <si>
    <t>DIAZ SOLANO CARLOS JULIO</t>
  </si>
  <si>
    <t xml:space="preserve">CALDERON MALAGON ALFONSO </t>
  </si>
  <si>
    <t>ROSAS AYALA ISMAEL ENRIQUE</t>
  </si>
  <si>
    <t>NIÑO RAMIREZ JULIO ROBERTO</t>
  </si>
  <si>
    <t xml:space="preserve">VILLAMIL  JHON </t>
  </si>
  <si>
    <t>ARAQUE CAMARGO LUIS HERNANDO</t>
  </si>
  <si>
    <t>CAMARGO MORENO FRANCISCO JAVIER</t>
  </si>
  <si>
    <t>BARRERA CHAPARRO JOSE DANIEL</t>
  </si>
  <si>
    <t>LIZARAZO RAMIREZ DENIX ALFREDO</t>
  </si>
  <si>
    <t>RINCON GONZALEZ LUIS CARLOS</t>
  </si>
  <si>
    <t>CASTRO BARRERA PEDRO HERNAN</t>
  </si>
  <si>
    <t>BAYONA MERCHAN JOSE TOVIAS</t>
  </si>
  <si>
    <t xml:space="preserve">PATARROYO CELY GUSTAVO </t>
  </si>
  <si>
    <t>PARRA CASTRO ALVARO MANUEL</t>
  </si>
  <si>
    <t xml:space="preserve">ACEVEDO TORRES  HECTOR JAIME </t>
  </si>
  <si>
    <t>FLOREZ RINCON JULIO CESAR</t>
  </si>
  <si>
    <t>PUERTO ROJAS JAVIER SOLIX</t>
  </si>
  <si>
    <t xml:space="preserve">PATARROYO PATARROYO HUGO </t>
  </si>
  <si>
    <t xml:space="preserve">ALBARRACIN LIZARAZO POMPEYO </t>
  </si>
  <si>
    <t>PARDO HUERTAS JORGE ORLANDO</t>
  </si>
  <si>
    <t>MEDINA DIAZ CARLOS JULIO</t>
  </si>
  <si>
    <t>SISSA BECERRA SEGUNDO JAIRO</t>
  </si>
  <si>
    <t>RAVELO  JULIO VICENTE</t>
  </si>
  <si>
    <t>GOMEZ GIL MARCO AURELIO</t>
  </si>
  <si>
    <t xml:space="preserve">GUARIN TORRES BELISARIO </t>
  </si>
  <si>
    <t>BAUTISTA RIVERA GUILLERMO ALONSO</t>
  </si>
  <si>
    <t>LARA SEGURA WILLIAM HERNANDO</t>
  </si>
  <si>
    <t xml:space="preserve">ANGARITA BERDUGO EZEQUIEL </t>
  </si>
  <si>
    <t xml:space="preserve">MORALES  FABIO </t>
  </si>
  <si>
    <t>SANDOVAL VARGAS JUAN CARLOS</t>
  </si>
  <si>
    <t xml:space="preserve">APARICIO CORREDOR JULIO </t>
  </si>
  <si>
    <t xml:space="preserve">SALAMANCA CUTA RAMON </t>
  </si>
  <si>
    <t xml:space="preserve">DURAN BARRETO HENRY </t>
  </si>
  <si>
    <t xml:space="preserve">CASTRO MORANTES  CARLOS ARTURO </t>
  </si>
  <si>
    <t xml:space="preserve">SUAREZ ALARCON REMIGIO </t>
  </si>
  <si>
    <t>DUITAMA REYES MAURO ANTONIO</t>
  </si>
  <si>
    <t xml:space="preserve">ALVAREZ CARACAS ARGEMIRO </t>
  </si>
  <si>
    <t>ASCENCIO ASCENCIO LUIS NORBERTO</t>
  </si>
  <si>
    <t>GARCIA VALDERRAMA EDILBERTO MANUEL</t>
  </si>
  <si>
    <t>ACERO CARREÑO LUIS GILBERTO</t>
  </si>
  <si>
    <t xml:space="preserve">BECERRA ALVARADO RICARDO </t>
  </si>
  <si>
    <t>SANDOVAL SANDOVAL GERARDO HUMBERTO</t>
  </si>
  <si>
    <t xml:space="preserve">SANCHEZ VARGAS ORLANDO </t>
  </si>
  <si>
    <t>HINCAPIE LEON JAVIER ALBERTO</t>
  </si>
  <si>
    <t>CARDENAS  LUIS ENRIQUE</t>
  </si>
  <si>
    <t xml:space="preserve">PUENTES  ELQUIN </t>
  </si>
  <si>
    <t>FIGUEREDO GARZON CESAR AUGUSTO</t>
  </si>
  <si>
    <t xml:space="preserve">MORENO RODRIGUEZ EDGAR </t>
  </si>
  <si>
    <t xml:space="preserve">MEDINA TALERO GERMAN </t>
  </si>
  <si>
    <t>CARRERO  LUIS ELIECER</t>
  </si>
  <si>
    <t xml:space="preserve">CASTRO CELY AGUSTIN </t>
  </si>
  <si>
    <t>MONTAÑA RIAÑO SEGUNDO ROBERTO</t>
  </si>
  <si>
    <t>RODRIGUEZ ACERO JOSE ANTONIO</t>
  </si>
  <si>
    <t>SOLANO TAMAYO LUIS ANTONIO</t>
  </si>
  <si>
    <t>CORREDOR    JIMENEZ JULIO CESAR</t>
  </si>
  <si>
    <t xml:space="preserve">LARA  ALVARO </t>
  </si>
  <si>
    <t>PEREZ VILLAMARIN LUIS GERARDO</t>
  </si>
  <si>
    <t>RIAÑO SANCHEZ LEONARDO ARTURO</t>
  </si>
  <si>
    <t>PEDRAZA GONZALEZ JOSE ALFREDO</t>
  </si>
  <si>
    <t>SUNA LADINO FERNANDO ALBERTO</t>
  </si>
  <si>
    <t>RODRIGUEZ SANABRIA EDGAR TOBIAS</t>
  </si>
  <si>
    <t>MARTINEZ JAIME HECTOR RODOLFO</t>
  </si>
  <si>
    <t>VALDERRAMA GALAN MIGUEL ANGEL</t>
  </si>
  <si>
    <t xml:space="preserve">CEPEDA CORREDOR  JOSE EDILBERTO </t>
  </si>
  <si>
    <t xml:space="preserve">CARDOZO BECERRA JAIRO </t>
  </si>
  <si>
    <t xml:space="preserve">RAMIREZ  JUAN </t>
  </si>
  <si>
    <t xml:space="preserve">FLORES GONZALEZ GUILLERMO </t>
  </si>
  <si>
    <t>SALAZAR NAVA JOSE CELESTINO</t>
  </si>
  <si>
    <t>GONZALEZ VIVAS FABIO RICARDO</t>
  </si>
  <si>
    <t>SANCHEZ GOMEZ WILSON HARRY</t>
  </si>
  <si>
    <t>FONSECA PATIÑO LUIS EDUARDO</t>
  </si>
  <si>
    <t>LEON CELY JUAN GILBERTO</t>
  </si>
  <si>
    <t>VARGAS AVELLANEDA LUIS ALFREDO</t>
  </si>
  <si>
    <t>PINEDA ABRIL JORGE EPIFANIO</t>
  </si>
  <si>
    <t>BECERRA CEPEDA JAIME JESUS</t>
  </si>
  <si>
    <t>OCHOA GRIMALDOS LUIS ELIECER</t>
  </si>
  <si>
    <t xml:space="preserve">LARA PATIÑO NORBERTO </t>
  </si>
  <si>
    <t>NIÑO CAMARGO FRANCY GERMAN</t>
  </si>
  <si>
    <t>VARGAS BAUTISTA LUIS ALFONSO</t>
  </si>
  <si>
    <t>SANDOVAL MORENO JAIRO ENRIQUE</t>
  </si>
  <si>
    <t>HIGUERA SANCHEZ PABLO ALBERTO</t>
  </si>
  <si>
    <t xml:space="preserve">JOSE JIMENO ALVARADO </t>
  </si>
  <si>
    <t>MORENO ALFONSO ALIRIO ANTONIO</t>
  </si>
  <si>
    <t xml:space="preserve">SOLER RICAURTE LEOPOLDO </t>
  </si>
  <si>
    <t xml:space="preserve">SIERRA NIÑO LEONEL </t>
  </si>
  <si>
    <t xml:space="preserve">GONZALEZ SANCHEZ  EDER LUIS </t>
  </si>
  <si>
    <t>ORTIZ PULIDO JOSE MIGUEL</t>
  </si>
  <si>
    <t xml:space="preserve">TORRES MENDIVELSO HERNAN </t>
  </si>
  <si>
    <t xml:space="preserve">MEDINA TORRES  JUAN CARLOS </t>
  </si>
  <si>
    <t xml:space="preserve">HUMBERTO  MOLANO </t>
  </si>
  <si>
    <t>COLMENARES LEON LUIS ALBERTO</t>
  </si>
  <si>
    <t>BECERRA TORRES FABIO ALCIDES</t>
  </si>
  <si>
    <t>GONZALEZ HIGUERA SERGIO FELIPE</t>
  </si>
  <si>
    <t xml:space="preserve">ALVAREZ HERNANDEZ JAIME </t>
  </si>
  <si>
    <t xml:space="preserve">BARRERA BOHORQUEZ ROLANDO </t>
  </si>
  <si>
    <t>GUIO GARZON JOSE ALFREDO</t>
  </si>
  <si>
    <t>TAMAYO AMEZQUITA JOSE DOMINGO</t>
  </si>
  <si>
    <t>GUEVARA NOY LUIS ERNESTO</t>
  </si>
  <si>
    <t>GARCIA SOLANO HENRY ENRIQUE</t>
  </si>
  <si>
    <t>CLAROS  JOSE FERNANDO</t>
  </si>
  <si>
    <t>NIÑO SANTA MARIA EDGAR ARIEL</t>
  </si>
  <si>
    <t xml:space="preserve">APARICIO BARON GILBERTO </t>
  </si>
  <si>
    <t xml:space="preserve">ARAQUE CUEVAS DAGOBERTO </t>
  </si>
  <si>
    <t>MONTAÑEZ CORREDOR JORGE ALEXIS</t>
  </si>
  <si>
    <t>RAMIREZ RODRIGUEZ VICTOR MANUEL</t>
  </si>
  <si>
    <t>RINCON SANABRIA LUIS JOSE</t>
  </si>
  <si>
    <t>NITOLA AMAYA WILSON GILBERTO</t>
  </si>
  <si>
    <t>BERNAL NIÑO JOSE MIGUEL</t>
  </si>
  <si>
    <t>BARRERA RODRIGUEZ CARLOS ROBERTO</t>
  </si>
  <si>
    <t>BONILLA  LUIS ALFREDO</t>
  </si>
  <si>
    <t>JOYA ROJAS LUIS JOSE</t>
  </si>
  <si>
    <t xml:space="preserve">TORRES MARTINEZ  WILIAM </t>
  </si>
  <si>
    <t>SANDOVAL VARGAS LUIS JOSE</t>
  </si>
  <si>
    <t>BECERRA PARRA CARLOS JULIO</t>
  </si>
  <si>
    <t>SAAVEDRA BORJA OSCAR MAURICIO</t>
  </si>
  <si>
    <t>LOPEZ  CARLOS HUMBERTO</t>
  </si>
  <si>
    <t>SUELTA PULIDO MIGUEL TOBIAS</t>
  </si>
  <si>
    <t>VIVAS AGUDELO JAIRO ELIAS</t>
  </si>
  <si>
    <t xml:space="preserve">TORRES RIVADENEIRA OSWALDO </t>
  </si>
  <si>
    <t xml:space="preserve">MEDINA REYES EMILIANO </t>
  </si>
  <si>
    <t>MOGOLLON MARIÑO NESTOR ORLANDO</t>
  </si>
  <si>
    <t xml:space="preserve">VILLAMIL ANGARITA JAIME </t>
  </si>
  <si>
    <t xml:space="preserve">FLOREZ BAEZ URIEL </t>
  </si>
  <si>
    <t>RINCON FONSECA JAIRO ARTURO</t>
  </si>
  <si>
    <t xml:space="preserve">MEDINA HIGUERA  CARLOS EDUARDO </t>
  </si>
  <si>
    <t>MEDINA TORRES GERMAN EDUARDO</t>
  </si>
  <si>
    <t>SANDOVAL CORREDOR LUIS ANTONIO</t>
  </si>
  <si>
    <t>MARTINEZ CELY PABLO HERNAN</t>
  </si>
  <si>
    <t xml:space="preserve">PEDRAZA MARTINEZ MAURICIO </t>
  </si>
  <si>
    <t>ABRIL TRUJILLO JHON NELSON</t>
  </si>
  <si>
    <t>AGUILLON CORREDOR HECTOR MIGUEL</t>
  </si>
  <si>
    <t>VEGA GUTIERREZ JORGE ORLANDO</t>
  </si>
  <si>
    <t>VALCARCEL NIÑO MAURICIO JOAQUIN</t>
  </si>
  <si>
    <t xml:space="preserve">VEGA FLOREZ ORLANDO </t>
  </si>
  <si>
    <t>SUAREZ LEON PEDRO GUSTAVO</t>
  </si>
  <si>
    <t>CHACON CORREDOR HENRY HUMBERTO</t>
  </si>
  <si>
    <t xml:space="preserve">RODRIGUEZ SALCEDO FERNANDO </t>
  </si>
  <si>
    <t>TORRES TORRES OMAR ADOLFO</t>
  </si>
  <si>
    <t xml:space="preserve">MORANTES CACERES ORLANDO </t>
  </si>
  <si>
    <t xml:space="preserve">GONZALES RIVERA POLICARPO </t>
  </si>
  <si>
    <t>CIFUENTES SOLER WILLIAN EDUARDO</t>
  </si>
  <si>
    <t>DUENAS HERRERA LUIS EDUARDO</t>
  </si>
  <si>
    <t xml:space="preserve">APONTE ESTUPIÑAN GUILLERMO </t>
  </si>
  <si>
    <t xml:space="preserve">CASTRO BENAVIDES  JUAN JOSE </t>
  </si>
  <si>
    <t xml:space="preserve">ARCHILA MERCHAN RODRIGO </t>
  </si>
  <si>
    <t>PERICO FERNANDEZ CARLOS ALIRIO</t>
  </si>
  <si>
    <t>GRANADOS MATEUS PEDRO ANTONIO</t>
  </si>
  <si>
    <t>MOJICA  MAURICIO AFRICANO</t>
  </si>
  <si>
    <t>FERNANDEZ MORALES FLAVIO HUMBERTO</t>
  </si>
  <si>
    <t xml:space="preserve">GARCIA ALBARRACIN ALBEIRO </t>
  </si>
  <si>
    <t>CARDENAS  ALFONSO RAMIRO</t>
  </si>
  <si>
    <t>GONZALEZ GONZALEZ CRISTOBAL RODOLFO</t>
  </si>
  <si>
    <t>CARDENAS PUERTO JAIRO ALIRIO</t>
  </si>
  <si>
    <t>GONZALEZ MERCHAN LUIS GUILLERMO</t>
  </si>
  <si>
    <t>ACEVEDO DUARTE CARLOS HUMBERTO</t>
  </si>
  <si>
    <t xml:space="preserve">FLORES SOLANO MARTIN </t>
  </si>
  <si>
    <t>ALARCO GUARIN JUAN PABLO</t>
  </si>
  <si>
    <t>LUIS FELIPE VIJA CIENDUA</t>
  </si>
  <si>
    <t xml:space="preserve">ROJAS CORREGIDOR ARNULFO </t>
  </si>
  <si>
    <t>SILVA VARGAS LUIS FERNANDO</t>
  </si>
  <si>
    <t>GARZON VELANDIA HECTOR JULIO</t>
  </si>
  <si>
    <t xml:space="preserve">CARO SANCHEZ GERMAN </t>
  </si>
  <si>
    <t>TORRES RINCON JORGE ELIEZER</t>
  </si>
  <si>
    <t>MORENO CAMARGO JORGE ALFREDO</t>
  </si>
  <si>
    <t>RICO MOGOLLON CARLOS ALBERTO</t>
  </si>
  <si>
    <t>MEDINA PEDRAZA EDGAR CRISANTO</t>
  </si>
  <si>
    <t xml:space="preserve">MORALES MORALES  JUAN JOSE </t>
  </si>
  <si>
    <t>CAMARGO NITOLA JOSE ADOLFO</t>
  </si>
  <si>
    <t xml:space="preserve">EDGAR  VICTOR </t>
  </si>
  <si>
    <t>TIBADUIZA PARRA LUIS ISRAEL</t>
  </si>
  <si>
    <t>BERNAL RICARDO RICARDO DIAZ</t>
  </si>
  <si>
    <t>PARRA CALIXTO LUIS ALEJANDRO</t>
  </si>
  <si>
    <t xml:space="preserve">LOPEZ AHUMADA ALFONSO </t>
  </si>
  <si>
    <t>NUÑEZ  NELSON GERMAN</t>
  </si>
  <si>
    <t>HERNANDEZ MOJICA JORGE RICARDO</t>
  </si>
  <si>
    <t>SANTOS SANTOS OSCAR ORLANDO</t>
  </si>
  <si>
    <t>MEDRANO  JUAN MANUEL</t>
  </si>
  <si>
    <t>PATIÑO NIÑO TOBIAS HORACIO</t>
  </si>
  <si>
    <t>CAMACHO ROMERO PEDRO ANTONIO</t>
  </si>
  <si>
    <t xml:space="preserve">SAAVEDRA SALAZAR ALONSO </t>
  </si>
  <si>
    <t xml:space="preserve">QUINTERO NINO  EDGAR JOAQUIN </t>
  </si>
  <si>
    <t>RODRIGUEZ GOMEZ FAVIO DE JESUS</t>
  </si>
  <si>
    <t>PEREZ NOVA JOSE ANULFO</t>
  </si>
  <si>
    <t>GONZALEZ VARGAS GUILLERMO ALFONSO</t>
  </si>
  <si>
    <t>FONSECA AVILA PABLO ANTONIO</t>
  </si>
  <si>
    <t>NIÑO GONZALEZ MIGUEL ANTONIO</t>
  </si>
  <si>
    <t>ROJAS RODRIGUEZ JOSE SENON</t>
  </si>
  <si>
    <t xml:space="preserve">CAMARGO MORALES NAIRO </t>
  </si>
  <si>
    <t>BECERRA LOPEZ ANGEL OBDULIO</t>
  </si>
  <si>
    <t>DUEÑAS ESTUPIÑAN JESUS MARTIN</t>
  </si>
  <si>
    <t>DUARTE GUTIERREZ PEDRO ELIAS</t>
  </si>
  <si>
    <t>ARENAS CAMACHO JUAN DE LA CRUZ</t>
  </si>
  <si>
    <t xml:space="preserve">VERDUGO  LUIS </t>
  </si>
  <si>
    <t>ROJAS RAMIREZ WILLIAM EDUARDO</t>
  </si>
  <si>
    <t xml:space="preserve">BAEZ SALCEDO NAHUN </t>
  </si>
  <si>
    <t>AGUIRRE . MARTIN EMILIO</t>
  </si>
  <si>
    <t xml:space="preserve">RODRIGUEZ  JOSE </t>
  </si>
  <si>
    <t xml:space="preserve">RICAURTE NITOLA ORLANDO </t>
  </si>
  <si>
    <t xml:space="preserve">RAVELO RAVELO CRISOSTOMO </t>
  </si>
  <si>
    <t xml:space="preserve">TORRES RINCON HERNANDO </t>
  </si>
  <si>
    <t>PITA .  CARLOS JULIO</t>
  </si>
  <si>
    <t>SANDOVAL CAMARGO HECTOR ARMANDO</t>
  </si>
  <si>
    <t xml:space="preserve">PEREZ SANABRIA VICENTE </t>
  </si>
  <si>
    <t xml:space="preserve">QUIJANO CABRERA DIEGO </t>
  </si>
  <si>
    <t>SANDOVAL GUEVARA HECTOR ALFONSO</t>
  </si>
  <si>
    <t>PITA VASQUEZ EDGAR JAVIER</t>
  </si>
  <si>
    <t xml:space="preserve">TORRES VALDERRAMA GUSTAVO </t>
  </si>
  <si>
    <t>CABRA CAMARGO ALVARO IVAN</t>
  </si>
  <si>
    <t xml:space="preserve">BECERRA VARGAS  JAVIER ARMANDO </t>
  </si>
  <si>
    <t>ACOSTA ROJAS HENRY MAURICIO</t>
  </si>
  <si>
    <t>MARTINEZ ACEVEDO GABRIEL ANTONIO</t>
  </si>
  <si>
    <t>NEIRA PINZON DANIEL ALEXANDER</t>
  </si>
  <si>
    <t>NOVA VELOZA LUIS CARLOS</t>
  </si>
  <si>
    <t>CAMARGO INFANTE FERNANDO ALBERTO</t>
  </si>
  <si>
    <t>HIGUERA SANCHEZ FABIAN LEONARDO</t>
  </si>
  <si>
    <t xml:space="preserve">BAEZ . GERMAN </t>
  </si>
  <si>
    <t>SILVA CASTRO LUIS FRANCISCO</t>
  </si>
  <si>
    <t>SANABRIA MONTAÑEZ RAFAEL ALBERTO</t>
  </si>
  <si>
    <t>GOMEZ GOMEZ DIEGO GERMAN</t>
  </si>
  <si>
    <t>RUIZ AMEZQUITA JUAN CARLOS</t>
  </si>
  <si>
    <t>ALVAREZ MARTINEZ GELACIO MIGUEL</t>
  </si>
  <si>
    <t xml:space="preserve">VIVAS SILVA HECTOR </t>
  </si>
  <si>
    <t xml:space="preserve">BECERRA MERCHAN ALEX </t>
  </si>
  <si>
    <t>MATHEUS ROCHA OSCAR HORACIO</t>
  </si>
  <si>
    <t>FUENTES PEREZ LUIS ORLANDO</t>
  </si>
  <si>
    <t>FUENTES CABRA RICHARD MAURICIO</t>
  </si>
  <si>
    <t>BECERRA  PEDRO ANTONIO</t>
  </si>
  <si>
    <t xml:space="preserve">PEREZ  WILLIAM </t>
  </si>
  <si>
    <t>BECERRA SALAMANCA PEDRO ANTONIO</t>
  </si>
  <si>
    <t>AVELLA CHACON MAURO EDUAR</t>
  </si>
  <si>
    <t>ALFONSO CAMACHO JOSE EDGAR</t>
  </si>
  <si>
    <t>NITOLA CAMARGO JOSE GABRIEL</t>
  </si>
  <si>
    <t>TORRES LOPEZ ALVARO GABRIEL</t>
  </si>
  <si>
    <t xml:space="preserve">GONZALEZ CHAPARO NORBERTO </t>
  </si>
  <si>
    <t xml:space="preserve">CASAS TIRIA GILBERTO </t>
  </si>
  <si>
    <t xml:space="preserve">ENRIQUE  GERMAN </t>
  </si>
  <si>
    <t xml:space="preserve">PACHECO SALCEDO JAVIER </t>
  </si>
  <si>
    <t xml:space="preserve">GONZALEZ CUERVO GUSTAVO </t>
  </si>
  <si>
    <t>TRISTANCHO MOLANO JULIO CESAR</t>
  </si>
  <si>
    <t>SANABRIA  LUIS FERNANDO</t>
  </si>
  <si>
    <t>DIAZ CARDENAS LUIS ALBERTO</t>
  </si>
  <si>
    <t>CARDENAS CUSBA LUIS GUILLERMO</t>
  </si>
  <si>
    <t>SALCEDO CAMARGO JOSE DANIEL</t>
  </si>
  <si>
    <t>MARIÑO BOHORQUEZ JAVIER HERNANDO</t>
  </si>
  <si>
    <t>DAZA CHINOME OSCAR FERNEL</t>
  </si>
  <si>
    <t xml:space="preserve">VALDERRAMA  SANTIAGO </t>
  </si>
  <si>
    <t>BECERRA BECERRA ALDRIN JAVIER</t>
  </si>
  <si>
    <t xml:space="preserve">MORENO RODRIGUEZ HENRY </t>
  </si>
  <si>
    <t>HERNANDEZ MERCHAN HECTOR ELIAS</t>
  </si>
  <si>
    <t xml:space="preserve">RONCANCIO AGUILAR LEONARDO </t>
  </si>
  <si>
    <t>RIAÑO PINTO LUIS FERNANDO</t>
  </si>
  <si>
    <t xml:space="preserve">SUELTA PULIDO PABLO </t>
  </si>
  <si>
    <t xml:space="preserve">LIMAS MONROY JAVIER </t>
  </si>
  <si>
    <t>MONROY ROJAS JORGE ENRIQUE</t>
  </si>
  <si>
    <t xml:space="preserve">FIGUEREDO CHAPARRO ALBERTO </t>
  </si>
  <si>
    <t>BECERRA BECERRA JOSE ALFREDO</t>
  </si>
  <si>
    <t>BECERRA ROJAS JAIME EDUARDO</t>
  </si>
  <si>
    <t>SANDOVAL ROJAS CARLOS ARMANDO</t>
  </si>
  <si>
    <t xml:space="preserve">RODRIGUEZ GUAYABAN SERVANDO </t>
  </si>
  <si>
    <t>GONZALEZ GONZALEZ CARLOS ERNESTO</t>
  </si>
  <si>
    <t>BENAVIDES CAMACHO LUIS ALVARO</t>
  </si>
  <si>
    <t>ESTEBAN PINTO RAFAEL ANTONIO</t>
  </si>
  <si>
    <t>PALENCIA LOPEZ FRANCISCO OBDULIO</t>
  </si>
  <si>
    <t>PERALTA  WILLSON GERMAN</t>
  </si>
  <si>
    <t>TOBOS BARON ALEXANDER YIMI</t>
  </si>
  <si>
    <t xml:space="preserve">GARCIA  LEONARDO </t>
  </si>
  <si>
    <t>ARAQUE DIAZ JOSE GUILLERMO</t>
  </si>
  <si>
    <t xml:space="preserve">LEON PEREZ DARIO </t>
  </si>
  <si>
    <t xml:space="preserve">SANTOS MANRIQUE HECTOR </t>
  </si>
  <si>
    <t>LEON NINO CARLOS ALBERTO</t>
  </si>
  <si>
    <t>MORENO ALVAREZ CARLOS ARTURO</t>
  </si>
  <si>
    <t>CAMACHO RODRIGUEZ OSCAR ALVEIRO</t>
  </si>
  <si>
    <t xml:space="preserve">GUEVARA VELANDIA OSVALDO </t>
  </si>
  <si>
    <t xml:space="preserve">NIÑO DURAN WILLIAM </t>
  </si>
  <si>
    <t>PUERTO MORENO JAIRO ENRIQUE</t>
  </si>
  <si>
    <t>ROJAS CARVAJAL LUIS AQUILEO</t>
  </si>
  <si>
    <t>ROJAS SANTIEZTEBAN HUGO REINALDO</t>
  </si>
  <si>
    <t>PUERTO MORENO JORGE ARMANDO</t>
  </si>
  <si>
    <t>CHAPARRO RUIZ GERMAN YOVANI</t>
  </si>
  <si>
    <t>SANCHEZ MOJICA VICTOR HUGO</t>
  </si>
  <si>
    <t>PELAEZ ALFONSO LUIS LIBARDO</t>
  </si>
  <si>
    <t>ADAME . LUIS ANTONIO</t>
  </si>
  <si>
    <t>PATARROYO CELY JOSE MAXIMINO</t>
  </si>
  <si>
    <t xml:space="preserve">MARTINEZ ALVAREZ DIOMEDES </t>
  </si>
  <si>
    <t xml:space="preserve">ROBLES CELY FREDY </t>
  </si>
  <si>
    <t>FAJARDO  OMAR LORENZO</t>
  </si>
  <si>
    <t>SANCHEZ FLOREZ LUIS ALBERTO</t>
  </si>
  <si>
    <t xml:space="preserve">PRIETO ALBARRACIN  MIGUEL ANTONIO </t>
  </si>
  <si>
    <t xml:space="preserve">RIAÑO ABRIL HALDRIN </t>
  </si>
  <si>
    <t>PARRA CAMARGO OSCAR MAURICIO</t>
  </si>
  <si>
    <t>FAJARDO CUCHANGO PEDRO ALEJANDRO</t>
  </si>
  <si>
    <t xml:space="preserve">PIÑEROS  JULIO </t>
  </si>
  <si>
    <t>CUADROS VIVAS JOSE VICENTE</t>
  </si>
  <si>
    <t>FONSECA CRISTANCHO JULIO CESAR</t>
  </si>
  <si>
    <t>PAIPA GOMEZ NESTOR MEDARDO</t>
  </si>
  <si>
    <t>LARA  LUIS EDUARDO</t>
  </si>
  <si>
    <t>VIVAS CORREDOR JUAN CARLOS</t>
  </si>
  <si>
    <t>FERRUCHO GUZMAN DANIEL ALFONSO</t>
  </si>
  <si>
    <t xml:space="preserve">JORGE  SUAREZ </t>
  </si>
  <si>
    <t>FLOREZ  LUIS ALBERTO</t>
  </si>
  <si>
    <t xml:space="preserve">  COLMENARES LUIS   </t>
  </si>
  <si>
    <t>OCHOA PEREZ WILLIAM EDUARDO</t>
  </si>
  <si>
    <t>SANDOVAL CORREDOR PEDRO ALFONSO</t>
  </si>
  <si>
    <t xml:space="preserve">RODRIGUEZ GARAY  MATIAS </t>
  </si>
  <si>
    <t>SIACHOQUE CUADROS OSCAR ARMANDO</t>
  </si>
  <si>
    <t>SALAMANCA GONZALEZ JORGE ALBERTO</t>
  </si>
  <si>
    <t>PERILLA CAMARGO OMAR JAVIER</t>
  </si>
  <si>
    <t>SARMIENTO ESTUPIÑAN JAIME ENRIQUE</t>
  </si>
  <si>
    <t>MORENO BOLIVAR LUIS GABRIEL</t>
  </si>
  <si>
    <t>SALAMANCA GALVIS JOSE HARVEY</t>
  </si>
  <si>
    <t>CORREDOR RODRIGUEZ DIEGO GERARDO</t>
  </si>
  <si>
    <t xml:space="preserve">RODRIGUEZ SANABRIA OMAR </t>
  </si>
  <si>
    <t>ROJAS CORREGIDOR HELVER EUGENIO</t>
  </si>
  <si>
    <t xml:space="preserve">LEON DIAZ  BENJAMIN </t>
  </si>
  <si>
    <t>GARZON VELANDIA YONSO ALBERTO</t>
  </si>
  <si>
    <t>VERDUGO TELLEZ LUIS ANGEL</t>
  </si>
  <si>
    <t>PEREZ MORALES JOSE GABRIEL</t>
  </si>
  <si>
    <t>SANDOVAL NIÑO WILSON ALFONSO</t>
  </si>
  <si>
    <t>NIÑO CAMARGO JOSE LUIS</t>
  </si>
  <si>
    <t>GUEVARA PEREZ JORGE ENRIQUE</t>
  </si>
  <si>
    <t>PATIÑO QUIJANO LEONARDO JONHY</t>
  </si>
  <si>
    <t>PARRA AMADO JESUS DE</t>
  </si>
  <si>
    <t xml:space="preserve">AGUILAR  CRISTOBAL </t>
  </si>
  <si>
    <t>SANCHEZ FERRUCHO LUIS ALIRIO</t>
  </si>
  <si>
    <t>VELANDIA BECERRA RAFAEL ANTONIO</t>
  </si>
  <si>
    <t xml:space="preserve">VALDERRAMA LA ROTTA RAUL </t>
  </si>
  <si>
    <t xml:space="preserve">MARTINEZ AVILA JORGE </t>
  </si>
  <si>
    <t xml:space="preserve">GALVIS HERNANDEZ LUIS </t>
  </si>
  <si>
    <t xml:space="preserve">GARCIA GARCIA ULISES </t>
  </si>
  <si>
    <t>VALDERRAMA NIÑO JORGE ERNESTO</t>
  </si>
  <si>
    <t xml:space="preserve">BOTIA SILVA GUILLERMO </t>
  </si>
  <si>
    <t xml:space="preserve">JESUS  LUIS </t>
  </si>
  <si>
    <t>ALVARADO SANTAMARIA ELVIS FREDY</t>
  </si>
  <si>
    <t xml:space="preserve">TORRES TORRES GIOVANNI </t>
  </si>
  <si>
    <t>CUEVAS  NELSON ESPINDOLA</t>
  </si>
  <si>
    <t xml:space="preserve">VIVAS  RAFAEL </t>
  </si>
  <si>
    <t>AMADO GOMEZ LUIS ANTONIO</t>
  </si>
  <si>
    <t>HERRERA MEDINA PEDRO MANUEL</t>
  </si>
  <si>
    <t>PINTO CORREDOR JOSE ELIECER</t>
  </si>
  <si>
    <t>GRANADOS  LUIS FERNANDO</t>
  </si>
  <si>
    <t xml:space="preserve">SANTAMARIA GRANADOS BENJAMIN </t>
  </si>
  <si>
    <t>ARAQUE DIAZ NELSON ERNESTO</t>
  </si>
  <si>
    <t xml:space="preserve">FLOREZ PRIETO JORGE </t>
  </si>
  <si>
    <t>ORLANDO PINILLA PAEZ ORLANDO</t>
  </si>
  <si>
    <t xml:space="preserve">MESA APARICIO FABIAN </t>
  </si>
  <si>
    <t>GARZON NOVA JOSE ANTONIO</t>
  </si>
  <si>
    <t>MARTINEZ ZAMBRANO NELSON ORLANDO</t>
  </si>
  <si>
    <t>BERNAL VARGAS HECTOR JULIO</t>
  </si>
  <si>
    <t xml:space="preserve">AVENDANO AVENDANO  AMBROCIO </t>
  </si>
  <si>
    <t>CELY SALAMANCA RAUL ANTONIO</t>
  </si>
  <si>
    <t xml:space="preserve">TRV 15 30 53 RINCON ANTONIO </t>
  </si>
  <si>
    <t>SUAREZ CELY CARLOS EDUARDO</t>
  </si>
  <si>
    <t>MANRIQUE PUERTO JUAN MANUEL</t>
  </si>
  <si>
    <t>OROZCO MORALES LUIS ARGEMIRO</t>
  </si>
  <si>
    <t>VALDERRAMA CRISTIANO GABRIEL IGNACIO</t>
  </si>
  <si>
    <t>RUIZ VALDERRAMA FRANCISCO JOSE</t>
  </si>
  <si>
    <t xml:space="preserve">JULIO  CARLOS </t>
  </si>
  <si>
    <t xml:space="preserve">ORTEGA JOYA CAMILO </t>
  </si>
  <si>
    <t>PINEDA SILVA HENRY HUMBERTO</t>
  </si>
  <si>
    <t xml:space="preserve">BONILLA  PEDRO </t>
  </si>
  <si>
    <t>ALBERTO BRICEÑO GIOVANNY CELY</t>
  </si>
  <si>
    <t xml:space="preserve">UYAZAN LARROTA ARMANDO </t>
  </si>
  <si>
    <t xml:space="preserve">TIBADUIZA GARCIA  HENRY </t>
  </si>
  <si>
    <t>RAMIREZ GACHARNA SANDRO AURELIO</t>
  </si>
  <si>
    <t>BARRERA BOHORQUEZ JORGE ALBERTO</t>
  </si>
  <si>
    <t>GALINDO PUIN JAIME RUBIER</t>
  </si>
  <si>
    <t xml:space="preserve">POVEDA GARZON JAVIER </t>
  </si>
  <si>
    <t>HERREÑOZARATE  JOSELIN ANTONIO</t>
  </si>
  <si>
    <t>MATEUZ CONTRERAS OSCAR DANILO</t>
  </si>
  <si>
    <t xml:space="preserve">MARINO .  AGUSTIN </t>
  </si>
  <si>
    <t>PUERTO NUÑEZ VICTOR HERNANDO</t>
  </si>
  <si>
    <t xml:space="preserve">PEÑA  HOLMAN </t>
  </si>
  <si>
    <t>BONILLA CORREA WILSON ALFONSO</t>
  </si>
  <si>
    <t>MORENO MERCHAN CARLOS ORLANDO</t>
  </si>
  <si>
    <t>CASTILLO CORREDOR JAIME ALBERTO</t>
  </si>
  <si>
    <t xml:space="preserve">CAMARGO JOYA RAFAEL </t>
  </si>
  <si>
    <t>ORTIZ CHIA LUIS OMAR</t>
  </si>
  <si>
    <t>LUIS EDUARDO CHAPARRO SILVA</t>
  </si>
  <si>
    <t xml:space="preserve">CABRA PINTO GABRIEL </t>
  </si>
  <si>
    <t>MOGOLLON FERNANDEZ RODOLFO HUMBERTO</t>
  </si>
  <si>
    <t>CELY FUENTES LUIS ERNESTO</t>
  </si>
  <si>
    <t>GARCIA GARCIA HUGO ERNESTO</t>
  </si>
  <si>
    <t xml:space="preserve">ABRIL TRUJILLO HENRY </t>
  </si>
  <si>
    <t>CARDENAS PEDROZA JOSE OLIMPO</t>
  </si>
  <si>
    <t>FONSECA MONROY LUIS ENRIQUE</t>
  </si>
  <si>
    <t>RICAURTE FLECHAS HENRY ANSELMO</t>
  </si>
  <si>
    <t xml:space="preserve">RUIZ MARIÑO ARISTOBULO </t>
  </si>
  <si>
    <t>ROJAS CRISTANCHO FREDY ALBERTO</t>
  </si>
  <si>
    <t>ALVARADO ESPITIA HUGO DANILO</t>
  </si>
  <si>
    <t xml:space="preserve">GOMEZ ESPINEL  SEBASTIAN </t>
  </si>
  <si>
    <t>GUARIN GOMEZ FABIO ANTONIO</t>
  </si>
  <si>
    <t>PACHECO AGUILAR JOSE RODOLFO</t>
  </si>
  <si>
    <t>MILLAN NIÑO JORGE HUMBERTO</t>
  </si>
  <si>
    <t>GUIO GARZON SEGUNDO TOMAS</t>
  </si>
  <si>
    <t>BARBOSA SERRANO RICARDO JOSE</t>
  </si>
  <si>
    <t>RAMIREZ PEREZ JORGE ENRIQUE</t>
  </si>
  <si>
    <t xml:space="preserve">MOLINA GARCIA ROBERTO </t>
  </si>
  <si>
    <t xml:space="preserve">PARRA SIABATO FABIO </t>
  </si>
  <si>
    <t xml:space="preserve">VALDERAMA VALDERAMA PABLO </t>
  </si>
  <si>
    <t>PARRA BECERRA JOSE ALFREDO</t>
  </si>
  <si>
    <t>GOMEZ CASTRO RICARDO ARTURO</t>
  </si>
  <si>
    <t>SILVA RIOS ORLANDO ALBERTO</t>
  </si>
  <si>
    <t>OCHOA FLOREZ MARIO JAVIER</t>
  </si>
  <si>
    <t>CABRA TAMARA JOSE REINALDO</t>
  </si>
  <si>
    <t xml:space="preserve">SUAREZ NINO MAURICIO </t>
  </si>
  <si>
    <t>FUENTES BARINAS JORGE ANTONIO</t>
  </si>
  <si>
    <t xml:space="preserve">ARMANDO  JORGE </t>
  </si>
  <si>
    <t>PEREZ NOVA HENRY ALFONSO</t>
  </si>
  <si>
    <t>CEPEDA BARRERA EDWAR SEGUNDO</t>
  </si>
  <si>
    <t>RODRIGUEZ ZABALA EDGARDO ENRIQUE</t>
  </si>
  <si>
    <t xml:space="preserve">PALACIOS VELASQUEZ ORLANDO </t>
  </si>
  <si>
    <t>GIL GIL JOSE JAIME</t>
  </si>
  <si>
    <t>NORE CHAPARRO SANDRO JAVIER</t>
  </si>
  <si>
    <t>SANTOS CARVAJAL SIXTO ANTONIO</t>
  </si>
  <si>
    <t xml:space="preserve">CUEVAS MONTOYA YEFER </t>
  </si>
  <si>
    <t>MATEUS CERDENAS JUAN ROBERTO</t>
  </si>
  <si>
    <t xml:space="preserve">LARROTTA RODRIGUEZ ROBINSON </t>
  </si>
  <si>
    <t xml:space="preserve">ROJAS CEPEDA LIBARDO </t>
  </si>
  <si>
    <t xml:space="preserve">CHAPARRO BALLESTEROS  ABEL </t>
  </si>
  <si>
    <t>VERGARA GOMEZ MIGUEL ANGEL</t>
  </si>
  <si>
    <t xml:space="preserve">CHAPARRO ROSAS JOSE DEL CARMEN </t>
  </si>
  <si>
    <t xml:space="preserve">SANTOS SANTOS  VICENTE </t>
  </si>
  <si>
    <t xml:space="preserve">GIL  JORGE </t>
  </si>
  <si>
    <t>ESTEPA SANTOS SIERVO DE JESUS</t>
  </si>
  <si>
    <t>SANABRIA BOADA JUAN PABLO</t>
  </si>
  <si>
    <t xml:space="preserve">ANGARITA QUINTERO ALVARO </t>
  </si>
  <si>
    <t xml:space="preserve">PEREZ ROSAS WILLIAM </t>
  </si>
  <si>
    <t>PINTO JARRO wilson JAVIER</t>
  </si>
  <si>
    <t>ESTEPA ESTEPA JUAN ANTONIO</t>
  </si>
  <si>
    <t>MENDIVELSO MENDIVELSO JUAN DIEGO</t>
  </si>
  <si>
    <t>TIRIA . PABLO EMILIO</t>
  </si>
  <si>
    <t xml:space="preserve">GALINDO ROJAS JAIME </t>
  </si>
  <si>
    <t xml:space="preserve">BECERRA SALCEDO WILSON </t>
  </si>
  <si>
    <t>RICAURTE NITOLA ELBERT ALIRIO</t>
  </si>
  <si>
    <t>MORENO GARCIA OMAR ARNULFO</t>
  </si>
  <si>
    <t xml:space="preserve">QUINTERO MESA SAUL </t>
  </si>
  <si>
    <t>TORRES TORRES OSCAR ALFREDO</t>
  </si>
  <si>
    <t>SANCHEZ ACEVEDO JOSE RICARDO</t>
  </si>
  <si>
    <t>FAJARDO MONROY HERNANDO FABIO</t>
  </si>
  <si>
    <t>VELASCO BARON OMAR FERNANDO</t>
  </si>
  <si>
    <t>CARRANZ TORO JOSE RUBEN DARIO</t>
  </si>
  <si>
    <t>RINCON MORALES RAMIRO ANTONIO</t>
  </si>
  <si>
    <t>TRIANA BRICEÑO FABIO MIGUEL</t>
  </si>
  <si>
    <t xml:space="preserve">SANTANA ACOSTA FERNEY </t>
  </si>
  <si>
    <t xml:space="preserve">SANTANA ACOSTA NAIRO </t>
  </si>
  <si>
    <t>BECERRA SANTOS JULIO EMILIO</t>
  </si>
  <si>
    <t>ORTEGA JOYA JORGE ELIECER</t>
  </si>
  <si>
    <t xml:space="preserve">BECERRA  RICARDO </t>
  </si>
  <si>
    <t>TAPIAS CHAVARRO CESAR AUGUSTO</t>
  </si>
  <si>
    <t xml:space="preserve">FLECHAS GOMEZ WILLIAM </t>
  </si>
  <si>
    <t xml:space="preserve">MORENO  OSVALDO </t>
  </si>
  <si>
    <t>RODRIGUEZ  JHON JAIRO</t>
  </si>
  <si>
    <t>MESA DURAN SEGUNDO JOSUE</t>
  </si>
  <si>
    <t>RIAÑO  GERMAN OSWALDO</t>
  </si>
  <si>
    <t xml:space="preserve">CHAPARRO MONTAÑA AULISIS </t>
  </si>
  <si>
    <t>BARRETO GUTIERREZ CARLOS JULIO</t>
  </si>
  <si>
    <t>VARGAS ALBARRACIN NELSON AUGUSTO</t>
  </si>
  <si>
    <t xml:space="preserve">ALBERTO  JAIME </t>
  </si>
  <si>
    <t xml:space="preserve">NOCUA GRANADOS ANIBAL </t>
  </si>
  <si>
    <t xml:space="preserve">BECERRA PUERTO ORLANDO </t>
  </si>
  <si>
    <t>PUERTO RINCON CESAR MANUEL</t>
  </si>
  <si>
    <t>NEITA GUIO ALVARO ENRIQUE</t>
  </si>
  <si>
    <t>DIAZ RODRIGUEZ JULIUS ROBERT</t>
  </si>
  <si>
    <t xml:space="preserve">SALAMANCA  NELSON </t>
  </si>
  <si>
    <t>HIGUERA BARRERA JOSE MAURICIO</t>
  </si>
  <si>
    <t>JOYA BRICEÑO MARIO ANTONIO</t>
  </si>
  <si>
    <t>TORRES TOBITO EDGAR HUMBERTO</t>
  </si>
  <si>
    <t>OJEDA PEDRAZA OSCAR POLIDORO</t>
  </si>
  <si>
    <t xml:space="preserve">NINO CARRENO GUILLERMO </t>
  </si>
  <si>
    <t>FLOREZ LOPEZ HECTOR ALBERTO</t>
  </si>
  <si>
    <t xml:space="preserve">VARGAS BECERRA MAURICIO </t>
  </si>
  <si>
    <t>FUENTES CARDENAS ADRIAN RAFAEL</t>
  </si>
  <si>
    <t xml:space="preserve">VEGA PEÑALOZA WEIMAR </t>
  </si>
  <si>
    <t xml:space="preserve">RODRIGUEZ PEREZ MARIO </t>
  </si>
  <si>
    <t>FRACICA GONZALEZ OSCAR GABRIEL</t>
  </si>
  <si>
    <t xml:space="preserve">CORREDOR BECERRA ARISTOBULO </t>
  </si>
  <si>
    <t>ESPINDOLA  LUIS GUILLERMO</t>
  </si>
  <si>
    <t>AVELLANEDA  LUIS ADOLFO</t>
  </si>
  <si>
    <t>TAPIAS GUTIERREZ JOSE LUIS</t>
  </si>
  <si>
    <t>TIRIA OCHOA JUAN ARMANDO</t>
  </si>
  <si>
    <t>GONZALEZ GONZALEZ JORGE HERNANDO</t>
  </si>
  <si>
    <t>MURILLO BUITRAGO JAIRO ARMANDO</t>
  </si>
  <si>
    <t>FUENTES CELY NELSON LEONARDO</t>
  </si>
  <si>
    <t>RINCON GUIO MILLER YESID</t>
  </si>
  <si>
    <t xml:space="preserve">GABRIEL  JOSE </t>
  </si>
  <si>
    <t>VARGAS ACERO JOSE JOAQUIN</t>
  </si>
  <si>
    <t>NIÑO CUADROS ROSENDO OLINTO</t>
  </si>
  <si>
    <t>FAJARDO ROMERO EDGAR HUMBERTO</t>
  </si>
  <si>
    <t>REYES MARTINEZ JULIO RICARDO</t>
  </si>
  <si>
    <t>BECERRA BONZA GUILLERMO DANIEL</t>
  </si>
  <si>
    <t xml:space="preserve">PINTO GAMBOA PABLO </t>
  </si>
  <si>
    <t>PALACIOS LEAL HERBER LEON</t>
  </si>
  <si>
    <t xml:space="preserve">PEDRAZA PEDRAZA GERARDO </t>
  </si>
  <si>
    <t>SILVA VARCARCEL LUIS EDURDO</t>
  </si>
  <si>
    <t>CUY BARON JUAN ALBERTO</t>
  </si>
  <si>
    <t xml:space="preserve">ENRIQUE  HENRY </t>
  </si>
  <si>
    <t xml:space="preserve">BECERRA  JORGE </t>
  </si>
  <si>
    <t xml:space="preserve">PATIÑO BECERRA ORLANDO </t>
  </si>
  <si>
    <t xml:space="preserve">BAUTISTA MORALES MAURICIO </t>
  </si>
  <si>
    <t>RINCON REYES LUIS EDUARDO</t>
  </si>
  <si>
    <t>CELY  JAVIER HUMBERTO</t>
  </si>
  <si>
    <t>LIZARAZO RAMIREZ DIEGO ALONSO</t>
  </si>
  <si>
    <t>RODRIGUEZ LARROTA JOSE WILSON</t>
  </si>
  <si>
    <t xml:space="preserve">FONSECA BECERRA YECID </t>
  </si>
  <si>
    <t>LOPEZ QUIJANO  PABLO</t>
  </si>
  <si>
    <t>CAMARGO HIGUERA MARCO AURELIO</t>
  </si>
  <si>
    <t>HUMBERTO FONSECA PEDRO CAMARGO</t>
  </si>
  <si>
    <t>CARRILLO GARCIA HENRY YOBANNY</t>
  </si>
  <si>
    <t>BECERRA CABRA HECTOR JULIO</t>
  </si>
  <si>
    <t>VIVAS HOLGUIN JORGE EDUARDO</t>
  </si>
  <si>
    <t>HARNANDEZ RANGEL LIBARDO ENRIQUE</t>
  </si>
  <si>
    <t>JIMENEZ CORREDOR WILMAN RODOLFO</t>
  </si>
  <si>
    <t>GUEVARA CAMARGO JOSE LUIS</t>
  </si>
  <si>
    <t>BUSTACARA GARCIA LUIS FERNANDO</t>
  </si>
  <si>
    <t xml:space="preserve">FUENTES  ESTEBAN </t>
  </si>
  <si>
    <t>GALINDO CUELLAR MARIO FERNANDO</t>
  </si>
  <si>
    <t xml:space="preserve">VIVAS HOLGUIN RAUL </t>
  </si>
  <si>
    <t>DURAN SERRANO LUIS HERNANDO</t>
  </si>
  <si>
    <t xml:space="preserve">ARAQUE CUEVAS ELVER </t>
  </si>
  <si>
    <t>VEGA ALVAREZ JORGE OSWALDO</t>
  </si>
  <si>
    <t>PERALTA SOCADAGUI NELSON ALFONSO</t>
  </si>
  <si>
    <t xml:space="preserve">GARCIA FONSECA YEZID </t>
  </si>
  <si>
    <t xml:space="preserve">CAMARGO NITOLA GERMAN </t>
  </si>
  <si>
    <t>HERNANDEZ CHIA PEDRO JOSE</t>
  </si>
  <si>
    <t xml:space="preserve">LOPEZ MARIÑO OTONIEL </t>
  </si>
  <si>
    <t xml:space="preserve">ALVARADO FONSECA CARLOS </t>
  </si>
  <si>
    <t>GAONA VILLATE CARLOS ALBERTO</t>
  </si>
  <si>
    <t xml:space="preserve">GONZALEZ MARTINEZ LORENZO </t>
  </si>
  <si>
    <t xml:space="preserve">FONSECA  PLINIO </t>
  </si>
  <si>
    <t>RINCON PUENTES PABLO ALEXANDER</t>
  </si>
  <si>
    <t xml:space="preserve">SALAMANCA CRISTANCHO MANUEL </t>
  </si>
  <si>
    <t xml:space="preserve">URRUTIA  PEDRO </t>
  </si>
  <si>
    <t>NOTOLA CAMARGO CARLOS ALFONSO</t>
  </si>
  <si>
    <t>MARTINEZ AVILA GABRIEL ANTONIO</t>
  </si>
  <si>
    <t>VELANDIA BECERRA JAVIER ALFONSO</t>
  </si>
  <si>
    <t>TORRES GUEVARA JUAN CARLOS</t>
  </si>
  <si>
    <t xml:space="preserve">GARCIA SERRANO WILLAN </t>
  </si>
  <si>
    <t>AVILA PITA CARLOS ALBERTO</t>
  </si>
  <si>
    <t>VALDERRAMA  JUAN PABLO</t>
  </si>
  <si>
    <t>TAMAYO  JUAN MANUEL</t>
  </si>
  <si>
    <t>CABRA AVILA JOSE GABRIEL</t>
  </si>
  <si>
    <t xml:space="preserve">HURTADO MOLANO MAURICIO </t>
  </si>
  <si>
    <t>JOSE GUILLERMO BAEZ DUEÑAS</t>
  </si>
  <si>
    <t xml:space="preserve">YANQUEN PARADA MARTIN </t>
  </si>
  <si>
    <t>MOJICA MOJICA KING ANDREWS</t>
  </si>
  <si>
    <t>REYES LEON PEDRO MANUEL</t>
  </si>
  <si>
    <t>JEREZ BERRIO CESAR AUGUSTO</t>
  </si>
  <si>
    <t xml:space="preserve">GONZALEZ FLOREZ  HERMES </t>
  </si>
  <si>
    <t xml:space="preserve">JOYA SANDOVAL GUSTAVO </t>
  </si>
  <si>
    <t xml:space="preserve">HERNANDO PEDRAZA LUIS </t>
  </si>
  <si>
    <t xml:space="preserve">TAMARA VELOZA GONZALO </t>
  </si>
  <si>
    <t>ARIAS BECERRA FABIAN RODRIGO</t>
  </si>
  <si>
    <t>GALEANO SANCHEZ HENRY ALEXANDER</t>
  </si>
  <si>
    <t xml:space="preserve">CORDOBA SISSA GILBERTO </t>
  </si>
  <si>
    <t>BLANCO TIBADUIZA IGMAR JAVIER</t>
  </si>
  <si>
    <t>CARRILLO PRECIADO WILLIAM ORLANDO</t>
  </si>
  <si>
    <t>PIÑEROS MONREY ROBINSON JAVIER</t>
  </si>
  <si>
    <t>LOPEZ TRILLOS HUGO ALVEIRO</t>
  </si>
  <si>
    <t>ORTEGA DELGADO JULIO CESAR</t>
  </si>
  <si>
    <t xml:space="preserve">PACHON PAEZ DIOSDE </t>
  </si>
  <si>
    <t>CORTES LANCHEROS GUSTAVO ARTURO</t>
  </si>
  <si>
    <t>SALINAS AVILA LINO EUTIQUIO</t>
  </si>
  <si>
    <t>DELGADILLO  JOSE LEONARDO</t>
  </si>
  <si>
    <t>VILLAMIL ALARCON JOSE RICARDO</t>
  </si>
  <si>
    <t>CUEVAZ RINCON LUIS BERNARDO</t>
  </si>
  <si>
    <t>CUESTA BUITRAGO JOSE ISRAEL</t>
  </si>
  <si>
    <t>SILVA MEJIA NESTOR JUSTO</t>
  </si>
  <si>
    <t xml:space="preserve">SALINAS UMAÑA ELQUIN </t>
  </si>
  <si>
    <t xml:space="preserve">ROMERO MEDINA TIBERIO </t>
  </si>
  <si>
    <t>PORRAS SEPULVEDA EDWIN AUGUSTO</t>
  </si>
  <si>
    <t xml:space="preserve">MARTINEZ CELY SEGUNDO </t>
  </si>
  <si>
    <t>PEDRAZA GONZALEZ CARLOS ALBERTO</t>
  </si>
  <si>
    <t xml:space="preserve">BLANQUICETH  MIGUEL </t>
  </si>
  <si>
    <t xml:space="preserve">MEDINA NUÑEZ JAIRO </t>
  </si>
  <si>
    <t>BARRERA ADAME FABIO ESTEBAN</t>
  </si>
  <si>
    <t xml:space="preserve">GRIMALDOS GUINAND DAGOBERTO </t>
  </si>
  <si>
    <t xml:space="preserve">MORENO SIABATO FERNEY </t>
  </si>
  <si>
    <t>CALDERON ERAZO MARIA ANTHONIETTA</t>
  </si>
  <si>
    <t>PATARROYO ULLOA JORGE ANDRES</t>
  </si>
  <si>
    <t>MESA ESPEJO HUGO ALEXANDER</t>
  </si>
  <si>
    <t>ZAPATA PEREZ ROBERTO DE JESUS</t>
  </si>
  <si>
    <t>URIBE AGUIAR JORGE LUIS</t>
  </si>
  <si>
    <t xml:space="preserve">LA  UVITA CHAVES JACINTO </t>
  </si>
  <si>
    <t>TARAZONA BARBOSA JOSE FERNANDO</t>
  </si>
  <si>
    <t>CARTAGENA HERRERA CAMILO ANDRES</t>
  </si>
  <si>
    <t>CASTRO ECHAVARRIA JORGE LUIS</t>
  </si>
  <si>
    <t>CHACON ARRASOLA JESUS ANTONIO</t>
  </si>
  <si>
    <t>GOMEZ ARISTIZABAL WILSON EFREN</t>
  </si>
  <si>
    <t>VANEGAS DIAZ MANUEL SALVADOR</t>
  </si>
  <si>
    <t>TARRIBA MENCO BERNARDO JULIO</t>
  </si>
  <si>
    <t>BUITRAGO  JOSE DANIEL</t>
  </si>
  <si>
    <t xml:space="preserve">BALDOVINO  RAFAEL </t>
  </si>
  <si>
    <t xml:space="preserve">CORRALES JARABA HENRY </t>
  </si>
  <si>
    <t>SANCHEZ CARVAJAL OMAR WALDO</t>
  </si>
  <si>
    <t>SALAMANCA SOLER TRINO ENRIQUE</t>
  </si>
  <si>
    <t>ZUÑIGA AMAYA REYES FIDEL</t>
  </si>
  <si>
    <t>RANGEL MOJICA ALIRIO EBERTO</t>
  </si>
  <si>
    <t>BERNAL RINCON SIERVO RODRIGO</t>
  </si>
  <si>
    <t>CAYACHOA AMAYA PEDRO LUIS</t>
  </si>
  <si>
    <t>LOPEZ SALAMANCA JORGE ENRIQUE</t>
  </si>
  <si>
    <t>SUAREZ  GERSON MANUEL</t>
  </si>
  <si>
    <t>CORREDOR BARON JOHN WILLINGTON</t>
  </si>
  <si>
    <t>CARVAJAL GOMEZ JESUS DE</t>
  </si>
  <si>
    <t>ARISMENDY CELY CARLOS ANDRES</t>
  </si>
  <si>
    <t>MANRIQUE DIAZ VICTOR ALFONSO</t>
  </si>
  <si>
    <t>USCATEGUI ROJAS LUIS ALBEIRO</t>
  </si>
  <si>
    <t>LUIS ANTONIO MENDIVELSO RAVELO</t>
  </si>
  <si>
    <t>LUIS ANTONIO GOMEZ VELANDIA</t>
  </si>
  <si>
    <t xml:space="preserve">NIÑO GARCIA AGUSTIN </t>
  </si>
  <si>
    <t xml:space="preserve">RODRIGUES  ORLANDO </t>
  </si>
  <si>
    <t xml:space="preserve">COLMENAREZ REYES GILBERTO </t>
  </si>
  <si>
    <t>JARRO RODRIGUEZ JOSE LEONARDO</t>
  </si>
  <si>
    <t>RINCON LEON ROBER WILSON</t>
  </si>
  <si>
    <t>ROJAS VILLAMIL PEDRO ANTONIO</t>
  </si>
  <si>
    <t>PUERTO CARDENAS JAVIER URIEL</t>
  </si>
  <si>
    <t xml:space="preserve">BAYONA LEMUS HELIODORO </t>
  </si>
  <si>
    <t xml:space="preserve">CLLE 7 13 53 CELIS FABIAN </t>
  </si>
  <si>
    <t xml:space="preserve">ESPAÑOL ESTUPIÑAN NEMESIO </t>
  </si>
  <si>
    <t xml:space="preserve">RODRIGUEZ  ORLANDO </t>
  </si>
  <si>
    <t>FONSECA QUIJANO MANUEL RICARDO</t>
  </si>
  <si>
    <t xml:space="preserve">SANCHEZ MESA HERNANDO </t>
  </si>
  <si>
    <t xml:space="preserve">MUNOZ FRANCO  JOSE OVIDIO </t>
  </si>
  <si>
    <t xml:space="preserve">MONTANA SANCHEZ LIBARDO </t>
  </si>
  <si>
    <t xml:space="preserve">RUIZ GUAYDIA RAMIRO </t>
  </si>
  <si>
    <t xml:space="preserve">HOLGUIN AGUIRRE HERNAN </t>
  </si>
  <si>
    <t>RINCON VARGAS JOSE LUIS</t>
  </si>
  <si>
    <t>CONTRERAS AYALA LUIS ENRIQUE</t>
  </si>
  <si>
    <t>PORRAS CANTOR JAIME MAURICIO</t>
  </si>
  <si>
    <t xml:space="preserve">CUTA SILVA MOISES </t>
  </si>
  <si>
    <t>JIMENEZ PINTO MARCO ANTONIO</t>
  </si>
  <si>
    <t>HUERTAS  GIOVANNI CARRENO</t>
  </si>
  <si>
    <t xml:space="preserve">ROJAS REYES OMAR </t>
  </si>
  <si>
    <t>LEON GONZALEZ CESAR MILTON</t>
  </si>
  <si>
    <t>MOLINA 3112084002 JAIRO ANTONIO</t>
  </si>
  <si>
    <t>CHAPARRO MOYANO WILSON MANUEL</t>
  </si>
  <si>
    <t xml:space="preserve">ARIZA PINZON ADRIAN </t>
  </si>
  <si>
    <t>VELEZ MEDELLIN JOSE IGNACIO</t>
  </si>
  <si>
    <t xml:space="preserve">AMEZQUITA  LUIZ </t>
  </si>
  <si>
    <t xml:space="preserve">ALARCON CAMARGO NELSON </t>
  </si>
  <si>
    <t>CHAPARRO PATIÑO JOSE LIBARDO</t>
  </si>
  <si>
    <t>CRISTANCHO CHAPARRO JHON EDISON</t>
  </si>
  <si>
    <t>LOPEZ  JOSE HUMBERTO</t>
  </si>
  <si>
    <t xml:space="preserve">TOTAITIVE SALCEDO HECTOR </t>
  </si>
  <si>
    <t xml:space="preserve">CAMARGO AVELLA RAUL </t>
  </si>
  <si>
    <t>LOPEZ CASTILLO ALIRIO DE JESUS</t>
  </si>
  <si>
    <t xml:space="preserve">GUATAQUI RODRIGUEZ FRANCISCO </t>
  </si>
  <si>
    <t xml:space="preserve">LOPEZ CORREDOR GUSTAVO </t>
  </si>
  <si>
    <t xml:space="preserve">PIRAGAUTA DIAS NORBERTO </t>
  </si>
  <si>
    <t xml:space="preserve">Angarita Rojas Ezequiel </t>
  </si>
  <si>
    <t xml:space="preserve">GUTIERREZ RODRIGUEZ GUSTAVO </t>
  </si>
  <si>
    <t xml:space="preserve">DUCON  PEDRO </t>
  </si>
  <si>
    <t xml:space="preserve">COLMENARES RINCON CRISTO </t>
  </si>
  <si>
    <t>NARANJO PONGUTA PLINIO HERNANDO</t>
  </si>
  <si>
    <t>BELLO BAYONA SEGUNDO NICOLAS</t>
  </si>
  <si>
    <t xml:space="preserve">TORRES PORRAS OSWALDO </t>
  </si>
  <si>
    <t xml:space="preserve">PUERTO MEDINA GUSTAVO </t>
  </si>
  <si>
    <t>FAJARDO PEREZ JUAN HELY</t>
  </si>
  <si>
    <t>BARAJAS ESTUPIÑAN CESAR DE JESUS</t>
  </si>
  <si>
    <t>MEDINA SALAMANCA JOSE ALIRIO</t>
  </si>
  <si>
    <t xml:space="preserve">TORRES  JOSE </t>
  </si>
  <si>
    <t xml:space="preserve">RODRIGUEZ  PEDRAZA </t>
  </si>
  <si>
    <t>SANDOVAL CORREDOR CARLOS JULIO</t>
  </si>
  <si>
    <t>PEREZ MESA JOSE BENJAMIN</t>
  </si>
  <si>
    <t xml:space="preserve">GONZALEZ AFANADOR GONZALO </t>
  </si>
  <si>
    <t xml:space="preserve">HERNANDEZ HERNANDEZ MAURO </t>
  </si>
  <si>
    <t xml:space="preserve">CRUZ MELQUISEDEC MORENO </t>
  </si>
  <si>
    <t>FERNANDEZ RICAUTE JORGE ANDRES</t>
  </si>
  <si>
    <t>LOPEZ BELTRAN ROGER VIRGILIO</t>
  </si>
  <si>
    <t xml:space="preserve">ALVAREZ  PABLO </t>
  </si>
  <si>
    <t>ROJAS  JAIME HERNANDO</t>
  </si>
  <si>
    <t>MENDEZ MARQUEZ JAIME HUMBERTO</t>
  </si>
  <si>
    <t>RINCON SILVA JORGE ENRIQUE</t>
  </si>
  <si>
    <t xml:space="preserve">RINCON .  PASCUAL </t>
  </si>
  <si>
    <t>AMAYA ACEVEDO ALVARO HUMBERTO</t>
  </si>
  <si>
    <t>PACHECO CAMARGO LUIS ALEJANDRO</t>
  </si>
  <si>
    <t>MARTINEZ ACEVEDO JORGE ARMANDO</t>
  </si>
  <si>
    <t xml:space="preserve">GALINDO GARZON  FERNANDO </t>
  </si>
  <si>
    <t>VARGAS CHAPARRO JOSE ANTONIO</t>
  </si>
  <si>
    <t>MORENO  SERGIO ORLANDO</t>
  </si>
  <si>
    <t>CL 23 22 54 CASTRO MIGUEL ANTONIO</t>
  </si>
  <si>
    <t xml:space="preserve">LEON SALCEDO JORGE </t>
  </si>
  <si>
    <t>MORANTES HERNANDEZ RAFAEL LEONARDO</t>
  </si>
  <si>
    <t>MESA MESA PABLO EDUARDO</t>
  </si>
  <si>
    <t xml:space="preserve">PEREZ NARANJO MARCOS </t>
  </si>
  <si>
    <t>CAMARGO MEDINA PEDRO ANTONIO</t>
  </si>
  <si>
    <t xml:space="preserve">ROJAS RIVERA PLUTARCO </t>
  </si>
  <si>
    <t xml:space="preserve">FLOREZ RODRIGUEZ ARQUIMEDEZ </t>
  </si>
  <si>
    <t>GUEVARA AVELLA JOSE RAMON</t>
  </si>
  <si>
    <t>BERDUGO CELY JOSE ALBERTO</t>
  </si>
  <si>
    <t>VELANDIA GONZALEZ LUIS ANTONIO</t>
  </si>
  <si>
    <t>MALDONADO FORERO FABIO LUIS</t>
  </si>
  <si>
    <t>HUGO ENRIQUE CORREA BECERRA</t>
  </si>
  <si>
    <t>TORRES BERDUGO CARLOS ARTURO</t>
  </si>
  <si>
    <t xml:space="preserve">SANDOVAL  FLORIBERTO </t>
  </si>
  <si>
    <t xml:space="preserve">DIAZ  AUGUSTO </t>
  </si>
  <si>
    <t xml:space="preserve">RODRIGUEZ CELY ORLANDO </t>
  </si>
  <si>
    <t>DIAZ BOTIA CARLOS ALBERTO</t>
  </si>
  <si>
    <t>GUAQUIDA SOCHA PEDRO FERMIN</t>
  </si>
  <si>
    <t xml:space="preserve">LOPEZ GROSSO  HELI </t>
  </si>
  <si>
    <t xml:space="preserve">LOPEZ GROSSO BENEDICTO </t>
  </si>
  <si>
    <t>CELY TRIANA JOSE AURELIO</t>
  </si>
  <si>
    <t>AMAYA SILVA JAIME ALONSO</t>
  </si>
  <si>
    <t xml:space="preserve">ACEVEDO  EGIDIO </t>
  </si>
  <si>
    <t>SAENZ PACHECO VICTOR HERNADO</t>
  </si>
  <si>
    <t>ORTIZ  JESUS ALBERTO</t>
  </si>
  <si>
    <t xml:space="preserve">PEDROZA AVENDAÑO ADOLFO </t>
  </si>
  <si>
    <t>BALLESTEROS LEON LUIS  GILBERTO</t>
  </si>
  <si>
    <t>NIELSEN RAMIREZ CHRISTIAN</t>
  </si>
  <si>
    <t xml:space="preserve">REYES  JULIO </t>
  </si>
  <si>
    <t xml:space="preserve">NARANJO PONGUTA RODRIGO </t>
  </si>
  <si>
    <t>LUIS ERNESTO CARDENAS BARINAS</t>
  </si>
  <si>
    <t xml:space="preserve">ACEVEDO LOPEZ MARIO </t>
  </si>
  <si>
    <t>BARRERA CHAPARRO CESAR ORLANDO</t>
  </si>
  <si>
    <t xml:space="preserve">SANDOVAL HURTADO HILMO </t>
  </si>
  <si>
    <t>BARRERA ALBARRACIN JORGE HUMBERTO</t>
  </si>
  <si>
    <t>MALDONADO PEÑA JULIO ROBERTO</t>
  </si>
  <si>
    <t>CASTAÑEDA PUENTES JOSE ALFONSO</t>
  </si>
  <si>
    <t>SISA CAMARGO PEDRO JULIO</t>
  </si>
  <si>
    <t>CORREA PORRAS HECTOR JULIO</t>
  </si>
  <si>
    <t xml:space="preserve">CARREÑO  GUSTAVO </t>
  </si>
  <si>
    <t xml:space="preserve">CARDOZO HERNANDEZ LEONEL </t>
  </si>
  <si>
    <t xml:space="preserve">ANGEL CAMARGO  WILLIAM </t>
  </si>
  <si>
    <t>PLAZAS REYES PROSPERO ANTONIO</t>
  </si>
  <si>
    <t xml:space="preserve">ALARCON GOMEZ NELSON </t>
  </si>
  <si>
    <t xml:space="preserve">ROMERO MOLINA ROSEVEL </t>
  </si>
  <si>
    <t>RODRIGUEZ DEAKUIZ JUAN ESTEBAN</t>
  </si>
  <si>
    <t>GALLO SANCHEZ GUILLERMO HERNAN</t>
  </si>
  <si>
    <t>GUTIERREZ RIAÑO FABIO RODRIGO</t>
  </si>
  <si>
    <t>ALARCON  CARLOS JULIO</t>
  </si>
  <si>
    <t xml:space="preserve">RINCON GOMEZ GUSTAVO </t>
  </si>
  <si>
    <t xml:space="preserve">RODRIGUEZ SIERRA REINALDO </t>
  </si>
  <si>
    <t xml:space="preserve">AMEZQUITA GRANADOS CARLOS </t>
  </si>
  <si>
    <t>OTALORA OTALORA CARLOS JOSE</t>
  </si>
  <si>
    <t>TELLEZ MONTAÑEZ JUAN EDILBERTO</t>
  </si>
  <si>
    <t xml:space="preserve">VARGAS ROJAS YOBANY </t>
  </si>
  <si>
    <t xml:space="preserve">RODRIGUEZ  ALVARO </t>
  </si>
  <si>
    <t>PAIPA RINCON MARCO JULIO</t>
  </si>
  <si>
    <t xml:space="preserve">VARGAS CORREA ELEUTERIO </t>
  </si>
  <si>
    <t xml:space="preserve">CASTRO GARCIA ROBERTO </t>
  </si>
  <si>
    <t>TRIANA PATARROYO FREDY HUMBERTO</t>
  </si>
  <si>
    <t>MERCHAN OLARTE YESID ANTONIO</t>
  </si>
  <si>
    <t>ALBARRACIN BALAGUERA FREDY ALEXANDER</t>
  </si>
  <si>
    <t>ALBARRACIN BAUTISTA HELVERT NORBERTO</t>
  </si>
  <si>
    <t xml:space="preserve">RINCON  HECTOR </t>
  </si>
  <si>
    <t>FUENTES MORENO HUGO ALBERTO</t>
  </si>
  <si>
    <t>MOGOLLON VARGAS LUIS ELISEO</t>
  </si>
  <si>
    <t>ARAQUE DURAN OSCAR EDUARDO</t>
  </si>
  <si>
    <t>ARAQUE GALLO JUAN DANIEL</t>
  </si>
  <si>
    <t xml:space="preserve">MARIÑO  CARLOS </t>
  </si>
  <si>
    <t xml:space="preserve">VEGA VARGAS  PLACIDO </t>
  </si>
  <si>
    <t xml:space="preserve">GOMEZ VEGA OSMAN </t>
  </si>
  <si>
    <t>TRIANA PERICO FAER ANTONIO</t>
  </si>
  <si>
    <t>CASTRO CASTRO DARIO ANTONIO</t>
  </si>
  <si>
    <t xml:space="preserve">CARLOS  LUIS </t>
  </si>
  <si>
    <t xml:space="preserve">RIVERA ROJAS MAURICIO </t>
  </si>
  <si>
    <t>CASTRO GOMEZ EDILSON ARIEL</t>
  </si>
  <si>
    <t>RUIZ CASTRO HERNANDO ALONSO</t>
  </si>
  <si>
    <t>PEREZ PARADA JORGE WILLIAM</t>
  </si>
  <si>
    <t xml:space="preserve">MORENO MORENO GREGORIO </t>
  </si>
  <si>
    <t>CAMARGO BAYONA LUIS CARLOS</t>
  </si>
  <si>
    <t>TENJO TAMBO SEGUNDO MARCO TULIO</t>
  </si>
  <si>
    <t xml:space="preserve">MORENO MARTINEZ MISAEL </t>
  </si>
  <si>
    <t>LAVERDE MENDOZA LUIS EMIRO</t>
  </si>
  <si>
    <t>ROMERO HERRERA LUIS ALEXANDER</t>
  </si>
  <si>
    <t>DUEÑAS CASTRO LUIS EDUARDO</t>
  </si>
  <si>
    <t xml:space="preserve">CEPEDA  CIRO </t>
  </si>
  <si>
    <t xml:space="preserve">PEREZ RIVERA DARIO </t>
  </si>
  <si>
    <t xml:space="preserve">CUTHA RODRIGUEZ OSWALDO </t>
  </si>
  <si>
    <t>MONTAÑA ROBLES ARLEX ANTONIO</t>
  </si>
  <si>
    <t>MOJICA  JUAN CARLOS</t>
  </si>
  <si>
    <t xml:space="preserve">NIÑO  ALBINO </t>
  </si>
  <si>
    <t xml:space="preserve">OSORIO  MAURICIO </t>
  </si>
  <si>
    <t>HERRERA LOPEZ GUSTAVO ANTONIO</t>
  </si>
  <si>
    <t xml:space="preserve">ARCILA HERNANDEZ ANCIZAR DE JESUS </t>
  </si>
  <si>
    <t>CASTAÑEDA GALLEGO JHON JAIRO</t>
  </si>
  <si>
    <t xml:space="preserve">VARON  DIEGO </t>
  </si>
  <si>
    <t>LLANOS RIVERA JORGE ENRIQUE</t>
  </si>
  <si>
    <t>RUIZ VALDERRAMA JORGE ANTONIO</t>
  </si>
  <si>
    <t>MANJARREZ PULIDO VICTOR DOMINGO</t>
  </si>
  <si>
    <t>SANCHEZ LONDOÑO JOSE RAUL</t>
  </si>
  <si>
    <t xml:space="preserve">GOMEZ GRISALES DUVAN </t>
  </si>
  <si>
    <t>FLOREZ  EDUARDO RAFAEL</t>
  </si>
  <si>
    <t xml:space="preserve">LIZARAZO  MIGUEL </t>
  </si>
  <si>
    <t>PIZARRO SIMANCA MARCO TULIO</t>
  </si>
  <si>
    <t>PAEZ  GABRIEL ANTONIO</t>
  </si>
  <si>
    <t>SANDOVAL DIAZ JORGE ANTONIO</t>
  </si>
  <si>
    <t>MARTINEZ BLANCO JASON DENY</t>
  </si>
  <si>
    <t xml:space="preserve">SIERRA  LEONARDO </t>
  </si>
  <si>
    <t>RODRIGUEZ RODRIGUEZ JHON JAIRO</t>
  </si>
  <si>
    <t>DIAZ PAEZ JUAN PABLO</t>
  </si>
  <si>
    <t>RODRIGUEZ RODRIGUEZ JHON ALEXANDER</t>
  </si>
  <si>
    <t xml:space="preserve">SANCHEZ  ARLEY </t>
  </si>
  <si>
    <t xml:space="preserve">MOYA  ANDRES </t>
  </si>
  <si>
    <t xml:space="preserve">MONROY  JAIRO </t>
  </si>
  <si>
    <t>FERREIRA ANDRADE MIGUEL ADOLFO</t>
  </si>
  <si>
    <t xml:space="preserve">AVELLA GUTIERREZ  CAMILO ANDRES </t>
  </si>
  <si>
    <t>AVELLA GUTIERREZ WILSON ORLANDO</t>
  </si>
  <si>
    <t xml:space="preserve">ROJAS ALVARADO ARMANDO </t>
  </si>
  <si>
    <t>CANO QUIROGA DELIO ALFONSO</t>
  </si>
  <si>
    <t xml:space="preserve">SILVA GOMEZ JORGE ARMANDO </t>
  </si>
  <si>
    <t>RAMOS  LUIS HERNESTO</t>
  </si>
  <si>
    <t xml:space="preserve">PALACIOS SALAMANCA ANTONIO </t>
  </si>
  <si>
    <t>CASTILLO BERNAL JESUS HELVER</t>
  </si>
  <si>
    <t>ACEVEDO PAMPLONA WILLIAM JAVIER</t>
  </si>
  <si>
    <t xml:space="preserve">SARACHE RUEDA JULIAN </t>
  </si>
  <si>
    <t>ALVAREZ TOLEDO RAFAEL ANDRES</t>
  </si>
  <si>
    <t xml:space="preserve">LEMECHE QUINTO ANDRES </t>
  </si>
  <si>
    <t>ZUBIRIA MENDOZA EDSEL HUGO</t>
  </si>
  <si>
    <t>PAZ MARTINEZ JOHAN DE JESUS</t>
  </si>
  <si>
    <t>MONTERO DAZA FRANCO ARTURO</t>
  </si>
  <si>
    <t>MARQUEZ ARENIZ CARLOS JORGE</t>
  </si>
  <si>
    <t>REAL GONZALEZ JOSE ALBERTO</t>
  </si>
  <si>
    <t>DALLOS PEREZ JESUS ALBERTO</t>
  </si>
  <si>
    <t xml:space="preserve">ROSAS SUAREZ ELVER </t>
  </si>
  <si>
    <t xml:space="preserve">BENITEZ MANRIQUE FELIPE </t>
  </si>
  <si>
    <t>AMAYA ESTUPIÑAN JAUER OTONIEL</t>
  </si>
  <si>
    <t>ALVAREZ MORALES LUIS ALFONSO</t>
  </si>
  <si>
    <t>NIÑO GONZALEZ CAYETANO DE JESUS</t>
  </si>
  <si>
    <t xml:space="preserve">TORRADO ARENAS EDGAR </t>
  </si>
  <si>
    <t>SACHICA SACHICA JOSE HERNAN</t>
  </si>
  <si>
    <t xml:space="preserve">FANDINO GOMEZ  ARISTI </t>
  </si>
  <si>
    <t>TORRES CELY SEGUNDO EDUARDO</t>
  </si>
  <si>
    <t>LOPEZ GOMEZ MARCO AURELIO</t>
  </si>
  <si>
    <t xml:space="preserve">ESTUPIÑAN  CESAR </t>
  </si>
  <si>
    <t>ROJAS GARAVITO HUGO ALCIDES</t>
  </si>
  <si>
    <t xml:space="preserve">VERA VESGA RICARDO </t>
  </si>
  <si>
    <t xml:space="preserve">GODOY BASTO PASCUAL </t>
  </si>
  <si>
    <t xml:space="preserve">ARIAS  MEDINA </t>
  </si>
  <si>
    <t xml:space="preserve">PLATA TAVERA WILSON </t>
  </si>
  <si>
    <t>CAUSA BAEZ JOHN ALEXANDER</t>
  </si>
  <si>
    <t>BARAJAS BARRETO VICTOR ARIEL</t>
  </si>
  <si>
    <t xml:space="preserve">RODRIGUEZ RINCON ERVIN </t>
  </si>
  <si>
    <t>AZUERO POVEDA EDWIN JARVEY</t>
  </si>
  <si>
    <t xml:space="preserve">SAENZ PEÑA LEANDRO </t>
  </si>
  <si>
    <t>RODRIGUEZ RUIZ JHON FREDY</t>
  </si>
  <si>
    <t xml:space="preserve">RUIZ SANCHEZ  HUGO </t>
  </si>
  <si>
    <t>MESA  CARLOS ALBERTO</t>
  </si>
  <si>
    <t>CORZO MARIN JORGE ALBERTO</t>
  </si>
  <si>
    <t>MARTINEZ RIOS IVAN ALONSO</t>
  </si>
  <si>
    <t>MARTINEZ SALAMANCA JOSE DUVAN</t>
  </si>
  <si>
    <t>VEGA SEPULVEDA FELIX JOAQUIN</t>
  </si>
  <si>
    <t>TRUJILLO VANEGAS FRANZ ARTURO</t>
  </si>
  <si>
    <t>TARAZONA MANTILLA SERGIO ANTONIO</t>
  </si>
  <si>
    <t>SANCHEZ CASTRO LEONARDO ANDRES</t>
  </si>
  <si>
    <t>MERCADO CASTRO ALVARO JOSE</t>
  </si>
  <si>
    <t>VELASCO MORENO LUIS FREDY</t>
  </si>
  <si>
    <t>BERDUGO CARREÑO PEDRO MIGUEL</t>
  </si>
  <si>
    <t xml:space="preserve">SANABRIA PEDRAZA ARMANDO </t>
  </si>
  <si>
    <t xml:space="preserve">TIRADO BUSTAMANTE HARBEY </t>
  </si>
  <si>
    <t xml:space="preserve">MORENO  GILBERTO </t>
  </si>
  <si>
    <t>BOADA SOLANO FRANCISCO CARACIOLO</t>
  </si>
  <si>
    <t xml:space="preserve">CALVETE SUAREZ JAIRO </t>
  </si>
  <si>
    <t xml:space="preserve">RINCON RINCON HERNANDO </t>
  </si>
  <si>
    <t xml:space="preserve">RUEDA CASTRILLON EDISON </t>
  </si>
  <si>
    <t>GARCIA ACERO JOSE CRISTOBAL</t>
  </si>
  <si>
    <t xml:space="preserve">FUENTES  JOSE </t>
  </si>
  <si>
    <t>MENDOZA  LUIS FELIPE</t>
  </si>
  <si>
    <t xml:space="preserve">BOHADA  FLORENTINO </t>
  </si>
  <si>
    <t>TARAZONA  HUGO ALEXANDER</t>
  </si>
  <si>
    <t>OVIEDO SALCEDO FELIPE ALFONSO</t>
  </si>
  <si>
    <t>NIÑO CAMACHO FELIX MARTIN</t>
  </si>
  <si>
    <t>NIÑO SUAREZ HECTOR JULIO</t>
  </si>
  <si>
    <t xml:space="preserve">ROJAS ROJAS RAMIRO </t>
  </si>
  <si>
    <t>TORRES SEPULVEDA DAVID ALEXANDER</t>
  </si>
  <si>
    <t xml:space="preserve">TORRES GARCIA ALBEIRO </t>
  </si>
  <si>
    <t xml:space="preserve">REINOSO PALOMINO WILMAR </t>
  </si>
  <si>
    <t>JAIMES  JAIME ENRIQUE</t>
  </si>
  <si>
    <t xml:space="preserve">AVENDAÑO  RODRIGO </t>
  </si>
  <si>
    <t xml:space="preserve">DURAN VANEGAS EFRAIN </t>
  </si>
  <si>
    <t>GARCIA LINARES JOSE EDUARDO</t>
  </si>
  <si>
    <t>HERNANDEZ . JORGE IVAN</t>
  </si>
  <si>
    <t>MESA . HECTOR ALFONSO</t>
  </si>
  <si>
    <t xml:space="preserve">MURILLO TABORDA OMAR </t>
  </si>
  <si>
    <t>HURTADO CASTRO FRANCISCO JAVIER</t>
  </si>
  <si>
    <t>CASAS  GUSTAVO ADOLFO</t>
  </si>
  <si>
    <t>HERNANDEZ BUITRAGO PEDRO ELIAS</t>
  </si>
  <si>
    <t xml:space="preserve">AGUILERA MARTINEZ WILLIAM </t>
  </si>
  <si>
    <t xml:space="preserve">CARDOZO PAREDES WALTER </t>
  </si>
  <si>
    <t xml:space="preserve">GONZALEZ  DARIO </t>
  </si>
  <si>
    <t xml:space="preserve">ESPEJO FLOREZ MIGUEL </t>
  </si>
  <si>
    <t>MENDOZA CASTRO HERNANDO ALBERTO</t>
  </si>
  <si>
    <t xml:space="preserve">GONZALEZ  ASOBEL </t>
  </si>
  <si>
    <t xml:space="preserve">HERNANDEZ ALBERTO BURGOS </t>
  </si>
  <si>
    <t>MARTINEZ  CARLOS ALBERTO</t>
  </si>
  <si>
    <t>HIGUERA PACHECO MARIO HERNANDO</t>
  </si>
  <si>
    <t>TARAZONA CORDERO JOSE FRANCISCO</t>
  </si>
  <si>
    <t>CORREA SALAZAR MARCO ALFREDO</t>
  </si>
  <si>
    <t xml:space="preserve">LOPEZ  FRANCISCO </t>
  </si>
  <si>
    <t xml:space="preserve">RUBIANO LOPEZ JOSE </t>
  </si>
  <si>
    <t>PRIETO DIAZ VICENTE YAMID</t>
  </si>
  <si>
    <t xml:space="preserve">GONZALEZ PAEZ JAIME </t>
  </si>
  <si>
    <t xml:space="preserve">MARTINEZ  DANNY </t>
  </si>
  <si>
    <t xml:space="preserve">ALVAREZ RAMON ANTONIO </t>
  </si>
  <si>
    <t>TULIBILA MACUALO LUIS ANTONIO</t>
  </si>
  <si>
    <t>PINTO VEGA SAUL ANTONIO</t>
  </si>
  <si>
    <t xml:space="preserve">HUGO  VICTOR </t>
  </si>
  <si>
    <t>PARALES MARIN JORGE ELIECER</t>
  </si>
  <si>
    <t>SANDOVAL GUTIERREZ JESUS AUGUSTO</t>
  </si>
  <si>
    <t xml:space="preserve">QUIÑONES  MIGUEL ANGEL </t>
  </si>
  <si>
    <t>VELASQUEZ MALAVER CARLOS JULIO</t>
  </si>
  <si>
    <t xml:space="preserve">ALONSO TRUJILLO ELBERT </t>
  </si>
  <si>
    <t>CICERI NIÑO MIGUEL ANGEL</t>
  </si>
  <si>
    <t>VELASQUEZ MONTES JUAN DAVID</t>
  </si>
  <si>
    <t xml:space="preserve">GONZALEZ PAEZ OMAR </t>
  </si>
  <si>
    <t>GRANADA USME HODER MARIO</t>
  </si>
  <si>
    <t>SUAREZ AGUILAR SAHIT ENRIQUE</t>
  </si>
  <si>
    <t xml:space="preserve">GUIZAM  WILMER </t>
  </si>
  <si>
    <t>FRANCO CACERES MARCO ANTONIO</t>
  </si>
  <si>
    <t>GOMEZ ROA GUSTAVO ADOLFO</t>
  </si>
  <si>
    <t>DIAZ QUESADA LUIS GABRIEL</t>
  </si>
  <si>
    <t>RODRIGUES PUENTES JOSE GENTIL</t>
  </si>
  <si>
    <t xml:space="preserve">CARO NIÑO OTTO </t>
  </si>
  <si>
    <t xml:space="preserve">BOTIA MEDINA LEONIDAS </t>
  </si>
  <si>
    <t xml:space="preserve">RENGIFO  RAMIRO </t>
  </si>
  <si>
    <t>JOSE FERNANDO URREGO ROJAS</t>
  </si>
  <si>
    <t>CARVAJAL MONCADA JUAN GERMAN</t>
  </si>
  <si>
    <t>PEÑA RODRIGUEZ MANUEL GUSTAVO</t>
  </si>
  <si>
    <t>PEREZ BARBOSA JOSE DIONISIO</t>
  </si>
  <si>
    <t xml:space="preserve">ESTUPIÑAN  ELISEO </t>
  </si>
  <si>
    <t xml:space="preserve">BURGOS  PEDRO </t>
  </si>
  <si>
    <t>CASTILLO VARGAS LUIS MARIA</t>
  </si>
  <si>
    <t>GARNICA BARRERO LUIS FERNANDO</t>
  </si>
  <si>
    <t xml:space="preserve">HERRAN  JIMMY </t>
  </si>
  <si>
    <t>AMALLA AMALLA JORGE ALFONSO</t>
  </si>
  <si>
    <t xml:space="preserve">VANEJAS ARSELIO BARAJAS </t>
  </si>
  <si>
    <t>CARDENAS HIGUERA JAIME ALFREDO</t>
  </si>
  <si>
    <t xml:space="preserve">VARGAS  JORGE </t>
  </si>
  <si>
    <t>LEMUS CHAPARRO EDGAR HERNANDO</t>
  </si>
  <si>
    <t xml:space="preserve">LOPEZ  JAIRO </t>
  </si>
  <si>
    <t xml:space="preserve">ARANGO  JOSE </t>
  </si>
  <si>
    <t>RUBIANO ROMERO JOSE ANTONIO</t>
  </si>
  <si>
    <t>CARVAJAL MONCADA RICARDO FRANCISCO</t>
  </si>
  <si>
    <t>SUAREZ ALVARADO JOSE EDUARDO</t>
  </si>
  <si>
    <t>SANDOVAL RODRIGUEZ CARLOS TORCUATO</t>
  </si>
  <si>
    <t xml:space="preserve">RIOS DIAZ AURELIO </t>
  </si>
  <si>
    <t xml:space="preserve">BELTRAN MATEUS ERNESTO </t>
  </si>
  <si>
    <t>OCHOA GUZMAN LUIS CARLOS</t>
  </si>
  <si>
    <t xml:space="preserve">ARGUELLO MONTAÑEZ EUDORO </t>
  </si>
  <si>
    <t xml:space="preserve">POVEDA GARZON PLINIO </t>
  </si>
  <si>
    <t>PACO VEGA JORGE ALIRIO</t>
  </si>
  <si>
    <t>LEON CASTRO FELIX ALBERTO</t>
  </si>
  <si>
    <t>CAMARGO LOPEZ JESUS MARIA</t>
  </si>
  <si>
    <t>NIÑO MARIÑO JOSE RAFAEL</t>
  </si>
  <si>
    <t>PICO HERNANDEZ JOSE EUSEBIO</t>
  </si>
  <si>
    <t>SILVA FUQUEN CARLOS MANUEL</t>
  </si>
  <si>
    <t>BOSA  JUAN ESTEBAN</t>
  </si>
  <si>
    <t xml:space="preserve">MACIAS MONTOYA ALVARO </t>
  </si>
  <si>
    <t>PULIDO FUENTES LIBARDO ENRIQUE</t>
  </si>
  <si>
    <t xml:space="preserve">AMAYA ABRIL JOSE </t>
  </si>
  <si>
    <t xml:space="preserve">CORDOBA  LUIS </t>
  </si>
  <si>
    <t>MANOSALVA  LUIS HUMBERTO</t>
  </si>
  <si>
    <t xml:space="preserve">BURGOS PINZON ISRAEL </t>
  </si>
  <si>
    <t>BARRERA SUESCA MANUEL HORACIO</t>
  </si>
  <si>
    <t>IBANEZ SUAREZ JOSE DANIEL</t>
  </si>
  <si>
    <t>TARAZONA PRIETO JOSE EFREN</t>
  </si>
  <si>
    <t xml:space="preserve">GOMEZ  ALVARO </t>
  </si>
  <si>
    <t>MOTTA GARCIA JORGE DAVID</t>
  </si>
  <si>
    <t>BLANCO ALARCON JAIME RICARDO</t>
  </si>
  <si>
    <t>LEAL BLANCO JOSE IGNACIO</t>
  </si>
  <si>
    <t xml:space="preserve">RODRIGUEZ ROA OSCAR </t>
  </si>
  <si>
    <t xml:space="preserve">DIVIOFICINAS  ESTRUCTURAS </t>
  </si>
  <si>
    <t>MORALES  LUIS ALEJANDRO</t>
  </si>
  <si>
    <t>ALVARADO VIVAS CLEMENTE ALBERTO</t>
  </si>
  <si>
    <t xml:space="preserve">OLARTE PINILLA RAUL </t>
  </si>
  <si>
    <t>RODRIGUEZ MONGUI JOSE VICENTE</t>
  </si>
  <si>
    <t>TOBOS TOBOS MANUEL RODRIGO</t>
  </si>
  <si>
    <t>TOVAR CABRERA JORGE HERNAN</t>
  </si>
  <si>
    <t xml:space="preserve">BECERRA  JUAN </t>
  </si>
  <si>
    <t>BARRERA BOHORQUEZ EDGAR ENRIQUE</t>
  </si>
  <si>
    <t>NEIRA CORREDOR LUIS BERNARDO</t>
  </si>
  <si>
    <t>VARGAS BECERRA CARLOS alberto</t>
  </si>
  <si>
    <t>PINEDA DEVIA FABRICIO ANTONIO</t>
  </si>
  <si>
    <t xml:space="preserve">FORERO BEJARANO RICARDO </t>
  </si>
  <si>
    <t>RODRIGUEZ FONSECA HECTOR JULIO</t>
  </si>
  <si>
    <t>ESPINISA TORREZ OSCAR JOSUE</t>
  </si>
  <si>
    <t>CLL 26 69 76 BOGOTA HERNANDEZ JOSE MARIA</t>
  </si>
  <si>
    <t>CUERVO GUERRA FRANCISCO JAVIER</t>
  </si>
  <si>
    <t>PEREZ VELASCO JOSE VICENTE</t>
  </si>
  <si>
    <t>RODRIGUEZ TOLOSA LUIS ENRIQUE</t>
  </si>
  <si>
    <t>CIFUENTES BECERRA WILLIAM ALFONSO</t>
  </si>
  <si>
    <t>DURAN DIAZ JOSE RAFAEL</t>
  </si>
  <si>
    <t xml:space="preserve">ROJAS BARRERA RODULFO </t>
  </si>
  <si>
    <t xml:space="preserve">RIVERA GONZALEZ DIEGO </t>
  </si>
  <si>
    <t>QUIÑONES HOLGUIN EDGAR ALFONSO</t>
  </si>
  <si>
    <t>SALAMANCA PALOMARES CAMILO EDUARDO</t>
  </si>
  <si>
    <t>SANABRIA  JOSE MARIA</t>
  </si>
  <si>
    <t>HERNANDEZ MOJICA JULIO CESAR</t>
  </si>
  <si>
    <t xml:space="preserve">GONZALEZ  JOSE </t>
  </si>
  <si>
    <t>BUITRAGO CASTIBLANCO MANUEL DE JESUS</t>
  </si>
  <si>
    <t>GARAVITO ARENAS JAIME ALFONSO</t>
  </si>
  <si>
    <t>SIERRA SIERRA JOSE DEL CARMEN</t>
  </si>
  <si>
    <t xml:space="preserve">BONILLA  CARLOS </t>
  </si>
  <si>
    <t>LEAL PEDRAZA FABIO ERNESTO</t>
  </si>
  <si>
    <t xml:space="preserve">URIBE  JOSE </t>
  </si>
  <si>
    <t xml:space="preserve">RICAURTE ALDANA ALVARO </t>
  </si>
  <si>
    <t>ACOSTA RIAÑO CARLOS ALFONSO</t>
  </si>
  <si>
    <t>BRICEÑO GARCIA OCTABIO ARMANDO</t>
  </si>
  <si>
    <t xml:space="preserve">VANEGAS ALVAREZ OLINTO </t>
  </si>
  <si>
    <t xml:space="preserve">MENDOZA TORRES  FRANCISCO JOSE </t>
  </si>
  <si>
    <t xml:space="preserve">NIÑO DE MOLANO EMMA </t>
  </si>
  <si>
    <t>HERNANDEZ DE VAN ARCKEN MARIA GLADYS</t>
  </si>
  <si>
    <t xml:space="preserve">ALARCON RAMIREZ MARTHA </t>
  </si>
  <si>
    <t>CICEROS GOMEZ MAYRA ALEJANDRA</t>
  </si>
  <si>
    <t>BOHORQUEZ HERNANDEZ LUZ ESTRELLA</t>
  </si>
  <si>
    <t>BOHORQUEZ HERNANDEZ ROSA ELENA</t>
  </si>
  <si>
    <t>PALACIOS CABALLERO PILAR ANGELICA</t>
  </si>
  <si>
    <t xml:space="preserve">DIAZ DE PEREZ SILVINA </t>
  </si>
  <si>
    <t>RIVEROS BONILLA LUZ MILA</t>
  </si>
  <si>
    <t>CASTRO MALDONADO ELSA MIREYA</t>
  </si>
  <si>
    <t>LARA ZAMBRANO MARIA YOLANDA</t>
  </si>
  <si>
    <t>ECHEVERRIA DE TRUJILLO MARIA LEONOR</t>
  </si>
  <si>
    <t>SARMIENTO SANCHEZ OLGA INES</t>
  </si>
  <si>
    <t>PINEDA DE CUADROS NUBIA ELENA</t>
  </si>
  <si>
    <t>CELY MORENO CLAUDIA ELISA</t>
  </si>
  <si>
    <t xml:space="preserve">TRONCOSO DE ROMERO ALICIA </t>
  </si>
  <si>
    <t>ROJAS  SANDRA MILENA</t>
  </si>
  <si>
    <t>CASTIBLANCO SANTANA OLGA BEATRIZ</t>
  </si>
  <si>
    <t>GORDILLO PARRA ANA SOFIA</t>
  </si>
  <si>
    <t>VIVAS PUERTO BERTHA ALICIA</t>
  </si>
  <si>
    <t xml:space="preserve">MENA LINARES DORIS </t>
  </si>
  <si>
    <t>ROJAS TORRES YUSMELY CARINA</t>
  </si>
  <si>
    <t>VARGAS PAREDES ANTONIO YOIBER</t>
  </si>
  <si>
    <t>PARDO PAJARO EDNA MARGARITA</t>
  </si>
  <si>
    <t xml:space="preserve">ULLOA AYALA NELDY </t>
  </si>
  <si>
    <t>BOADA GONZALEZ AURA MAYRELY</t>
  </si>
  <si>
    <t>MORALES RODRIGUEZ NINI YOHANA</t>
  </si>
  <si>
    <t xml:space="preserve">MENDEZ BARROS  KAREN </t>
  </si>
  <si>
    <t xml:space="preserve">MERINO CAHUANA JENNIFER </t>
  </si>
  <si>
    <t>HERNANDEZ SEPULVEDA CARMEN EMILIA</t>
  </si>
  <si>
    <t>HERNANDES DE VILLATE MARIA CECILIA</t>
  </si>
  <si>
    <t>RODRIGUEZ GUTIERREZ MARIA INES</t>
  </si>
  <si>
    <t>MADERO GOMEZ MARIA ELENA</t>
  </si>
  <si>
    <t>TOBOS PALENCIA OLGA LUCIA</t>
  </si>
  <si>
    <t>PARADA BERTHA NEIRA DE</t>
  </si>
  <si>
    <t xml:space="preserve">GARCIA  LUDY </t>
  </si>
  <si>
    <t>GUERRERO ZARATE CARMEN CECILIA</t>
  </si>
  <si>
    <t xml:space="preserve">PEREA  MARGARITA </t>
  </si>
  <si>
    <t>RODRIGUEZ CARDENAS MATILDE DE JESUS</t>
  </si>
  <si>
    <t>RIVERA PEREA MARGARITA ESTRELLA</t>
  </si>
  <si>
    <t>PERICO PINTO MARIA CRISTINA</t>
  </si>
  <si>
    <t>SUAN RINCON ROSA MARINA</t>
  </si>
  <si>
    <t>CRISTANCHO MORENO MARIA ROSALBA</t>
  </si>
  <si>
    <t xml:space="preserve">MARQUEZ CARVAJAL CECILIA </t>
  </si>
  <si>
    <t>VEGA BAEZ CARMEN LUCIA</t>
  </si>
  <si>
    <t>CONTRERAS RAMIREZ MARIA ROSARIO</t>
  </si>
  <si>
    <t>BALAGUERA BALAGUERA ANA DORAINE</t>
  </si>
  <si>
    <t>ALFONSO AMADO FLOR ELVIA</t>
  </si>
  <si>
    <t xml:space="preserve">VARGAS PEREZ ESTRELLA </t>
  </si>
  <si>
    <t xml:space="preserve">CORREDOR BARON JOSEFINA </t>
  </si>
  <si>
    <t xml:space="preserve">PEREZ DIAZ IRMA </t>
  </si>
  <si>
    <t>GUTIERREZ TRIANA FLOR MARIA</t>
  </si>
  <si>
    <t xml:space="preserve">LUCILA  RODRIGUEZ </t>
  </si>
  <si>
    <t>SANTOS CELY FLOR ESPERANZA</t>
  </si>
  <si>
    <t>RODRIGUEZ FONSECA FLOR ALBA</t>
  </si>
  <si>
    <t>RINCON BAEZ LUZ AMANDA</t>
  </si>
  <si>
    <t>MACHUCA ARAQUE MARIA BERONICA</t>
  </si>
  <si>
    <t xml:space="preserve">CARDENAS  YENY </t>
  </si>
  <si>
    <t xml:space="preserve">RODRIGUEZ MENDOZA DORFY </t>
  </si>
  <si>
    <t>TELLEZ ARAQUE FLOR ESPERANZA</t>
  </si>
  <si>
    <t xml:space="preserve">CORREA PEREZ MARISOL </t>
  </si>
  <si>
    <t>PRIETO TRIANA BLANCA ROSAURA</t>
  </si>
  <si>
    <t>BECERRA RAVELO FLOR ALBA</t>
  </si>
  <si>
    <t>PORRAS ALARCON SONIA YALILE</t>
  </si>
  <si>
    <t>GRIMALDOS PUENTES CLARA EDILMA</t>
  </si>
  <si>
    <t>CASTRO FUENTES LUZ MARINA</t>
  </si>
  <si>
    <t xml:space="preserve">SANTOS TRIANA NEYLA </t>
  </si>
  <si>
    <t>PIRACON SIERRA CLAUDIA YANIRA</t>
  </si>
  <si>
    <t xml:space="preserve">SILVA GLORIA  AZUCENA </t>
  </si>
  <si>
    <t>OJEDA ROJAS FLOR ILMA</t>
  </si>
  <si>
    <t>LOPEZ CASTRO ANA YOLIMA</t>
  </si>
  <si>
    <t>DIAZ PINEDA MARTHA ISABEL</t>
  </si>
  <si>
    <t xml:space="preserve">MENDOZA SILVA EDILMA </t>
  </si>
  <si>
    <t>GUERRERO GALLO CECILIA DEL CARMEN</t>
  </si>
  <si>
    <t xml:space="preserve">HERNANDEZ GOMEZ MIREYA </t>
  </si>
  <si>
    <t>ALARCON BALAGUERA EDITH YADIRA</t>
  </si>
  <si>
    <t xml:space="preserve">CORREDOR  CARMEN </t>
  </si>
  <si>
    <t>PACHON SOLANO MARIA ISABEL</t>
  </si>
  <si>
    <t>GANZALES GONZALES ANA MARIA</t>
  </si>
  <si>
    <t>HERNANDEZ GOMEZ ALBA MILENA</t>
  </si>
  <si>
    <t xml:space="preserve">RINCON OJEDA GLADYS </t>
  </si>
  <si>
    <t>CASTRO GOMEZ SANDRA PAOLA</t>
  </si>
  <si>
    <t>VARGAS MORENO MIRYAM VARGAS</t>
  </si>
  <si>
    <t xml:space="preserve">CRISTANCHO ESPITIA ESPERANZA </t>
  </si>
  <si>
    <t>CASTRO OLARTE ANA YOMAR</t>
  </si>
  <si>
    <t xml:space="preserve">ROJAS PEREZ  NUBIA </t>
  </si>
  <si>
    <t>MACHUCA ARAQUE NELLY PATRICIA</t>
  </si>
  <si>
    <t>BALAGUERA ARAQUE AIDA LUZ</t>
  </si>
  <si>
    <t>ALVAREZ GRIMALDOS NUBIA ELENA</t>
  </si>
  <si>
    <t>GALLO CASTRO BLANCA MERCEDES</t>
  </si>
  <si>
    <t>VERA VARGAS PILAR ANDREA</t>
  </si>
  <si>
    <t>GALLO GOMEZ  NIDIA MILENA</t>
  </si>
  <si>
    <t>GALLO PEREZ SANDRA MILENA</t>
  </si>
  <si>
    <t xml:space="preserve">CASTRO AYALA ADRIANA </t>
  </si>
  <si>
    <t xml:space="preserve">VARGAS PERICO  MARIA ELSA </t>
  </si>
  <si>
    <t>ROJAS NEITA LUZ JENNY</t>
  </si>
  <si>
    <t xml:space="preserve">PEREZ FERNANDEZ JANETH </t>
  </si>
  <si>
    <t>SERRANO MORA OLGA LUCIA</t>
  </si>
  <si>
    <t xml:space="preserve">PEREZ  DORA </t>
  </si>
  <si>
    <t>ARAQUE ARAQUE MARIA ESMERALDA</t>
  </si>
  <si>
    <t>ROJAS NEITA LINA MARIA</t>
  </si>
  <si>
    <t xml:space="preserve">ACUÑA BALBINA BONILLA </t>
  </si>
  <si>
    <t xml:space="preserve">DUITAMA LAGOS MARY </t>
  </si>
  <si>
    <t xml:space="preserve">PINZON  ESPERANZA </t>
  </si>
  <si>
    <t xml:space="preserve">ESCOBAR BONILLA OMAIRA </t>
  </si>
  <si>
    <t xml:space="preserve">LIZARAZO FLORELBA JAIME </t>
  </si>
  <si>
    <t>GARCIA GARCIA SONIA YANETH</t>
  </si>
  <si>
    <t>CASTRO JOYA BLANCA LUCIA</t>
  </si>
  <si>
    <t>CORREA BOTIA SANDRA PATRICIA</t>
  </si>
  <si>
    <t xml:space="preserve">APONTE GALVIS CECILIA </t>
  </si>
  <si>
    <t xml:space="preserve">DIAZ FUENTES MARLENE </t>
  </si>
  <si>
    <t>LIZARAZO PEREZ MARTA CECILIA</t>
  </si>
  <si>
    <t>BOLIVAR  ANA CECILIA</t>
  </si>
  <si>
    <t>BUSTAMANTE SANCHEZ FLOR ANGELA</t>
  </si>
  <si>
    <t>UMANA GARCIA RUTH MARY</t>
  </si>
  <si>
    <t xml:space="preserve">RATIVA SOSA FLOR </t>
  </si>
  <si>
    <t xml:space="preserve">GOMEZ ALBARRACIN BEATRIZ </t>
  </si>
  <si>
    <t>RUIZ SANABRIA MARIA CECILIA</t>
  </si>
  <si>
    <t>LARA DE REYES LUZ MARLENE</t>
  </si>
  <si>
    <t>MANOSALVA CASTRO DORIS CONSUELO</t>
  </si>
  <si>
    <t>BAEZ RODRIGUEZ MARIA OBDULIA</t>
  </si>
  <si>
    <t xml:space="preserve">SUAREZ MERCHAN MARGARITA </t>
  </si>
  <si>
    <t>DUITAMA DE RODRIGUEZ BLANCA ISABEL</t>
  </si>
  <si>
    <t>SILVA AMAYA ANA ROSA</t>
  </si>
  <si>
    <t>ROJAS AMAYA ALVIDIA DEL CARMEN</t>
  </si>
  <si>
    <t xml:space="preserve">VEGA  CASTRO LIGIA  DE LAS MERCEDES </t>
  </si>
  <si>
    <t>MANOSALVA BECERRA CLARA ISABEL</t>
  </si>
  <si>
    <t>REYES SILVA ALCIRA DE LAS MERCEDES</t>
  </si>
  <si>
    <t>SANCHEZ MEDINA YANNETH ALEXANDRA</t>
  </si>
  <si>
    <t xml:space="preserve">GONZALEZ ALBARRACIN MYRIAM </t>
  </si>
  <si>
    <t xml:space="preserve">PINZON CARDOZO  MARGARITA </t>
  </si>
  <si>
    <t>TORRES  ROSA MARIA</t>
  </si>
  <si>
    <t xml:space="preserve">PICO PEÑA ROSALBA </t>
  </si>
  <si>
    <t>PINTO SANTOS BLANCA LUCIA</t>
  </si>
  <si>
    <t>RODRIGUEZ RINCON YANIN EMILSE</t>
  </si>
  <si>
    <t>GUICHA DUITAMA YENIS MARITZA</t>
  </si>
  <si>
    <t>ALBARRACIN ESTEPA RUBI STELLA</t>
  </si>
  <si>
    <t>RODRIGUEZ BAUTISTA LILIANA PATRICIA</t>
  </si>
  <si>
    <t>CUCAITA RAMIREZ DORA HEMELIDA</t>
  </si>
  <si>
    <t xml:space="preserve">SANTOS MORENO ALCIRA </t>
  </si>
  <si>
    <t>TUTA RIVERA SANDRA RUD</t>
  </si>
  <si>
    <t>MALAVER LEON DEICY JOHANA</t>
  </si>
  <si>
    <t>MUNEVAR MANRIQUE LADY JOHANNA</t>
  </si>
  <si>
    <t xml:space="preserve">GONZALES DE ROJAS DIOSELINA </t>
  </si>
  <si>
    <t>LOPEZ CEPEDA CLAUDIA BERNARDA</t>
  </si>
  <si>
    <t>HERNANDEZ SUAREZ MARTHA CECILIA</t>
  </si>
  <si>
    <t>FONSECA DE AGUDELO OLGA LEONOR</t>
  </si>
  <si>
    <t xml:space="preserve">TORRES ACERO BERNARDA </t>
  </si>
  <si>
    <t>AGUDELO GUEVARA GLORIA MARIA</t>
  </si>
  <si>
    <t>ROJAS  ANA SOFIA</t>
  </si>
  <si>
    <t>ACERO BELTRAN YUDY PAOLA</t>
  </si>
  <si>
    <t>CARDENAS COLMENARES MARIA ANA ISABEL</t>
  </si>
  <si>
    <t xml:space="preserve">GUTIERREZ TOLOZA PATRICIA </t>
  </si>
  <si>
    <t xml:space="preserve">ROA 3214561633 YOLANDA </t>
  </si>
  <si>
    <t>MOLINA ESPINOSA LESLY DIAN</t>
  </si>
  <si>
    <t xml:space="preserve">RAMIREZ RAMIREZ CECILIA </t>
  </si>
  <si>
    <t>ROCHA MONGUI YANETH EMILSEN</t>
  </si>
  <si>
    <t>PEÑA PEÑA MELBA INES</t>
  </si>
  <si>
    <t xml:space="preserve">SUESCUN DUARTE ESTELA </t>
  </si>
  <si>
    <t xml:space="preserve">HERRERA CUADROS MATILDE </t>
  </si>
  <si>
    <t xml:space="preserve">MARTINEZ  BELCY </t>
  </si>
  <si>
    <t>CANO HERNANDEZ GLORIA MARY</t>
  </si>
  <si>
    <t>DUARTE DUARTE DORA ISABEL</t>
  </si>
  <si>
    <t>MATALLANA LIZARAZO JULIANA ISABEL</t>
  </si>
  <si>
    <t>AVILA CACERES MALY AMIMELEK</t>
  </si>
  <si>
    <t>MELO MELO ROSA ISABEL</t>
  </si>
  <si>
    <t xml:space="preserve">ALCANTAR .  YOLANDA </t>
  </si>
  <si>
    <t xml:space="preserve">ENCISO DIAZ MIRIAN </t>
  </si>
  <si>
    <t>FLOREZ FUENTES MARGARITA YANETH</t>
  </si>
  <si>
    <t>PEREZ MEJIA ANA JOAQUINA</t>
  </si>
  <si>
    <t xml:space="preserve">PAREDES SUAREZ ARCELIA </t>
  </si>
  <si>
    <t>RIOS  GLORIA YENI</t>
  </si>
  <si>
    <t>FIRAVITOBA ARERO MARIA CECILIA</t>
  </si>
  <si>
    <t>FUENTES FUENTES ANA ELSA</t>
  </si>
  <si>
    <t xml:space="preserve">ROJAS DE BLANCO JULIA </t>
  </si>
  <si>
    <t>CHAPARRO DE PINTO MARIA LIGIA</t>
  </si>
  <si>
    <t xml:space="preserve">CORREDOR  MARIELA </t>
  </si>
  <si>
    <t>BARRERA GARCIA MARIA CECILIA</t>
  </si>
  <si>
    <t xml:space="preserve">PALENCIA  ALCIRA TOBOS </t>
  </si>
  <si>
    <t xml:space="preserve">ACOSTA POVEDA MERCEDES </t>
  </si>
  <si>
    <t xml:space="preserve">CASTRO  JACINTA </t>
  </si>
  <si>
    <t>PINTO DE TORRES ILDA MARIA</t>
  </si>
  <si>
    <t>VASQUEZ DE ALBA ANA MERCEDES</t>
  </si>
  <si>
    <t xml:space="preserve">CARDENAS QUINTERO CECILIA </t>
  </si>
  <si>
    <t xml:space="preserve">HOTEL GRAN CASTEL  HOTEL GRAN CASTEL </t>
  </si>
  <si>
    <t>PULIDO  CLARA STELLA</t>
  </si>
  <si>
    <t xml:space="preserve">ESTUPIÑAN DE APONTE LILIA </t>
  </si>
  <si>
    <t>BALAGUERA DAZA ANA GLADIS</t>
  </si>
  <si>
    <t xml:space="preserve">HERNANDEZ DE GUTIERREZ INES </t>
  </si>
  <si>
    <t>MARIA DORELLY TAPIAS GAITAN</t>
  </si>
  <si>
    <t>QUIJANO QUINTANA MARIA EDELMIRA</t>
  </si>
  <si>
    <t>LIZARAZO DE MORENO BLANCA OMAIRA</t>
  </si>
  <si>
    <t>NELLY ESTHER TOBOS GONZALEZ</t>
  </si>
  <si>
    <t>PARADA FLOR CORREDOR DE</t>
  </si>
  <si>
    <t>GONZALEZ DE CHACON GLORIA STELLA</t>
  </si>
  <si>
    <t xml:space="preserve">VIVAS CORREA BEATRIZ </t>
  </si>
  <si>
    <t>BECERRA CORREDOR MARIA OMAIRA</t>
  </si>
  <si>
    <t>CORREDOR CELY LUZ HELENA</t>
  </si>
  <si>
    <t>CORREA LOPEZ ANA DELIA</t>
  </si>
  <si>
    <t>BLANCA LILIA MEJIA DE LEON</t>
  </si>
  <si>
    <t xml:space="preserve">ACUÑA DE CORREA TERESA </t>
  </si>
  <si>
    <t>ALVAREZ MONROY FLOR ALBA</t>
  </si>
  <si>
    <t>TORRES DE GONZALEZ ANA MERCEDES</t>
  </si>
  <si>
    <t>CABRERA  ANA MARIA</t>
  </si>
  <si>
    <t>FONSECA DE CANO AURA MARIA</t>
  </si>
  <si>
    <t>SALAMANCA MACIAS DIANA MARCELA</t>
  </si>
  <si>
    <t>DIAZ  MARIA ROSAURA</t>
  </si>
  <si>
    <t>FERNANDEZ GRIMALDOS TERESA DE JESUS</t>
  </si>
  <si>
    <t xml:space="preserve">GARCIA  MARIA </t>
  </si>
  <si>
    <t>SILA SILVA ROSA MARIA</t>
  </si>
  <si>
    <t>VELANDIA CORREDOR MARIA ISABEL</t>
  </si>
  <si>
    <t xml:space="preserve">ROMERO BERNAL RAFAELA </t>
  </si>
  <si>
    <t xml:space="preserve">RIVERA  MARTHA </t>
  </si>
  <si>
    <t>CHAPARRO IGUAVITA GLORIA INES</t>
  </si>
  <si>
    <t>OTERO GARCIA YOLANDA EUGENIA</t>
  </si>
  <si>
    <t xml:space="preserve">PRIETO  BELARMINA </t>
  </si>
  <si>
    <t xml:space="preserve">BARON DE PARDO ANA </t>
  </si>
  <si>
    <t>BECERRA DE GUAUQUE HILDA ELISEA</t>
  </si>
  <si>
    <t>GALAN STELLA YUBISA PULIDO</t>
  </si>
  <si>
    <t>MEJIA ADAME BLANCA EMIRA</t>
  </si>
  <si>
    <t>MERCHAN DE TORRES MARIA REYES</t>
  </si>
  <si>
    <t>TORRES  MARIA DELFINA</t>
  </si>
  <si>
    <t>GONZALEZ MELO BLANCA MYRIAM</t>
  </si>
  <si>
    <t xml:space="preserve">PUERTO  ROSA </t>
  </si>
  <si>
    <t>TOBOS  GLADYS SOFIA</t>
  </si>
  <si>
    <t xml:space="preserve">RINCON VELANDIA MARIA </t>
  </si>
  <si>
    <t>RINCON MERCHAN CLARA NUBIA</t>
  </si>
  <si>
    <t xml:space="preserve">TORRES PINTO MERY </t>
  </si>
  <si>
    <t>RUEDA DE SALAMANCA BLANCA ALCIRA</t>
  </si>
  <si>
    <t>DUEÑAS CASTRO ANA HILCE</t>
  </si>
  <si>
    <t xml:space="preserve">MEDINA HIGUERA BEATRIZ </t>
  </si>
  <si>
    <t xml:space="preserve">TORRES  CECILIA </t>
  </si>
  <si>
    <t>NIÑO NIÑO LEONOR ESPERANZA</t>
  </si>
  <si>
    <t xml:space="preserve">CAMARGO DE FUENTES OLGA </t>
  </si>
  <si>
    <t>BARON SALAZAR BLANCA CENAIDA</t>
  </si>
  <si>
    <t xml:space="preserve">MOLANO SANDOVAL AMANDA </t>
  </si>
  <si>
    <t>PINTO GRANADOS BLANCA EMMA</t>
  </si>
  <si>
    <t xml:space="preserve">LEON CARREÑO CENAIDA </t>
  </si>
  <si>
    <t>ALVAREZ SOTO ELBA DEL</t>
  </si>
  <si>
    <t>RAMIREZ CORREA MARIA DEL CARMEN</t>
  </si>
  <si>
    <t xml:space="preserve">PULIDO CORREDOR LUCIA </t>
  </si>
  <si>
    <t>VARGAS DE BAEZ MARTHA JANETH</t>
  </si>
  <si>
    <t>LOPEZ PUENTES LIDYA RUBBY</t>
  </si>
  <si>
    <t>FIGUEREDO  ANA LUCILA</t>
  </si>
  <si>
    <t>LIZARAZO RINCON ROSA ELENA</t>
  </si>
  <si>
    <t xml:space="preserve">FLECHAS SANDOVAL NELLY </t>
  </si>
  <si>
    <t xml:space="preserve">VEGA BARRERA HERMINIA </t>
  </si>
  <si>
    <t xml:space="preserve">RAMIREZ  LUCILA </t>
  </si>
  <si>
    <t>MARIÑO HIGUERA CARMEN GRICELDA</t>
  </si>
  <si>
    <t xml:space="preserve">CUEVAS  MYRIAM </t>
  </si>
  <si>
    <t>PARRA DE SUAREZ MARTHA INES</t>
  </si>
  <si>
    <t xml:space="preserve">ROSA  TRISTANCHO </t>
  </si>
  <si>
    <t>MORALES MANCIPE CARMEN ELISA</t>
  </si>
  <si>
    <t>GRANADOS DE MORALES ZOILA FIDELIA</t>
  </si>
  <si>
    <t xml:space="preserve">GOMEZ  LUZ </t>
  </si>
  <si>
    <t>BARON PLAZAS MARIA ZENAIDA</t>
  </si>
  <si>
    <t xml:space="preserve">CAMARGO DE CORREDOR MADGALENA </t>
  </si>
  <si>
    <t>CAMARGO DE GERENA ANA ROCIO</t>
  </si>
  <si>
    <t>GONZALEZ GONZALEZ MARIA AMPARO</t>
  </si>
  <si>
    <t>NIÑO LEON AGUEDITA CARMEN</t>
  </si>
  <si>
    <t xml:space="preserve">POVEDA GARZON LETICIA </t>
  </si>
  <si>
    <t>DIAZ COGUA LUISA MARIELA</t>
  </si>
  <si>
    <t xml:space="preserve">BURGOS  FLOR </t>
  </si>
  <si>
    <t>BECERRA GUEVARA MARIA TERESA</t>
  </si>
  <si>
    <t xml:space="preserve">RAMIREZ CORREA AURORA </t>
  </si>
  <si>
    <t xml:space="preserve">CAMARGO HERRERA  ASUCENA </t>
  </si>
  <si>
    <t>NUÑEZ CORREDOR ROSA MARIA</t>
  </si>
  <si>
    <t>SILVA DE LOPEZ ROSA ELVIRA</t>
  </si>
  <si>
    <t xml:space="preserve">BARRERA  OLIVA </t>
  </si>
  <si>
    <t xml:space="preserve">BALLESTEROS DE JAIME MARIA DEL CARMEN </t>
  </si>
  <si>
    <t>ANA ELIZABETH CEPEDA CORREDOR</t>
  </si>
  <si>
    <t>MERCHAN ALVARADO ANA ISAVEL</t>
  </si>
  <si>
    <t>TRISTANCHO TRISTANCHO ELSA OMAIRA</t>
  </si>
  <si>
    <t xml:space="preserve">RINCON  MARTHA </t>
  </si>
  <si>
    <t>RINCON LOPEZ NOHORA ESPERANZA</t>
  </si>
  <si>
    <t>TORRES DE PENAGOS ALBA LUZ</t>
  </si>
  <si>
    <t xml:space="preserve">ESTUPIÑAN DE CACERES CONSUELO </t>
  </si>
  <si>
    <t xml:space="preserve">SOSA DE CAMARGO GRACIELA </t>
  </si>
  <si>
    <t>PEREZ BELTRAN HILDA MARIA</t>
  </si>
  <si>
    <t>PIEDRAHITA GARCIA LUZ STELLA</t>
  </si>
  <si>
    <t>BARON DE VELASCO MARIA DEL CARMEN</t>
  </si>
  <si>
    <t xml:space="preserve">LIZARAZO  BRESEIDA </t>
  </si>
  <si>
    <t xml:space="preserve">OCHICA RODRIGUEZ MARGARITA </t>
  </si>
  <si>
    <t xml:space="preserve">ALVAREZ CARDENAS EULALIA </t>
  </si>
  <si>
    <t>CELY GONZALEZ MARTHA CECILIA</t>
  </si>
  <si>
    <t xml:space="preserve">NUBIA  GLADYS </t>
  </si>
  <si>
    <t>GALVIS SIABATO MYRIAM DEL CARMEN</t>
  </si>
  <si>
    <t xml:space="preserve">GALLO GALLO SILVIA </t>
  </si>
  <si>
    <t>TORRES BARRERA MARTHA LUZ</t>
  </si>
  <si>
    <t>NIÑO CARREÑO MARIA LUCY</t>
  </si>
  <si>
    <t>AMADO VALDERRAMA ANA ISABEL</t>
  </si>
  <si>
    <t>NIÑO  ROSARIO DEL CARMEN</t>
  </si>
  <si>
    <t>PINZON DE FLOR MARIA</t>
  </si>
  <si>
    <t>MOLANO ROSAS ANA RUBIELA</t>
  </si>
  <si>
    <t xml:space="preserve">PORRAS DE GUTIERREZ CECILIA </t>
  </si>
  <si>
    <t xml:space="preserve">VARGAS RODRIGUEZ CARMENZA </t>
  </si>
  <si>
    <t xml:space="preserve">ROJAS  HELENA </t>
  </si>
  <si>
    <t>PAIPA GONZALEZ LUZ AMPARO</t>
  </si>
  <si>
    <t xml:space="preserve">GARCIA DURAN ELIZABETH </t>
  </si>
  <si>
    <t xml:space="preserve">CELY MORALES MYRIAM </t>
  </si>
  <si>
    <t>VILLAMOR DE PEREZ ANA FLOR</t>
  </si>
  <si>
    <t>MONTANA DUENAS AURA NUBIA</t>
  </si>
  <si>
    <t xml:space="preserve">JIMENEZ DE DUEÑAS ELENA </t>
  </si>
  <si>
    <t>PINZON MONTIEL MARIA VIRGINIA</t>
  </si>
  <si>
    <t xml:space="preserve">BENITEZ DURAN  REBECA </t>
  </si>
  <si>
    <t>ORTIZ PULIDO MELBA LIGIA</t>
  </si>
  <si>
    <t>NOVA SUAREZ NOHRA DEL CARMEN</t>
  </si>
  <si>
    <t>CASTRO SILVA GLORIA MATILDE</t>
  </si>
  <si>
    <t xml:space="preserve">SUAREZ ARDILA ELBA </t>
  </si>
  <si>
    <t xml:space="preserve">CEPEDA SANDOVAL YOLANDA </t>
  </si>
  <si>
    <t xml:space="preserve">ROJAS DE BARRERA IRMA </t>
  </si>
  <si>
    <t>GUEVARA BECERRA MARIA LIZETH</t>
  </si>
  <si>
    <t>CUSPOCA CUSPOCA MARIA LUISA</t>
  </si>
  <si>
    <t xml:space="preserve">RINCON ESTUPIÑAN SATURNINA </t>
  </si>
  <si>
    <t>TORRES VALDERRAMA MARIA CONSUELO</t>
  </si>
  <si>
    <t>PLAZAS DE CASTRO MARIA EDELMIRA</t>
  </si>
  <si>
    <t>BECERRA  ANA PULINA</t>
  </si>
  <si>
    <t>PINZON DE PATINO  MARIA ELENA</t>
  </si>
  <si>
    <t>NEIRA CORREDOR ILSE LETICIA</t>
  </si>
  <si>
    <t>ARCHILA MERCHAN BLANCA FANNY</t>
  </si>
  <si>
    <t>SAAVEDRA BORJA MARLEN TERESA</t>
  </si>
  <si>
    <t xml:space="preserve">ARMAND  COLETTE </t>
  </si>
  <si>
    <t>ACERO BRICEÑO MYRIAM CARMEN</t>
  </si>
  <si>
    <t xml:space="preserve">DIAZ ESLAVA ELIZABETH </t>
  </si>
  <si>
    <t xml:space="preserve">LEGUIZAMON  PILAR </t>
  </si>
  <si>
    <t>BECERRA GUIO YANETH YASMIN</t>
  </si>
  <si>
    <t>REYES DE MORENO MARIA TERESA</t>
  </si>
  <si>
    <t>AGUILAR  MARIA DEYANIRA</t>
  </si>
  <si>
    <t xml:space="preserve">RODRIGUEZ CARDENAS YAMILE </t>
  </si>
  <si>
    <t xml:space="preserve">DOCTOR ESPEJO CASILDA </t>
  </si>
  <si>
    <t>CUCUNUVA SIEMPIRA MARIA PRISCILA</t>
  </si>
  <si>
    <t>CARDENAS PINEDA FLOR ALICIA</t>
  </si>
  <si>
    <t xml:space="preserve">CRUZ  CARMEN </t>
  </si>
  <si>
    <t>ESTUPIÑAN MEJIA AMPARO PATRICIA</t>
  </si>
  <si>
    <t>PEREZ MARIA RIVERA DE</t>
  </si>
  <si>
    <t>RAMIREZ BECERRA MYRIAM ESTELA</t>
  </si>
  <si>
    <t>RAMIREZ BECERRA LUZ MARINA</t>
  </si>
  <si>
    <t xml:space="preserve">DIAZ  CARMEN </t>
  </si>
  <si>
    <t>CORREA CORREA RUTH MARITZA</t>
  </si>
  <si>
    <t>PERICO PRIETO ROSA CECILIA</t>
  </si>
  <si>
    <t xml:space="preserve">COTAMO MARQUEZ MERCEDES </t>
  </si>
  <si>
    <t>GUTIERREZ  LUZ MYRIAM</t>
  </si>
  <si>
    <t>LOPEZ AHUMADA INMACULADA DOLORES</t>
  </si>
  <si>
    <t>BLANCO  MARTHA TERESA</t>
  </si>
  <si>
    <t xml:space="preserve">TERESA  CARMEN </t>
  </si>
  <si>
    <t xml:space="preserve">BENITEZ DURAN  LUZ MARY </t>
  </si>
  <si>
    <t xml:space="preserve">PEÑALOZA  SONIA </t>
  </si>
  <si>
    <t>ACERO CARO MARIA ADELA</t>
  </si>
  <si>
    <t xml:space="preserve">DUARTE DE PINEDA VICTORIA </t>
  </si>
  <si>
    <t xml:space="preserve">GUATIBONZA DE BARAJAS NELLY </t>
  </si>
  <si>
    <t>JAIMES HERREÑO DORIS HELENA</t>
  </si>
  <si>
    <t>COLMENARES  OLGA MARIA</t>
  </si>
  <si>
    <t>AVELLA PARADA NOHORA CECILIA</t>
  </si>
  <si>
    <t>NARANJO CELY LUZ MARINA</t>
  </si>
  <si>
    <t>SIMBAQUEVA MONTAÑEZ ANA MARLEN</t>
  </si>
  <si>
    <t>GARZON  MARTHA CLEMENCIA</t>
  </si>
  <si>
    <t>RODRIGUEZ  LUZ MARINA</t>
  </si>
  <si>
    <t xml:space="preserve">ALVARADO TORRES GLADYS </t>
  </si>
  <si>
    <t>ANDRADE CARREÑO MYRIAM ROSA</t>
  </si>
  <si>
    <t>ROCHA ORJUELA LUZ AMANDA</t>
  </si>
  <si>
    <t>CACERES MEDINA ELVIA MARIA</t>
  </si>
  <si>
    <t>URIBE SANDOVAL CLARA INES</t>
  </si>
  <si>
    <t>MEDINA TALERO RUBI ESPERANZA</t>
  </si>
  <si>
    <t>SOLANO MEDRANO ROSA ISABEL</t>
  </si>
  <si>
    <t>LADINO MONROY GLORIA ESPERANZA</t>
  </si>
  <si>
    <t>GONZALEZ MOLINA LUZ MARINA</t>
  </si>
  <si>
    <t>GONSALEZ HERNANDEZ SEGUNDA MARIA</t>
  </si>
  <si>
    <t>RODRIGUEZ DE CALDERON ANA CECILIA</t>
  </si>
  <si>
    <t>SAENZ MEDINA CARMEN CECILIA</t>
  </si>
  <si>
    <t>BUSTACARA HERRERA OLGA MARINA</t>
  </si>
  <si>
    <t>JAIME DE CAMARGO ANA MARIA</t>
  </si>
  <si>
    <t>MARIA TERESA RUBIANO RUIZ</t>
  </si>
  <si>
    <t xml:space="preserve">LARGO CHAPARRO JOSEFINA </t>
  </si>
  <si>
    <t xml:space="preserve">PUENTES  MYRIAM </t>
  </si>
  <si>
    <t xml:space="preserve">PITA  MARIA DEL CARMEN </t>
  </si>
  <si>
    <t>CABRA MATEUS CARMEN CECILIA</t>
  </si>
  <si>
    <t xml:space="preserve">HOSTOS  MARTA YOLANDA </t>
  </si>
  <si>
    <t xml:space="preserve">CASTILLO  MERY </t>
  </si>
  <si>
    <t>CHAPARRO GONZALEZ MARIA ETELVINA</t>
  </si>
  <si>
    <t>CRISTANCHO GONZALEZ LUZ BETTY</t>
  </si>
  <si>
    <t xml:space="preserve">HIGUERA  DORA </t>
  </si>
  <si>
    <t>NIÑO CORREA BLANCA CECILIA</t>
  </si>
  <si>
    <t xml:space="preserve">SEPULVEDA  LIRA </t>
  </si>
  <si>
    <t>MARY NUBIA CASTRO CELY</t>
  </si>
  <si>
    <t>AVELLA RISCANEVO BLANCA MERCEDES</t>
  </si>
  <si>
    <t>BALAGUERA AMADO LUZ MARINA</t>
  </si>
  <si>
    <t>SILVA DE PARRA ANA GLADYS</t>
  </si>
  <si>
    <t>CARRILLO GUECHA NUBIA CONSUELO</t>
  </si>
  <si>
    <t>PATIÑO  ALIX AZUCENA</t>
  </si>
  <si>
    <t>APARICIO BARON MARIA NUBIA</t>
  </si>
  <si>
    <t xml:space="preserve">SOCHA ROJAS NINFA </t>
  </si>
  <si>
    <t>GUIO  ANA ELVIRA</t>
  </si>
  <si>
    <t>ARIZA  MARIA DOLORES</t>
  </si>
  <si>
    <t>GONZALEZ BECERRA BLANCA LILIA</t>
  </si>
  <si>
    <t>GONZALEZ NIÑO BLANCA YANNET</t>
  </si>
  <si>
    <t>COMBARIZA MERCHAN ROSA STELLA</t>
  </si>
  <si>
    <t>DUITAMA CASTRO ROCIO ESPERANZA</t>
  </si>
  <si>
    <t>BOLIVAR GUTIERREZ YAMILE AMPARO</t>
  </si>
  <si>
    <t>MERCHAN GONZALEZ GLORIA INES</t>
  </si>
  <si>
    <t>RIANO PALACIOS LUZ MIREYA</t>
  </si>
  <si>
    <t>PRIETO BELTRAN CARMEN CECILIA</t>
  </si>
  <si>
    <t>GRANADOS ESTUPIÑAN CARMEN ELISA</t>
  </si>
  <si>
    <t>GONZALEZ CHAPARRO VILMA OMAIRA</t>
  </si>
  <si>
    <t>CARVAJAL ESPINEL ALBA LUCIA</t>
  </si>
  <si>
    <t>SUAREZ MENDOZA CLARA MARCELA</t>
  </si>
  <si>
    <t xml:space="preserve">ROJAS PINTO ESMERALDA </t>
  </si>
  <si>
    <t>INFANTE RIANO MARTHA FELISA</t>
  </si>
  <si>
    <t xml:space="preserve">SILVA SANDOVAL CECILIA </t>
  </si>
  <si>
    <t>LEON CELY CLAUDIA TERESA</t>
  </si>
  <si>
    <t>POVEDA RIVEROS GLADYS LUCIA</t>
  </si>
  <si>
    <t xml:space="preserve">ROJAS SANTISTEBAN ALCIRA </t>
  </si>
  <si>
    <t xml:space="preserve">SILVA  EDELMIRA </t>
  </si>
  <si>
    <t>RIAÑO MARTINEZ ANA AURORA</t>
  </si>
  <si>
    <t>SAENZ BECERRA MYRIAM IMELDA</t>
  </si>
  <si>
    <t xml:space="preserve">GRACIELA  NIÑO </t>
  </si>
  <si>
    <t>CORREA QUINTERO MYRIAM LOYDOVER</t>
  </si>
  <si>
    <t>PATARROYO RODRIGUEZ MYRIAM LETICIA</t>
  </si>
  <si>
    <t xml:space="preserve">RAMIREZ  ALBA </t>
  </si>
  <si>
    <t>NOVA GONZALEZ MARIA RAQUEL</t>
  </si>
  <si>
    <t>BECERRA CAMARGO CLARA INES</t>
  </si>
  <si>
    <t>PINZON SOSA MARIA NELA</t>
  </si>
  <si>
    <t>PARRA SIABATO MARIA DEL CARMEN</t>
  </si>
  <si>
    <t>PEÑA LARA OLGA MARIA</t>
  </si>
  <si>
    <t>BUITRAGO NARANJO GILMA EDILSA</t>
  </si>
  <si>
    <t>MORA SILVA ANA CECILIA</t>
  </si>
  <si>
    <t xml:space="preserve">IBANEZ CASTRO YAZMIN </t>
  </si>
  <si>
    <t>MARIA DE SALAZAR GALVIS</t>
  </si>
  <si>
    <t xml:space="preserve">PUENTES DE MUÑOZ MERCEDES </t>
  </si>
  <si>
    <t>VEGA ESPINOSA OLGA CECILIA</t>
  </si>
  <si>
    <t>AMAYA GOMEZ BALVINA .</t>
  </si>
  <si>
    <t>RINCON GRANADOS JENNY ANDREA</t>
  </si>
  <si>
    <t>HUESO HERNANDEZ AURA PATRICIA</t>
  </si>
  <si>
    <t xml:space="preserve">FONSECA FIGUEROA ARACELIA </t>
  </si>
  <si>
    <t xml:space="preserve">GUERRERO TORRES MARIELA </t>
  </si>
  <si>
    <t>ZEA GONZALEZ DORA ESPERANZA</t>
  </si>
  <si>
    <t xml:space="preserve">NOY ZEA GEORGINA </t>
  </si>
  <si>
    <t xml:space="preserve">LUMBAQUE CORONADO EMILCEN </t>
  </si>
  <si>
    <t>ROMERO ROMERO AURA LIDA</t>
  </si>
  <si>
    <t xml:space="preserve">ROJAS TORRES MARILU </t>
  </si>
  <si>
    <t xml:space="preserve">SALAMANCA SILVA BERTILDE </t>
  </si>
  <si>
    <t xml:space="preserve">PATIÑO ROSAS NANCY </t>
  </si>
  <si>
    <t xml:space="preserve">BONILLA NOSSA LILIANA </t>
  </si>
  <si>
    <t>BERNAL REYES OLGA HELENA</t>
  </si>
  <si>
    <t>TORRES DE ALVIS ELSA BETTY</t>
  </si>
  <si>
    <t>SOLANO ALVAREZ GLORIA ESTELA</t>
  </si>
  <si>
    <t xml:space="preserve">SALAMANCA CRISTANCHO NANCY DEL CARMEN </t>
  </si>
  <si>
    <t>CELY ROJAS MARIA MARTHA</t>
  </si>
  <si>
    <t>BECERRA RINCON ALBA LUCIA</t>
  </si>
  <si>
    <t>ROJAS VARGAS MYRIAM DEL CARMEN</t>
  </si>
  <si>
    <t>MORALES NIÑO MIRIAM DEL CARMEN</t>
  </si>
  <si>
    <t xml:space="preserve">HERNANDEZ LEON MERCEDES </t>
  </si>
  <si>
    <t>NIÑO  SARA MARIA</t>
  </si>
  <si>
    <t>GOMEZ MARTINEZ MARIA NELY</t>
  </si>
  <si>
    <t>VARGAS MANOSALBA DORA PATRICIA</t>
  </si>
  <si>
    <t>PEDRAZA CEPEDA NANCY YOHANA</t>
  </si>
  <si>
    <t>ALTUZARRA VELANDIA YUDITH YOMARA</t>
  </si>
  <si>
    <t xml:space="preserve">ALVAREZ  MARTHA </t>
  </si>
  <si>
    <t>BERNAL DUEÑAS DORIS ZENAIDA</t>
  </si>
  <si>
    <t xml:space="preserve">CELY  NELLY </t>
  </si>
  <si>
    <t>MARTINEZ TORRES LEYDY LUCILA</t>
  </si>
  <si>
    <t>ANA ROSA MERCHAN ALFONSO</t>
  </si>
  <si>
    <t>CELY  ANA LUZMILA</t>
  </si>
  <si>
    <t>CUTA ROMERO LUZ ELIDA</t>
  </si>
  <si>
    <t xml:space="preserve">HURTADO SIAUCHO TEOFILA </t>
  </si>
  <si>
    <t xml:space="preserve">TIBADUIZA PARRA  PRISCILA </t>
  </si>
  <si>
    <t xml:space="preserve">FONSECA PARRA OMAIRA </t>
  </si>
  <si>
    <t>MEDINA ALFONSO DIANA PATRICIA</t>
  </si>
  <si>
    <t>RINCON HERNANDEZ OLGA LEONOR</t>
  </si>
  <si>
    <t>CANTOR VEGA ANA VICTORIA</t>
  </si>
  <si>
    <t>LEGISAMON 3118502253 LIGIA MARIA</t>
  </si>
  <si>
    <t>GARZON JOYA MARIA INES</t>
  </si>
  <si>
    <t xml:space="preserve">CHAPARRO MORALES ROSALBA </t>
  </si>
  <si>
    <t xml:space="preserve">PERILLA  GLORIA </t>
  </si>
  <si>
    <t>GARZON CARREÑO SANDRA YANETH</t>
  </si>
  <si>
    <t>ROMERO ALONSO MONICA ELIZABETH</t>
  </si>
  <si>
    <t>VELASCO JIMENEZ MARIA ENCARNACION</t>
  </si>
  <si>
    <t>VALBUENA CORSO ANA AIRETH</t>
  </si>
  <si>
    <t xml:space="preserve">PANQUEVA MENDIVELSO ROSALBA </t>
  </si>
  <si>
    <t>RINCON MEJIA NELLY ANTONIA</t>
  </si>
  <si>
    <t xml:space="preserve">DUARTE DUARTE MEDIS </t>
  </si>
  <si>
    <t>CUERVO SILVA GILMA YAQUELINE</t>
  </si>
  <si>
    <t xml:space="preserve">ANGARITA MENDIVELSO ESTRELLA </t>
  </si>
  <si>
    <t xml:space="preserve">BAEZ MERCHAN MAYERLY </t>
  </si>
  <si>
    <t>CASTAÑEDA BAUTISTA MARIANA HORTENCIA</t>
  </si>
  <si>
    <t xml:space="preserve">ANAJAR PEDRAZA DELFA </t>
  </si>
  <si>
    <t>CARDENAS PICO OLGA LUCIA</t>
  </si>
  <si>
    <t>ZABALA GOMEZ DIANA MILENA</t>
  </si>
  <si>
    <t>SAENZ SAIZ LUZ MYRIAM</t>
  </si>
  <si>
    <t>CASTILLO DE MEDINA ROCIO WILDE</t>
  </si>
  <si>
    <t>SUAREZ NINO FLOR AMALIA</t>
  </si>
  <si>
    <t>ALVARADO  KAREN NATALIA</t>
  </si>
  <si>
    <t xml:space="preserve">CUTA BOLIVAR CELMIRA </t>
  </si>
  <si>
    <t>MORENO  BLANCA LILIA</t>
  </si>
  <si>
    <t xml:space="preserve">VALERO  LAURIS </t>
  </si>
  <si>
    <t>SALAMANCA CONTRERAS NELCY YARE</t>
  </si>
  <si>
    <t>CUBIDES LOPEZ LIGIA CAROLINA</t>
  </si>
  <si>
    <t>CHISINO TORRES MARIA GUIOMAR</t>
  </si>
  <si>
    <t>CRUZ  ALBA MARIA</t>
  </si>
  <si>
    <t>SALAMANCA TORRES ANA ISABEL</t>
  </si>
  <si>
    <t xml:space="preserve">TORRES PEREZ HERMINIA </t>
  </si>
  <si>
    <t>SALAMANCA NEITA ZANDRA MILENA</t>
  </si>
  <si>
    <t>MERCHAN TORRES MONICA CONSUELO</t>
  </si>
  <si>
    <t>CARRERO GOMEZ LUZ MARINA</t>
  </si>
  <si>
    <t xml:space="preserve">AGUDELO VALDERRAMA MARTHA </t>
  </si>
  <si>
    <t xml:space="preserve">ARGUELLO MONTAÑEZ MATILDE </t>
  </si>
  <si>
    <t>RINCON SIERRA LUZ NELLY</t>
  </si>
  <si>
    <t xml:space="preserve">ACEVEDO PINTO MARIA DEL TRANCITO </t>
  </si>
  <si>
    <t>CARRERO GOMEZ GLADYS CARMENZA</t>
  </si>
  <si>
    <t>PAIPA PAIPA SANDRA YANETH</t>
  </si>
  <si>
    <t>DEL RIO  NUBIA OLARTE</t>
  </si>
  <si>
    <t>ORTIZ TORRES SANDY JOHANA</t>
  </si>
  <si>
    <t>HIGUERA TORRES LUDY MIRIAN</t>
  </si>
  <si>
    <t>GAITAN  LEIDY YOHANA</t>
  </si>
  <si>
    <t xml:space="preserve">SALGADO FAGUA BEATRIZ </t>
  </si>
  <si>
    <t xml:space="preserve">URQUIJO VEGA ELVIRA </t>
  </si>
  <si>
    <t>DAZA  FLOR ALBA</t>
  </si>
  <si>
    <t>ANA DEL CARMEN BARRAGAN GUAUQUE</t>
  </si>
  <si>
    <t xml:space="preserve">SALAMANCA GUAUQUE ELISABETH </t>
  </si>
  <si>
    <t>PEDROZA AVENDAÑO BLANCA LILIA</t>
  </si>
  <si>
    <t>GUIO NARANJO CLARA INES</t>
  </si>
  <si>
    <t>BERNAL GRANADOS GLADYS LEONOR</t>
  </si>
  <si>
    <t>TIBADUIZA NIÑO ALBA MINEY</t>
  </si>
  <si>
    <t>GIL VIANCHA DORA INES</t>
  </si>
  <si>
    <t>ALFONSO CHACON BLANCA INES</t>
  </si>
  <si>
    <t>ANGARITA CANAS LILIA ESPERANZA</t>
  </si>
  <si>
    <t xml:space="preserve">HERNANDEZ RINCON FLORINDA </t>
  </si>
  <si>
    <t>SALCEDO DIAZ ROSA DELIA</t>
  </si>
  <si>
    <t>VELANDIA LOZADA MARIA ESPERANZA</t>
  </si>
  <si>
    <t xml:space="preserve">CELY RAMIREZ ROSALBA </t>
  </si>
  <si>
    <t>MOSCOSO MANRIQUE SILVIA RAQUEL</t>
  </si>
  <si>
    <t xml:space="preserve">CUIDA  MARIA </t>
  </si>
  <si>
    <t>CUBIDES MONTAÑA OLGA LUCIA</t>
  </si>
  <si>
    <t>CARDENAS COLMENARES GLORIA CONSTANZA</t>
  </si>
  <si>
    <t>CABRERA ANGARITA DORA NELCY</t>
  </si>
  <si>
    <t>DUEÑAS LOPEZ CARMEN ROSA</t>
  </si>
  <si>
    <t>SIACHOQUE CORREDOR CARMEN ELISA</t>
  </si>
  <si>
    <t>GUTIERREZ LARA MIRIAM ESTELLA</t>
  </si>
  <si>
    <t>LOPEZ DUARTE ELVIA ESPERANZA</t>
  </si>
  <si>
    <t>RINCON CRISTANCHO RUTH MAYERLY</t>
  </si>
  <si>
    <t>ROJAS MURILLO OLGA LUCIA</t>
  </si>
  <si>
    <t>TORRES FONSECA SANDRA YANEHT</t>
  </si>
  <si>
    <t xml:space="preserve">MEJIA SUAREZ BERTHA </t>
  </si>
  <si>
    <t>HIGUERA TRISTANCHO LISAURA -</t>
  </si>
  <si>
    <t xml:space="preserve">CALIXTO GUAUQUE  SANDRA ROCIO </t>
  </si>
  <si>
    <t>SARA SANABRIA ARIAS EMILSEN</t>
  </si>
  <si>
    <t>CELY ALFONSO DELIA LUZ</t>
  </si>
  <si>
    <t>GUERRERO  OLGA LUCIA</t>
  </si>
  <si>
    <t>PLAZAS BARON MARY LUZ</t>
  </si>
  <si>
    <t>MOJICA SANCHEZ NUBIA CECILIA</t>
  </si>
  <si>
    <t>BARON BOADA GLORIA MILENA</t>
  </si>
  <si>
    <t>MONROY BOTIA AURA LILIANA</t>
  </si>
  <si>
    <t>JIMENEZ JIMENEZ JULIETTH BIBIANA</t>
  </si>
  <si>
    <t>RIOS GONZALEZ DIANA LUCIA</t>
  </si>
  <si>
    <t>LOPEZ SALAMANCA SANDRA LILIANA</t>
  </si>
  <si>
    <t xml:space="preserve">MONTAÑ  LEIDY </t>
  </si>
  <si>
    <t xml:space="preserve">ROJAS SENEJOA  LEIDY HERMINDA </t>
  </si>
  <si>
    <t>VARGAD DE SANDOVAL LILIA MARIA</t>
  </si>
  <si>
    <t xml:space="preserve">GOMEZ DE CELIS MERCEDES </t>
  </si>
  <si>
    <t xml:space="preserve">MENDEZ DE RUIZ TERESA </t>
  </si>
  <si>
    <t>MEJIA DE VASQUEZ MARIA DORIS</t>
  </si>
  <si>
    <t xml:space="preserve">LOPEZ VELANDIA GRICELDA </t>
  </si>
  <si>
    <t>SEPULVEDA DE VEGA ANA HELIA</t>
  </si>
  <si>
    <t xml:space="preserve">OCHOA MOLANO ANATILDE </t>
  </si>
  <si>
    <t>BECERRA MORENO ROSA ELENA</t>
  </si>
  <si>
    <t>MANRIQUE SALAZAR LIGIA INES</t>
  </si>
  <si>
    <t>LOPEZ BUITRAGO BLANCA ALCIRA</t>
  </si>
  <si>
    <t>GARCIA GARCIA MARIA EUGENIA</t>
  </si>
  <si>
    <t>MARY LUZ BARON CANTOR</t>
  </si>
  <si>
    <t xml:space="preserve">GUTIERREZ CELY BERTHA </t>
  </si>
  <si>
    <t>ALARCON VERA DILIA ELSA</t>
  </si>
  <si>
    <t>SALAMANCA PATARROYO FLOR ISABEL</t>
  </si>
  <si>
    <t>DIAZ PATARROYO NELSI ISLENE</t>
  </si>
  <si>
    <t xml:space="preserve">OCHOA FONSECA FRANCELINA </t>
  </si>
  <si>
    <t>DIAZ RAMIREZ MARIA LILIA</t>
  </si>
  <si>
    <t xml:space="preserve">IBAÑEZ RAMIREZ NUBIA </t>
  </si>
  <si>
    <t>BARRERA ALBARRACIN LUZ MARINA</t>
  </si>
  <si>
    <t>CAMACHO BAUTISTA ANA VICTORIA</t>
  </si>
  <si>
    <t>TORRES GONZALES ALBA LUCIA</t>
  </si>
  <si>
    <t>DGNAL 30 12 20 HURTADO PIEDAD HELENA</t>
  </si>
  <si>
    <t>DIAZ OSTOS AYDE LUCERO</t>
  </si>
  <si>
    <t xml:space="preserve">SUAREZ HERNANDEZ SARA </t>
  </si>
  <si>
    <t>CASTRO CASTRO ROSA ELVIRA</t>
  </si>
  <si>
    <t xml:space="preserve">NINO  MARIA </t>
  </si>
  <si>
    <t>ALARCON SISA AURA DELIA</t>
  </si>
  <si>
    <t>GRANADOS RODRIGUEZ ZANDRA VIVIANA</t>
  </si>
  <si>
    <t xml:space="preserve">GAVIRIA PATIÑO JULIETA </t>
  </si>
  <si>
    <t>MARY LUZ MOJICA BUITRAGO</t>
  </si>
  <si>
    <t>GARCIA ROMERO MARIA DE JESUS</t>
  </si>
  <si>
    <t xml:space="preserve">BUITRAGO PERALTA BETHY YAMILE </t>
  </si>
  <si>
    <t>GONZALEZ PINILLA SONIA YANETH</t>
  </si>
  <si>
    <t>SANDOVAL FUENTES FLOR HELENA</t>
  </si>
  <si>
    <t>PEREZ DE SILVA CLARA INES</t>
  </si>
  <si>
    <t xml:space="preserve">ALBARRACIN  FLOR </t>
  </si>
  <si>
    <t>PUENTES DE CACERES ELSIDA DELCARMEN</t>
  </si>
  <si>
    <t>MOJICA MONTOYA MARIA HELENA</t>
  </si>
  <si>
    <t>CARDENAS  LUZ MARINA</t>
  </si>
  <si>
    <t>ROA  BLANCA MARIELA</t>
  </si>
  <si>
    <t>CARDENAS DUENAS PAULA CELMIRA</t>
  </si>
  <si>
    <t>PEREZ  DORA ISABEL</t>
  </si>
  <si>
    <t>GOYENECHE HERRERA BLANCA INES</t>
  </si>
  <si>
    <t xml:space="preserve">ROJAS ARAQUE ISABEL </t>
  </si>
  <si>
    <t>AGUDELO ARANGO AURA NINFA</t>
  </si>
  <si>
    <t xml:space="preserve">AVELLANEDA VEGA ELISA </t>
  </si>
  <si>
    <t>DIAZ FUENTES LUZ ELENA</t>
  </si>
  <si>
    <t xml:space="preserve">INES  GLORIA </t>
  </si>
  <si>
    <t>PEREZ GOMEZ ALBA ROCIO</t>
  </si>
  <si>
    <t>TORRES CHIQUILLA CARMEN CECILIA</t>
  </si>
  <si>
    <t>SANDRA PATRICIA NAVAS ABRIL</t>
  </si>
  <si>
    <t xml:space="preserve">MOJICA MOJICA OLGA </t>
  </si>
  <si>
    <t>ESPINDOLA ROJAS ANA YAMILE</t>
  </si>
  <si>
    <t>MONGUI ESTUPINAN MARIA LUISA</t>
  </si>
  <si>
    <t xml:space="preserve">GONZALEZ NOVA  ISABEL </t>
  </si>
  <si>
    <t xml:space="preserve">MOJICA ACERO JANET </t>
  </si>
  <si>
    <t>CORREDOR BECERRA LILI MARLEN</t>
  </si>
  <si>
    <t xml:space="preserve">MOJICA ACERO YAZMIN </t>
  </si>
  <si>
    <t>LOPEZ ROJAS MIRYAM FELIZA</t>
  </si>
  <si>
    <t xml:space="preserve">MERY  ROSA </t>
  </si>
  <si>
    <t>SANCHEZ SANCHEZ AURA CECILIA</t>
  </si>
  <si>
    <t xml:space="preserve">CUY CACERES CLARIBEL </t>
  </si>
  <si>
    <t>AGUDELO FONSECA SONIA MILENA</t>
  </si>
  <si>
    <t>AMAYA RINCON NIDIA</t>
  </si>
  <si>
    <t>ZARATE GOMEZ SANDRA MILENA</t>
  </si>
  <si>
    <t>MARIA 3208087678 GARCIA ESTUPINAN</t>
  </si>
  <si>
    <t xml:space="preserve">BENITES MENDIVELSO  INGRID ALEIDA </t>
  </si>
  <si>
    <t xml:space="preserve">OROZCO SANDOVAL FABIOLA </t>
  </si>
  <si>
    <t>LEON MARQUEZ ELBA PATRICIA</t>
  </si>
  <si>
    <t xml:space="preserve">VARGAS FUENTES AURACILA </t>
  </si>
  <si>
    <t>CAMARGO ESPITIA ANA CECILIA</t>
  </si>
  <si>
    <t xml:space="preserve">ENIDIA  DELIA </t>
  </si>
  <si>
    <t xml:space="preserve">AVELLANEDA VARGAS MARGARITA </t>
  </si>
  <si>
    <t xml:space="preserve">CRISTANCHO  OLIMPIA </t>
  </si>
  <si>
    <t>SUAREZ CARVAJAL DEISY ASTRID</t>
  </si>
  <si>
    <t xml:space="preserve">GONZALEZ DURAN BRISALVA </t>
  </si>
  <si>
    <t xml:space="preserve">MARTINEZ CAMACHO YAKELINE </t>
  </si>
  <si>
    <t xml:space="preserve">PEÑARANDA  SANDRA </t>
  </si>
  <si>
    <t xml:space="preserve">ALFONSO SANDOVAL MARLEN </t>
  </si>
  <si>
    <t xml:space="preserve">MARIA MILSE ESPINDOLA </t>
  </si>
  <si>
    <t>PEREZ  LUZ ELENA</t>
  </si>
  <si>
    <t>GOMEZ ROA EY YASMIN</t>
  </si>
  <si>
    <t>MARQUEZ AMAYA YENNY LISEDH</t>
  </si>
  <si>
    <t xml:space="preserve">MARTINEZ  MARTHA </t>
  </si>
  <si>
    <t>CHIA  LUZ MARINA</t>
  </si>
  <si>
    <t>TORRES  ROSA HELENA</t>
  </si>
  <si>
    <t xml:space="preserve">NOVA GOMEZ ISLEN </t>
  </si>
  <si>
    <t>VEGA USCATEGUI MARTHA ISABEL</t>
  </si>
  <si>
    <t>SUAREZ CARVAJAL DENNY YAMILE</t>
  </si>
  <si>
    <t xml:space="preserve">MARTINEZ  ANGELA </t>
  </si>
  <si>
    <t xml:space="preserve">LUCIA  ALBA </t>
  </si>
  <si>
    <t xml:space="preserve">AVELLANEDA BALAGUERA JOSEFINA </t>
  </si>
  <si>
    <t xml:space="preserve">ESTUPIÑAN PARDO LILIANA </t>
  </si>
  <si>
    <t>MARIA GLADYS SALAZAR ROMERO</t>
  </si>
  <si>
    <t xml:space="preserve">AVELLANEDA MOJICA PATRICIA </t>
  </si>
  <si>
    <t>DIAZ ROJAS DIANA CAROLINA</t>
  </si>
  <si>
    <t>RAMOS CRUZ ANA DORELLY</t>
  </si>
  <si>
    <t>AMAYA ROMERO MARIA NYDIA</t>
  </si>
  <si>
    <t>ESTUPIÑAN BELTRAN LINA MARIA</t>
  </si>
  <si>
    <t>CUEVAS ESTUPINAN BLANCA MARINA</t>
  </si>
  <si>
    <t xml:space="preserve">BALAGUERA CUEVAS ROSALBA </t>
  </si>
  <si>
    <t>GOMEZ GUERRERO NANCY ESPERANZA</t>
  </si>
  <si>
    <t>LIEVANO RINCON JENNY PAOLA</t>
  </si>
  <si>
    <t xml:space="preserve">SILVA RANGEL MARGARITA </t>
  </si>
  <si>
    <t>ANGARITA ESTUPIÑAN KAREN SORAYA</t>
  </si>
  <si>
    <t>MERCHAN GOMEZ MARIA NANCY</t>
  </si>
  <si>
    <t xml:space="preserve">MENDIVELSO AVILA MIRYAN </t>
  </si>
  <si>
    <t>LEON GUERRERO LUZ MERY</t>
  </si>
  <si>
    <t>ESPINDOLA ROJAS BLANCA MIREYA</t>
  </si>
  <si>
    <t>SUAREZ GONZALEZ YENNY LISED</t>
  </si>
  <si>
    <t>AMAYA ORTIZ DEISY ALEXANDRA</t>
  </si>
  <si>
    <t xml:space="preserve">ARAQUE ESLAVA YAMIRA </t>
  </si>
  <si>
    <t xml:space="preserve">NOVA TELLEZ MARISOL </t>
  </si>
  <si>
    <t>PATIÑO MOJICA RUTH LILIANA</t>
  </si>
  <si>
    <t xml:space="preserve">REYES MARTINEZ HEIDY </t>
  </si>
  <si>
    <t>CARDENAS DAZA YENNY MILENA</t>
  </si>
  <si>
    <t>GALLO PEREZ ANA ELIZABETH</t>
  </si>
  <si>
    <t>DURAN PEREZ DIANA ISABEL</t>
  </si>
  <si>
    <t>PEREZ AMAYA ELSA DEL CARMEN</t>
  </si>
  <si>
    <t>FONSECA  MYRIAM DEL CARMEN</t>
  </si>
  <si>
    <t xml:space="preserve">RODRIGUEZ RODRIGUEZ ROSALBA </t>
  </si>
  <si>
    <t>TENJO JOYA MARTHA YANETH</t>
  </si>
  <si>
    <t>PACHECO HERRERA MARIA ELENA</t>
  </si>
  <si>
    <t>SORACA MENDOZA LUZ MARINA</t>
  </si>
  <si>
    <t>ZORRO HERRERA NINFA RUBIELA</t>
  </si>
  <si>
    <t xml:space="preserve">HERRERA FONSECA  LILIANA ELENA </t>
  </si>
  <si>
    <t>BOLIVAR LIMAS ANA ROSMIRA</t>
  </si>
  <si>
    <t>PACHON PIRAJAN SONIA PATRICIA</t>
  </si>
  <si>
    <t>CORDOBA  NANCY YAMILE</t>
  </si>
  <si>
    <t>CAMARGO BECERRA ROSA MARIA</t>
  </si>
  <si>
    <t xml:space="preserve">SANTOS CRISTINA MARIA </t>
  </si>
  <si>
    <t xml:space="preserve">CARDOZO RIVEROS MARIEN </t>
  </si>
  <si>
    <t>MESA MARTINEZ ELSA CECILIA</t>
  </si>
  <si>
    <t xml:space="preserve">CARDENAS MONTAÑA ROSALIN </t>
  </si>
  <si>
    <t>RAMIREZ ESPINEL DORA YANETH</t>
  </si>
  <si>
    <t>PRECIADO RAMIREZ YULI MAYERLY</t>
  </si>
  <si>
    <t>VERDUGO . ANA MIREYA</t>
  </si>
  <si>
    <t xml:space="preserve">FONSECA DAZA ESPERANZA </t>
  </si>
  <si>
    <t>VARGAS MARTINEZ YEIMY YURANY</t>
  </si>
  <si>
    <t>NURY CONSTANZA PRIETO RIOS</t>
  </si>
  <si>
    <t>LOPEZ DAZA JULY JOHANA</t>
  </si>
  <si>
    <t>RAMIREZ AGUIRRE MARTHA YANETH</t>
  </si>
  <si>
    <t>VEGA AMADO MARIA JESUS</t>
  </si>
  <si>
    <t>GIL CASTIBLANCO MARIA MAGDALENA</t>
  </si>
  <si>
    <t>NEISA MANCIPE MARIA STELLA</t>
  </si>
  <si>
    <t xml:space="preserve">ROJAS RODRIGUEZ RUTH </t>
  </si>
  <si>
    <t xml:space="preserve">MOLINA GIL EVIDALIA </t>
  </si>
  <si>
    <t>BUITRAGO CASTRO DORA IGNACIA</t>
  </si>
  <si>
    <t xml:space="preserve">MOLINA GIL ALBERTA </t>
  </si>
  <si>
    <t>APONTE GIL ANA ELSA</t>
  </si>
  <si>
    <t>BUITRAGO MEZA CLARA ELICENIA</t>
  </si>
  <si>
    <t xml:space="preserve">TEVARES  PATRICIA </t>
  </si>
  <si>
    <t>PAEZ DE SLGADO ANA BEATRIZ</t>
  </si>
  <si>
    <t>RODRIGUEZ ARIAS MARIA LUISA</t>
  </si>
  <si>
    <t xml:space="preserve">SANCHEZ MALDONADO EDILMA </t>
  </si>
  <si>
    <t xml:space="preserve">RODRIGUEZ AREAS FLORESMILA </t>
  </si>
  <si>
    <t>BONILLA RODRIGUEZ ROSA AIRETH</t>
  </si>
  <si>
    <t>ROSA ADELIA SEPULVEDA SALAZAR</t>
  </si>
  <si>
    <t xml:space="preserve">TARAZONA CRISTANCHO OMAIRA </t>
  </si>
  <si>
    <t>CORREA HERNANDEZ IRIS MARIA</t>
  </si>
  <si>
    <t xml:space="preserve">CACERES MARIÑO YADELY </t>
  </si>
  <si>
    <t xml:space="preserve">FUENTES DE SEPULVEDA ROSABINA </t>
  </si>
  <si>
    <t xml:space="preserve">CACERES CACERES PASTORA </t>
  </si>
  <si>
    <t>HERNANDEZ  MARIA STELLA</t>
  </si>
  <si>
    <t xml:space="preserve">ISABEL  TERESA </t>
  </si>
  <si>
    <t xml:space="preserve">BOTIA TARAZONA ANATILIA </t>
  </si>
  <si>
    <t xml:space="preserve">CARRENO LIMAS FANNY </t>
  </si>
  <si>
    <t>CACERES BAYONA MARIA GLADYS</t>
  </si>
  <si>
    <t>CORDERO PEREZ ROSA ELENA</t>
  </si>
  <si>
    <t xml:space="preserve">CORREA MELGAREJO HOMAIRA </t>
  </si>
  <si>
    <t>BERRIO LEON ANGELICA MARIA</t>
  </si>
  <si>
    <t>GARCIA DE PIEDRAHITA ROSA ELENA</t>
  </si>
  <si>
    <t xml:space="preserve">VARGAS  ELVA </t>
  </si>
  <si>
    <t>LEOPOLDINA  GALVIS DE BAEZ</t>
  </si>
  <si>
    <t>MARIÑO RIVERA DORA DEL CARMEN</t>
  </si>
  <si>
    <t>LEON CASILDA PEDRAZA DE</t>
  </si>
  <si>
    <t xml:space="preserve">VIVAS  EDELMIRA </t>
  </si>
  <si>
    <t>FAJARDO ALVAREZ ISABEL DE LAS MERCEDES</t>
  </si>
  <si>
    <t>ALVARADO DE RIVERA BLANCA LILIA</t>
  </si>
  <si>
    <t>QUIROZ DE CUADROS SUSANA DEL CARMEN</t>
  </si>
  <si>
    <t>TORRES MOLANO DORIS LUCIA</t>
  </si>
  <si>
    <t>RUBIO DE CALIXTO LUZ ANGELA</t>
  </si>
  <si>
    <t>TORRES HOLGUIN CARMEN LUCIA</t>
  </si>
  <si>
    <t>SILVA SILVA ELSA MARLEN</t>
  </si>
  <si>
    <t>BUITRAGO SANDOVAL RITA JOSEFA</t>
  </si>
  <si>
    <t xml:space="preserve">GIL  LUZ MARINA </t>
  </si>
  <si>
    <t>CAMACHO NIÑO MARIA AZUCENA</t>
  </si>
  <si>
    <t>RUIZ REYES MARIA EUGENIA</t>
  </si>
  <si>
    <t>TUTA DIAZ ROSA HELENA</t>
  </si>
  <si>
    <t>VARGAS CASTAÑEDA MARINA DE JESUS</t>
  </si>
  <si>
    <t>ROBAYO PEDRAZA NUBIA ESTELLA</t>
  </si>
  <si>
    <t>VARGAS RINCON ZORAIDA DE LAS MERCEDES</t>
  </si>
  <si>
    <t>MORENO DUENAS ROSSY ARELIS</t>
  </si>
  <si>
    <t xml:space="preserve">CAMARGO  MARCELA </t>
  </si>
  <si>
    <t xml:space="preserve">DIAZ CARVAJAL GRACIELA </t>
  </si>
  <si>
    <t xml:space="preserve">PEDRAZA CORREDOR ZORAIDA </t>
  </si>
  <si>
    <t>CHINOME PUENTES NALDA ASTRID</t>
  </si>
  <si>
    <t xml:space="preserve">NIÑO MARTINEZ FABIOLA </t>
  </si>
  <si>
    <t>RINCON MARTINEZ BLANCA INES</t>
  </si>
  <si>
    <t>ADAME TORRES ROSA ESTELA</t>
  </si>
  <si>
    <t>SANABRIA CARDOZO MARTHA CECILIA</t>
  </si>
  <si>
    <t>BONILLA RODRIGUEZ GLORIA ESPERANZA</t>
  </si>
  <si>
    <t>LOZANO MARTINEZ AURORA LIGIA</t>
  </si>
  <si>
    <t>ANGARITA LEON FLOR ALBA</t>
  </si>
  <si>
    <t xml:space="preserve">MONROY GUARIN NUBIA </t>
  </si>
  <si>
    <t xml:space="preserve">MORENO SUAREZ OLGA </t>
  </si>
  <si>
    <t>DALLOS VEGA FLOR ALIX</t>
  </si>
  <si>
    <t>RINCON  MARIA ELVIA</t>
  </si>
  <si>
    <t xml:space="preserve">DUEÑAS  ADRIANA </t>
  </si>
  <si>
    <t>DUARTE CHAPARRO CARMEN TERESA</t>
  </si>
  <si>
    <t xml:space="preserve">PEDRAZA  YASMIN </t>
  </si>
  <si>
    <t xml:space="preserve">SOLANO MORALES MARINELA </t>
  </si>
  <si>
    <t>PINTO LEON MARIA HELENA</t>
  </si>
  <si>
    <t xml:space="preserve">RIOS MALPICA MATILDE </t>
  </si>
  <si>
    <t>CARDENAS GALLO DORA ALICIA</t>
  </si>
  <si>
    <t xml:space="preserve">CASTRO PLAZAS ROSALBA </t>
  </si>
  <si>
    <t>HERNANDEZ GAMBOA ZONIA NOHEMI</t>
  </si>
  <si>
    <t>PRIETO CHINCHILLA LUZ MERY</t>
  </si>
  <si>
    <t>VARGAS  ANGELA MARCELA</t>
  </si>
  <si>
    <t>DAZA CARVAJAL ANA YOLANDA</t>
  </si>
  <si>
    <t xml:space="preserve">PRIETO CHINCHILLA ROSALBA </t>
  </si>
  <si>
    <t xml:space="preserve">ROJAS COLMENARES MARICELA </t>
  </si>
  <si>
    <t>SILVA CAMACHO ROSA STELLA</t>
  </si>
  <si>
    <t xml:space="preserve">GOMEZ ALVAREZ CECILIA </t>
  </si>
  <si>
    <t>FAJARDO CUEVAS MONICA HERMELINDA</t>
  </si>
  <si>
    <t>RINCON GIL OLGA LUCIA</t>
  </si>
  <si>
    <t xml:space="preserve">MARTINEZ TORRES MIREYA </t>
  </si>
  <si>
    <t>VARGAS SALAMANCA LIZETH ASTRID</t>
  </si>
  <si>
    <t>TOLEDO CHOCONTA MAYARI ROSSIO</t>
  </si>
  <si>
    <t xml:space="preserve">CELY BAEZ  NANCY </t>
  </si>
  <si>
    <t>CELY BAEZ CLAUDIA ROCIO</t>
  </si>
  <si>
    <t xml:space="preserve">YANETH ISABEL MEDINA </t>
  </si>
  <si>
    <t xml:space="preserve">NIÑO  YANED </t>
  </si>
  <si>
    <t>BRICEÑO FAJARDO RUTH ZORAIDA</t>
  </si>
  <si>
    <t xml:space="preserve">PINTO LEON LILIANA </t>
  </si>
  <si>
    <t>PEDRAZA CORREDOR ANGELA LISETH</t>
  </si>
  <si>
    <t>BAEZ SALAMANCA SANDRA TATIANA</t>
  </si>
  <si>
    <t>CONTRERAS  LUZ EVELIA</t>
  </si>
  <si>
    <t>ZULMA YOLIMA VELANDIA PEDRAZA</t>
  </si>
  <si>
    <t>CEPEDA RINCON YENNY ALEXANDRA</t>
  </si>
  <si>
    <t xml:space="preserve">FLECHAS  LISBETH </t>
  </si>
  <si>
    <t xml:space="preserve">CASTRO CAMACHO YOHANNA </t>
  </si>
  <si>
    <t xml:space="preserve">PEÑA  LUZ </t>
  </si>
  <si>
    <t>PEÑA CASTRO LUISA FERNANDA</t>
  </si>
  <si>
    <t>ROJAS MARTINEZ MARIA ANTONIA</t>
  </si>
  <si>
    <t>MARTINEZ BAEZ FULBIA MILENA</t>
  </si>
  <si>
    <t>MARTINEZ TORRES ROSA VIVIANA</t>
  </si>
  <si>
    <t xml:space="preserve">CERON NIÑO MILENA </t>
  </si>
  <si>
    <t xml:space="preserve">QUINTANA MORENO ADRIANA </t>
  </si>
  <si>
    <t xml:space="preserve">RAMIREZ CUTA  ANDREA PATRICIA </t>
  </si>
  <si>
    <t xml:space="preserve">MENDIVELSO LEIDY  YUDITH </t>
  </si>
  <si>
    <t>MAYORGA CAMACHO CLAUDIA PATRICIA</t>
  </si>
  <si>
    <t>GALLO VELANDIA DARLY ISABEL</t>
  </si>
  <si>
    <t>TORRES DUEÑAS ANA ELIZABETH</t>
  </si>
  <si>
    <t>ASTRID YOLANDA ALVARADO MARTINEZ</t>
  </si>
  <si>
    <t>RINCON TORRES AIDA LUZ</t>
  </si>
  <si>
    <t>GARCIA RUIZ CLAUDIA VIVIANA</t>
  </si>
  <si>
    <t>GONZALEZ MORENO NANCY YAMILE</t>
  </si>
  <si>
    <t>CORREDOR FLOREZ ZULY MINDRED</t>
  </si>
  <si>
    <t>PEDRAZA PESCA DIANA CAROLINA</t>
  </si>
  <si>
    <t>VARGAS 3114510014 ZULMA XIMENA</t>
  </si>
  <si>
    <t>REYES MARTINEZ MAGDA JOHANNA</t>
  </si>
  <si>
    <t>GOMEZ LEON MARINA DE LA CRUZ</t>
  </si>
  <si>
    <t xml:space="preserve">ROJAS  ANA </t>
  </si>
  <si>
    <t xml:space="preserve">MONTANEZ GONZALEZ HELIDA </t>
  </si>
  <si>
    <t>MEJIA LEON FLOR ANGELA</t>
  </si>
  <si>
    <t>DELGADO DE AMEZQUITA ZORAIDA DE JESUS</t>
  </si>
  <si>
    <t xml:space="preserve">IGUERA  CECY </t>
  </si>
  <si>
    <t>MANRIQUE  OLGA YANETH</t>
  </si>
  <si>
    <t xml:space="preserve">NOVA GUERRERO LELIS </t>
  </si>
  <si>
    <t>MOJICA CASTRO CARMEN FELISA</t>
  </si>
  <si>
    <t xml:space="preserve">MANRIQUE CLARA YANED </t>
  </si>
  <si>
    <t>GOMEZ PATIÑO BERTHA CECILIA</t>
  </si>
  <si>
    <t xml:space="preserve">MANRIQUE SANDOVAL MARLENY </t>
  </si>
  <si>
    <t>LOPEZ RINCON FANNY YOLANDA</t>
  </si>
  <si>
    <t>MORENO DE MORENO ANA MERCEDES</t>
  </si>
  <si>
    <t>PIRA GRIJALBA GLORIA CECILIA</t>
  </si>
  <si>
    <t>ACUÑA VARGAS GLORIA YANETH</t>
  </si>
  <si>
    <t>DELGADO RANGEL ANA ISABEL</t>
  </si>
  <si>
    <t xml:space="preserve">BALAGUERA SUAREZ EMPERATRIZ </t>
  </si>
  <si>
    <t xml:space="preserve">CELY QUINTERO EDELMIRA </t>
  </si>
  <si>
    <t xml:space="preserve">ROJAS FUENTES VERONICA </t>
  </si>
  <si>
    <t>MURILLO ROJAS MYRIAM YOLANDA</t>
  </si>
  <si>
    <t>DELGADO ORTEGA RUTH LILIANA</t>
  </si>
  <si>
    <t>MEJIA SALAZAR MARIA DEL CARMEN</t>
  </si>
  <si>
    <t>BOHORQUEZ BLANCO YANEDT PAULINA</t>
  </si>
  <si>
    <t>RIVERA  MARIA ELENA</t>
  </si>
  <si>
    <t xml:space="preserve">MUÑOZ BARRERA FIDELIA </t>
  </si>
  <si>
    <t>VARGAS RODRIGUEZ DORIS ROCIO</t>
  </si>
  <si>
    <t>SEPULVEDA MEJIA CIELO YANETH</t>
  </si>
  <si>
    <t xml:space="preserve">DUENAS SILVA ESPERANZA </t>
  </si>
  <si>
    <t>QUINTERO  INELDA DUARTE</t>
  </si>
  <si>
    <t xml:space="preserve">MUÑOZ BECERRA ROSALIA </t>
  </si>
  <si>
    <t>SUAREZ REYES CARMEN ALICIA</t>
  </si>
  <si>
    <t>VERGARA CAMACHO MARTHA ISABEL</t>
  </si>
  <si>
    <t>PINZON PRIETO SARA MARCELA</t>
  </si>
  <si>
    <t>QUIROZ QUIROZ FLOR ICELA</t>
  </si>
  <si>
    <t>ESTUPIÑAN BERDUGO JENNY CONSTANZA</t>
  </si>
  <si>
    <t xml:space="preserve">GOMEZ DE SERRANO ALEJANDRINA </t>
  </si>
  <si>
    <t>NIÑO PORRAS ALEYDA CLEOTILDE</t>
  </si>
  <si>
    <t>ESTEPA  ROSA ELENA</t>
  </si>
  <si>
    <t xml:space="preserve">BELLO DE RAMIREZ WBALDINA </t>
  </si>
  <si>
    <t>VELANDIA DE MONTOYA MARIA CRISTNA</t>
  </si>
  <si>
    <t xml:space="preserve">SUA MENDIVELSO MARILSE </t>
  </si>
  <si>
    <t>OCHOA DE OJEDA MARIA DEL CARMEN</t>
  </si>
  <si>
    <t>LIVIA MARINA CALDERON SEPULVEDA</t>
  </si>
  <si>
    <t xml:space="preserve">AVELLANEDA  INES </t>
  </si>
  <si>
    <t>HERRERA . TERESA DE</t>
  </si>
  <si>
    <t xml:space="preserve">MENDIVELSO RINCON AMERICA </t>
  </si>
  <si>
    <t>MENDIVELSO BENITEZ ANA SOFIA</t>
  </si>
  <si>
    <t>ALBARRACIN ALBARRACIN SONIA CAROLINA</t>
  </si>
  <si>
    <t>GOMEZ DE GROSSO CARMEN JULIA</t>
  </si>
  <si>
    <t>ANA YAMILE GARZON MOJICA</t>
  </si>
  <si>
    <t>MORALES MANCIPE CLARA NELIA</t>
  </si>
  <si>
    <t xml:space="preserve">MARIA INES ROJAS </t>
  </si>
  <si>
    <t>MANRIQUE MANRIQUE BLANCA INES</t>
  </si>
  <si>
    <t>GOYENECHE PARDO LURY DELSOCORRO</t>
  </si>
  <si>
    <t>DURAN FERNANDEZ ANA HIMELDA</t>
  </si>
  <si>
    <t>MONTOYA ABRIL LIBIS DEL CARMEN</t>
  </si>
  <si>
    <t xml:space="preserve">GOMEZ  ESTER </t>
  </si>
  <si>
    <t>GARCIA MANRIQUE NELLY PATRICIA</t>
  </si>
  <si>
    <t>ROMERO HERNANDEZ MARIA CELINA</t>
  </si>
  <si>
    <t>MONTAÑEZ  MARIA ESTRELLA</t>
  </si>
  <si>
    <t>ESTUPINAN ALVARADO MARIA ELISA</t>
  </si>
  <si>
    <t>MALPICA SANABRIA BLANCA CECILIA</t>
  </si>
  <si>
    <t>MILLANO MALPICA AURA ALICIA</t>
  </si>
  <si>
    <t>ABRIL JOYA MARIA AMPARO</t>
  </si>
  <si>
    <t xml:space="preserve">ARISMENDY GARCIA SENAIDA </t>
  </si>
  <si>
    <t xml:space="preserve">LAGUILAVO CELMIRA SANDOVAL </t>
  </si>
  <si>
    <t>VARGAS RINCON DORA INES</t>
  </si>
  <si>
    <t>RINCON UZCATEGUI CLARA INES</t>
  </si>
  <si>
    <t>TOCA  ANA FRANCISCA</t>
  </si>
  <si>
    <t>USCATEGUI RINCON BLANCA NIEVES</t>
  </si>
  <si>
    <t>NIÑO LOPEZ SONIA NIÑO</t>
  </si>
  <si>
    <t xml:space="preserve">HERNANDEZ CELY ROSALBA </t>
  </si>
  <si>
    <t>LOPEZ ALFONSO MARIA MERCEDES</t>
  </si>
  <si>
    <t>ROMERO MELO NUBIA INES</t>
  </si>
  <si>
    <t>AMPARO DEL ALBARRACIN CUY</t>
  </si>
  <si>
    <t>MALPICA SANABRIA MARTHA ISABEL</t>
  </si>
  <si>
    <t>MANRIQUE MERCHAN MARTHA JANNETH</t>
  </si>
  <si>
    <t>ESTUPIÑAN ALVARADO ANA OMAIRA</t>
  </si>
  <si>
    <t>RANGEL MOJICA MARIA EUGENIA</t>
  </si>
  <si>
    <t>USCATEGUI ESTUPINAN BLANCA ISBELIA</t>
  </si>
  <si>
    <t>BERNAL RINCON HELDA YANNETH</t>
  </si>
  <si>
    <t>DURAN MEDINA DORA CECILIA</t>
  </si>
  <si>
    <t xml:space="preserve">ABRIL  NANCY </t>
  </si>
  <si>
    <t>CARVAJAL RICO DORIS ELENA</t>
  </si>
  <si>
    <t>VEGA AMAYA ANA CELMIRA</t>
  </si>
  <si>
    <t>SANTOS FONSECA MARTHA YOLANDA</t>
  </si>
  <si>
    <t>GAITAN CARDENAS DORA AMALFI</t>
  </si>
  <si>
    <t>GOYENECHE CARVAJAL ANA BIBIANA</t>
  </si>
  <si>
    <t>ALFONSO CARREÑO NUBIA YOLANDA</t>
  </si>
  <si>
    <t>USCATEGUI SOLEDAD ANA INES</t>
  </si>
  <si>
    <t>MONTAÑEZ GARCIA MONICA DEL PILAR</t>
  </si>
  <si>
    <t>CRISTIANO  YEIMY ROCIO</t>
  </si>
  <si>
    <t>RAVELO GUTIERREZ SANDRA MILENA</t>
  </si>
  <si>
    <t>ARISMENDI ARISMENDI NINI JOHANA</t>
  </si>
  <si>
    <t>RAMIREZ SEPULVEDA BLANCA LIDA</t>
  </si>
  <si>
    <t>DURAN AMADO LUZ BRICEIDA</t>
  </si>
  <si>
    <t>SUA SUA ESTHER YOLANDA</t>
  </si>
  <si>
    <t xml:space="preserve">LUZMILA  VEGA </t>
  </si>
  <si>
    <t xml:space="preserve">PLAZAS DE FAJARDO MARIELA </t>
  </si>
  <si>
    <t>VEGA RODRIGUEZ MARIA ANGELA</t>
  </si>
  <si>
    <t>NARCISA ROSA PINEDA PINEDA</t>
  </si>
  <si>
    <t xml:space="preserve">JIMENEZ DE ROJAS FLORALBA </t>
  </si>
  <si>
    <t xml:space="preserve">ESPITIA  LUCINDA </t>
  </si>
  <si>
    <t>FONSECA ROBLES BLANCA CONSUELO</t>
  </si>
  <si>
    <t xml:space="preserve">AMEZQUITA  ZULMA </t>
  </si>
  <si>
    <t xml:space="preserve">BLANCO  MERCEDES </t>
  </si>
  <si>
    <t>GOMEZ DE LAGOS GLORIA ESTER</t>
  </si>
  <si>
    <t>GOMEZ MELGAREJO AURA LILIA</t>
  </si>
  <si>
    <t>BRICEÑO JOYA AURA NELLY</t>
  </si>
  <si>
    <t>RUIZ CAMACHO FLOR DE MARIA</t>
  </si>
  <si>
    <t xml:space="preserve">SANDOVAL PINZON NYDIAN </t>
  </si>
  <si>
    <t>MEJIA SANDOVAL BERTHA GIMENA</t>
  </si>
  <si>
    <t>BRICEÑO FERNANDEZ NIDIA YAMILE</t>
  </si>
  <si>
    <t>VELANDIA DE CANTOR HILDA LEONOR</t>
  </si>
  <si>
    <t xml:space="preserve">LEGUIZAMO QUINTERO ELIZABETH </t>
  </si>
  <si>
    <t xml:space="preserve">VEGA DE GARCIA PURIFICACION </t>
  </si>
  <si>
    <t xml:space="preserve">ANGARITA FERNANDEZ LUZMILA </t>
  </si>
  <si>
    <t xml:space="preserve">FERNANDEZ ANGARITA OMAIRA </t>
  </si>
  <si>
    <t>REYES MARQUEZ MARIA CRISTINA</t>
  </si>
  <si>
    <t xml:space="preserve">CHIA CHIA QUINTINA </t>
  </si>
  <si>
    <t>SANCHEZ PARRA LUZ MARINA</t>
  </si>
  <si>
    <t>ACERO CARVAJAL LUZ MERY</t>
  </si>
  <si>
    <t>PARRA ALBARRACIN YANET DEL CARMEN</t>
  </si>
  <si>
    <t xml:space="preserve">MARTINEZ FERNANDEZ LUCILA </t>
  </si>
  <si>
    <t>MOJICA ANGARITA DOLLY MILDREED</t>
  </si>
  <si>
    <t>MEJIA MOJICA MARIA CRISTINA</t>
  </si>
  <si>
    <t>LEON HERNANDEZ MARTHA ALICIA</t>
  </si>
  <si>
    <t xml:space="preserve">VALDERRAMA ORJUELA GLORIA </t>
  </si>
  <si>
    <t>PARRA LEGUIZAMON MAYARLY ANDREA</t>
  </si>
  <si>
    <t>ESPEJO PACHECO ANA SUSANA</t>
  </si>
  <si>
    <t xml:space="preserve">AYALA PEREZ ODALINDA </t>
  </si>
  <si>
    <t>MARTINEZ COGUA ANA GRACIELA</t>
  </si>
  <si>
    <t>TRISTANCHO SALCEDO MARTHA INES</t>
  </si>
  <si>
    <t>TOTAITIVE FONSECA WILMA PATRICIA</t>
  </si>
  <si>
    <t>CUIDA ORTIZ CARMEN ALCIRA</t>
  </si>
  <si>
    <t xml:space="preserve">CORREA  DORELLY </t>
  </si>
  <si>
    <t xml:space="preserve">GARAVITO CAMARGO GILMA </t>
  </si>
  <si>
    <t>BAYONA FONSECA MARIA NUBIA</t>
  </si>
  <si>
    <t xml:space="preserve">ELSA  MARIA </t>
  </si>
  <si>
    <t xml:space="preserve">PEREZ  MARTHA </t>
  </si>
  <si>
    <t>CRUZ AYALA EDITH MARITZA</t>
  </si>
  <si>
    <t>FAJARDO CASTIBLANCO YANETH CECILIA</t>
  </si>
  <si>
    <t>RAMIREZ  ANA AURORA</t>
  </si>
  <si>
    <t>NOY BENAVIDEZ BLANCA LIBIA</t>
  </si>
  <si>
    <t>CACHOPE GOMEZ ELSY IVED</t>
  </si>
  <si>
    <t>CAMARGO MONTAÑEZ LIDIA MARIELA</t>
  </si>
  <si>
    <t>BENAVIDES CASTRO MARIA DEL CARMEN</t>
  </si>
  <si>
    <t>GLADYS EUGENIA TRISTANCHO LOPEZ</t>
  </si>
  <si>
    <t>RIVERA DIAZ ANA JUDITH</t>
  </si>
  <si>
    <t>NIÑO MARIA MARIA LUCILA</t>
  </si>
  <si>
    <t>CORREA JARRO NANCY TERESA</t>
  </si>
  <si>
    <t>DORA INES TOTAITIVE OSORIO</t>
  </si>
  <si>
    <t xml:space="preserve">PALACIOS  GLADYS </t>
  </si>
  <si>
    <t xml:space="preserve">TENORIO HERNANDEZ JEYILUD </t>
  </si>
  <si>
    <t>MELVA LUCIA MESA CARDOSO</t>
  </si>
  <si>
    <t xml:space="preserve">CURMEN CEPEDA DORIS </t>
  </si>
  <si>
    <t>GRANADOS ROSAS CLARA INES</t>
  </si>
  <si>
    <t>VELANDIA GALINDO NIEVES ADRIANA</t>
  </si>
  <si>
    <t xml:space="preserve">FIGUEROA  OMAIRA </t>
  </si>
  <si>
    <t>CHAPARRO CEPEDA ANGELA ISABEL</t>
  </si>
  <si>
    <t xml:space="preserve">VARGAS  AMPARO </t>
  </si>
  <si>
    <t>CARRERO ROSAS ELSA MARIA</t>
  </si>
  <si>
    <t>PEREZ BAUTISTA ANA DORIS</t>
  </si>
  <si>
    <t xml:space="preserve">CUIDA CASTRO GLADYS </t>
  </si>
  <si>
    <t>SALAMANCA GARCIA NELCY YANETH</t>
  </si>
  <si>
    <t>SANABRIA ROSAS BLANCA CECILIA</t>
  </si>
  <si>
    <t xml:space="preserve">YOLANDA  CAMARGO </t>
  </si>
  <si>
    <t>SANCHEZ PEREZ SONIA CRISTINA</t>
  </si>
  <si>
    <t>FORERO APONTE ANGELA MARIA</t>
  </si>
  <si>
    <t>GALAN CEPEDA YEIMY CAROLINA</t>
  </si>
  <si>
    <t>PEREZ AYALA SONIA ISABEL</t>
  </si>
  <si>
    <t>MEDINAHIGUERA  ANGELA CAROLINA</t>
  </si>
  <si>
    <t xml:space="preserve">SAGANOME  ANA </t>
  </si>
  <si>
    <t>CEPEDA CASTRO SONIA PATRICIA</t>
  </si>
  <si>
    <t>GUEVARA LEON CLAUDIA MILENA</t>
  </si>
  <si>
    <t xml:space="preserve">JOHANA  DERLY </t>
  </si>
  <si>
    <t>CEPEDA  SANDRA MILENA</t>
  </si>
  <si>
    <t>AYALA ZEA SANDRA LILIANA</t>
  </si>
  <si>
    <t>VARGAS TORRES LISZEEL GABRIELA</t>
  </si>
  <si>
    <t>MESA BARRERA GLORIA ANGELICA</t>
  </si>
  <si>
    <t xml:space="preserve">DUARTE SANABRIA  DEISSY CAROLINA </t>
  </si>
  <si>
    <t>FIGUEROA BARRERA ANA AYDEE</t>
  </si>
  <si>
    <t>NOY PULIDO LUCY MARITZA</t>
  </si>
  <si>
    <t>RINCON CHAPARRO LAUREN YANINA</t>
  </si>
  <si>
    <t>DAZA PEDRAZA MARIA HERMELINDA</t>
  </si>
  <si>
    <t>LEGUIZAMON RODRIGUEZ ANA CECILIA</t>
  </si>
  <si>
    <t xml:space="preserve">ARIAS AVILA ELISENIA </t>
  </si>
  <si>
    <t xml:space="preserve">LEGUIZAMON SUAREZ ROSALBA </t>
  </si>
  <si>
    <t>GUIO MOYANO AURA ALISIA</t>
  </si>
  <si>
    <t xml:space="preserve">GUERRERO JIMENEZ SANDRA </t>
  </si>
  <si>
    <t xml:space="preserve">TORRES PEREZ ZOMAIRA </t>
  </si>
  <si>
    <t>TAPIAS  ANA JUDID</t>
  </si>
  <si>
    <t xml:space="preserve">CRUZ CRUZ GRADYS </t>
  </si>
  <si>
    <t>ADAME CRISTANCHO LUZ MARINA</t>
  </si>
  <si>
    <t xml:space="preserve">ÑIÑO SUAREZ IRMA </t>
  </si>
  <si>
    <t>LOPEZ CAÑON NELSSY YAZMIN</t>
  </si>
  <si>
    <t>RINCON ROJAS MARIA ANA</t>
  </si>
  <si>
    <t>CASTRO VARGAS BLANCA MERY</t>
  </si>
  <si>
    <t>VARGAS PEREZ NANCY DANEYI</t>
  </si>
  <si>
    <t>HENOA MUÑOZ NIDYA JOHANA</t>
  </si>
  <si>
    <t>DAZA HERRERA SONIA ANDREA</t>
  </si>
  <si>
    <t>CORREDOR RINCON YENI ROCIO</t>
  </si>
  <si>
    <t xml:space="preserve">RIAÑO LOPEZ MIRIAM </t>
  </si>
  <si>
    <t>PULIDO DAZA ANA VICTORIA</t>
  </si>
  <si>
    <t>RODRIGUEZ MORENO GLORIA ESMITH</t>
  </si>
  <si>
    <t xml:space="preserve">BOLIVAR  MARIELA </t>
  </si>
  <si>
    <t>SISA SISA EDITH DEL CARMEN</t>
  </si>
  <si>
    <t>GARCIA ROJAS MARIA LUCRECIA</t>
  </si>
  <si>
    <t xml:space="preserve">PARRA ARAQUE ESTHER </t>
  </si>
  <si>
    <t>VEGA PEREZ SANDRA MARCELA</t>
  </si>
  <si>
    <t xml:space="preserve">ESPINEL CALIXTO MARIA </t>
  </si>
  <si>
    <t xml:space="preserve">ROMERO SARABIA MARIA </t>
  </si>
  <si>
    <t>ROMERO YANES ELINE MARGARITA</t>
  </si>
  <si>
    <t>PEÑA ORTIGOZA LUZ ANGELA</t>
  </si>
  <si>
    <t>REYES MURCIA CLAUDIA MILENA</t>
  </si>
  <si>
    <t>MUÑOZ SALAZAR NIDIA ARGENIS</t>
  </si>
  <si>
    <t xml:space="preserve">HERRERA  ALEXANDRA </t>
  </si>
  <si>
    <t>TORRES GOMEZ ELIANA MARCELA</t>
  </si>
  <si>
    <t xml:space="preserve">CACERES ACEVEDO MARIA </t>
  </si>
  <si>
    <t xml:space="preserve">RINCON DE RINCON GRACIELA </t>
  </si>
  <si>
    <t xml:space="preserve">MORENO MEJIA MERY </t>
  </si>
  <si>
    <t>GARCIA CELY ANA LUCIA</t>
  </si>
  <si>
    <t>SILVA BALAGUERA CARMEN GLORIA</t>
  </si>
  <si>
    <t xml:space="preserve">GODOY SANCHEZ NOHORA </t>
  </si>
  <si>
    <t>GONZALEZ MORALEZ ANA MYRIAM</t>
  </si>
  <si>
    <t>REYES ORTIZ MYRIAM STELLA</t>
  </si>
  <si>
    <t>ALVAREZ  ANA ROSA</t>
  </si>
  <si>
    <t>CARDENAS AMAYA ANA MILENA</t>
  </si>
  <si>
    <t xml:space="preserve">GUIZA CEPEDA MARYURY </t>
  </si>
  <si>
    <t>BARBOSA HERNANDEZ LUZ CLEMENCIA</t>
  </si>
  <si>
    <t>MARIA ELIZABETH SANGUINO PALACIOS</t>
  </si>
  <si>
    <t xml:space="preserve">SANDOVAL GOMEZ SOLANGE </t>
  </si>
  <si>
    <t xml:space="preserve">HERNANDEZ SANDOVAL JOSEFINA </t>
  </si>
  <si>
    <t xml:space="preserve">VILLAMIL TABERA ZORAIDA </t>
  </si>
  <si>
    <t xml:space="preserve">HERNANDEZ RODRIGUEZ LUCILA </t>
  </si>
  <si>
    <t xml:space="preserve">DIAZ ALDANA MELBA </t>
  </si>
  <si>
    <t>PERDOMO DE HERNANDEZ MARIA ELVIA</t>
  </si>
  <si>
    <t xml:space="preserve">CABEZAS DE ROMERO ELOISA </t>
  </si>
  <si>
    <t>RIOS VALDERRAMA NINI JOHANNA</t>
  </si>
  <si>
    <t>ROJAS  MARIA PUREZA</t>
  </si>
  <si>
    <t>VARGAS CETINA ADRIANA MARCELA</t>
  </si>
  <si>
    <t xml:space="preserve">LOPEZ NEGRON MAYLAIN </t>
  </si>
  <si>
    <t xml:space="preserve">BUSTOS ALBARRACIN DERLY </t>
  </si>
  <si>
    <t xml:space="preserve">ORDOÑEZ BERNAL SOLANGE </t>
  </si>
  <si>
    <t xml:space="preserve">TOQUICA MARIN BIVIANA </t>
  </si>
  <si>
    <t xml:space="preserve">MALAVER  RUBIELA </t>
  </si>
  <si>
    <t>RIVERA MESA MAGALI DEL CARMEN</t>
  </si>
  <si>
    <t>LUCILA ESPERANZA PEREZ PRECIADO</t>
  </si>
  <si>
    <t xml:space="preserve">ACOSTA LOPEZ LUCIA </t>
  </si>
  <si>
    <t>HINCAPIE MUÑOZ FRANCIA MILENA</t>
  </si>
  <si>
    <t xml:space="preserve">BECERRA  CLAUDIA </t>
  </si>
  <si>
    <t>OCAMPO OSORIO SANDRA MILENA</t>
  </si>
  <si>
    <t xml:space="preserve">RODRIGUEZ CRUZ EDILMA </t>
  </si>
  <si>
    <t>BECERRA CHAPARRO CLARA ALICIA</t>
  </si>
  <si>
    <t>SIERRA TAPIAS ANA TERESA</t>
  </si>
  <si>
    <t>RAMIREZ CARDONA DIANA MARIA</t>
  </si>
  <si>
    <t xml:space="preserve">CASTAÑEDA  KARINA </t>
  </si>
  <si>
    <t>RUBIO VEGA MARIA DEL PILAR</t>
  </si>
  <si>
    <t xml:space="preserve">GONZALEZ GOMEZ ADIELA </t>
  </si>
  <si>
    <t xml:space="preserve">CARREÑO REYES ELOISA </t>
  </si>
  <si>
    <t>CONSUEGRA HIGGINS LILIANA PATRICIA</t>
  </si>
  <si>
    <t xml:space="preserve">CONSTANTE  RIANETH </t>
  </si>
  <si>
    <t xml:space="preserve">ULASIO  ORLAURY </t>
  </si>
  <si>
    <t>ECHEVERRIA DIAZ NELCY DEL CARMEN</t>
  </si>
  <si>
    <t>PIRA QUICA SONIA MABEL</t>
  </si>
  <si>
    <t>LEON DAVILA LEIDY ROCIO</t>
  </si>
  <si>
    <t>SICHACA LOPEZ GISELLE CAROLINA</t>
  </si>
  <si>
    <t>ALFARO ABRIL CLAUDIA YOLIMA</t>
  </si>
  <si>
    <t>PICO FUENTES ALBA LUCIO</t>
  </si>
  <si>
    <t>BEJARANO LOPEZ DIANA PAOLA</t>
  </si>
  <si>
    <t>JENNY MAUREN SOCADAGUI MANOSALVA</t>
  </si>
  <si>
    <t xml:space="preserve">CRUZ SIAUCHO  VIVIANA </t>
  </si>
  <si>
    <t>MENDOZA GARCIA LEYDY DAYAN</t>
  </si>
  <si>
    <t>AYALA CARO YEIMY PAOLA</t>
  </si>
  <si>
    <t xml:space="preserve">PASACHOA MONTOYA MARIANA </t>
  </si>
  <si>
    <t>HERNANDEZ DELGADILLO VICTORIA DEL PILAR</t>
  </si>
  <si>
    <t>HERNANDEZ GOMEZ GLADYS ANDREA</t>
  </si>
  <si>
    <t>CELY CASTILLO JANETH LILIANA</t>
  </si>
  <si>
    <t>BARAJAS  JENNY ANDREA</t>
  </si>
  <si>
    <t>BUITRAGO GUTIERREZ DIANA MARIA</t>
  </si>
  <si>
    <t xml:space="preserve">VARGAS ESTEVES JOHANA </t>
  </si>
  <si>
    <t>ACUÑA TARAZONA NELLY VIVIANA</t>
  </si>
  <si>
    <t>BALAGUERA CARVAJAL DIANA CAROLINA</t>
  </si>
  <si>
    <t>ALBARRACIN PULIDO ERIKA MARITZA</t>
  </si>
  <si>
    <t>SUAREZ LEON YESICA ALEXANDRA</t>
  </si>
  <si>
    <t>VIASUS ROMERO BIBIANA ANDREA</t>
  </si>
  <si>
    <t xml:space="preserve">BOTIA RODRIGUEZ ERIKA </t>
  </si>
  <si>
    <t>FABIOLA FERNANDA FONSECA BETANCOURTH</t>
  </si>
  <si>
    <t>CHACON BARON ANDREA PAOLA</t>
  </si>
  <si>
    <t xml:space="preserve">JIMENEZ GUTIERREZ PAOLA </t>
  </si>
  <si>
    <t>TOBACIA CASTRO NANCY YANIRA</t>
  </si>
  <si>
    <t>RODRIGUEZ GALVIS CLAUDIA ESPERANZA</t>
  </si>
  <si>
    <t>MURCIA BUITRAGO FLOR MYRIAM</t>
  </si>
  <si>
    <t xml:space="preserve">MORENO PAREDES YURI </t>
  </si>
  <si>
    <t>PALACIOS PALACIOS LINA RUTH</t>
  </si>
  <si>
    <t>PERALTA RUIZ LAURA SOFIA</t>
  </si>
  <si>
    <t xml:space="preserve">GUILLERMINA  MARIA </t>
  </si>
  <si>
    <t xml:space="preserve">LEON LEON DE RINCON MARINA </t>
  </si>
  <si>
    <t xml:space="preserve">CERON DE PORRAS ISADORA </t>
  </si>
  <si>
    <t>DIAZ CACHON ANA BELEN</t>
  </si>
  <si>
    <t>FAJARDO PALACIOS ANA JANETH</t>
  </si>
  <si>
    <t>GLORIA ISABEL CARDENAS ALARCON</t>
  </si>
  <si>
    <t xml:space="preserve">ALBARRACIN ANGARITA BERTHA </t>
  </si>
  <si>
    <t>DIAZ APOLINAR NUBIA ESPERANZA</t>
  </si>
  <si>
    <t>PLAZAS YUNADO MARIA CARLELI</t>
  </si>
  <si>
    <t>DEYNY SOFIA RIVERA GUTIERREZ</t>
  </si>
  <si>
    <t>BUITRAGO VALDERRAMA MARIA RUTH</t>
  </si>
  <si>
    <t xml:space="preserve">TARAZONA SAENZ IMELDA </t>
  </si>
  <si>
    <t xml:space="preserve">PARRA CAMACHO INES </t>
  </si>
  <si>
    <t>GONZALEZ PARRA EMILCEN LUCIA</t>
  </si>
  <si>
    <t>CARDENAS YANOS LUZ MARINA</t>
  </si>
  <si>
    <t>HERNANDEZ SANDOVAL MARIA ELBA</t>
  </si>
  <si>
    <t>SANDOVAL HERRERA NINI YOLANDA</t>
  </si>
  <si>
    <t>RODRIGUEZ PEDREROS  MARCELA</t>
  </si>
  <si>
    <t>RAMIREZ CARDENAS MARIA OLIVA</t>
  </si>
  <si>
    <t>BECERRA ROLDAN SANDRA MILENA</t>
  </si>
  <si>
    <t>MORALES  MARIA ALEJANDRA</t>
  </si>
  <si>
    <t>AREVALO GONZALEZ LUZ ADRIANA</t>
  </si>
  <si>
    <t xml:space="preserve">PERALTA GONZALEZ MARLENY </t>
  </si>
  <si>
    <t>FERNANDEZ MARTINEZ PAOLA ANDREA</t>
  </si>
  <si>
    <t>LOPEZ VIVAS MARIA FERNANDA</t>
  </si>
  <si>
    <t>MARTINEZ GUERRERO LUCERO PAOLA</t>
  </si>
  <si>
    <t>TENJO FORERO NUBIA LILIANA</t>
  </si>
  <si>
    <t>ALARCON RODRIGUEZ PATRICIA MARLEY</t>
  </si>
  <si>
    <t>SOLANO SALGADO NELCY AIDA</t>
  </si>
  <si>
    <t>BENITEZ MATEUS MARIA DEL ROSARIO</t>
  </si>
  <si>
    <t>BECERRA MELO SILVIA SUSANA</t>
  </si>
  <si>
    <t xml:space="preserve">DUARTE MUÑOZ GLADYS </t>
  </si>
  <si>
    <t>GALINDO GARZON GLORIA ISMENIA</t>
  </si>
  <si>
    <t>RODRIGUEZ FAJARDO LUZ LILIANA</t>
  </si>
  <si>
    <t xml:space="preserve">CIFUENTES . FLORIZA </t>
  </si>
  <si>
    <t>TOBON VELASQUEZ CLAUDIA PATRICIA</t>
  </si>
  <si>
    <t xml:space="preserve">GOMEZ MARTINEZ IDALI </t>
  </si>
  <si>
    <t>RUIZ TORRES SANDRA LILIANA</t>
  </si>
  <si>
    <t xml:space="preserve">MILENA  SANDRA </t>
  </si>
  <si>
    <t>PEREA ALBARRACIN MARIA ADRIANA</t>
  </si>
  <si>
    <t>CRISTIANO OJEDA DORA CECILIA</t>
  </si>
  <si>
    <t xml:space="preserve">MAECHA VELAZQUEZ ISABEL </t>
  </si>
  <si>
    <t xml:space="preserve">LA TORRE ANA </t>
  </si>
  <si>
    <t>VELANDIA ROJAS CLAUDIA LUCIA</t>
  </si>
  <si>
    <t>MACHUCA BARAJAS ANGELA YOHANA</t>
  </si>
  <si>
    <t>AMAYA GAMBOA LUZ DIVA</t>
  </si>
  <si>
    <t>TOVAR BONILLA LUZ ELENA</t>
  </si>
  <si>
    <t>OROZCO PEÑA SILVIA CAROLA</t>
  </si>
  <si>
    <t xml:space="preserve">LLANOS  BRIGUETY </t>
  </si>
  <si>
    <t>MACHUCA RIVERA BLANCA DORA</t>
  </si>
  <si>
    <t xml:space="preserve">ESTEPA FLOREZ BERTILDE </t>
  </si>
  <si>
    <t>MACHADO CASTRILLO NEIDIS PATRICIA</t>
  </si>
  <si>
    <t>PATIÑO GRIMALDOS DAIRE YANETH</t>
  </si>
  <si>
    <t>RAMIREZ BUSTOS MAGDA LUCY</t>
  </si>
  <si>
    <t>ACOSTA GOMEZ LUZ MYRIAM</t>
  </si>
  <si>
    <t xml:space="preserve">RODRIGUEZ GALVIS TERESA </t>
  </si>
  <si>
    <t>HERNANDEZ CORREA MARIA ELIZABETH</t>
  </si>
  <si>
    <t>QUINTERO LOBO MAGDA VICTORIA</t>
  </si>
  <si>
    <t>VERJEL AREVALO NINA LEONOR</t>
  </si>
  <si>
    <t xml:space="preserve">SANGUINO ASCANIO XIMENA </t>
  </si>
  <si>
    <t>ROJAS PARADA SANDRA MILENA</t>
  </si>
  <si>
    <t>GOMEZ CAICEDO SANDRA KATHERINE</t>
  </si>
  <si>
    <t xml:space="preserve">CARREÑO RUIZ HERMELINDA </t>
  </si>
  <si>
    <t>CARRILLO MARTINEZ DERLY CAROLINA</t>
  </si>
  <si>
    <t>PRADA PICO SANDRA LUNEY</t>
  </si>
  <si>
    <t>RIAÑO RODRIGUEZ BLANCA JUDITH</t>
  </si>
  <si>
    <t>SANABRIA TORRES BEATRIZ HELENA</t>
  </si>
  <si>
    <t>ROA CORREA EDITH MILENA</t>
  </si>
  <si>
    <t xml:space="preserve">GONZALEZ  ELENA </t>
  </si>
  <si>
    <t>SONIA PATRICIA DIAZ CADENA</t>
  </si>
  <si>
    <t>ARAQUE MONTANEZ ALBA CIOMARA</t>
  </si>
  <si>
    <t>SOCHA . LUZ STELLA</t>
  </si>
  <si>
    <t>ARDILA NARANJO MARTHA ISABEL</t>
  </si>
  <si>
    <t xml:space="preserve">ARDILA MARIN YOLANDA </t>
  </si>
  <si>
    <t>BAUTISTA BERDUGO CARMEN JANETH</t>
  </si>
  <si>
    <t>LEON GOMEZ YUDDY YURLEY</t>
  </si>
  <si>
    <t>RINCON REYES CECILIA YINETH</t>
  </si>
  <si>
    <t>GOMEZ CORREDOR MARIA CECILIA</t>
  </si>
  <si>
    <t>PUENTES MORENO SANDRA MILENA</t>
  </si>
  <si>
    <t>DOMINGUEZ CANDELA LILIANA MARCELA</t>
  </si>
  <si>
    <t>ORTIZ RAMIREZ GLADYS YESMITH</t>
  </si>
  <si>
    <t>RANGEL PULIDO SANDRA PATRICIA</t>
  </si>
  <si>
    <t xml:space="preserve">QUIROGA ARIZA ADRIANA </t>
  </si>
  <si>
    <t>ALVAREZ FLOREZ INGRID PIEDAD</t>
  </si>
  <si>
    <t>ORTIZ ORTIZ LUZ MARINA</t>
  </si>
  <si>
    <t>HERRERA GRACIA MYRIAM ESTELA</t>
  </si>
  <si>
    <t>ACOSTA SOLANO MARIA AMPARO</t>
  </si>
  <si>
    <t xml:space="preserve">CARVAJAL ARAQUE NOHEMY </t>
  </si>
  <si>
    <t xml:space="preserve">RUAN LIZARAZO EDITH </t>
  </si>
  <si>
    <t>PACHECO SOLANO DIANA CAROLINA</t>
  </si>
  <si>
    <t>QUINTERO ROSAS FRANCY NOGETH</t>
  </si>
  <si>
    <t>VARGAS MEZA LAURA HELENA</t>
  </si>
  <si>
    <t>ARIAS AVILA MELIDA CONSUELO</t>
  </si>
  <si>
    <t>SANCHEZ VELANDIA JANE VERONICA</t>
  </si>
  <si>
    <t>URIBE MARTINEZ JENNY STELLA</t>
  </si>
  <si>
    <t xml:space="preserve">MORENO CARDENAS LUCILA </t>
  </si>
  <si>
    <t>DEL TORO  VIOLETA ESPERANZA</t>
  </si>
  <si>
    <t>CASAS CASAS BLANCA EMILCE</t>
  </si>
  <si>
    <t>AYALA ZAMBRANO MARIA MYRIAM</t>
  </si>
  <si>
    <t>NIÑO LOPEZ EDILMA DEL CARMEN</t>
  </si>
  <si>
    <t>VARGAS DIAZ CLAUDIA ESPERANZA</t>
  </si>
  <si>
    <t>MORALES MORALES NEDY ESTHER</t>
  </si>
  <si>
    <t xml:space="preserve">BARBOSA ARIZA RUBI </t>
  </si>
  <si>
    <t>VARGAS DAVILA LILIANA ESTHER</t>
  </si>
  <si>
    <t xml:space="preserve">GUIO PINZON MARISOL </t>
  </si>
  <si>
    <t>FAYAD FORERO MARIA ANGELICA</t>
  </si>
  <si>
    <t>PERALTA PENA LUZ AMANDA</t>
  </si>
  <si>
    <t>BOHORQUEZ NEIZA LUZ MYRIAM</t>
  </si>
  <si>
    <t xml:space="preserve">CORREA BLANCO NUBIA </t>
  </si>
  <si>
    <t xml:space="preserve">AGUILAR CARBONELL JACQUELINE </t>
  </si>
  <si>
    <t>VARGAS MANCIPE ANA VICTORIA</t>
  </si>
  <si>
    <t>BUITRAGO GAVIRIA GLORIA INES</t>
  </si>
  <si>
    <t xml:space="preserve">HERRERA ESPERANZA MIRANDA </t>
  </si>
  <si>
    <t xml:space="preserve">GOMEZ  SILVIA </t>
  </si>
  <si>
    <t>DIAZ NIETO MARIA CRISTINA</t>
  </si>
  <si>
    <t>BERNAL BEDOYA ADRIANA LUCIA</t>
  </si>
  <si>
    <t xml:space="preserve">ARIAS  CECILIA </t>
  </si>
  <si>
    <t xml:space="preserve">CASTRO SILVA EDILMA </t>
  </si>
  <si>
    <t>FUENTES CASTRO MARIA ANA</t>
  </si>
  <si>
    <t>CORREDOR . ANA JOAQUINA</t>
  </si>
  <si>
    <t xml:space="preserve">VASQUEZ  DANID </t>
  </si>
  <si>
    <t xml:space="preserve">HERNANDEZ RINCON NUBIA </t>
  </si>
  <si>
    <t xml:space="preserve">MONTANEZ OJEDA  MARIA SILDANA </t>
  </si>
  <si>
    <t>PINEDA CAMARGO SANDRA YESNITH</t>
  </si>
  <si>
    <t>VERGARA ROJAS FANNY YOLANDA</t>
  </si>
  <si>
    <t xml:space="preserve">SIERRA RIAÑO STELLA </t>
  </si>
  <si>
    <t xml:space="preserve">MERCHAN DELIA ALARCON </t>
  </si>
  <si>
    <t>QUINTERO TORRES MARIA ANTONIA</t>
  </si>
  <si>
    <t>FONSECA ROBLES LUZ MARINA</t>
  </si>
  <si>
    <t>GRANADOS MORENO MARIA STELLA</t>
  </si>
  <si>
    <t xml:space="preserve">ROZO BURGOS BARBARA </t>
  </si>
  <si>
    <t>CASTELLANOS NOSSA GLORIA CONSTANZA</t>
  </si>
  <si>
    <t>FERNANDEZ NIÑO LUZ MILA</t>
  </si>
  <si>
    <t>DIAZ HIGUERA GLORIA JUDITH</t>
  </si>
  <si>
    <t xml:space="preserve">CAMARGO ALVAREZ GRACIELA </t>
  </si>
  <si>
    <t>PEREZ OTERO CLAUDIA MARIA</t>
  </si>
  <si>
    <t>GOMEZ VELASCO MARTHA FABIOLA</t>
  </si>
  <si>
    <t>MUÑOZ MARTINEZ TERESA DE JESUS</t>
  </si>
  <si>
    <t>VILLATE CARDENAS MARCELA IVETH</t>
  </si>
  <si>
    <t>JIMENEZ CORTES MARIA DEL CARMEN</t>
  </si>
  <si>
    <t>BARRIOS FUENTES ELBA BEATRIZ</t>
  </si>
  <si>
    <t>COY PATIÑO ANA HERCILIA</t>
  </si>
  <si>
    <t>PIRACON MAYORGA GLORIA MARLEN</t>
  </si>
  <si>
    <t>GIL GIL OLGA MARIA</t>
  </si>
  <si>
    <t xml:space="preserve">YOLANDA VASQUEZ CARMEN </t>
  </si>
  <si>
    <t xml:space="preserve">FERNANDEZ NIÑO MERY </t>
  </si>
  <si>
    <t>LEAL BLANCO ALBA LUCIA</t>
  </si>
  <si>
    <t xml:space="preserve">IBAÑEZ MOLINA ELVIRA </t>
  </si>
  <si>
    <t>AVELLA ARCOS DORIS ESTELA</t>
  </si>
  <si>
    <t>RIAÑO MAECHA BLANCA YALILE</t>
  </si>
  <si>
    <t>VILLATE MOJICA ANA TERESA</t>
  </si>
  <si>
    <t>SANDOVAL SANCHEZ MARIA TERESA</t>
  </si>
  <si>
    <t>RIOS RAMIREZ ROSA STELLA</t>
  </si>
  <si>
    <t>CASTELLANOS NOSSA BLANCA MARINA</t>
  </si>
  <si>
    <t>SANDOVAL CUEVAS ALBA LUCY</t>
  </si>
  <si>
    <t>PATIÑO  NUVIA ELENA</t>
  </si>
  <si>
    <t xml:space="preserve">AYALA AVILA FIDELIA </t>
  </si>
  <si>
    <t>VARGAS ROJAS ADRIANA CONSTANZA</t>
  </si>
  <si>
    <t>GARAVITO VARGAS GLORIA YOLANDA</t>
  </si>
  <si>
    <t>REYES CAMARGO OLGA LUCIA</t>
  </si>
  <si>
    <t>CASTRO HUERTAS NELCY ROCIO</t>
  </si>
  <si>
    <t>QUINTERO MALAVER MARIA MARGARITA</t>
  </si>
  <si>
    <t xml:space="preserve">PEREZ FONSECA GLADYS </t>
  </si>
  <si>
    <t xml:space="preserve">NUVAN PUENTES MINGRELIA </t>
  </si>
  <si>
    <t>FONSECA SALAMANCA SORAYA ROCIO</t>
  </si>
  <si>
    <t>SALAZAR  NELSYN RAMOS</t>
  </si>
  <si>
    <t>MOLINA MONTOYA BRICEL EUNICE</t>
  </si>
  <si>
    <t xml:space="preserve">HURTADO  MARIA </t>
  </si>
  <si>
    <t xml:space="preserve">CORREDOR  MARITZA </t>
  </si>
  <si>
    <t>CORREA ACUÑA CLARA LUCIA</t>
  </si>
  <si>
    <t>GARCIA MOLANO OLGA JUDIT</t>
  </si>
  <si>
    <t xml:space="preserve">REYES  EUGENIA </t>
  </si>
  <si>
    <t>SUA CARREÑO GLORIA JACQUELINE</t>
  </si>
  <si>
    <t xml:space="preserve">BARRERA COCUNUBO MARISOL </t>
  </si>
  <si>
    <t>HERNANDEZ VILLAMIL MARIA INES</t>
  </si>
  <si>
    <t>GUAYACAN GOMEZ MARTHA LIGIA</t>
  </si>
  <si>
    <t>RODRIGUEZ MUNEVAR FLOR SAMIRA</t>
  </si>
  <si>
    <t>FONSECA GONZALEZ MARTHA INES</t>
  </si>
  <si>
    <t>DIAZ OSPINA FANNY JACQUELINE</t>
  </si>
  <si>
    <t xml:space="preserve">MORENO OMAIRA LEIDA </t>
  </si>
  <si>
    <t>VARGAS ROJAS ANA FABIOLA</t>
  </si>
  <si>
    <t xml:space="preserve">SANCHEZ GARCIA GABRIELA </t>
  </si>
  <si>
    <t>PARRA PIRAZAN JUDITH AMANDA</t>
  </si>
  <si>
    <t xml:space="preserve">BENITEZ BARRERA  ROSA </t>
  </si>
  <si>
    <t xml:space="preserve">GIL PADILLA MARISOL </t>
  </si>
  <si>
    <t>JIMENEZ CASTILLO SANDRA LILIANA</t>
  </si>
  <si>
    <t>RODRIGUEZ TOBASURA ANA EVANGELINA</t>
  </si>
  <si>
    <t xml:space="preserve">GARCIA RUIZ FLEDESBINDA </t>
  </si>
  <si>
    <t>VELASCO OJEDA ANA MILENA</t>
  </si>
  <si>
    <t>ACOSTA ALVAREZ EDNA FERNANDA</t>
  </si>
  <si>
    <t>RODRIGUEZ LOPEZ ANGELA CECILIA</t>
  </si>
  <si>
    <t>PINZON PINZON ANGELA LILIANA</t>
  </si>
  <si>
    <t>CLAUDIA CONSTANZA CONTRERAS CORREA</t>
  </si>
  <si>
    <t>CHAPARRO MORALES ANGELA MERY</t>
  </si>
  <si>
    <t xml:space="preserve">AVILA PRIETO ELISABETH </t>
  </si>
  <si>
    <t>PIRATEQUE NIÑO MARTHA CECILIA</t>
  </si>
  <si>
    <t>ALVARADO GRANADOS MARIA DEL CARMEN</t>
  </si>
  <si>
    <t>QUINTERO ROMERO SANDRA LUZ</t>
  </si>
  <si>
    <t>VILLAMIL VILLAMIL LYDA MAYERLY</t>
  </si>
  <si>
    <t xml:space="preserve">LIDIA  GALAN </t>
  </si>
  <si>
    <t>GUALTEROS  NUBIA ALETH</t>
  </si>
  <si>
    <t xml:space="preserve">RINCON MEJIA MERY </t>
  </si>
  <si>
    <t>TORRES GARCIA BLANCA LILIANA</t>
  </si>
  <si>
    <t xml:space="preserve">SUAREZ NEIRA MARCELA </t>
  </si>
  <si>
    <t>mayordomo bustamante diana astrid</t>
  </si>
  <si>
    <t>MONTAÑEZ  EDNA MARIA</t>
  </si>
  <si>
    <t xml:space="preserve">NINO HUERTAS EMILCE </t>
  </si>
  <si>
    <t>CARDENAS SOLER RUTH NAYIBE</t>
  </si>
  <si>
    <t>JIMENEZ BERRIO SANDRA XIMENA</t>
  </si>
  <si>
    <t>ORTIZ ORTIZ CLAUDIA LUCILA</t>
  </si>
  <si>
    <t xml:space="preserve">CARRERA 4A N 25 40 QUEMBA JANNETH </t>
  </si>
  <si>
    <t>CRUZ QUINTERO SANDRA LORENA</t>
  </si>
  <si>
    <t>RIAÑO MONROY BLANCA LEONOR</t>
  </si>
  <si>
    <t>PEREZ PEREZ MARIA CECILIA</t>
  </si>
  <si>
    <t>NIETO BAUTISTA IRMA ROCIO</t>
  </si>
  <si>
    <t>RIVERA LOPEZ GLORIA ESMINDA</t>
  </si>
  <si>
    <t>ZIPA MOGOLLON NELLY ELIZABETH</t>
  </si>
  <si>
    <t>QUINTERO AVELLA JUANA MARIA</t>
  </si>
  <si>
    <t>GUTIERREZ CARRANZA CLAUDIA PATRICIA</t>
  </si>
  <si>
    <t>PEREZ MURCIA SANDRA LILIANA</t>
  </si>
  <si>
    <t>QUINTERO CASTILLO MARCELA JANNETH</t>
  </si>
  <si>
    <t xml:space="preserve">BONILLA PANQUEVA HERMINDA </t>
  </si>
  <si>
    <t>GRANADOS RODRIGUEZ ADRIANA ASTRID</t>
  </si>
  <si>
    <t>RIVERA RIVERA DIANA MARCELA</t>
  </si>
  <si>
    <t>WILCHES GUZMAN NIDIA YANUBA</t>
  </si>
  <si>
    <t>HERNANDEZ REYES EDNA PATRICIA</t>
  </si>
  <si>
    <t>LOPEZ CASTILLO OLGA MARIA</t>
  </si>
  <si>
    <t xml:space="preserve">BARRERA ALBARRACIN ELIZABETH </t>
  </si>
  <si>
    <t>FLOREZ MOZO MARIA AVELLALDINA</t>
  </si>
  <si>
    <t>GUERRA PIÑEROS ANGELA BIBIAN</t>
  </si>
  <si>
    <t>CAPACHO ZARATE NOHORA CECILIA</t>
  </si>
  <si>
    <t>PIÑEROS MORALES EDITH ALEXANDRA</t>
  </si>
  <si>
    <t>ROJAS OCHOA EDITH CONSUELO</t>
  </si>
  <si>
    <t>BARAJAS CACERES FANNY YOHANA</t>
  </si>
  <si>
    <t>LOPEZ MEJIA MAGDA LORENA</t>
  </si>
  <si>
    <t xml:space="preserve">BAYONA00  DIANA </t>
  </si>
  <si>
    <t xml:space="preserve">YANETH  DORIS </t>
  </si>
  <si>
    <t xml:space="preserve">CORONADO MATEUS MARISOL </t>
  </si>
  <si>
    <t>TEJEDOR CASTAÑEDA AURA CRISTINA</t>
  </si>
  <si>
    <t>CARREÑO LOPEZ LUZ MERY</t>
  </si>
  <si>
    <t>GONZALEZ RAMIREZ MARIA CECILIA</t>
  </si>
  <si>
    <t xml:space="preserve">ZOTAQUIRA GALVIS ENID </t>
  </si>
  <si>
    <t>CRUZ SANABRIA SANDRA PATRICIA</t>
  </si>
  <si>
    <t>HERMOSILLA REYES GIOVANNA MARSELLA</t>
  </si>
  <si>
    <t xml:space="preserve">MERCHAN VELANDIA  YESLY ZULAY </t>
  </si>
  <si>
    <t>SANTANDER RINCON LUCY YOJANA</t>
  </si>
  <si>
    <t xml:space="preserve">RINCON  JOHANA </t>
  </si>
  <si>
    <t>GUERRERO SILVA SONIA YADIRA</t>
  </si>
  <si>
    <t xml:space="preserve">ESTELA  MYRIAM </t>
  </si>
  <si>
    <t>ORDOÑEZ MONTOYA GLADYS HORTENSIA</t>
  </si>
  <si>
    <t>GOMEZ ESTUPIÑAN NEIDY ROCIO</t>
  </si>
  <si>
    <t>RUIZ GONZALEZ JUDY  SANDRA MYRNA</t>
  </si>
  <si>
    <t xml:space="preserve">CASTRO CAHUENO YANETH </t>
  </si>
  <si>
    <t>BAQUERO GALVEZ LUZ MIREYA</t>
  </si>
  <si>
    <t xml:space="preserve">PEÑA  MYRIAM </t>
  </si>
  <si>
    <t>LADINO NIÑO NUBIA ROCIO</t>
  </si>
  <si>
    <t>SIERRA BELTRAN MARTHA ISABEL</t>
  </si>
  <si>
    <t xml:space="preserve">SAENZ DE NITOLA ROSALBA </t>
  </si>
  <si>
    <t xml:space="preserve">SILVA SALAMANCA NOHELIA </t>
  </si>
  <si>
    <t xml:space="preserve">PARRA  ELIAS </t>
  </si>
  <si>
    <t xml:space="preserve">BENAVIDES VALLEJO MARGOTH </t>
  </si>
  <si>
    <t>RODRIUEZ  BLANCA CECILIA</t>
  </si>
  <si>
    <t>GARCIA  MARIA ELENA</t>
  </si>
  <si>
    <t>MESA DE ROJAS MARIA ELSA</t>
  </si>
  <si>
    <t xml:space="preserve">MORENO TRUJILLO EDILIA </t>
  </si>
  <si>
    <t>RANGEL DE SUAREZ MARIA EMMA</t>
  </si>
  <si>
    <t xml:space="preserve">PARDO GONZALEZ MERCEDES </t>
  </si>
  <si>
    <t xml:space="preserve">GARAVITO RODRIGUEZ JAHEL </t>
  </si>
  <si>
    <t>BELTRAN DE PARDO MARIA EUGENIA</t>
  </si>
  <si>
    <t xml:space="preserve">NIÑO HERMINIA CORREDOR </t>
  </si>
  <si>
    <t>DAVILA SUAREZ ANA BEATRIZ</t>
  </si>
  <si>
    <t>LOPEZ FLOR PITA DE</t>
  </si>
  <si>
    <t xml:space="preserve">APONTE  GLORIA </t>
  </si>
  <si>
    <t>VARGAS CAMARGO MARIA DEL CARMEN</t>
  </si>
  <si>
    <t>MARIA SABINA GUIO BELLO</t>
  </si>
  <si>
    <t>CARDENAS DUEÑAS BLANCA LEONOR</t>
  </si>
  <si>
    <t>BELLO MEDINA ANA ADELINA</t>
  </si>
  <si>
    <t>CORREDOR CELY CLARA INES</t>
  </si>
  <si>
    <t xml:space="preserve">MORENO  ALIX </t>
  </si>
  <si>
    <t>RUIZ WILCHES FLOR ELBA</t>
  </si>
  <si>
    <t>ALVAREZ PEÑA LEONOR DEL</t>
  </si>
  <si>
    <t xml:space="preserve">GALVIS RODRIGUEZ ANGELA </t>
  </si>
  <si>
    <t xml:space="preserve">GONZALES CHAVEZ LUCILA </t>
  </si>
  <si>
    <t>SANCHEZ FUENTES MARIA BERNARDA</t>
  </si>
  <si>
    <t>CRA 43N 21 17 AVILA GLORIA NURY</t>
  </si>
  <si>
    <t xml:space="preserve">GARCIA  ILIANA </t>
  </si>
  <si>
    <t xml:space="preserve">QUINTERO FABIOLA DIAZ </t>
  </si>
  <si>
    <t xml:space="preserve">BRICEÑO AVELLANEDA ROSALBA </t>
  </si>
  <si>
    <t>OYUELA PARAMO RAQUEL CECILIA</t>
  </si>
  <si>
    <t>ANA ADELINA FLOREZ SOLANO</t>
  </si>
  <si>
    <t>CASTAÑEDA GONZALEZ MARTHA PATRICIA</t>
  </si>
  <si>
    <t>MORALES PINTO CARMEN DEL</t>
  </si>
  <si>
    <t>COMBARIZA ROJAS RUTH ALCIRA</t>
  </si>
  <si>
    <t>CARREÑO NOVOA DILCIA PRAXEDIS</t>
  </si>
  <si>
    <t>VEGA GONZALEZ FLOR MARINA</t>
  </si>
  <si>
    <t xml:space="preserve">MESA  BETINA </t>
  </si>
  <si>
    <t>KLINGER DIAZ KELLER DALLANA</t>
  </si>
  <si>
    <t>ALBARRACIN ALVAREZ OLGA LUCIA</t>
  </si>
  <si>
    <t xml:space="preserve">MARIN  ALBA </t>
  </si>
  <si>
    <t>ARENAS 3105392891 LILIANA MARIA</t>
  </si>
  <si>
    <t xml:space="preserve">VALDEZ  GIOVANNA </t>
  </si>
  <si>
    <t>SALAZAR MIRANDA KELLY JHOHANA</t>
  </si>
  <si>
    <t>LOPEZ FUENTES OLGA IRENE</t>
  </si>
  <si>
    <t>CORREDOR SALAZAR ADRIANA KARINA</t>
  </si>
  <si>
    <t xml:space="preserve">SALCEDO  ERIKA </t>
  </si>
  <si>
    <t>ESTEPA DE PEREZ BLANCA LILIA</t>
  </si>
  <si>
    <t xml:space="preserve">MORENO  MERCEDES </t>
  </si>
  <si>
    <t xml:space="preserve">CUADROS  GRACIELA </t>
  </si>
  <si>
    <t>CARDENAS DE CARDENAS MARIA HERLINDA</t>
  </si>
  <si>
    <t>VELASCO PEREZ LUZ MARINA</t>
  </si>
  <si>
    <t xml:space="preserve">PIÑEROS CHAPARRO GILMA </t>
  </si>
  <si>
    <t>PEÑA LEMUS CLAUDIA HELENA</t>
  </si>
  <si>
    <t xml:space="preserve">LETY  CREACIONES </t>
  </si>
  <si>
    <t xml:space="preserve">ROSAS PLAZAS CECILIA </t>
  </si>
  <si>
    <t xml:space="preserve">VARGAS  RITA </t>
  </si>
  <si>
    <t xml:space="preserve">PRIETO VARGAS MYRIAM </t>
  </si>
  <si>
    <t>ASCENCIO PEREZ MARTHA LUCIA</t>
  </si>
  <si>
    <t xml:space="preserve">MACANA CRUZ ROSALBA </t>
  </si>
  <si>
    <t>ROJAS DE GALINDO ROSA EMILIA</t>
  </si>
  <si>
    <t>ESTUPINAN APONTE MARIA DEL CARMEN</t>
  </si>
  <si>
    <t xml:space="preserve">MORENO LEMUS GLORIA </t>
  </si>
  <si>
    <t>QUINTANA ORDUZ GLORIA ESPERANZA</t>
  </si>
  <si>
    <t>CARDENAS BARRERA MARIA LUCRECIA</t>
  </si>
  <si>
    <t>PEREZ GONZALEZ BLANCA LEILA</t>
  </si>
  <si>
    <t>FERNANDEZ PENAGOS ANA LUCIA</t>
  </si>
  <si>
    <t xml:space="preserve">CARDENAS ORDUZ NELLY </t>
  </si>
  <si>
    <t xml:space="preserve">NOSSA DE SANCHEZ MYRIAM </t>
  </si>
  <si>
    <t xml:space="preserve">OSTOS CUSVA CONSUELO </t>
  </si>
  <si>
    <t>HUERTAS GONZALEZ BLANCA ESMERALDA</t>
  </si>
  <si>
    <t>ESTUPIÑAN APONTE MARIA ROSA</t>
  </si>
  <si>
    <t>RINCON ORDUZ CLAUDIA ESPERANZA</t>
  </si>
  <si>
    <t>LEAL HERRERA YOLANDA PATRICIA</t>
  </si>
  <si>
    <t>DURAN BENITEZ FLOR EDY</t>
  </si>
  <si>
    <t>PEREZ PEDRAZA MARTHA CECILIA</t>
  </si>
  <si>
    <t xml:space="preserve">ROJAS LOPEZ MARTHA </t>
  </si>
  <si>
    <t xml:space="preserve">PIÑEROS CHAPARRO AMANDA </t>
  </si>
  <si>
    <t>FRACICA BAYONA MARIA ROSALBA</t>
  </si>
  <si>
    <t>LOPEZ LOPEZ MERY LUCY</t>
  </si>
  <si>
    <t xml:space="preserve">CUBAQUE MENDIVELSO STELLA </t>
  </si>
  <si>
    <t xml:space="preserve">CEPEDA CONSTANZA MESA </t>
  </si>
  <si>
    <t>CHISINO GOMEZ MARIA ISABEL</t>
  </si>
  <si>
    <t>ROA BERNAL ANA BERTILDE</t>
  </si>
  <si>
    <t>BARINAS FUQUEN MIRZA YANETH</t>
  </si>
  <si>
    <t xml:space="preserve">MOLINA BARRERA AURORA </t>
  </si>
  <si>
    <t>PONGUTA FERNANDEZ LUZ MARINA</t>
  </si>
  <si>
    <t>ACOSTA RODRIGUEZ MARIA HERMENCIA</t>
  </si>
  <si>
    <t>CADENA AVELLA CLAUDIA LUCIA</t>
  </si>
  <si>
    <t>SILVA SUAREZ LYDA YOLANDA</t>
  </si>
  <si>
    <t>NINO TRIANA CLAUDIA MANUELA</t>
  </si>
  <si>
    <t xml:space="preserve">LEMUS GAITAN  DORYS </t>
  </si>
  <si>
    <t>PONGUTA  LUZ MARINA</t>
  </si>
  <si>
    <t xml:space="preserve">RODRIGUEZ PEREZ CRISELIA </t>
  </si>
  <si>
    <t xml:space="preserve">LOPEZ VELANDIA SARA </t>
  </si>
  <si>
    <t xml:space="preserve">NOSSA SALAMANCA MARTHA </t>
  </si>
  <si>
    <t>RODRIGUES SIERRA LIGIA MERCEDES</t>
  </si>
  <si>
    <t xml:space="preserve">ALVAREZ  TANNIA </t>
  </si>
  <si>
    <t>OLGA LUCIA JAIMES JIMENEZ</t>
  </si>
  <si>
    <t>IBAÑEZ  MELBA LUZ</t>
  </si>
  <si>
    <t>DAZA GUIO MARIA DE LOS ANGELES</t>
  </si>
  <si>
    <t xml:space="preserve">CHAPARRO PRECIADO MARIELA </t>
  </si>
  <si>
    <t>TANGUA CASTRO MARIA CLEOTILDE</t>
  </si>
  <si>
    <t xml:space="preserve">MARTINEZ PEREZ ADRIANA </t>
  </si>
  <si>
    <t xml:space="preserve">FLOREZ  VELANDIA </t>
  </si>
  <si>
    <t>VEGA PEREZ MARIA TERESA</t>
  </si>
  <si>
    <t>HERNANDEZ SUAREZ MARIA CRISTINA</t>
  </si>
  <si>
    <t xml:space="preserve">RODRIGUEZ VARGAS FRANCELINA </t>
  </si>
  <si>
    <t xml:space="preserve">FETECUA VIANCHA SANDRA </t>
  </si>
  <si>
    <t>BECERRA BOLIVAR RUTH CRISTINA</t>
  </si>
  <si>
    <t>RINCON ZAPATA LUZ NIDIA</t>
  </si>
  <si>
    <t>BARRERA CARDENAS MARIA HELENA</t>
  </si>
  <si>
    <t>MORALES JIMENEZ GLADIZ YOLIMA</t>
  </si>
  <si>
    <t>MEDINA BUITRAGO MARIA EMILCE</t>
  </si>
  <si>
    <t>VARGAS VEGA CARMEN DEL</t>
  </si>
  <si>
    <t xml:space="preserve">DEAQUIS FRACICA ALEXANDRA </t>
  </si>
  <si>
    <t>LADINO PEDRAZA CARMEN ROSA</t>
  </si>
  <si>
    <t>CABRERA SUAREZ YENY ROCIO</t>
  </si>
  <si>
    <t xml:space="preserve">CAMACHO  PAOLA </t>
  </si>
  <si>
    <t xml:space="preserve">AVENDAÑO  LETICIA </t>
  </si>
  <si>
    <t>DIAZ PATIÑO MARIA ESPERANZA</t>
  </si>
  <si>
    <t>PINTO RINCON NANDY CARMENZA</t>
  </si>
  <si>
    <t>OROS  ADIELA RONDON</t>
  </si>
  <si>
    <t xml:space="preserve">PARRA  LUISA </t>
  </si>
  <si>
    <t>RINCON CARDOZO SONIA PATRICIA</t>
  </si>
  <si>
    <t>ACERO CHAPARRO BLANCA LUCILA</t>
  </si>
  <si>
    <t>BECERRA  MARIA ELENA</t>
  </si>
  <si>
    <t>GALLO ALFONSO SANDRA SOFIA</t>
  </si>
  <si>
    <t>VARGAS REYES SANDRA PATRICIA</t>
  </si>
  <si>
    <t>MACIAS SANCHEZ NANCY DEL PILAR</t>
  </si>
  <si>
    <t>RINCON SIERRA MARTHA LILIA</t>
  </si>
  <si>
    <t>CRUZ SENEJOA MARIA MARGARITA</t>
  </si>
  <si>
    <t>RODRIGUEZ PEREZ MARIA NANCY</t>
  </si>
  <si>
    <t xml:space="preserve">PAIPA VARGAS DOMITILA </t>
  </si>
  <si>
    <t xml:space="preserve">CEPEDA TRIANA MARTHA </t>
  </si>
  <si>
    <t>OLIVOS GONZALEZ MARIA ISABEL</t>
  </si>
  <si>
    <t>RUIZ CORREDOR ALBA LUZ</t>
  </si>
  <si>
    <t>MERCHAN CHIA MARIA DE</t>
  </si>
  <si>
    <t>MORENO SALCEDO ELIANA CATHERINE</t>
  </si>
  <si>
    <t xml:space="preserve">MONTOYA ESTUPIÑAN JAZMIN </t>
  </si>
  <si>
    <t xml:space="preserve">GOMEZ GARCIA OMAIRA </t>
  </si>
  <si>
    <t>ALBARRACIN BLANCO LYDA SELENE</t>
  </si>
  <si>
    <t xml:space="preserve">JIMENEZ PABON CLAUDIA </t>
  </si>
  <si>
    <t xml:space="preserve">TORRES RINCON GLADIS </t>
  </si>
  <si>
    <t>PEREZ ROSAS NANCY YANETH</t>
  </si>
  <si>
    <t>MESA VARGAS CLAUDI ESPERANZA</t>
  </si>
  <si>
    <t>ROJAS MURIEL PAOLA AZUCENA</t>
  </si>
  <si>
    <t>AMAYA AMAYA CILIA ELSA</t>
  </si>
  <si>
    <t xml:space="preserve">ALVARADO AVELLA JENNY </t>
  </si>
  <si>
    <t>ACERO UCHAMOCHA MARIA MATILDE</t>
  </si>
  <si>
    <t>BECERRA ZABALA LUZ MIREYA</t>
  </si>
  <si>
    <t xml:space="preserve">GARAVITO SALAMANCA  ANA FRANCISCA </t>
  </si>
  <si>
    <t xml:space="preserve">ARROYO JIMENEZ CLEMENCIA </t>
  </si>
  <si>
    <t>CORDOBA GUTIERREZ MARIA ANA AIDE</t>
  </si>
  <si>
    <t>ARGUELLO GONZALEZ NORMA CONSTANZA</t>
  </si>
  <si>
    <t>GOMEZ  MARISELA GONZALEZ</t>
  </si>
  <si>
    <t>PEÑA PATIÑO OLGA AZUCENA</t>
  </si>
  <si>
    <t>RINCON ALFONSO FLOR ALBA</t>
  </si>
  <si>
    <t>RODRIGUEZ RODRIGUEZ PILAR DEL</t>
  </si>
  <si>
    <t>CARDENAS RINCON MARTHA ISABEL</t>
  </si>
  <si>
    <t xml:space="preserve">LEON RUIZ SERAFINA </t>
  </si>
  <si>
    <t>PLAZAS PEREZ NANCY MILENA</t>
  </si>
  <si>
    <t>CHIA  CLAUDIA YANETH</t>
  </si>
  <si>
    <t>GONZALEZ GONZALEZ CLAUDIA MILENA</t>
  </si>
  <si>
    <t>URETE BARRERA CLAUDIA XIMENA</t>
  </si>
  <si>
    <t>DIAZ GONZALEZ YEIMY XIMENA</t>
  </si>
  <si>
    <t xml:space="preserve">PEREZ  NELLY </t>
  </si>
  <si>
    <t>ASCENCIO PEREZ YOHANA LIZETH</t>
  </si>
  <si>
    <t xml:space="preserve">ACEVEDO MONROY MYRIAM </t>
  </si>
  <si>
    <t xml:space="preserve">NAUSA  MILENA </t>
  </si>
  <si>
    <t>FONSECA MUNEVAR SAIDA ADRIANA</t>
  </si>
  <si>
    <t>CASTAÑEDA ROJAS AURA ESPERANZA</t>
  </si>
  <si>
    <t>SIERRA AVELLA MARIA LUCILA</t>
  </si>
  <si>
    <t>ROJAS . LUZ NEIDA</t>
  </si>
  <si>
    <t>RIAÑO  NANCY MILENA</t>
  </si>
  <si>
    <t>NAVARRETE NARANJO SANDRA PATRICIA</t>
  </si>
  <si>
    <t>GALLO VARGAS LUZ MIRIAN</t>
  </si>
  <si>
    <t>BOHORQUEZ DAZA MARTHA LUCIA</t>
  </si>
  <si>
    <t>GOMEZ MESA SANDRA MILENA</t>
  </si>
  <si>
    <t xml:space="preserve">ACHAGUA URBANO MARCELA </t>
  </si>
  <si>
    <t>PERDOMO DAZA NINFA CAROLINA</t>
  </si>
  <si>
    <t>SALAMANCA LEON BIBIANA CAROLINA</t>
  </si>
  <si>
    <t>CORREDOR CUSBA LUZ HELENA</t>
  </si>
  <si>
    <t>CHAPARRO PEREZ ROSA HELENA</t>
  </si>
  <si>
    <t>GUEVARA BOTIA ASTRID JOVANA</t>
  </si>
  <si>
    <t>PEREZ GONZALEZ SANDRA PATRICIA</t>
  </si>
  <si>
    <t>VELANDIA CARDOZO LUZ ADRIANA</t>
  </si>
  <si>
    <t xml:space="preserve">ALVAREZ  PAOLA </t>
  </si>
  <si>
    <t>MONTAÑA MONTAÑA SANDRA MILENA</t>
  </si>
  <si>
    <t>NARANJO CRUZ MARIA ROSALBA</t>
  </si>
  <si>
    <t>PAEZ LOPEZ JENNY MARIELA</t>
  </si>
  <si>
    <t xml:space="preserve">LUCIA  ANA </t>
  </si>
  <si>
    <t xml:space="preserve">MESA  MILENA </t>
  </si>
  <si>
    <t>LOPEZ MANCHEGO MARCELA PIEDAD</t>
  </si>
  <si>
    <t>TORRES ROJAS AURA NELLY</t>
  </si>
  <si>
    <t>ALBARRACIN PESCA YOHANA PAOLA</t>
  </si>
  <si>
    <t>ALVARADO TORRES LINA MARIA</t>
  </si>
  <si>
    <t>FAGUA JIMENEZ LIANA MARITZA</t>
  </si>
  <si>
    <t>FONSECA VARON YENY JOHANA</t>
  </si>
  <si>
    <t>MARTINEZ CHAPARRO GLORIA YANETH</t>
  </si>
  <si>
    <t>GARAVITO AYALA NUBIA YANIRA</t>
  </si>
  <si>
    <t xml:space="preserve">SALAMANCA CARDENAS ELIZABETH </t>
  </si>
  <si>
    <t>ESPITIA LOPEZ LINA PAOLA</t>
  </si>
  <si>
    <t>SUESCA TOLEDO PAOLA JOHANNA</t>
  </si>
  <si>
    <t>PEREZ ALVAREZ ANA LYDA</t>
  </si>
  <si>
    <t>HURTADO NIÑO DIANA PAOLA</t>
  </si>
  <si>
    <t>ACERO ROJAS SANDRA MILENA</t>
  </si>
  <si>
    <t>MERCHAN TIBADUIZA GLORIA CECILIA</t>
  </si>
  <si>
    <t>RODRIGUEZ ROJAS ANDREA MILENA</t>
  </si>
  <si>
    <t xml:space="preserve">SALAMANCA  BLANCA </t>
  </si>
  <si>
    <t>PEREZ PEREZ CONSTANZA MILENA</t>
  </si>
  <si>
    <t xml:space="preserve">GALVIS CORREA FRANYURY </t>
  </si>
  <si>
    <t>MESA MARTINEZ YEIMY VIVIANA</t>
  </si>
  <si>
    <t>RODRIGUEZ  MARIA FERNANDA</t>
  </si>
  <si>
    <t>PAVA RINCON AYDA LUZ</t>
  </si>
  <si>
    <t>LOPEZ SANCHEZ NIDIA LUCIA</t>
  </si>
  <si>
    <t xml:space="preserve">DAZA PINZON LUCELIDA </t>
  </si>
  <si>
    <t>PEREZ LOPEZ NIDIA YANET</t>
  </si>
  <si>
    <t>CARO VERDUGO FANNY YANETH</t>
  </si>
  <si>
    <t xml:space="preserve">VALERO CARDENAS HADDIANNAH </t>
  </si>
  <si>
    <t>LOPEZ DIAZ YENNY PAOLA</t>
  </si>
  <si>
    <t>PEREZ RODRIGUEZ ANGELA MARIA</t>
  </si>
  <si>
    <t>NINO PEREZ BLANCA NIEVES NIEVES</t>
  </si>
  <si>
    <t>GOMEZ  SANDRA ROCIO</t>
  </si>
  <si>
    <t>PADILLA PULIDO YUDY ANDREA</t>
  </si>
  <si>
    <t>VIVIANA INES MENDEZ FANDIÑO</t>
  </si>
  <si>
    <t xml:space="preserve">CABRA AVILA PATRICIA </t>
  </si>
  <si>
    <t>CARDENAS BARON LEIDE SAMANTA</t>
  </si>
  <si>
    <t>ROJAS CELY ROS MARY</t>
  </si>
  <si>
    <t>SUAREZ CHAPARRO DIANA MAGOLA</t>
  </si>
  <si>
    <t>ALARCON GUTIERREZ MARIA IRLANDA</t>
  </si>
  <si>
    <t>DIANA CAROLINA RAMIREZ DIAZ</t>
  </si>
  <si>
    <t>SIERRA PARDO DIANA CAROLINA</t>
  </si>
  <si>
    <t>MESA MARTINEZ YULI ALEXANDRA</t>
  </si>
  <si>
    <t xml:space="preserve">RIOS LOPEZ JULIANA </t>
  </si>
  <si>
    <t>SANCHEZ HERNANDEZ MIRYAM MARCELA</t>
  </si>
  <si>
    <t>TIBOCHA CAMARGO NYDIA ESPERANZA</t>
  </si>
  <si>
    <t>CHAPARRO TORO LEYDY EVELYN</t>
  </si>
  <si>
    <t>DAVILA CARDOZO MARY LUZ</t>
  </si>
  <si>
    <t>DE ANTONIO BOADA MARIA</t>
  </si>
  <si>
    <t>SUAREZ CAMARGO DIANA CATALINA</t>
  </si>
  <si>
    <t xml:space="preserve">CAROLINA  DIANA </t>
  </si>
  <si>
    <t>HERNANDEZ VIANCHA MARIA SANDRA</t>
  </si>
  <si>
    <t>PEREZ DUENAS NUBIA ESPERANZA</t>
  </si>
  <si>
    <t xml:space="preserve">ACOSTA ADRIANA GONZALEZ </t>
  </si>
  <si>
    <t xml:space="preserve">ALVARADO  ANDREA </t>
  </si>
  <si>
    <t>TORRES FORERO CARMEN MILENA</t>
  </si>
  <si>
    <t>RODRIGUEZ NARANJO JEIMY TATIANA</t>
  </si>
  <si>
    <t>HURTADO NIÑO CLAUDIA PATRICIA</t>
  </si>
  <si>
    <t>ROJAS ALARCON LEIDY PATRICIA</t>
  </si>
  <si>
    <t>PEREZ MESA ANA ELIZABETH</t>
  </si>
  <si>
    <t>VALENZUELA PEÑA DIANA IVONE</t>
  </si>
  <si>
    <t xml:space="preserve">OCHOA RODRIGUEZ ADRIANA </t>
  </si>
  <si>
    <t>MAYORGA GRANADOS YURY ANDREA</t>
  </si>
  <si>
    <t>SOSA GONZALEZ MARIA ESTHER</t>
  </si>
  <si>
    <t>MOGOLLON CARDENAS SONIA YADIRA</t>
  </si>
  <si>
    <t>MORALES REYES MARTHA MILENA</t>
  </si>
  <si>
    <t xml:space="preserve">BARRERA  MARCY </t>
  </si>
  <si>
    <t>CORREA SANABRIA MARIA CAROLINA</t>
  </si>
  <si>
    <t xml:space="preserve">CARREÑO  ANA </t>
  </si>
  <si>
    <t>SUAREZ SOCHA ANA ILSEN</t>
  </si>
  <si>
    <t>DIAZ DUEÑAS LADY MILENA</t>
  </si>
  <si>
    <t>SANCHEZ NIÑO NUBIA ESTELA</t>
  </si>
  <si>
    <t>NITOLA BARRERA SANDRA PATRICIA</t>
  </si>
  <si>
    <t>CASTRO HIGUERA LILIANA ANDREA</t>
  </si>
  <si>
    <t>MALDONADO CORREA  SANDRA MILENA</t>
  </si>
  <si>
    <t>VELANDIA VELANDIA ANGELA PATRICIA</t>
  </si>
  <si>
    <t xml:space="preserve">GONZALEZ  FANNY </t>
  </si>
  <si>
    <t xml:space="preserve">MARTINEZ  LUCY </t>
  </si>
  <si>
    <t>LARA MARTINEZ GLADYS MARLEN</t>
  </si>
  <si>
    <t>TORRES GALINDO DEISY YOLIMA</t>
  </si>
  <si>
    <t>RINCON ORTIZ NIDIA AMPARO</t>
  </si>
  <si>
    <t>SILVA RINCON LYDA MAGALY</t>
  </si>
  <si>
    <t>SUAREZ SALAMANCA LILIANA CATALINA</t>
  </si>
  <si>
    <t>ACEVEDO CUERVO CLAUDIA YANETH</t>
  </si>
  <si>
    <t>FLECHAS VEGA LUZ MILENA</t>
  </si>
  <si>
    <t xml:space="preserve">BUENO  DIANA </t>
  </si>
  <si>
    <t>ALBINO ALVAREZ MARTHA YANETH</t>
  </si>
  <si>
    <t xml:space="preserve">DEL PILAR SOFIA </t>
  </si>
  <si>
    <t xml:space="preserve">VARGAS  AURA </t>
  </si>
  <si>
    <t>CHACON CORREDOR YANETH STELLA</t>
  </si>
  <si>
    <t>PORRAS AMAYA MILENA ESPERANZA</t>
  </si>
  <si>
    <t>COMBARIZA VARGAS NANCY LILIANA</t>
  </si>
  <si>
    <t>SANA GONZALEZ FLOR MILENA</t>
  </si>
  <si>
    <t>PEREA SOLANO DIANA CAROLINA</t>
  </si>
  <si>
    <t>DURAN  LIZ AMANDA</t>
  </si>
  <si>
    <t>ORTIZ URREA DIANA JANNET</t>
  </si>
  <si>
    <t>CALDERON ESTEPA MARTHA IBON</t>
  </si>
  <si>
    <t>BOCACHICA MEDINA BLANCA PATRICIA</t>
  </si>
  <si>
    <t>CAMARGO AMAYA FLOR PATRICIA</t>
  </si>
  <si>
    <t>ESTUPIÑAN BAUTISTA NORA MAYERCY</t>
  </si>
  <si>
    <t>CAMARGO CHAPARRO LUZ AMANDA</t>
  </si>
  <si>
    <t>LOPEZ PANQUEVA ALBA STELLA</t>
  </si>
  <si>
    <t>OLARTE LEON SILVIA MILENA</t>
  </si>
  <si>
    <t xml:space="preserve">CAMARGO  CAROL </t>
  </si>
  <si>
    <t xml:space="preserve">TAMARA CABRA YOLANDA </t>
  </si>
  <si>
    <t>BLANCO IBAÑEZ EMILSEN YOLANDA</t>
  </si>
  <si>
    <t xml:space="preserve">GARCIA RODRIGUEZ ANGELA </t>
  </si>
  <si>
    <t>CADENA VELANDIA SONIA PATRICIA</t>
  </si>
  <si>
    <t>PEREZ PEREZ FLOR MARIA</t>
  </si>
  <si>
    <t>PORRAS RODRIGUEZ YANCY MILENA</t>
  </si>
  <si>
    <t>RIAÑO BECERRA MAGDA ALEJANDRA</t>
  </si>
  <si>
    <t xml:space="preserve">GONZALEZ BECERRA  LILIANA PATRICIA </t>
  </si>
  <si>
    <t>DIAZ RICAURTE JOBANA ANDREA</t>
  </si>
  <si>
    <t>GUATIBONZA BONZA MIRYAM PATRICIA</t>
  </si>
  <si>
    <t xml:space="preserve">SUAREZ BALLESTEROS LAURA </t>
  </si>
  <si>
    <t>MARTINEZ AGUILLON MARITZA YOMARA</t>
  </si>
  <si>
    <t>SANDOVAL MERCHAN CLAUDIA MARCELA</t>
  </si>
  <si>
    <t xml:space="preserve">SIMBAQUEBA CUERVO ABIGAIL </t>
  </si>
  <si>
    <t>MENDIGANO HERRERA ELBA YULIED</t>
  </si>
  <si>
    <t>PINZON  MILENA ANDREA</t>
  </si>
  <si>
    <t>RINCON REYES GLORIA ERNESTINA</t>
  </si>
  <si>
    <t>TORRES SILVA SANDRA MILENA</t>
  </si>
  <si>
    <t xml:space="preserve">JAIMES BELQUIS  YOLEIDA </t>
  </si>
  <si>
    <t xml:space="preserve">MILENA  YENY </t>
  </si>
  <si>
    <t>RINCON BAUTISTA MARIA ZORAIDA</t>
  </si>
  <si>
    <t>CASTRO CEPEDA BLANCA NELLY</t>
  </si>
  <si>
    <t xml:space="preserve">AMALIA  VEGA </t>
  </si>
  <si>
    <t xml:space="preserve">DIAZ SOTO LORENA </t>
  </si>
  <si>
    <t>BARINAS ROJAS MARIA ISABEL</t>
  </si>
  <si>
    <t>ROJAS PEREZ YENNY PAOLA</t>
  </si>
  <si>
    <t>GARCIA GOMEZ ASTRID CONSUELO</t>
  </si>
  <si>
    <t>BENAVIDES TAMAYO YULI ANDREA</t>
  </si>
  <si>
    <t xml:space="preserve">MORENO MORENO SANDRA </t>
  </si>
  <si>
    <t>MARIÑO RAMIREZ ELSA MARCELA</t>
  </si>
  <si>
    <t>CELY ARIAS MARIA CRISTINA</t>
  </si>
  <si>
    <t xml:space="preserve">DIAZ BARRETO ALEXANDRA </t>
  </si>
  <si>
    <t>CHIRIVI SICHACA FRANCY GRACIELA</t>
  </si>
  <si>
    <t>BARRERA SANCHEZ LUISA LEONOR</t>
  </si>
  <si>
    <t>CEPEDA ESPINEL SANDRA MILENA</t>
  </si>
  <si>
    <t>RUSSI MORALES LUZ YESMIRA</t>
  </si>
  <si>
    <t>GARCIA SANCHEZ VERONICA STELLA</t>
  </si>
  <si>
    <t>ALVAREZ ALVAREZ ANA ASTRID</t>
  </si>
  <si>
    <t>AYALA BRICEÑO ALBA MILENA</t>
  </si>
  <si>
    <t>SOSA ROJAS MARIA YOLANDA</t>
  </si>
  <si>
    <t>TELLEZ PLAZAS MARIA CLAUDIA</t>
  </si>
  <si>
    <t>DIAZ PACHECO NUBIA ESPERANZA</t>
  </si>
  <si>
    <t>CERON VELANDIA TANIA ROCIO</t>
  </si>
  <si>
    <t>PEDRAZA NOCUA LILIAN ASTRID</t>
  </si>
  <si>
    <t>SANTIESTEBAN GONZALEZ CLAUDIA MILENA</t>
  </si>
  <si>
    <t>RINCON CABRA ASTRID JULIANA</t>
  </si>
  <si>
    <t>PUERTO BAYONA SANDRA MILENA</t>
  </si>
  <si>
    <t>ZABALA PUERTO BELSY ROSMIRA</t>
  </si>
  <si>
    <t>BARRERA ALVARADO MARTHA LILIANA</t>
  </si>
  <si>
    <t>AGUDELO SANCHEZ YENNY MARICELA</t>
  </si>
  <si>
    <t xml:space="preserve">ESTUPIÑAN ESTUPIÑAN ZULMA </t>
  </si>
  <si>
    <t>CORREDOR VILLATE SANDRA MILENA</t>
  </si>
  <si>
    <t>CUY MOTA AURA ESTELA</t>
  </si>
  <si>
    <t>MORENO GARCIA NANCY OLIVA</t>
  </si>
  <si>
    <t xml:space="preserve">REYES BECERRA  MARY </t>
  </si>
  <si>
    <t>ARCHILA SALAMANCA ROSSY DEL PILAR</t>
  </si>
  <si>
    <t>PEREZ QUINTANA ADRIANA YOLIMA</t>
  </si>
  <si>
    <t>RODRIGUEZ SANDOVAL JOHANNA CAROLINA</t>
  </si>
  <si>
    <t>ROSAS CORREDOR ANGELA NATALIA</t>
  </si>
  <si>
    <t>SUAREZ VARGAS MARIA EUGENIA</t>
  </si>
  <si>
    <t>RODRIGUEZ INFANTE MAGDA MILENA</t>
  </si>
  <si>
    <t>NINO PATINO MILENA ROCIO</t>
  </si>
  <si>
    <t xml:space="preserve">SEPULVEDAD  KATERINE </t>
  </si>
  <si>
    <t xml:space="preserve">CAMACHO SALAZAR  ZAIRA MAGALY </t>
  </si>
  <si>
    <t>CAMARGO PINEDA MARTHA LUCIA</t>
  </si>
  <si>
    <t>SUAREZ NIÑO RITA JULIA</t>
  </si>
  <si>
    <t>ROJAS VILLATE ANA MILENA</t>
  </si>
  <si>
    <t>CHIA EUSCATEGUI ANA DELFA</t>
  </si>
  <si>
    <t>ANGARITA BECERRA CLEDY YAMILE</t>
  </si>
  <si>
    <t>PIZA CASTILLO DORIS SIRLEY</t>
  </si>
  <si>
    <t>VILLAMIZAR GELVEZ VILMA IBETH</t>
  </si>
  <si>
    <t>MARTINEZ NIÑO FLOR ANDREA</t>
  </si>
  <si>
    <t>SILVA ASCENCIO DAMARIS JANETH</t>
  </si>
  <si>
    <t>RINCON SOLANO NELCY CONSUELO</t>
  </si>
  <si>
    <t xml:space="preserve">BALAGUERA GARCES ELIZABETH </t>
  </si>
  <si>
    <t>GALLO  ALIX PATRICIA</t>
  </si>
  <si>
    <t>NIÑO MORALES MARIA YANETH</t>
  </si>
  <si>
    <t xml:space="preserve">GONZALEZ  MONICA </t>
  </si>
  <si>
    <t>CASTRO PUIN YEIMY MILENA</t>
  </si>
  <si>
    <t xml:space="preserve">AVILA  SARA </t>
  </si>
  <si>
    <t xml:space="preserve">CHAPARRO NITOLA EMILCEN </t>
  </si>
  <si>
    <t>PEREZ  YENY ASTRID</t>
  </si>
  <si>
    <t>VARGAS HIGUERA DIANA ZORAIDA</t>
  </si>
  <si>
    <t>SANTAMARIA VALDERRAM LILIANA PATRICIA</t>
  </si>
  <si>
    <t>PASACHOA ROJAS SANDRA ROCIO</t>
  </si>
  <si>
    <t xml:space="preserve">BALLESTEROS GOMEZ LINA </t>
  </si>
  <si>
    <t>DIAZ MARTINEZ ANGELA MARIA</t>
  </si>
  <si>
    <t>PACHO CASTAÑEDA ANA YAMIRA</t>
  </si>
  <si>
    <t xml:space="preserve">GAMA  NANCY </t>
  </si>
  <si>
    <t>CARREÑO CABRA YANETH MILEYDY</t>
  </si>
  <si>
    <t>AVILA ALVAREZ OLGA PATRICIA</t>
  </si>
  <si>
    <t>FUENTES MATEUS MARIA FERNANDA</t>
  </si>
  <si>
    <t xml:space="preserve">CARDENAS INFANTE CAROLINA </t>
  </si>
  <si>
    <t>CENDALES IBANEZ LINDA CATERINNE</t>
  </si>
  <si>
    <t>RODRIGUEZ OROZCO GLEYDIS YAZMIN</t>
  </si>
  <si>
    <t>AMEZQUITA RUEDA CLAUDIA YANETH</t>
  </si>
  <si>
    <t>NAVAS GARCIA SANDRA GIOVANA</t>
  </si>
  <si>
    <t xml:space="preserve">TORRES CABRA ENEIDA </t>
  </si>
  <si>
    <t>CHAPARRO PORRAS YENNY ASTRID</t>
  </si>
  <si>
    <t>MARIÑO RINCON NUBIA ESPERANZA</t>
  </si>
  <si>
    <t xml:space="preserve">OCHOA CORREDOR ESMERALDA </t>
  </si>
  <si>
    <t>SANDOVAL SILVA LUISA YOLIMA</t>
  </si>
  <si>
    <t xml:space="preserve">MATEUS RAMIREZ TATIANA </t>
  </si>
  <si>
    <t>MARTINEZ RODRIGUEZ NEYLA HAYDE</t>
  </si>
  <si>
    <t xml:space="preserve">HIGUERA GONZALEZ CAROLINA </t>
  </si>
  <si>
    <t xml:space="preserve">GONZALEZ VIVAS  YAQUELINE LILIAN </t>
  </si>
  <si>
    <t>NIÑO LOAIZA NINI JOHANA</t>
  </si>
  <si>
    <t>SAAVEDRA SIERRA LIGIA CONSUELO</t>
  </si>
  <si>
    <t xml:space="preserve">CASTILLO GONZALEZ FLORILUZ </t>
  </si>
  <si>
    <t>PALACIOS ALVAREZ SANDRA JOHANA</t>
  </si>
  <si>
    <t xml:space="preserve">GONZALEZ BOSSA ROCIO </t>
  </si>
  <si>
    <t>CORREDOR CORREA BELSY CAROLINA</t>
  </si>
  <si>
    <t>TORRES MELO YUDIT ANDREA</t>
  </si>
  <si>
    <t xml:space="preserve">DEL PILAR MONICA </t>
  </si>
  <si>
    <t>FERNANDEZ PEREZ ANA NAYIVE</t>
  </si>
  <si>
    <t>GUARIN MORALES MARIA CAROLINA</t>
  </si>
  <si>
    <t xml:space="preserve">LILIANA  NELCY </t>
  </si>
  <si>
    <t>LARA CHIQUILLO ZULY EUNICE</t>
  </si>
  <si>
    <t>SILVA DIAZ SUCETH JACKELINE</t>
  </si>
  <si>
    <t>VARGAS GONZALEZ YEIMY CAROLINA</t>
  </si>
  <si>
    <t xml:space="preserve">CASTRL  YEIMY </t>
  </si>
  <si>
    <t>PEREZ CHAPARRO LUZ MIREYA</t>
  </si>
  <si>
    <t>PLAZAS CAMARGO GILMA MERCEDES</t>
  </si>
  <si>
    <t>SOLANO TAMAYO NIDIA EMILCE</t>
  </si>
  <si>
    <t>BENITEZ TRISTANCHO YENY ROCIO</t>
  </si>
  <si>
    <t>VELANDIA BALAGUERA SULMA CAROLINA</t>
  </si>
  <si>
    <t>RATIVA HIGUERA CLAUDIA LUZ</t>
  </si>
  <si>
    <t>ROMERO GOMEZ MARIA GRACIELA</t>
  </si>
  <si>
    <t>ROJAS ROJAS JENNY CAROLINA</t>
  </si>
  <si>
    <t>MONTENEGRO MORENO INGRID ASTRID</t>
  </si>
  <si>
    <t>ARDILA QUIJANO DAYA NERY</t>
  </si>
  <si>
    <t>TAMARA OCHOA NANCY MAYERLY</t>
  </si>
  <si>
    <t>FAJARDO PRIETO IVONNE LISSETTE</t>
  </si>
  <si>
    <t xml:space="preserve">BALAGUERA SOLANO MABEL </t>
  </si>
  <si>
    <t>TIRIA TIRIA ANGELA MILENA</t>
  </si>
  <si>
    <t>RODRIGUEZ RIVERA CLARA LILIANA</t>
  </si>
  <si>
    <t>VELANDIA GOMEZ DAISSY JIMENA</t>
  </si>
  <si>
    <t>CASTRO VELANDIA MARTHA LILIANA</t>
  </si>
  <si>
    <t xml:space="preserve">EUGENIA  MARIA </t>
  </si>
  <si>
    <t>NUNCIRA GALLO DEISY LISSETTE</t>
  </si>
  <si>
    <t>PACHECO MORALEZ YENNY YESENIA</t>
  </si>
  <si>
    <t>PITA GONZALEZ DORIS YANETH</t>
  </si>
  <si>
    <t xml:space="preserve">VARGAS CELY  NIDIA </t>
  </si>
  <si>
    <t>JOYA SANDOVAL IRMA ELENA</t>
  </si>
  <si>
    <t>LOPEZ ZAMBRANO EXILDA RUTH</t>
  </si>
  <si>
    <t xml:space="preserve">AMADO  ALEJANDRA </t>
  </si>
  <si>
    <t>MIRANDA AVILA LUZ EDELMIRA</t>
  </si>
  <si>
    <t>JAIME BALLESTEROS ISAURA PATRICIA</t>
  </si>
  <si>
    <t xml:space="preserve">CUCUNUBA GOYENECHE RAMONA </t>
  </si>
  <si>
    <t>GONZALEZ DIAZ MERCY ROCIO</t>
  </si>
  <si>
    <t>PANQUEBA RONDEROS YOLANDA MARLEN</t>
  </si>
  <si>
    <t>URIBE SERRANO PILAR ELIZABETH</t>
  </si>
  <si>
    <t>VEGA DAVILA ERIKA LISSET</t>
  </si>
  <si>
    <t>FLORES GOMEZ LINA MARIA</t>
  </si>
  <si>
    <t>PUERTO PUERTO LINA MARIA</t>
  </si>
  <si>
    <t>GOMEZ BARRERA ANA MILENA</t>
  </si>
  <si>
    <t>MEDINA  RITA MILENA</t>
  </si>
  <si>
    <t>CANAVERAL ALARCON SANDRA PATRICIA</t>
  </si>
  <si>
    <t>PACHO CASTAÑEDA MARIA CRISTINA</t>
  </si>
  <si>
    <t>NONTOA CAMARGO YENNY PATRICIA</t>
  </si>
  <si>
    <t xml:space="preserve">RINCON ROJAS YANETH </t>
  </si>
  <si>
    <t>MOLANO OCHOA MARTHA YANNETH</t>
  </si>
  <si>
    <t xml:space="preserve">NIÑO MORENO MARIBEL </t>
  </si>
  <si>
    <t>FERNANDEZ AMAYA YENNY FABIOLA</t>
  </si>
  <si>
    <t>SOTO ALARCON FLOR MARINA</t>
  </si>
  <si>
    <t xml:space="preserve">CELY  ANA </t>
  </si>
  <si>
    <t xml:space="preserve">RODRIGUEZ BAEZ YEIMMY </t>
  </si>
  <si>
    <t>HERNANDEZ VEGA MARTHA PATRICIA</t>
  </si>
  <si>
    <t>ALFONSO SALAMANCA NIDIA MILENA</t>
  </si>
  <si>
    <t>OROZCO GARCIA ELDA ESPERANZA</t>
  </si>
  <si>
    <t>CALDAS CADENA SANDRA MILENA</t>
  </si>
  <si>
    <t>PATIÑO PINZON CLAUDIA PATRICIA</t>
  </si>
  <si>
    <t xml:space="preserve">VARGAS GUARIN  SANDRA MILENA </t>
  </si>
  <si>
    <t>PRIETO CAMARGO YADIRA FABIOLA</t>
  </si>
  <si>
    <t xml:space="preserve">FONSECA  NANCY </t>
  </si>
  <si>
    <t>LARA DUARTE BLANCA NIEVES</t>
  </si>
  <si>
    <t>GRANADOS CACERES EVA TRINIDAD</t>
  </si>
  <si>
    <t>VELANDIA TIBAMOSO LINA CONSTANZA</t>
  </si>
  <si>
    <t>RUIZ BLANCO JEANNETTE VIVIANA</t>
  </si>
  <si>
    <t xml:space="preserve">BERNAL ESTUPIÑAN NANCY </t>
  </si>
  <si>
    <t>SANDOVAL CHAPARRO YOBANNA MARCELA</t>
  </si>
  <si>
    <t>LEON CARDENAS YESENIA EUNICE</t>
  </si>
  <si>
    <t>RICO  MARIA CRISTINA</t>
  </si>
  <si>
    <t>MOJICA JIMENEZ ANDREA DEL PILAR</t>
  </si>
  <si>
    <t xml:space="preserve">MATEUS SANCHEZ ANGELA </t>
  </si>
  <si>
    <t>BARRERA MESA LILIA MARGARITA</t>
  </si>
  <si>
    <t>RINCON REYES FLOR ANGELA</t>
  </si>
  <si>
    <t>RINCON CAMARGO JOHANNA MARCELLA</t>
  </si>
  <si>
    <t>MORALES NINO NUBIA YANETH</t>
  </si>
  <si>
    <t xml:space="preserve">BARRERA SANCHEZ  ANGELA PATRICIA </t>
  </si>
  <si>
    <t xml:space="preserve">HERNANDEZ TORRES  CECILIA </t>
  </si>
  <si>
    <t xml:space="preserve">MATEUS GARCIA PATRICIA </t>
  </si>
  <si>
    <t xml:space="preserve">NIÑO BECERRA NANCY </t>
  </si>
  <si>
    <t>BERNAL MEJIA RUBY ESMERALDA</t>
  </si>
  <si>
    <t xml:space="preserve">YESENIA  SUAREZ </t>
  </si>
  <si>
    <t>MOYANO GARCIA CLAUDIA PATRICIA</t>
  </si>
  <si>
    <t>SOSSA CHINOME LIDA JANEDT</t>
  </si>
  <si>
    <t>PORRAS BALAGUERA YANIRA DEL PILAR</t>
  </si>
  <si>
    <t>SANCHEZ PAMPLONA NURY ANGELICA</t>
  </si>
  <si>
    <t>ANGELA MARIA PARDO GUTIERREZ</t>
  </si>
  <si>
    <t xml:space="preserve">MARTINEZ CAMARGO  MARTHA RAQUEL </t>
  </si>
  <si>
    <t>IZAQUITA CRISTIANO DIANA PATRICIA</t>
  </si>
  <si>
    <t>NAUSSA  YUDY MILENA</t>
  </si>
  <si>
    <t xml:space="preserve">NOVA ORTIZ MARIELENA </t>
  </si>
  <si>
    <t>SOSA CARRILLO ALBA STELLA</t>
  </si>
  <si>
    <t xml:space="preserve">GUTIERREZ MARISOL REYES </t>
  </si>
  <si>
    <t xml:space="preserve">MESA SANABRIA LILIANA </t>
  </si>
  <si>
    <t>TIRIA  SANDRA CAROLINA</t>
  </si>
  <si>
    <t>ESPANOL MANTA ANDREA CAROLINA</t>
  </si>
  <si>
    <t>MANOSALVA SUAREZ GLADYS ESMID</t>
  </si>
  <si>
    <t>GOMEZ NOVA SANDRA MILENA</t>
  </si>
  <si>
    <t xml:space="preserve">CARVAJAL SANCHEZ CAROLINA </t>
  </si>
  <si>
    <t xml:space="preserve">MARIA  ANGELA </t>
  </si>
  <si>
    <t>LOPEZ LOPEZ SARA CECILIA</t>
  </si>
  <si>
    <t xml:space="preserve">PESCA DIAZ  MARINELA </t>
  </si>
  <si>
    <t>RIOS PEREZ LUZ AMPARO</t>
  </si>
  <si>
    <t>RINCON RODRIGUEZ DIANA MILENA</t>
  </si>
  <si>
    <t>PUENTES TENJO YENNY MARCELA</t>
  </si>
  <si>
    <t>SOLANO SALAMANCA SANDRA PATRICIA</t>
  </si>
  <si>
    <t>GUTIERREZ CADENA MAGDA JOHANA</t>
  </si>
  <si>
    <t>CAMARGO IBANEZ DINA NELLY</t>
  </si>
  <si>
    <t xml:space="preserve">ESLAVA NINO MARIELA </t>
  </si>
  <si>
    <t>NIÑO CELY ANGELA YASMIN</t>
  </si>
  <si>
    <t xml:space="preserve">VELANDIA ALARCON NUBIA </t>
  </si>
  <si>
    <t>BARRERA GUATIBONZA LUZ HELENA</t>
  </si>
  <si>
    <t>RINCON  MARIA CRISTINA</t>
  </si>
  <si>
    <t>AGUILAR NINO NIDYA CONSUELO</t>
  </si>
  <si>
    <t>PEREZ  MARIA ANGELICA</t>
  </si>
  <si>
    <t>ULCUE VASQUEZ ESTHER JULIA</t>
  </si>
  <si>
    <t>PUERTO FERRUCHO CLAUDIA YANETH</t>
  </si>
  <si>
    <t xml:space="preserve">GUTIERREZ TORRES ELIZABETH </t>
  </si>
  <si>
    <t>SONIA MARCELA ANGEL CORREA</t>
  </si>
  <si>
    <t>CASTRO  ANGELA GREIS</t>
  </si>
  <si>
    <t>REYES AGUILLON AIDXA CATALINA</t>
  </si>
  <si>
    <t>HERNANDEZ GONZALEZ AURA ALICIA</t>
  </si>
  <si>
    <t>GARCIA NIÑO ALBA LUCIA</t>
  </si>
  <si>
    <t>IBAÑEZ LEON NIDIA CONSUELO</t>
  </si>
  <si>
    <t>GOMEZ PEDRAZA BLANCA MILENA</t>
  </si>
  <si>
    <t>SILVA MANRYQUE YUDY ALEJANDRA</t>
  </si>
  <si>
    <t>TORRES BAUTISTA RUBY YOJANA</t>
  </si>
  <si>
    <t>FUQUEN NIÑO DIANA BEATRIZ</t>
  </si>
  <si>
    <t xml:space="preserve">DUCUARA AMADA LYDY </t>
  </si>
  <si>
    <t>SCHIBLI PEREZ DIANA ALEXANDRA</t>
  </si>
  <si>
    <t>MARTINEZ ALBARRACIN MARY LUZ</t>
  </si>
  <si>
    <t>HERNANDEZ  ANGELA DEL PILAR</t>
  </si>
  <si>
    <t>GIL GALLO SANDRA JASMIN</t>
  </si>
  <si>
    <t>ROJAS ACERO LAURA PAOLA</t>
  </si>
  <si>
    <t xml:space="preserve">JANNETH  FRANCY </t>
  </si>
  <si>
    <t>SOCHA ABON NYNI YOHANA</t>
  </si>
  <si>
    <t>CORREA MANCIPE ELSI OFELIA</t>
  </si>
  <si>
    <t xml:space="preserve">MURCIA  ALBA </t>
  </si>
  <si>
    <t>CORREDOR SERRANO DORA HELENA</t>
  </si>
  <si>
    <t xml:space="preserve">LEON BECERRA MARICELA </t>
  </si>
  <si>
    <t xml:space="preserve">MOJICA BARRERA  ANGELA MERCEDES </t>
  </si>
  <si>
    <t>GILMA JAKELIN AVELLANEDA FORERO</t>
  </si>
  <si>
    <t>GUTIERREZ TIBADUIZA NINI JOHANNA</t>
  </si>
  <si>
    <t>ARIAS SUAREZ NUBIA ALEXANDRA</t>
  </si>
  <si>
    <t>MEDINA RUBIO MARIA ALICIA</t>
  </si>
  <si>
    <t>GIL ROJAS ALBA LUCIA</t>
  </si>
  <si>
    <t>LAVERDE PINZON NIDIA CONSUELO</t>
  </si>
  <si>
    <t>SOSA ROJAS LUZ MARINA</t>
  </si>
  <si>
    <t>TORRES SILVA ANGELA YOLIMA</t>
  </si>
  <si>
    <t>BENAL MORENO SANDRA PATRICIA</t>
  </si>
  <si>
    <t>ROJAS CRISTANCHO LIDA ROCIO</t>
  </si>
  <si>
    <t>GALVIS ALVAREZ AURA CECILIA</t>
  </si>
  <si>
    <t xml:space="preserve">RINCON GUALTEROS DENNIS </t>
  </si>
  <si>
    <t>ZARATE AGUDELO MILENA ESPERANZA</t>
  </si>
  <si>
    <t>ALBARRAN BONILLA DEISY ALEXANDRA</t>
  </si>
  <si>
    <t>TORRES GOMEZ DIANA PATRICIA</t>
  </si>
  <si>
    <t>BECERRA MEDINA ANA DILSA</t>
  </si>
  <si>
    <t>CARDENAS GIRATA ROSA OMAIRA</t>
  </si>
  <si>
    <t>PEDRAZA SOLANO MONICA ISABEL</t>
  </si>
  <si>
    <t>REYES GALLO ALBA PATRICIA</t>
  </si>
  <si>
    <t>LEAL VALBUENA ELIANA ANDREA</t>
  </si>
  <si>
    <t>SANCHEZ AVILA EDITH ESPERANZA</t>
  </si>
  <si>
    <t>OROZCO LOPEZ NANCY YASMIN</t>
  </si>
  <si>
    <t>MALAVER ZABALA RUTH YOLIMA</t>
  </si>
  <si>
    <t>PICO HERNANDEZ SANDRA PATRICIA</t>
  </si>
  <si>
    <t>PESCA VALDERRAMA VILMA YANETH</t>
  </si>
  <si>
    <t>AGUDELO MARINO DIANA ROCIO</t>
  </si>
  <si>
    <t xml:space="preserve">JAIMES RONDEROS SIRLEY </t>
  </si>
  <si>
    <t>FERNANDEZ AMAYA NANCY ESPERANZA</t>
  </si>
  <si>
    <t>RAMIREZ CAMARGO MARIA ELISA</t>
  </si>
  <si>
    <t>RINCON CABRA ANGELA FRANCISCA</t>
  </si>
  <si>
    <t>CUTA ROMERO SANDRA JAZMIN</t>
  </si>
  <si>
    <t>AGUDELO SANCHEZ YASMIN ELENA</t>
  </si>
  <si>
    <t>BECERRA CHAPARRO SANDRA MILENA</t>
  </si>
  <si>
    <t>AGUILAR TOPIA NURY ALEXANDRA</t>
  </si>
  <si>
    <t>MENDIVELSO BARRERA NIDYA JOHANA</t>
  </si>
  <si>
    <t>PEREZ FUENTES ANA MILENA</t>
  </si>
  <si>
    <t xml:space="preserve">TUTA RIVERA AMPARO </t>
  </si>
  <si>
    <t xml:space="preserve">MOLINA TORRES  MARIA ROSALBA </t>
  </si>
  <si>
    <t>RAVELO  YASMIN MAGDALENA</t>
  </si>
  <si>
    <t xml:space="preserve">MORENO BAEZ AYDE </t>
  </si>
  <si>
    <t>PARRA SILVA EDITH JOHANNA</t>
  </si>
  <si>
    <t>Correa Mesa Nidia Natalia</t>
  </si>
  <si>
    <t>DIAZ AVILA ANA YAMILE</t>
  </si>
  <si>
    <t>PEREZ MARTINEZ INGRID YOHANNA</t>
  </si>
  <si>
    <t>ZORRO AVILA DIANA CAROLINA</t>
  </si>
  <si>
    <t>COTAMO ROJAS YOLANDA MILENA</t>
  </si>
  <si>
    <t>BECERRA FONSECA MARTHA ROCIO</t>
  </si>
  <si>
    <t>GONZALEZ GONZALEZ GLADYS MARTA ELENA</t>
  </si>
  <si>
    <t xml:space="preserve">JOHANA  MAYDA </t>
  </si>
  <si>
    <t>DIANA PATRICIA CHAVEZ VARGAS</t>
  </si>
  <si>
    <t xml:space="preserve">CONTRERAS  CAROLINA </t>
  </si>
  <si>
    <t>AGUILAR JARRO JIMENA ANDREA</t>
  </si>
  <si>
    <t>ROSAS ACEVEDO DIANA MARIA</t>
  </si>
  <si>
    <t xml:space="preserve">BECERRA PAIPA  SANDRA MILENA </t>
  </si>
  <si>
    <t>SOSA VIVAS LUZ MARITZA</t>
  </si>
  <si>
    <t>AREVALO SUAREZ DIANA LIYINY</t>
  </si>
  <si>
    <t>GONZALEZ MOGOLLON JAEL LILIANA</t>
  </si>
  <si>
    <t>AMADO HERNANDEZ ANA JULIA</t>
  </si>
  <si>
    <t>TIRIA CABRA DIANA YAMILE</t>
  </si>
  <si>
    <t>RINCON ANGARITA SANDRA MILENA</t>
  </si>
  <si>
    <t>RUIZ MORALES SULMA YOLIMA</t>
  </si>
  <si>
    <t>ALDANA AVELLANEDA LIGIA DEL CARMEN</t>
  </si>
  <si>
    <t>RODRIGUEZ PULIDO NATALIA MARGARITA</t>
  </si>
  <si>
    <t xml:space="preserve">PARRA VELANDIA ANDREA </t>
  </si>
  <si>
    <t>OLIVEROS SUAREZ CARMEN SOFIA</t>
  </si>
  <si>
    <t>HURTADO PEÑA DIANA DERLY</t>
  </si>
  <si>
    <t>SUAREZ SUAREZ SAYDA MARIA</t>
  </si>
  <si>
    <t>ESTUPIÑAN SUAREZ ANA MILENA</t>
  </si>
  <si>
    <t>VEGA GONZALEZ DIANA YANETH</t>
  </si>
  <si>
    <t>PIÑEROS ACEVEDO MARIA VICTORIA</t>
  </si>
  <si>
    <t>CARREÑO LIMAS SANDRA YISELA</t>
  </si>
  <si>
    <t xml:space="preserve">SALAMANCA CARVAJAL ZAIDA </t>
  </si>
  <si>
    <t>VERGARA CERQUERA DALIA CAROLINA</t>
  </si>
  <si>
    <t>BECERRA MESA NYDIA ELVIRA</t>
  </si>
  <si>
    <t>GOMEZ  MARIA GLADYS</t>
  </si>
  <si>
    <t>PARRA  ANA DORELY</t>
  </si>
  <si>
    <t>CORREDOR HIGUERA NATHALY JULIETH</t>
  </si>
  <si>
    <t>CELY RAMIREZ AURA MILENA</t>
  </si>
  <si>
    <t>GOYENECHE ALFONSO YENNY ALEJANDRA</t>
  </si>
  <si>
    <t>FIAGA RODRIGUEZ NANCY BIBIANA</t>
  </si>
  <si>
    <t>RATIVA AVELLA AMANDA PATRICIA</t>
  </si>
  <si>
    <t>FRACICA BENAVIDEZ MAGDA ROCIO</t>
  </si>
  <si>
    <t>SALAMANCA FONSECA CARMEN RUBY</t>
  </si>
  <si>
    <t>SANDOVAL VALDERRAMA NIDIA LIZETH</t>
  </si>
  <si>
    <t>VEGA CABRA YENNY PATRICIA</t>
  </si>
  <si>
    <t>SUAREZ BECERRA NANCY JOHANA</t>
  </si>
  <si>
    <t>DURAN RODRIGUEZ GLORIA YANETH</t>
  </si>
  <si>
    <t xml:space="preserve">TRISTANCHO LOPEZ ANDREA </t>
  </si>
  <si>
    <t>RAMIREZ NOVA EDYTH ANDREA</t>
  </si>
  <si>
    <t>CHINOME GUECHA ZANDRA YOVANA</t>
  </si>
  <si>
    <t>SOLANO GOMEZ NERCY LUCERO</t>
  </si>
  <si>
    <t>CORREA GUARIN RUTH EMILCE</t>
  </si>
  <si>
    <t>ADRIANA NEYIVE NITOLA SAENZ</t>
  </si>
  <si>
    <t>NINO RIVERA MARTHA YANETH</t>
  </si>
  <si>
    <t>BAEZ ARAQUE DIANA PATRICIA</t>
  </si>
  <si>
    <t>LEON PEÑA MARTHA NANCY</t>
  </si>
  <si>
    <t>GONZALEZ HIGUERA PAOLA ANDREA</t>
  </si>
  <si>
    <t xml:space="preserve">TRIANA TRIANA NANCY </t>
  </si>
  <si>
    <t xml:space="preserve">MARTINEZ  FRANCESCA </t>
  </si>
  <si>
    <t xml:space="preserve">GOMEZ CUSPOCA ROSALBINA </t>
  </si>
  <si>
    <t xml:space="preserve">PATIÑO  DERSY </t>
  </si>
  <si>
    <t xml:space="preserve">CORREA RINCON MARTHA </t>
  </si>
  <si>
    <t xml:space="preserve">PINZON CARDOZO MARICELA </t>
  </si>
  <si>
    <t xml:space="preserve">VARGAS DURAN  MARCELA </t>
  </si>
  <si>
    <t>PALACIOS NIÑO GLADYS CAROLINA</t>
  </si>
  <si>
    <t>CAMARGO  YENY ESPERANZA</t>
  </si>
  <si>
    <t>ROJAS MARTINEZ MELBA LILIANA</t>
  </si>
  <si>
    <t>BOADA MILLAN LINDA ROCIO</t>
  </si>
  <si>
    <t>ALDANA AVELLANEDA NORA IRMA</t>
  </si>
  <si>
    <t>LIZARAZO COLMENARES FANNY MARIA</t>
  </si>
  <si>
    <t xml:space="preserve">CONTRERAS  MARTHA </t>
  </si>
  <si>
    <t>CASTILLO GONZALEZ SANDRA EDITH</t>
  </si>
  <si>
    <t>VARGAS GOMEZ ANA MATILDE</t>
  </si>
  <si>
    <t>RINCON BECERRA SONIA YAKELINE</t>
  </si>
  <si>
    <t>CELY CEPEDA SONIA VIVIANA</t>
  </si>
  <si>
    <t>OVIEDO ROBALLO DOLLY CAROLINA</t>
  </si>
  <si>
    <t>CASTRO  LINA MARIA</t>
  </si>
  <si>
    <t>DIAZ NINO YENY MARCELA</t>
  </si>
  <si>
    <t xml:space="preserve">GOMEZ GOMEZ ALCIRA </t>
  </si>
  <si>
    <t>CORDOBA . SANDRA MILENA</t>
  </si>
  <si>
    <t xml:space="preserve">CUERVO MORALES MARIELA </t>
  </si>
  <si>
    <t>NIÑO PORRAS MARYEN ASTRID</t>
  </si>
  <si>
    <t>ALARCON  LUZ AIDA</t>
  </si>
  <si>
    <t>RINCON NINO DIANA JOHANNA</t>
  </si>
  <si>
    <t>SANABRIA VELASQUEZ ENDY CLARETH</t>
  </si>
  <si>
    <t>GONZALEZ TEQUIA ADRIANA CAROLINA</t>
  </si>
  <si>
    <t>MOGOLLON GOMEZ MAGDA CRISTINA</t>
  </si>
  <si>
    <t>TALERO  SANDRA LORENA</t>
  </si>
  <si>
    <t>PICO FONSECA ALBA LUZ</t>
  </si>
  <si>
    <t xml:space="preserve">PLAZAS UYASAN YOLANDA </t>
  </si>
  <si>
    <t>LOPEZ SANCHEZ BLANCA YASMID</t>
  </si>
  <si>
    <t>RAMIREZ MANCIPE LADY DIANA</t>
  </si>
  <si>
    <t>SOLANO PEREZ MARTHA JANNETH</t>
  </si>
  <si>
    <t xml:space="preserve">ORTEGON  NIDIA </t>
  </si>
  <si>
    <t>PERALTA TORRES DEISSY VIVIANA</t>
  </si>
  <si>
    <t>CELY  NELSI RUBIELA</t>
  </si>
  <si>
    <t>CABRERA ESPITIA VERA ASTRID</t>
  </si>
  <si>
    <t>SOCHA PABON MARTHA LILIANA</t>
  </si>
  <si>
    <t>BECERRA TORRES MARITZA CAROLINA</t>
  </si>
  <si>
    <t>LAGOS SALAMANCA EMILSE AMPARO</t>
  </si>
  <si>
    <t xml:space="preserve">GARZON BARAJAS ROCIO </t>
  </si>
  <si>
    <t>CAMARGO DIAZ LUZ ADRIANA</t>
  </si>
  <si>
    <t>CORREDOR SOLER ANGELA CAROLINA</t>
  </si>
  <si>
    <t>CACERES CHAVEZ ROSA ELENA</t>
  </si>
  <si>
    <t>CELY CELY YURY YADIRA</t>
  </si>
  <si>
    <t>BENITEZ GUTIERREZ LEIDY CAROLINA</t>
  </si>
  <si>
    <t>ALFONSO ESTEPA NUBIA ROCIO</t>
  </si>
  <si>
    <t>TOPIA BOHADA  YOHANA ANDREA</t>
  </si>
  <si>
    <t>FLOREZ BECERRA DORA PATRICIA</t>
  </si>
  <si>
    <t>AVILA MORALES DIANA CAROLINA</t>
  </si>
  <si>
    <t>VEGA CRISTANCHO ERIKA BERTINA</t>
  </si>
  <si>
    <t>MONTERO GOMEZ VANESSA VIVIANA</t>
  </si>
  <si>
    <t xml:space="preserve">GUEVARA SILVA CATHERINE </t>
  </si>
  <si>
    <t>TORRES CORREDOR MAGDA MILENA</t>
  </si>
  <si>
    <t>EDY ROCIO CELY BERDUGO</t>
  </si>
  <si>
    <t>CARRILLO RAMIREZ DIANA PAOLA</t>
  </si>
  <si>
    <t>ARGUELLO OROZCO MARIA DEBORA</t>
  </si>
  <si>
    <t>BARRERA GARCIA NERYETH YESENIA</t>
  </si>
  <si>
    <t>MEJIA ALFONSO SULMA ESPERANZA</t>
  </si>
  <si>
    <t>BERNAL . GLORIA MARLENY</t>
  </si>
  <si>
    <t xml:space="preserve">SANTOS  YOLIMA </t>
  </si>
  <si>
    <t>CRUZ RUEDA NOHORA PATRICIA</t>
  </si>
  <si>
    <t>PORRAS PARADA JOHANA MARISOL</t>
  </si>
  <si>
    <t>MESA SILVA YEIMY YULIETH</t>
  </si>
  <si>
    <t>ORDUZ OCHOA DEISSY YAMILE</t>
  </si>
  <si>
    <t>MONEVAR DAZA ANGELA PATRICIA</t>
  </si>
  <si>
    <t>RAVELO CARVAJAL MARIA DEL CARMEN</t>
  </si>
  <si>
    <t>MERCHAN DOCTOR CLAUDIA BERNARDA</t>
  </si>
  <si>
    <t>TIRIA TIRIA SONIA CONSTANZA</t>
  </si>
  <si>
    <t>CHAPARRO NITOLA SANDRA MILENA</t>
  </si>
  <si>
    <t>PEREZ GONZALEZ DIANA .</t>
  </si>
  <si>
    <t>DIAZ ABRIL LEIDY MILENA</t>
  </si>
  <si>
    <t>ROMERO PABON ADRIANA MARIELA</t>
  </si>
  <si>
    <t>HIGUERA BOTIA ANA MILENA</t>
  </si>
  <si>
    <t xml:space="preserve">GOYENECHE CAMARGO CATALINA </t>
  </si>
  <si>
    <t xml:space="preserve">FONSECA RAMIREZ DIANA </t>
  </si>
  <si>
    <t>NIÑO DIAZ ANGELA MARIA</t>
  </si>
  <si>
    <t>PINTO QUEMBA MAGDA PAULINA</t>
  </si>
  <si>
    <t>SANTOS CASTELLANOS SANDRA MILENA</t>
  </si>
  <si>
    <t>OSTOS MEDINA DIANA NOELIA</t>
  </si>
  <si>
    <t>CARDENAS VALDERRAMA ADRIANA MARCELA</t>
  </si>
  <si>
    <t>MARQUEZ ESPEJO LIDA VIVIANA</t>
  </si>
  <si>
    <t>AGUILAR TOPIA VIVIANA YANETH</t>
  </si>
  <si>
    <t>CASTELLANOS BAUTISTA MARIA CLAUDIA</t>
  </si>
  <si>
    <t>PIÑA TOBO IRMA CECILIA</t>
  </si>
  <si>
    <t>NIÑO RINCON CLAUDIA YOBELY</t>
  </si>
  <si>
    <t>DIAZ BECERRA MARIA CRISTINA</t>
  </si>
  <si>
    <t>TORRES PEDROZA YUDY ISABEL</t>
  </si>
  <si>
    <t>CUADRADO SUAREZ ANA VITALIA</t>
  </si>
  <si>
    <t>MORALES MORALES SONIA ELIZABETH</t>
  </si>
  <si>
    <t>PEREZ MARTINEZ DIANA CAROLINA</t>
  </si>
  <si>
    <t>VALDERRAMA BARRERA NANCY CAROLINA</t>
  </si>
  <si>
    <t xml:space="preserve">CRISTANCHO MURILLO MARLEN </t>
  </si>
  <si>
    <t>RODRIGUEZ BECERRA RUTH ANDREA</t>
  </si>
  <si>
    <t xml:space="preserve">LOPEZ NINO YOLANDA </t>
  </si>
  <si>
    <t>NUNCIRA ARAQUE YULI ANDREA</t>
  </si>
  <si>
    <t xml:space="preserve">BALAGUERA SOLANO LILIANA </t>
  </si>
  <si>
    <t>ACEVEDO SOCHA MAIRA YULY</t>
  </si>
  <si>
    <t>TORRES MERCHAN ANGELA YAMILE</t>
  </si>
  <si>
    <t xml:space="preserve">BOLIVAR MOLANO VIRGINIA </t>
  </si>
  <si>
    <t>BAQUERO LARROTTA YEYCI YURANY</t>
  </si>
  <si>
    <t>ALARCON MOLINA JOHANA PAOLA</t>
  </si>
  <si>
    <t>MEDINA BOTIA NANCY VIVIANA</t>
  </si>
  <si>
    <t>LOPEZ CALDERON YENNY VIVIANA</t>
  </si>
  <si>
    <t>BECERRA PUERTO JENY EDELMIRA</t>
  </si>
  <si>
    <t>CARVAJAL SALAMANCA DUPERLY CAROLINA</t>
  </si>
  <si>
    <t>NINO CEPEDA DERLY ALEJANDRA</t>
  </si>
  <si>
    <t>FLOREZ PATARROYO DIANA CAROLINA</t>
  </si>
  <si>
    <t>ESPITIA CAMARGO JOHAIRA XIMENA</t>
  </si>
  <si>
    <t>CAMARGO ZABALA YOHANA MILENA</t>
  </si>
  <si>
    <t xml:space="preserve">YAIRA  ROSANDI </t>
  </si>
  <si>
    <t>CARDENAS TORRES DIANA PATRICIA</t>
  </si>
  <si>
    <t xml:space="preserve">ALARCON PARADA ADIELA </t>
  </si>
  <si>
    <t xml:space="preserve">LILIANA  MERY </t>
  </si>
  <si>
    <t>PENAGOS CHAPARRO NORMA AZUCENA</t>
  </si>
  <si>
    <t>ALBARRACIN BOHORQUEZ YULIET KATERINE</t>
  </si>
  <si>
    <t>SANDOVAL  MARGIE CAROLINA</t>
  </si>
  <si>
    <t xml:space="preserve">BECERRA  SUSANA </t>
  </si>
  <si>
    <t>CAMARGO MEDINA ANGELA ANDREA</t>
  </si>
  <si>
    <t>AVELLA TORRES YENNY LEONOR</t>
  </si>
  <si>
    <t>CHAPARRO CONTRERAS PILAR DEL</t>
  </si>
  <si>
    <t>ESPITIA MARQUEZ MAGDA LIDA</t>
  </si>
  <si>
    <t>CABRA PINTO NANCY MERCEDES</t>
  </si>
  <si>
    <t>NAVARRO RIVERA ANGIE CAROLINA</t>
  </si>
  <si>
    <t xml:space="preserve">QUIJANO SISA CLAUDIA </t>
  </si>
  <si>
    <t>FORERO AVELLANEDA HILDA LILIANA</t>
  </si>
  <si>
    <t>GRANADOS BERDUGO MARIA CLARA</t>
  </si>
  <si>
    <t>CHAPARRO ARIAS NANCY YANNETH</t>
  </si>
  <si>
    <t>GUERRERO CUSPOCA DIANA CONSTANZA</t>
  </si>
  <si>
    <t>BECERRA CORREDOR JENNY JOHANA</t>
  </si>
  <si>
    <t>RIVERA DURAN VIVIANA ANDREA</t>
  </si>
  <si>
    <t>PENA DAVILA LIBIA PAOLA</t>
  </si>
  <si>
    <t>PUERTO GARCIA ADRIANA CAROLINA</t>
  </si>
  <si>
    <t>VILLATE RICAURTE AMANDA PATRICIA</t>
  </si>
  <si>
    <t>CEPEDA BARRERA MARIA FERNANDA</t>
  </si>
  <si>
    <t>BERNAL ALFONSO LIBIA JOHANA</t>
  </si>
  <si>
    <t>TOBITO COTACHIRA GINA ESMERALDA</t>
  </si>
  <si>
    <t>TAMARA CUERVO LIDA STELLA</t>
  </si>
  <si>
    <t>OLIVEROS SUAREZ OLGA MAYERLY</t>
  </si>
  <si>
    <t>PACHECO LOPEZ JULY ANDREA</t>
  </si>
  <si>
    <t>VARGAS COGOLLO LIDA MARGARITA</t>
  </si>
  <si>
    <t>TORRES AGUILLON ANGELA PATRICIA</t>
  </si>
  <si>
    <t>AVILA MAYORGA LINA MILENA</t>
  </si>
  <si>
    <t>RINCON SOLANO LUZ EDITH</t>
  </si>
  <si>
    <t>RICO MORALES LUZ MERY</t>
  </si>
  <si>
    <t>GARNICA GARNICA ROCIO MARCELA</t>
  </si>
  <si>
    <t>LEON MARQUEZ ELCY FABIOLA</t>
  </si>
  <si>
    <t xml:space="preserve">OLIVARES OLIVARES OMAIRA </t>
  </si>
  <si>
    <t>CONTRERAS FLECHAS LUZ ELENA</t>
  </si>
  <si>
    <t>ARIAS MORALES INES VIVIANA</t>
  </si>
  <si>
    <t>MORALES TORRES SANDRA JINNETTE</t>
  </si>
  <si>
    <t>SANTOS BECERRA LUZ AMANDA</t>
  </si>
  <si>
    <t xml:space="preserve">CABRA SOSA SANDRA </t>
  </si>
  <si>
    <t>AGREDO CORREA NIDIA ROCIO</t>
  </si>
  <si>
    <t xml:space="preserve">CAMARGO TIBOCHA ROSANA </t>
  </si>
  <si>
    <t>GOMEZ MARTINEZ SANDRA LILIANA</t>
  </si>
  <si>
    <t>FANDIÑO RODRIGUEZ NELLY ANDREA</t>
  </si>
  <si>
    <t>GRANADOS MARIÑO LUISA ROCIO</t>
  </si>
  <si>
    <t xml:space="preserve">BALCERO  VIVIANA </t>
  </si>
  <si>
    <t>GOMEZ TIRIA BLANCA EVELYN</t>
  </si>
  <si>
    <t>MALDONADO CORREA PILAR DEL</t>
  </si>
  <si>
    <t xml:space="preserve">NINO PAIPILLA NUBIA </t>
  </si>
  <si>
    <t xml:space="preserve">VEGA OJEDA KARINA </t>
  </si>
  <si>
    <t>CUERVO CANO YENNY CAROLINA</t>
  </si>
  <si>
    <t>CRISTANCHO GUZMAN FANNY SOFIA</t>
  </si>
  <si>
    <t>MARIÑO COLMENARES CLAUDIA MARITZA</t>
  </si>
  <si>
    <t>MARTINEZ MARTINEZ BLANCA LEONOR</t>
  </si>
  <si>
    <t>NOHORA CATALINA PEREZ NIÑO</t>
  </si>
  <si>
    <t xml:space="preserve">FONSECA HIGUEREA ELIZABETH </t>
  </si>
  <si>
    <t>JIMENEZ PUERTO SANDRA MILENA</t>
  </si>
  <si>
    <t>CAMACHO RODRIGUEZ MYRIAN YOLANDA</t>
  </si>
  <si>
    <t>ACERO ACERO NANCY YOLIMA</t>
  </si>
  <si>
    <t>RINCON  PAOLA ANDREA</t>
  </si>
  <si>
    <t>GUARIN TORRES YENNY CONSUELO</t>
  </si>
  <si>
    <t>SOLEDAD SOLEDAD CLARA YESENIA</t>
  </si>
  <si>
    <t>HERNANDEZ NINO LEIDY MAYERLY</t>
  </si>
  <si>
    <t>TAMAYO ACEVEDO LUCY YURANNY</t>
  </si>
  <si>
    <t>REYES CAMARGO ERIKA ANDREA</t>
  </si>
  <si>
    <t>GONZALEZ DURAN VIVIANA CATALINA</t>
  </si>
  <si>
    <t xml:space="preserve">GONZALEZ  ANDREA </t>
  </si>
  <si>
    <t>PARRA MESA CLAUDIA EMILCE</t>
  </si>
  <si>
    <t>PRIETO SOLANO CLAUDIA VIVIANA</t>
  </si>
  <si>
    <t>ARENAS NIÑO ADRIANA DEL</t>
  </si>
  <si>
    <t>CORONADO SUAREZ ELIANA ZORAIDA</t>
  </si>
  <si>
    <t>ROJAS VARGAS LEYDA MARCELA</t>
  </si>
  <si>
    <t xml:space="preserve">RODRIGUEZ SUA  GLORIA ESPERANZA </t>
  </si>
  <si>
    <t>PEÑA CRISTANCHO MARIA ANGELINA</t>
  </si>
  <si>
    <t>CAMACHO ALFONSO DERLY JOHANA</t>
  </si>
  <si>
    <t>CASTELLANOS GUTIERREZ MYRIAM CRISTINA</t>
  </si>
  <si>
    <t xml:space="preserve">ENGATIVA TOLEDO BARBARA </t>
  </si>
  <si>
    <t>GONZALEZ BOADA LIDIA JANNETH</t>
  </si>
  <si>
    <t>ESTEPA MANRIQUE ADRIANA PATRICIA</t>
  </si>
  <si>
    <t>CARDENAS CONTRERAS LUZ MIRIAM</t>
  </si>
  <si>
    <t>MARQUEZ GARCIA DIANA ASTRID</t>
  </si>
  <si>
    <t>CARREÑO VAQUERO AMARIS YASMIN</t>
  </si>
  <si>
    <t>PALENCIA AYALA ANA FABIOLA</t>
  </si>
  <si>
    <t>CELY MEDINA YULY ANDREA</t>
  </si>
  <si>
    <t xml:space="preserve">TORRES  YORMARY </t>
  </si>
  <si>
    <t>MUNAR CUTA JENNY VERONICA</t>
  </si>
  <si>
    <t xml:space="preserve">GONZALEZ GOMEZ DELIA </t>
  </si>
  <si>
    <t>GALEON PAEZ MARIA YANETH</t>
  </si>
  <si>
    <t>GAVIRIA CRISTANCHO INGRID MILENA</t>
  </si>
  <si>
    <t xml:space="preserve">RINCON WALTEROS YEINY </t>
  </si>
  <si>
    <t xml:space="preserve">SALCEDO OCHICA NOELIA </t>
  </si>
  <si>
    <t>CASTRO PINEDA LILIANA ANDREA</t>
  </si>
  <si>
    <t>PRECIADO GONZALEZ MONICA ANDREA</t>
  </si>
  <si>
    <t>BAEZ OLARTE DIANA PATRICIA</t>
  </si>
  <si>
    <t>VARON MORENO ERIKA ANDREA</t>
  </si>
  <si>
    <t>GAMBOA REYES NANCY ASMIRA</t>
  </si>
  <si>
    <t>VALDERRAMA RODRIGUEZ SANDRA ROCIO</t>
  </si>
  <si>
    <t>PINEDA PAIPA DIANA PILAR</t>
  </si>
  <si>
    <t xml:space="preserve">MILENA  ANA </t>
  </si>
  <si>
    <t>MONTAÑA MONTAÑA SONIA LILIANA</t>
  </si>
  <si>
    <t>DIAZ LOZANO DIANA CAROLINA</t>
  </si>
  <si>
    <t>NIÑO SALAMANCA MAIRA YENIFER</t>
  </si>
  <si>
    <t xml:space="preserve">MATEUS  CATALINA </t>
  </si>
  <si>
    <t>AVELLANEDA AVELLANED DEISY YORLADY</t>
  </si>
  <si>
    <t>SISSA MARTINEZ DIANA CAROLINA</t>
  </si>
  <si>
    <t>AGUDELO GOMEZ LINA CONSTANZA</t>
  </si>
  <si>
    <t>PEDRAZA DUENAS MYRIAM EMILCE</t>
  </si>
  <si>
    <t>OROZCO MORA FLOR NAZLY</t>
  </si>
  <si>
    <t>PARADA ALBA DIANA DEYANIRA</t>
  </si>
  <si>
    <t>ARENAS NIÑO FLOR ANGELA</t>
  </si>
  <si>
    <t>GALINDO ROJAS DIANA CAROLINA</t>
  </si>
  <si>
    <t>LOPEZ SANCHEZ ZULMA HASBLEIDY</t>
  </si>
  <si>
    <t>PEREZ FUENTES MONICA VIVIANA</t>
  </si>
  <si>
    <t xml:space="preserve">PERALTA  JENNY </t>
  </si>
  <si>
    <t>CASTRO RONDEROS VIVIANA CAROLINA</t>
  </si>
  <si>
    <t>DAZA HERRERA ROCIO DEL PILAR</t>
  </si>
  <si>
    <t>ESPINDOLA PEREZ LILIANA MARIA</t>
  </si>
  <si>
    <t>COY  MARITZA PINZON</t>
  </si>
  <si>
    <t>MORALES SOSA JOHANA LISSETTE</t>
  </si>
  <si>
    <t>TRISTANCHO ORTIZ LIDA CONSTANZA</t>
  </si>
  <si>
    <t>CAMARGO  FRANCY ARASMIL</t>
  </si>
  <si>
    <t>AGUILAR LOZANO NANCY YURANI</t>
  </si>
  <si>
    <t>HIGUERA BOTIA LUDI MARLEN</t>
  </si>
  <si>
    <t>CORREA GONZALEZ LESLY JOHANNA</t>
  </si>
  <si>
    <t>CICERI NIÑO DOLLY YOLIMA</t>
  </si>
  <si>
    <t>COY CASTIBLANCO DIANA CAROLINA</t>
  </si>
  <si>
    <t>GARCIA SALAMANCA ANGELA VIVIANA</t>
  </si>
  <si>
    <t xml:space="preserve">STELLA  LUZ </t>
  </si>
  <si>
    <t>NIÑO ROMERO EVELINE LILIANA</t>
  </si>
  <si>
    <t>RIANO GORDILLO LISETT ANDREA</t>
  </si>
  <si>
    <t>VELANDIA TORRES SONIA ROCIO</t>
  </si>
  <si>
    <t>GOMEZ BARRERA MARIA MABEL</t>
  </si>
  <si>
    <t xml:space="preserve">MOLANO OCHOA  YULI ALEXANDRA </t>
  </si>
  <si>
    <t xml:space="preserve">LORENA  KAREN </t>
  </si>
  <si>
    <t>PARRA GRANADOS ANDREA DEL PILAR</t>
  </si>
  <si>
    <t>ROMERO COLMENARES DIANA ROCIO</t>
  </si>
  <si>
    <t>SEQUERA CUY MARIA XIMENA</t>
  </si>
  <si>
    <t xml:space="preserve">ANDREA MANOSALVA MILENA </t>
  </si>
  <si>
    <t>GOMEZ RINCON DEISSY MILENA</t>
  </si>
  <si>
    <t>PEREZ CARVAJAL LUZ JAZMINE</t>
  </si>
  <si>
    <t>CEPEDA NIÑO HEIMI PATRICIA</t>
  </si>
  <si>
    <t>DELGADO ALDANA MONICA CLARENA</t>
  </si>
  <si>
    <t>GOMEZ FONSECA VIVIANA MARCELA</t>
  </si>
  <si>
    <t>BLANCO LOPEZ NELLY MARITZA</t>
  </si>
  <si>
    <t>OLIVEROS GOMEZ AURA NELLY</t>
  </si>
  <si>
    <t>SOSA GONZALEZ FANNY YOLANDA</t>
  </si>
  <si>
    <t>OLIVEROS MESA YENNY FABIOLA</t>
  </si>
  <si>
    <t xml:space="preserve">HERRERA  YADIRA </t>
  </si>
  <si>
    <t>IZAQUITA  YENNY CAROLINA</t>
  </si>
  <si>
    <t xml:space="preserve">SUAREZ BENITEZ ALICIA </t>
  </si>
  <si>
    <t xml:space="preserve">RIVERA  ZORAIDA </t>
  </si>
  <si>
    <t>LEON MESA DIANA EVELSY</t>
  </si>
  <si>
    <t xml:space="preserve">FLOREZ HERNANDEZ GINETTE </t>
  </si>
  <si>
    <t>ACEVEDO CASTRO LUZ AYDA</t>
  </si>
  <si>
    <t>CERON ALVAREZ DIANA CAROLINA</t>
  </si>
  <si>
    <t>NIÑO SALAMANCA DIANA MARCELA</t>
  </si>
  <si>
    <t>BENAVIDES RUIZ HENNI CAMILA</t>
  </si>
  <si>
    <t>MANRIQUE LARA MICHELLE KATHERYN</t>
  </si>
  <si>
    <t>GONZALEZ MERCHAN YENY LORENA</t>
  </si>
  <si>
    <t>PINEDA CABRA CLAUDIA RUBIELA</t>
  </si>
  <si>
    <t xml:space="preserve">PESCA  AHIDA </t>
  </si>
  <si>
    <t>PUERTO ROJAS MARIA PAOLA</t>
  </si>
  <si>
    <t>ALEIDA  GLADYS ANGARITA</t>
  </si>
  <si>
    <t>NAUSA SALAMANCA NATALIA SABRINA</t>
  </si>
  <si>
    <t>RINCON NUÑEZ PAOLA MARITZA</t>
  </si>
  <si>
    <t xml:space="preserve">BUSTAMANTE . PILAR </t>
  </si>
  <si>
    <t>CUTA CASTRO NANCY LILIANA</t>
  </si>
  <si>
    <t>CHAPARRO ESTUPIÑAN HEIDY NATALIA</t>
  </si>
  <si>
    <t>FUENTES TORRES MARIA DEL CARMEN</t>
  </si>
  <si>
    <t>CHINOME PEDRAZA LILIANA ANDREA</t>
  </si>
  <si>
    <t>ALARCON HOLGUIN CLAUDIA JIMELA</t>
  </si>
  <si>
    <t>VARGAS CASTRO FRANCY CELINA</t>
  </si>
  <si>
    <t>TORRES RATIVA SANDRA PATRICIA</t>
  </si>
  <si>
    <t>CARDENAS PEREZ ALBA RUTH</t>
  </si>
  <si>
    <t xml:space="preserve">OVIEDO  ELSA </t>
  </si>
  <si>
    <t xml:space="preserve">BLANCO BERMUDEZ LILIANA </t>
  </si>
  <si>
    <t xml:space="preserve">CUY MOTTA  EMILCE </t>
  </si>
  <si>
    <t>BOHORQUEZ TORRES NELLY JOHANNA</t>
  </si>
  <si>
    <t xml:space="preserve">YARIDE  DIANA </t>
  </si>
  <si>
    <t xml:space="preserve">BONILLA  VIVIANA </t>
  </si>
  <si>
    <t>GONZALEZ DIAZ CLAUDIA PATRICIA</t>
  </si>
  <si>
    <t>FONSECA AGUDELO LEIDY MELANI</t>
  </si>
  <si>
    <t xml:space="preserve">SUAREZ TARAZONA MARILY </t>
  </si>
  <si>
    <t>CAMARGO ALFONSO CLAUDIA PATRICIA</t>
  </si>
  <si>
    <t>GOMEZ PULIDO MONICA LORENA</t>
  </si>
  <si>
    <t>PITA PIZA ANDREA TATIANA</t>
  </si>
  <si>
    <t>DIAZ SOCHA DIANA ELIZABETH</t>
  </si>
  <si>
    <t>TIRIA MARTINEZ NANCY MILENA</t>
  </si>
  <si>
    <t>TORRES CENDALES FANNY LISET</t>
  </si>
  <si>
    <t xml:space="preserve">GUARIN  NATALY </t>
  </si>
  <si>
    <t xml:space="preserve">PANQUEVA LOPEZ  ROSA MILENA </t>
  </si>
  <si>
    <t>PINZON MEDRANO ADRIANA MARIA</t>
  </si>
  <si>
    <t>VARGAS SALCEDO SANDRA MILENA</t>
  </si>
  <si>
    <t>FAGUA GARCIA MARIA FERNANDA</t>
  </si>
  <si>
    <t>DURAN JIMENEZ MARTHA PATRICIA</t>
  </si>
  <si>
    <t>PEREZ LOPEZ YENY ROCIO</t>
  </si>
  <si>
    <t>BOTIA PENA LEIDY JOHANA</t>
  </si>
  <si>
    <t>MORENO NINO DIANA CAROLINA</t>
  </si>
  <si>
    <t>CL 1 23_58 GOMEZ ADRIANA MARGARITA</t>
  </si>
  <si>
    <t>CARRILLO ARIAS SLLEY MAHOLY</t>
  </si>
  <si>
    <t>CASTILLO  ANGELA PATRICIA</t>
  </si>
  <si>
    <t>CELY CRISTANCHO LUZ ADRIANA</t>
  </si>
  <si>
    <t>TORRES PAIPA DIANA MARCELA</t>
  </si>
  <si>
    <t>CARDENAS AMADO DIANA MARCELA</t>
  </si>
  <si>
    <t>MOLANO NITOLA LEYDY VIVIANA</t>
  </si>
  <si>
    <t xml:space="preserve">MORA ROJAS YANET </t>
  </si>
  <si>
    <t>CASTRO NITOLA DERLLY BEATRIZ</t>
  </si>
  <si>
    <t xml:space="preserve">PEREA . SONIA </t>
  </si>
  <si>
    <t>ALBA RODRIGUEZ MONICA JOHANNA</t>
  </si>
  <si>
    <t>OROZCO GARCIA MAGDA YANETH</t>
  </si>
  <si>
    <t>YENNY PAOLA PINZON ALVAREZ</t>
  </si>
  <si>
    <t xml:space="preserve">MORA ROJAS CLAUDIA </t>
  </si>
  <si>
    <t>BAUTISTA VARGAS MARIA FERNANDA</t>
  </si>
  <si>
    <t>MORENO DURAN LEIDY GEOVANNA</t>
  </si>
  <si>
    <t>GARCIA RODRIGUEZ CLARA YULIED</t>
  </si>
  <si>
    <t>ULLOA TORRES SANDRA PATRICIA</t>
  </si>
  <si>
    <t>CABRA PINTO ALIX AMANDA</t>
  </si>
  <si>
    <t>ESTUPIÑAN  ANA CONSTANZA</t>
  </si>
  <si>
    <t>ORTIZ BARON YENNY ASTRID</t>
  </si>
  <si>
    <t>CAMARGO IBAÑEZ MONICA JULIETH</t>
  </si>
  <si>
    <t>SIERRA BARRIOS VIVIANA PAOLA</t>
  </si>
  <si>
    <t>FERRUCHO RODRIGUEZ MERY YANNETH</t>
  </si>
  <si>
    <t>GUERRERO ZAPATA ERIKA VIVIANA</t>
  </si>
  <si>
    <t>ALVAREZ PARRA DEISY YORLADY</t>
  </si>
  <si>
    <t xml:space="preserve">DIAZ DIAZ ESPERANZA </t>
  </si>
  <si>
    <t>RODRIGUEZ MARTINEZ ANGELA FERNANDA</t>
  </si>
  <si>
    <t xml:space="preserve">TRIANA TRIANA  HIDALY </t>
  </si>
  <si>
    <t>NEIRA ALVAREZ MAYERLY BEATRIZ</t>
  </si>
  <si>
    <t>ACERO RIVERA ANA YIBE</t>
  </si>
  <si>
    <t>ZARABANDA BARON NELLY MARCELA</t>
  </si>
  <si>
    <t>HIGUERA OCHOA YEIMY ALEJANDRA</t>
  </si>
  <si>
    <t>LOPEZ CARVAJAL NANCY HELENA</t>
  </si>
  <si>
    <t>NUNCIRA ARAQUE LEIDY MIREYA</t>
  </si>
  <si>
    <t>RODRIGUEZ HERRERA NANCY ROCIO</t>
  </si>
  <si>
    <t>YURY YAZMINE OCHOA PATARROYO</t>
  </si>
  <si>
    <t>CELY SALAMANCA NYDIA YURANY</t>
  </si>
  <si>
    <t>PEREZ CASTAÑEDA VICTORIA ANDREA</t>
  </si>
  <si>
    <t xml:space="preserve">RIVILLAS  LEIDY </t>
  </si>
  <si>
    <t>MONTAÑEZ JOYA YOHANNA MILENA</t>
  </si>
  <si>
    <t>BLANCO LOPEZ YEIMY CATALINE</t>
  </si>
  <si>
    <t>AGUDELO SANCHEZ NUBIA EDITH</t>
  </si>
  <si>
    <t>TIBADUIZA CASTRO DIANA MILENA</t>
  </si>
  <si>
    <t>MORALES SOSA ADRIANA PATRICIA</t>
  </si>
  <si>
    <t>VIVAS MOLANO YEIME ANDREA</t>
  </si>
  <si>
    <t>MANOSALVA PEREZ JOHANNA DEL PILAR</t>
  </si>
  <si>
    <t xml:space="preserve">SALAMANCA ORDONEZ MAGALY </t>
  </si>
  <si>
    <t>RAMIREZ HERNANDEZ MARIA CAMILA</t>
  </si>
  <si>
    <t xml:space="preserve">SOLANO CAMARGO ANDREA </t>
  </si>
  <si>
    <t xml:space="preserve">CAMARGO BECERRA SENAIDA </t>
  </si>
  <si>
    <t>SARMIENTO RAVELO MARIA ANGELICA</t>
  </si>
  <si>
    <t>SALAMANCA CARVAJAL YENY CAROLINA</t>
  </si>
  <si>
    <t>MONTAÑA CORREA VIVIANA ALEJANDRA</t>
  </si>
  <si>
    <t>FLECHAS SUAREZ SANDRA LILIANA</t>
  </si>
  <si>
    <t>SUAREZ SOCADAGUI DIANA CAROLINA</t>
  </si>
  <si>
    <t>SOTO TORRES DIANA FABIOLA</t>
  </si>
  <si>
    <t>ACEVEDO PARRA LUZ ESPERANZA</t>
  </si>
  <si>
    <t>PESCA SILVA KAREN VIVIANA</t>
  </si>
  <si>
    <t>RIOS VARGAS ANGELA PASTORA</t>
  </si>
  <si>
    <t xml:space="preserve">NELLY  LUZ </t>
  </si>
  <si>
    <t>MOLANO RINCON NATALIA CONSTANZA</t>
  </si>
  <si>
    <t>CLAVIJO BELTRAN PAOLA ANDREA</t>
  </si>
  <si>
    <t>ALVAREZ TORRES NIDYA YOHANA</t>
  </si>
  <si>
    <t>PEDRAZA RIVERA AMANDA YADIRA</t>
  </si>
  <si>
    <t>CAMACHO MESA DOLLY CAROLINA</t>
  </si>
  <si>
    <t xml:space="preserve">GOMEZ TIRIA EMILCEN </t>
  </si>
  <si>
    <t>ROJAS GUARIN ERICA GICELA</t>
  </si>
  <si>
    <t>Boada SALAMANCA Lina DAYANA</t>
  </si>
  <si>
    <t>VASQUEZ GARCIA LUZ MARINA</t>
  </si>
  <si>
    <t>SANABRIA LAGOS DIANA MARCELA</t>
  </si>
  <si>
    <t>DUENAS VALDERRAMA ANA SILVIA</t>
  </si>
  <si>
    <t xml:space="preserve">SALAS LEAL LEILA </t>
  </si>
  <si>
    <t xml:space="preserve">MONTOYA  LUCELLY </t>
  </si>
  <si>
    <t>GUEVARA NOY MARIA DOMINGA</t>
  </si>
  <si>
    <t xml:space="preserve">SILVA BRICEÑO ROMELIA </t>
  </si>
  <si>
    <t xml:space="preserve">RIAÑO BECERRE  DORA ESTELA </t>
  </si>
  <si>
    <t>BAEZ CASTRO LINA ROSA</t>
  </si>
  <si>
    <t>MURILLO  BLANCA MYRIAM</t>
  </si>
  <si>
    <t>MERCHAN . ROSARIO DEL</t>
  </si>
  <si>
    <t>CAMARGO NIÑO ANA ISABEL</t>
  </si>
  <si>
    <t xml:space="preserve">PATRICIA  ANGELA </t>
  </si>
  <si>
    <t>RUDA CACERES MARIA SERAFINA</t>
  </si>
  <si>
    <t xml:space="preserve">MARTINEZ CEPEDA ELIZABETH </t>
  </si>
  <si>
    <t>DURAN TORRES MARIA EDILCE</t>
  </si>
  <si>
    <t>NAYIBE ROJAS MANOSALVA EDELMIRA</t>
  </si>
  <si>
    <t>CASTRO ZAPATA MARTHA LUCIA</t>
  </si>
  <si>
    <t>RATIVA VELANDIA BLANCA NELLY</t>
  </si>
  <si>
    <t>MESA MESA OLGA DEL CARMEN</t>
  </si>
  <si>
    <t>ELISA  AURA ELISA</t>
  </si>
  <si>
    <t xml:space="preserve">CORREA CARREÑO FANNY </t>
  </si>
  <si>
    <t>QUIJANO FAJARDO LUZ MERY</t>
  </si>
  <si>
    <t xml:space="preserve">ADAME SUAREZ ESPERANZA </t>
  </si>
  <si>
    <t>PRECIADO LOPEZ MARIA LUISA</t>
  </si>
  <si>
    <t>MUNEVAR BECERRA NUBIA DEL CARMEN</t>
  </si>
  <si>
    <t>CALDERON FARIAS MARIA DOLORES</t>
  </si>
  <si>
    <t xml:space="preserve">CORREDOR  AMPARO </t>
  </si>
  <si>
    <t xml:space="preserve">TORRES  EDITH </t>
  </si>
  <si>
    <t>ZARATE SOLANO LILIA CONSUELO</t>
  </si>
  <si>
    <t xml:space="preserve">FLECHAS SANSEBASTIAN FANNY </t>
  </si>
  <si>
    <t>SANCHEZ CAMARGO MARIA TERESA</t>
  </si>
  <si>
    <t xml:space="preserve">NUBIA  MARIA </t>
  </si>
  <si>
    <t>SANABRIA  ANA DELIA</t>
  </si>
  <si>
    <t>FAJARDO PLAZAS ELBA NUR</t>
  </si>
  <si>
    <t>SIERRA MEDINA MARIA EDITH</t>
  </si>
  <si>
    <t>GUARIN ROJAS MARIA STELLA</t>
  </si>
  <si>
    <t>BUITRAGO SANDOVAL MARTHA LUCIA</t>
  </si>
  <si>
    <t>CELY ROBLES MIRYAN INES</t>
  </si>
  <si>
    <t xml:space="preserve">TORRES  JAQUELINE </t>
  </si>
  <si>
    <t xml:space="preserve">PEDRAZA  ANGELA </t>
  </si>
  <si>
    <t>CORTES GALVIZ MIRYAM MARGOT</t>
  </si>
  <si>
    <t>RONCANCIO DIAZ MARIA EDELMIRA</t>
  </si>
  <si>
    <t xml:space="preserve">CRISTANCHO COMBITA  LUZ MARY </t>
  </si>
  <si>
    <t xml:space="preserve">LUCINDA  MARIA </t>
  </si>
  <si>
    <t>NEGRO TORRES TERESA ELVIRA</t>
  </si>
  <si>
    <t xml:space="preserve">FLECHAS CESPEDES FABIOLA </t>
  </si>
  <si>
    <t>ALVAREZ GOMEZ ANA VICTORIA</t>
  </si>
  <si>
    <t>CARDENAS LEON NUBIA IMELDA</t>
  </si>
  <si>
    <t xml:space="preserve">GARCIA AMAYA ROCIO </t>
  </si>
  <si>
    <t>MORALES FONSECA MARTHA CECILIA</t>
  </si>
  <si>
    <t>MEDINA TORRES MARTHA LUCIA</t>
  </si>
  <si>
    <t>SANDOVAL ROJAS YENY PASTORA</t>
  </si>
  <si>
    <t xml:space="preserve">SOLANO MARIÑO GILMA </t>
  </si>
  <si>
    <t>BARON CUADROS CARMEN DEL</t>
  </si>
  <si>
    <t>CELY BECERRA MARIA ELENA</t>
  </si>
  <si>
    <t>INFANTE RIAÑO NUBIA TERESA DE JESUS</t>
  </si>
  <si>
    <t xml:space="preserve">MARIA  ANA </t>
  </si>
  <si>
    <t>GOMEZ MEJIA BLANCA ESPERANZA</t>
  </si>
  <si>
    <t xml:space="preserve">CHACON AVELLA MARINA </t>
  </si>
  <si>
    <t xml:space="preserve">ENCISO HOYOS POLICARPA </t>
  </si>
  <si>
    <t>SANCHEZ BERNAL OLGA LUCIA</t>
  </si>
  <si>
    <t>ALFONSO CAMACHO MARIA CELIA</t>
  </si>
  <si>
    <t xml:space="preserve">PUENTES  OLGA LUCIA </t>
  </si>
  <si>
    <t>OROZCO RUIZ MARTHA ISABEL</t>
  </si>
  <si>
    <t>CANO VALLEJO BLANCA OSIERIS</t>
  </si>
  <si>
    <t>PEREZ FONSECA BLANCA ALCIRA</t>
  </si>
  <si>
    <t>MEDINA  LUZ AMANDA</t>
  </si>
  <si>
    <t>GOMEZ HIGUERA LIBIA PAULINA</t>
  </si>
  <si>
    <t>FERNANDEZ CRUZ MARIA NELIA</t>
  </si>
  <si>
    <t>FONSECA RODRIGUEZ DORIS PATRICIA</t>
  </si>
  <si>
    <t xml:space="preserve">PUEBITO BOYACENCE  RUTH </t>
  </si>
  <si>
    <t>MORALES CELY LUZ MARITZA</t>
  </si>
  <si>
    <t>LEAL LEAL ELSA NUBIA</t>
  </si>
  <si>
    <t>RINCON VELOSA MARIA LUCILA</t>
  </si>
  <si>
    <t xml:space="preserve">LARA GARCIA  NIDIA ESPERANZA </t>
  </si>
  <si>
    <t>ZAMBRANO SALAMANCA LUZ ESMERALDA</t>
  </si>
  <si>
    <t xml:space="preserve">MEDINA CASTELLANOS  MARTHA YENY </t>
  </si>
  <si>
    <t>PEDRAZA REYES MARCIA LEONOR</t>
  </si>
  <si>
    <t>HIGUERA LOPEZ YADIRA YOLANDA</t>
  </si>
  <si>
    <t>CABRA VELOZA JULIA ROSA</t>
  </si>
  <si>
    <t>VARGAS RODRIGUEZ NOHORA ISABEL</t>
  </si>
  <si>
    <t>BECERRA CHAPARRO DORA ALICIA</t>
  </si>
  <si>
    <t>APARICIO APARICIO LUZ MARINA</t>
  </si>
  <si>
    <t>MATHEUS ROCHA INGRID CONSTANZA</t>
  </si>
  <si>
    <t>ORTIZ SANDOVAL NANCY JULIETA</t>
  </si>
  <si>
    <t xml:space="preserve">SILVA  FLOR </t>
  </si>
  <si>
    <t>TORRES HERNANDEZ ROSA MATILDE</t>
  </si>
  <si>
    <t>TORRES PEDRAZA ANA LUCIA</t>
  </si>
  <si>
    <t>ROBLES ACERO MARTHA CECILIA</t>
  </si>
  <si>
    <t xml:space="preserve">SEPEDA CRISTANCHO AIDEE </t>
  </si>
  <si>
    <t>ENCISO HOYOS LUZ ESTRELLA</t>
  </si>
  <si>
    <t>CAMARGO JOYA REMID CAROLINE</t>
  </si>
  <si>
    <t>VELANDIA PORRAS CARMEN DEL</t>
  </si>
  <si>
    <t>MARTINEZ CASTRO ANA YOLANDA</t>
  </si>
  <si>
    <t>VELANDIA CAMARGO ROSA ALICIA</t>
  </si>
  <si>
    <t xml:space="preserve">MARINO COLMENARES CONSUELO </t>
  </si>
  <si>
    <t>BARBOSA PRIETO CARMEN FELISA</t>
  </si>
  <si>
    <t>CASTRO VIVAS MARIA CONSUELO</t>
  </si>
  <si>
    <t>GUTIERREZ GOMEZ MYRIAM PATRICIA</t>
  </si>
  <si>
    <t>ROMERO  MARIA DOLORES</t>
  </si>
  <si>
    <t>BONILLA DAVILA MARTHA YANETH</t>
  </si>
  <si>
    <t>CAMARGO LEON BLANCA INES</t>
  </si>
  <si>
    <t xml:space="preserve">DIAZ  JANEDT </t>
  </si>
  <si>
    <t xml:space="preserve">ESTUPINAN ALBARRACIN ROSCIO </t>
  </si>
  <si>
    <t>GUERRERO GUAMAN GLORIA CECILIA</t>
  </si>
  <si>
    <t>AVELLA TAMAYO MARY LUZ</t>
  </si>
  <si>
    <t xml:space="preserve">VARGAS TORRES RUBIELA </t>
  </si>
  <si>
    <t>ROJAS SALAZAR MARIA MERY</t>
  </si>
  <si>
    <t>PEREZ GONZALEZ MARIA HERMELINA</t>
  </si>
  <si>
    <t>CELY BECERRA ANA MERCEDES</t>
  </si>
  <si>
    <t xml:space="preserve">NUVAN PUENTES SUSEL </t>
  </si>
  <si>
    <t>QUIROGA SALAMANCA NANCI STELLA</t>
  </si>
  <si>
    <t>RINCON CAMARGO MARIA ANTONIA</t>
  </si>
  <si>
    <t xml:space="preserve">CASTAÑEDA  GILMA </t>
  </si>
  <si>
    <t xml:space="preserve">CL 13 18 51 FLECHAS MARLENE </t>
  </si>
  <si>
    <t xml:space="preserve">POVEDA RIVEROS  BLANCA YANET </t>
  </si>
  <si>
    <t xml:space="preserve">SILVA PEREZ IRIALET </t>
  </si>
  <si>
    <t>PATARROYO FONSECA LUZ MERY</t>
  </si>
  <si>
    <t>DUITAMA CASTRO GLORIA NANCY</t>
  </si>
  <si>
    <t>MARTHA LUCIA ROZO AMAYA</t>
  </si>
  <si>
    <t>GOMEZ PARRA BLANCA AURORA</t>
  </si>
  <si>
    <t xml:space="preserve">FONSECA YANET ESPEJO </t>
  </si>
  <si>
    <t xml:space="preserve">CUEVAS MONTOYA NOHEMI </t>
  </si>
  <si>
    <t>TORRES LOPEZ JULIA ROSARIO</t>
  </si>
  <si>
    <t>DIAZ TIBADUIZA BLANCA MYRIAM</t>
  </si>
  <si>
    <t>LOPEZ MORALES FRANCY CONSUELO</t>
  </si>
  <si>
    <t>MEDINA CACERES GLORIA ESPERANZA</t>
  </si>
  <si>
    <t xml:space="preserve">VELANDIA VARGAS MARCIA </t>
  </si>
  <si>
    <t>SOLANO VALDERRAMA ANA BERENICE</t>
  </si>
  <si>
    <t>ZAMBRANO CORDOBA FLOR ESTELA</t>
  </si>
  <si>
    <t xml:space="preserve">LIZARAZO DAVILA ZARETH </t>
  </si>
  <si>
    <t xml:space="preserve">SORAIDA ZORAIDA ANA </t>
  </si>
  <si>
    <t>AVELLANEDA BARRERA MARIA ALIRIA</t>
  </si>
  <si>
    <t>SOLANO AVELLA MARIA EDITH</t>
  </si>
  <si>
    <t xml:space="preserve">SANDOVAL HERNANDEZ JANETH </t>
  </si>
  <si>
    <t>LEON GIL LUZ MILA</t>
  </si>
  <si>
    <t>MEJIA ADAME OLGA LUCIA</t>
  </si>
  <si>
    <t>MUÑOZ CARVAJAL ROSA AURA</t>
  </si>
  <si>
    <t>MACIAS LEGUIZAMON LIDA YAED</t>
  </si>
  <si>
    <t>CARDENAS CELY LUZ MIRYAM</t>
  </si>
  <si>
    <t>MARQUEZ FIGUEROA LILIANA PATRICIA</t>
  </si>
  <si>
    <t xml:space="preserve">MERCHAN VARGAS MARIA </t>
  </si>
  <si>
    <t>TORRES  FLOR MARINA</t>
  </si>
  <si>
    <t>FAJARDO PLAZAS ELSI NAHIR</t>
  </si>
  <si>
    <t>LOPEZ LOPEZ ANA LETICIA</t>
  </si>
  <si>
    <t xml:space="preserve">SANCHEZ PULIDO SORAIDA </t>
  </si>
  <si>
    <t>VELASCO GALLO NIEVES BELKY</t>
  </si>
  <si>
    <t>MARTINEZ MARTINEZ GLORIA NELCY</t>
  </si>
  <si>
    <t>GALLO ROJAS MARIA DEL CARMEN</t>
  </si>
  <si>
    <t>PARRA CAMARGO CLARA INES</t>
  </si>
  <si>
    <t>CORTES BAEZ OLGA LUCIA</t>
  </si>
  <si>
    <t>QUINTERO  FRANCY YAMILE</t>
  </si>
  <si>
    <t>CASTANEDA RIVERA ELVA CECILIA</t>
  </si>
  <si>
    <t xml:space="preserve">INFANTE RODRIGUEZ  JULIETTE </t>
  </si>
  <si>
    <t>COMBARIZA SANTA MARIA RITA ISABEL</t>
  </si>
  <si>
    <t>NUNCIRA VALDERRAMA MARIA ESPERANZA</t>
  </si>
  <si>
    <t xml:space="preserve">PARDO  NELLY </t>
  </si>
  <si>
    <t>DIAZ SOLANO MARTHA LUCIA</t>
  </si>
  <si>
    <t xml:space="preserve">PEREZ FONSECA ROSALBA </t>
  </si>
  <si>
    <t>SARMIENTO ESTUPIÑAN AURA ROSA</t>
  </si>
  <si>
    <t xml:space="preserve">SIMBAQUEVA RIVERA MARIELA </t>
  </si>
  <si>
    <t>TABACO CORREA BLANCA LEONOR</t>
  </si>
  <si>
    <t>SERRANO AGUDELO CLAUDIA JANNETH</t>
  </si>
  <si>
    <t xml:space="preserve">CHIQUILLO ACERO  MONICA </t>
  </si>
  <si>
    <t>CELY CALA CARMEN ROSA</t>
  </si>
  <si>
    <t xml:space="preserve">TELLEZ FERNANDEZ CLEOTILDE </t>
  </si>
  <si>
    <t>CR 53G 5A 83 3002224939 ANA MARIA</t>
  </si>
  <si>
    <t>GUEVARA CHIRIVI LUZ MERU</t>
  </si>
  <si>
    <t>CASTRO PANQUEBA LIDA ELSY</t>
  </si>
  <si>
    <t xml:space="preserve">RIAÑO TIRIA ELIZABETY </t>
  </si>
  <si>
    <t>HIGUERA ROMERO MARTHA CECILIA</t>
  </si>
  <si>
    <t xml:space="preserve">MORENO AVELLA IMBRADA </t>
  </si>
  <si>
    <t>BARRERA DIAZ MARIA ESTELA</t>
  </si>
  <si>
    <t xml:space="preserve">CORDOBA SISSA  YOLANDA </t>
  </si>
  <si>
    <t>FERNANDEZ CALDERON SONIA MABEL</t>
  </si>
  <si>
    <t>PEREZ  NELLY PATRICIA</t>
  </si>
  <si>
    <t>MORENO DIAZ DORA JACQUELINE</t>
  </si>
  <si>
    <t xml:space="preserve">ROSAS MARIN  TULIA BENILDA </t>
  </si>
  <si>
    <t>GALINDO PITA MARTHA ESPERANZA</t>
  </si>
  <si>
    <t xml:space="preserve">VALCARCEL ZUÑIGA ROSMIRA </t>
  </si>
  <si>
    <t xml:space="preserve">PITA MORENO MARILUZ </t>
  </si>
  <si>
    <t>BONILLA  MARTHA LUZ</t>
  </si>
  <si>
    <t>REY CASTRO MARIA EUGENIA</t>
  </si>
  <si>
    <t xml:space="preserve">ABELLA PARADA  MARIA CONSUELO </t>
  </si>
  <si>
    <t xml:space="preserve">RODRIGUEZ DURAN AURA </t>
  </si>
  <si>
    <t>SALAS VARGAS MARTHA LUCIA</t>
  </si>
  <si>
    <t xml:space="preserve">JOYA  CLARA </t>
  </si>
  <si>
    <t>SANABRIA SANABRIA DELCI YANIRA</t>
  </si>
  <si>
    <t>PINTO MORALES GLORIA CONSTANZA</t>
  </si>
  <si>
    <t xml:space="preserve">MORALES RINCON  AURORA </t>
  </si>
  <si>
    <t>NIÑO BECERRA BETY AIDE</t>
  </si>
  <si>
    <t xml:space="preserve">SUAREZ SUAREZ LILIA </t>
  </si>
  <si>
    <t>GIL GIL BLANCA MERY</t>
  </si>
  <si>
    <t>LOPEZ CARVAJAL NIDIA MAYELY</t>
  </si>
  <si>
    <t>FERNANDEZ SILVA AURA ALICIA</t>
  </si>
  <si>
    <t xml:space="preserve">CORREDOR GONZALEZ ESPERANZA </t>
  </si>
  <si>
    <t>GONZALEZ GONZALEZ FANNY ESTHER</t>
  </si>
  <si>
    <t>MONTAÑEZ MEJIA MARTHA LETICIA</t>
  </si>
  <si>
    <t>BAEZ ROA MARIA DEL PILAR</t>
  </si>
  <si>
    <t xml:space="preserve">NIÑO LARGO OTILIA </t>
  </si>
  <si>
    <t xml:space="preserve">AVELLA UNIBIO  CLAUDIA NELLY </t>
  </si>
  <si>
    <t>APONTE OJEDA GLORIA MARIA</t>
  </si>
  <si>
    <t xml:space="preserve">TORRES RODRIGUEZ  GABRIELINA </t>
  </si>
  <si>
    <t>ACEVEDO SOLANO ALBA ROCIO</t>
  </si>
  <si>
    <t>ROJAS CRISTANCHO BLANCA NELLY</t>
  </si>
  <si>
    <t xml:space="preserve">BLANCO GONZALEZ IRMA </t>
  </si>
  <si>
    <t>BECERRA VELANDIA MARTHA CECILIA</t>
  </si>
  <si>
    <t>FUENTES DURAN MARIA HELENA</t>
  </si>
  <si>
    <t>CASTRO CHAPARRO RUTH MARICEL</t>
  </si>
  <si>
    <t>GUEVARA  JANETH ESPERANZA</t>
  </si>
  <si>
    <t>SANABRIA CACHOPE DILMA MIRELLA</t>
  </si>
  <si>
    <t>BURGOS HERNANDEZ ANA MIREYA</t>
  </si>
  <si>
    <t>OVALLE SALAZAR BARBARA PATRICIA</t>
  </si>
  <si>
    <t>NIÑO FLECHAS OLGA INES</t>
  </si>
  <si>
    <t>CARVAJAL MANRIQUE CELMIRA DEL CARMEN</t>
  </si>
  <si>
    <t xml:space="preserve">HERNANDEZ PEDRAZA YOLANDA </t>
  </si>
  <si>
    <t>PUERTO BECERRA MARTHA CECILIA</t>
  </si>
  <si>
    <t>TRUJILLO MESA IRMA ELIZA</t>
  </si>
  <si>
    <t>TOBO  AURA ALICIA</t>
  </si>
  <si>
    <t>SANCHEZ CASTILLO LUZ MARINA</t>
  </si>
  <si>
    <t>RINCON GUARIN MARIA AMPARO</t>
  </si>
  <si>
    <t>MEJIA LOPEZ AURA NAYIBE</t>
  </si>
  <si>
    <t>NIÑO CAMARGO GLORIA ESPERANZA</t>
  </si>
  <si>
    <t>MESA ROA MARIA SILVIA</t>
  </si>
  <si>
    <t xml:space="preserve">PEREZ VILLAMARIN  CLAUDIA PATRCIA </t>
  </si>
  <si>
    <t>CLL 11 0770 ROSAS MARIA MAGDALENA</t>
  </si>
  <si>
    <t>MORENO ALFONSO MIRIAM YOLANDA</t>
  </si>
  <si>
    <t>CARREÑO LEON MARLENY JUDITH</t>
  </si>
  <si>
    <t>OCHOA  MARIA AZUCENA</t>
  </si>
  <si>
    <t xml:space="preserve">ALVAREZ DAZA ANA </t>
  </si>
  <si>
    <t xml:space="preserve">SANABRIA  CLAUDIA </t>
  </si>
  <si>
    <t>PARRA SIABATO MARIA ANITA</t>
  </si>
  <si>
    <t>MONROY CORREDOR NANCY ELISABETH</t>
  </si>
  <si>
    <t xml:space="preserve">ESPINDOLA CUEVAS NELCY </t>
  </si>
  <si>
    <t>ROJAS BAEZ BLANCA CECILIA</t>
  </si>
  <si>
    <t>LAGOS BOLIVAR FLOR MARLEN</t>
  </si>
  <si>
    <t>CAMARGO QUINTERO AMANDA LUCIA</t>
  </si>
  <si>
    <t>NEITA GUIO OLGA PATRICIA</t>
  </si>
  <si>
    <t>MEDINA BARRERA MARIA ENCARNACION</t>
  </si>
  <si>
    <t>FAJARDO ROMERO LUZ MARINA</t>
  </si>
  <si>
    <t xml:space="preserve">VARGAS 3118242698 MARIA </t>
  </si>
  <si>
    <t>GOMEZ  LIGIA ESPERANZA</t>
  </si>
  <si>
    <t>AVILA GARAVITO RITA DE LA CONCEPCION</t>
  </si>
  <si>
    <t>ALVAREZ PEDRAZA BELKIS XISMENA</t>
  </si>
  <si>
    <t xml:space="preserve">AVILA .  ILDA </t>
  </si>
  <si>
    <t>SOSSA NIÑO GLADYS GREGORIA</t>
  </si>
  <si>
    <t xml:space="preserve">TOSCANO GOYENECHE OMAIRA </t>
  </si>
  <si>
    <t>SILVA ROJAS DORIS YAMILE</t>
  </si>
  <si>
    <t xml:space="preserve">ZAMBRANO SALAMANCA JAQUELINE </t>
  </si>
  <si>
    <t xml:space="preserve">ROJAS ROJAS MARIELA </t>
  </si>
  <si>
    <t xml:space="preserve">PACHECO CUSBA OLGA </t>
  </si>
  <si>
    <t>PEDRAZA LOPEZ LUZ AMANDA</t>
  </si>
  <si>
    <t>GONZALEZ RODRIGUEZ GLORIA STELLA</t>
  </si>
  <si>
    <t>SUAREZ RODRIGUEZ LUZ MIREYA</t>
  </si>
  <si>
    <t>SOLANO TAMAYO CARMEN ROSA</t>
  </si>
  <si>
    <t xml:space="preserve">ACERO LEON EMILCE </t>
  </si>
  <si>
    <t>BALAGUERA CARVAJAL ROSA MARIA</t>
  </si>
  <si>
    <t>MASMELA MARTINEZ LUZ MARINA</t>
  </si>
  <si>
    <t>LARA BARRERA ANA MARCELA</t>
  </si>
  <si>
    <t xml:space="preserve">SILVA  MERY </t>
  </si>
  <si>
    <t>ROJAS CEPEDA LUZ MIRIAM</t>
  </si>
  <si>
    <t>CIFUENTES COMBARIZA CLARA YANNETH</t>
  </si>
  <si>
    <t xml:space="preserve">CARRENO  CECILIA </t>
  </si>
  <si>
    <t xml:space="preserve">CUSBA ALBARRACIN ALICIA </t>
  </si>
  <si>
    <t>PEREZ CHAPARRO MARIA TRINIDAD</t>
  </si>
  <si>
    <t>SANCHEZ RIVERA MARIA ESPERANZA</t>
  </si>
  <si>
    <t>MARTINEZ  NELY CONSUELO</t>
  </si>
  <si>
    <t>MARQUEZ FIGUEROA NUBIA SOFIA</t>
  </si>
  <si>
    <t>VELANDIA CASTRO NUBIA STELLA</t>
  </si>
  <si>
    <t>SANCHEZ FERRUCHO HILDA MARIA</t>
  </si>
  <si>
    <t>LOZANO SUAREZ LIGIA JULIANA</t>
  </si>
  <si>
    <t>VELANDIA PINTO MARTHA CECILIA</t>
  </si>
  <si>
    <t xml:space="preserve">CHAPARRO  CARMEN </t>
  </si>
  <si>
    <t>BASILOTTA GUTIERREZ ROCIO AMPARO</t>
  </si>
  <si>
    <t>GOMEZ OROZCO CLAUDIA PATRICIA</t>
  </si>
  <si>
    <t>VELANDIA BOHORQUEZ ANA JUDITH</t>
  </si>
  <si>
    <t>RAMIREZ VELAZCO ANA AIRETH</t>
  </si>
  <si>
    <t xml:space="preserve">TORRES DUEÑAS ELIZABETH </t>
  </si>
  <si>
    <t>RINCON  DORA NELLY</t>
  </si>
  <si>
    <t>CABRA  MARIA ISABEL</t>
  </si>
  <si>
    <t>BECERRA SANCHEZ MARIA DE JESUS</t>
  </si>
  <si>
    <t>ARENAS ALVAREZ ALBA MARIELA</t>
  </si>
  <si>
    <t xml:space="preserve">CABRA MARIA MAGDALENA </t>
  </si>
  <si>
    <t>CAMACHO CAMACHO ESTHER SILVIA</t>
  </si>
  <si>
    <t>BECERRA HERNANDEZ LUZ MERY</t>
  </si>
  <si>
    <t>ALVARADO MERCHAN CLAUDIA PATRICIA</t>
  </si>
  <si>
    <t>CASTILLO MORALES ROSA MARIA</t>
  </si>
  <si>
    <t>GONZALEZ BARBOSA MARTHA ALICIA</t>
  </si>
  <si>
    <t>MARTINEZ ROJAS MARTHA LUCIA</t>
  </si>
  <si>
    <t>REYES  ROSA GARCIA</t>
  </si>
  <si>
    <t>BAEZ BAEZ LUZ MIRIAM</t>
  </si>
  <si>
    <t>TORRES MEDINA MARIA EDILSA</t>
  </si>
  <si>
    <t xml:space="preserve">FRANCO  LUCY </t>
  </si>
  <si>
    <t xml:space="preserve">CARRENO LEON MIRYAM </t>
  </si>
  <si>
    <t>LEON VARGAS RUTH MARIA</t>
  </si>
  <si>
    <t>DIAZ SALCEDO MARIA BERENICE</t>
  </si>
  <si>
    <t>ESPINEL MESA ELSA DEL CARMEN</t>
  </si>
  <si>
    <t>CARRILLO OLARTE OLGA LUCIA</t>
  </si>
  <si>
    <t>PALACIOS LOPEZ MARIA ELISA</t>
  </si>
  <si>
    <t xml:space="preserve">ESTEPA  SONIA </t>
  </si>
  <si>
    <t>RAMIREZ  MYRIAM LUCIA</t>
  </si>
  <si>
    <t>PINZON PEDRAZA CLAUDIA JANNETH</t>
  </si>
  <si>
    <t xml:space="preserve">GARZON PLAZAS EDELMIRA </t>
  </si>
  <si>
    <t xml:space="preserve">PORRAS HERNANDEZ EDILTRUDIS </t>
  </si>
  <si>
    <t>DURAN FUENTES LUZ MIRA</t>
  </si>
  <si>
    <t>GUERRERO SANABRIA ROSA EVELIA</t>
  </si>
  <si>
    <t>PUENTES PATARROYO BETTY ESPERANZA</t>
  </si>
  <si>
    <t>PALACIOS LOPEZ MARIA YOLANDA</t>
  </si>
  <si>
    <t>MONTIEL MARQUEZ LINA ESPERANZA</t>
  </si>
  <si>
    <t>CLAROS  YANETH PATRICIA</t>
  </si>
  <si>
    <t>ACOSTA VALDERRAMA ALBA LUCIA</t>
  </si>
  <si>
    <t xml:space="preserve">LAGOS BOLIVAR FLORA </t>
  </si>
  <si>
    <t>ACOSTA CEPEDA MARTHA JANETH</t>
  </si>
  <si>
    <t>TAMARA CABRA BLANCA CECILIA</t>
  </si>
  <si>
    <t xml:space="preserve">LEGUIZAMON  CLAUDIA </t>
  </si>
  <si>
    <t>VARGAS ARIAS OLGA LUCIA</t>
  </si>
  <si>
    <t>TORRES CAMARGO DORA EUGENIA</t>
  </si>
  <si>
    <t xml:space="preserve">PATRICIA  ALVA </t>
  </si>
  <si>
    <t xml:space="preserve">BARRERA CASTRO DANI </t>
  </si>
  <si>
    <t>BONILLA RODRIGUEZ FANNY MARITZA</t>
  </si>
  <si>
    <t>CARDENAS PEÑA CARMEN EDITH</t>
  </si>
  <si>
    <t>DAVILA SANABRIA DORIS TERESA</t>
  </si>
  <si>
    <t>PEREZ PUERTO DORIS MARIELA</t>
  </si>
  <si>
    <t xml:space="preserve">PINA PEDRAZA NANCY </t>
  </si>
  <si>
    <t>SALAMANCA PEREZ MARTHA LUCIA</t>
  </si>
  <si>
    <t>MERCHAN BARRAGAN NANCY ALEXANDRA</t>
  </si>
  <si>
    <t>BRICEÑO TIBAMOSO CLAUDIA GRACIELA</t>
  </si>
  <si>
    <t xml:space="preserve">MARTINEZ SOLANO DORELLY </t>
  </si>
  <si>
    <t>GALLO PEREZ GLORIA INES</t>
  </si>
  <si>
    <t xml:space="preserve">USCATEGUI NIÑO DELFICECILIA </t>
  </si>
  <si>
    <t>SANDOVAL SANDOVAL GLORIA AZUCENA</t>
  </si>
  <si>
    <t>GOMEZ MOJICA LUZ MARINA</t>
  </si>
  <si>
    <t xml:space="preserve">ROJAS CRISTANCHO CRISTINA </t>
  </si>
  <si>
    <t>MOLANO OCHOA MARIA EUGENIA</t>
  </si>
  <si>
    <t>CAMARGO SALAS MARIA DEL PILAR</t>
  </si>
  <si>
    <t>BECERRA CASTAÑEDA MAGDA DE JESUS</t>
  </si>
  <si>
    <t xml:space="preserve">ROJAS CRISTANCHO ESPERANZA </t>
  </si>
  <si>
    <t>FLOREZ MATEUS MARIA DORIS</t>
  </si>
  <si>
    <t>PALACIOS LEAL AURA CECILIA</t>
  </si>
  <si>
    <t xml:space="preserve">TRISTANCHO LOPEZ FLORANGELA </t>
  </si>
  <si>
    <t>GAMBOA SALAZAR GLORIA SAMIRA</t>
  </si>
  <si>
    <t>ACOSTA GOYA MARTHA ISABEL</t>
  </si>
  <si>
    <t>VIVAS SILVA LIGIA ESTELLA</t>
  </si>
  <si>
    <t>GALLO ALFONSO ASTRITH TERESA</t>
  </si>
  <si>
    <t>MATALLANA  OLGA LILIHET</t>
  </si>
  <si>
    <t>NIÑO BECERRA NUBIA NANCY</t>
  </si>
  <si>
    <t>RINCON RUEDA ALVA ROCIO</t>
  </si>
  <si>
    <t xml:space="preserve">OCHOA ROJAS HERMENCIA </t>
  </si>
  <si>
    <t xml:space="preserve">FERRER PACHECO ADRIANA </t>
  </si>
  <si>
    <t>MARIÑO GARCIA MARIA CRISTINA</t>
  </si>
  <si>
    <t xml:space="preserve">NOMESQUE PINEDA NETTY </t>
  </si>
  <si>
    <t>HIGUERA NINO FANNY OMAIRA</t>
  </si>
  <si>
    <t>VELANDIA SERRANO MIRYAM IMELDA</t>
  </si>
  <si>
    <t>PEREZ PEREZ MARIA ESPERANZA</t>
  </si>
  <si>
    <t>BRICEÑO SILVA ANA MATILDE</t>
  </si>
  <si>
    <t>PEÑA VIVAS MONICA MARIA</t>
  </si>
  <si>
    <t>USCATEGUI NINO ROSA DILIA</t>
  </si>
  <si>
    <t xml:space="preserve">DALLOS RIOS NELY </t>
  </si>
  <si>
    <t>ACEVEDO RAMIREZ MARTA ELENA</t>
  </si>
  <si>
    <t xml:space="preserve">MOLANO VILLATE NIDYA </t>
  </si>
  <si>
    <t xml:space="preserve">PEÑALOZA GONZALEZ MARTHA </t>
  </si>
  <si>
    <t>SAAVEDRA BORJA CARMEN JANETH</t>
  </si>
  <si>
    <t xml:space="preserve">CORREDOR PATIÑO  ALIX SANDRA </t>
  </si>
  <si>
    <t>ROJAS SALAZAR SONIA YOLANDA</t>
  </si>
  <si>
    <t>SOLANO LEON MARY LUZ</t>
  </si>
  <si>
    <t>HOLGUIN  CARMEN DEL</t>
  </si>
  <si>
    <t xml:space="preserve">FLECHAS CESPEDES ELIZABETH </t>
  </si>
  <si>
    <t>VALDERRAMA RINCON NUVIA ESPERANZA</t>
  </si>
  <si>
    <t xml:space="preserve">LUDY ASTRID DAVILA </t>
  </si>
  <si>
    <t xml:space="preserve">GONZALES GONZALES LUCERO </t>
  </si>
  <si>
    <t xml:space="preserve">CASTAÑEDA  CLAUDIA </t>
  </si>
  <si>
    <t>CIZA SALAZAR ILIANA ISABEL</t>
  </si>
  <si>
    <t>MATEUS GARCIA LUZ MARINA</t>
  </si>
  <si>
    <t>DUENAS PENA NIBIA LETICIA</t>
  </si>
  <si>
    <t xml:space="preserve">BAEZ BAEZ NELLY </t>
  </si>
  <si>
    <t>TOBO FAJARDO LUZ DARY</t>
  </si>
  <si>
    <t>SOLANO  LIDA ISABEL</t>
  </si>
  <si>
    <t>NITOLA PINEDA LUZ LILIA</t>
  </si>
  <si>
    <t>SERRANO AGUDELO ANA SORAYDA</t>
  </si>
  <si>
    <t>TORRES CEPEDA YENNY ROCIO</t>
  </si>
  <si>
    <t xml:space="preserve">OLARTE TRIANA IRENE </t>
  </si>
  <si>
    <t xml:space="preserve">MARIA  BERTHA </t>
  </si>
  <si>
    <t>CASTRO CACIAN RUBY YANETH</t>
  </si>
  <si>
    <t>RAMIREZ ROA ANA BELL</t>
  </si>
  <si>
    <t>ALVAREZ SALAMANCA CLAUDIA ISABEL</t>
  </si>
  <si>
    <t xml:space="preserve">FONSECA SALAMANCA ELIZABETH </t>
  </si>
  <si>
    <t>GOMEZ CHAPARRO SANDRA EDILMA</t>
  </si>
  <si>
    <t>VEGA CORREDOR CLAUDIA INES</t>
  </si>
  <si>
    <t xml:space="preserve">CASTRO COMBARIZA EMILSEN </t>
  </si>
  <si>
    <t>ROJAS DE ROJAS BLANCA NIEVES</t>
  </si>
  <si>
    <t xml:space="preserve">POVEDA  SANDRA </t>
  </si>
  <si>
    <t>BARRETO JIMENEZ ELVIA LUCIA</t>
  </si>
  <si>
    <t>CAMARGO NIÑO MARIA CLEMENTINA</t>
  </si>
  <si>
    <t xml:space="preserve">FUQUEN  MARIA </t>
  </si>
  <si>
    <t>SANABRIA CHAPARRO CLAUDIA PATRICIA</t>
  </si>
  <si>
    <t>MALPICA PUERTO JANETH ASTRID</t>
  </si>
  <si>
    <t>ALVARADO PEDRAZA MARIA SUSANA</t>
  </si>
  <si>
    <t xml:space="preserve">TAVERA ACERO INES </t>
  </si>
  <si>
    <t>RINCON PARRA NIDIA STELLA</t>
  </si>
  <si>
    <t>DUEÑAS HERRERA BLANCA INES</t>
  </si>
  <si>
    <t>CORTES CELY FRANCY PATRICIA</t>
  </si>
  <si>
    <t>PEDRAZA CHAPARRO RUTH MIREYA</t>
  </si>
  <si>
    <t>ESTUPIÑAN SANCHEZ MARIA NANCY</t>
  </si>
  <si>
    <t>ABRIL AMADO SANDRA PATRICIA</t>
  </si>
  <si>
    <t>QUINTANA TORRES MAGDA LUCERO</t>
  </si>
  <si>
    <t>RIAÑO CORREA NANCY YAZMIN</t>
  </si>
  <si>
    <t xml:space="preserve">DAZA  ASTRID </t>
  </si>
  <si>
    <t xml:space="preserve">FIGUEROA SANCHEZ LUCILA </t>
  </si>
  <si>
    <t>BONZA MARTINEZ MARTHA CONSUELO</t>
  </si>
  <si>
    <t>LEMUS  ROSA EVELIA</t>
  </si>
  <si>
    <t>GAITAN MONTANEZ ALVA YANET</t>
  </si>
  <si>
    <t xml:space="preserve">BECERRA SOSA ADELIA </t>
  </si>
  <si>
    <t>BLANCO PARRA NANCY FABIOLA</t>
  </si>
  <si>
    <t>ACOSTA MEDINA LUZ MARIELA</t>
  </si>
  <si>
    <t>AMEZQUITA CHAPARRO MARTHA CECILIA</t>
  </si>
  <si>
    <t>RIVERA TOVO DORIS RUTH</t>
  </si>
  <si>
    <t xml:space="preserve">ABRIL MALPICA YAMILE </t>
  </si>
  <si>
    <t>BARRETO ORTEGON MARIA EUGENIA</t>
  </si>
  <si>
    <t>PEDRAZA LEON MERCEDES DEL CARMEN</t>
  </si>
  <si>
    <t>CARRENO GOMEZ ANGELA MARIA</t>
  </si>
  <si>
    <t>SOSA VIVAS GLORIA CECILIA</t>
  </si>
  <si>
    <t xml:space="preserve">TORRES RINCON  AIDE </t>
  </si>
  <si>
    <t>PUERTO REYES SANDRA ELENA</t>
  </si>
  <si>
    <t>LEAL  MARTHA FRANCISCA</t>
  </si>
  <si>
    <t>VALDERAMA BECERRA ANA JACQUELINE</t>
  </si>
  <si>
    <t>NITOLA MONTEALEGRE MARIA HILDA</t>
  </si>
  <si>
    <t xml:space="preserve">VALDERRAMA LAROTA FABIOLA </t>
  </si>
  <si>
    <t>LOPEZ LONDONO LUZ MARINA</t>
  </si>
  <si>
    <t>NIÑO CAMARGO NOHORA CECILIA</t>
  </si>
  <si>
    <t>CORREA TORRES MARIA MARGARITA</t>
  </si>
  <si>
    <t xml:space="preserve">MARITZA  CLAUDIA </t>
  </si>
  <si>
    <t>PEREZ . JESUS DE</t>
  </si>
  <si>
    <t xml:space="preserve">CARVAJAL RIVERA MARYEN </t>
  </si>
  <si>
    <t>TINJACA BAQUERO BLACA CECILIA</t>
  </si>
  <si>
    <t xml:space="preserve">OJEDA  ELBA </t>
  </si>
  <si>
    <t>RAMIREZ GUARIN DORIS ASTRID</t>
  </si>
  <si>
    <t xml:space="preserve">PEDRAZA GONZALEZ  MERY GRACIELA </t>
  </si>
  <si>
    <t xml:space="preserve">CIENDUA GIL OFELIA </t>
  </si>
  <si>
    <t>ANGEL BLANCO CLAUDIA ROCIO</t>
  </si>
  <si>
    <t>PUERTO BECERRA OLGA LUCIA</t>
  </si>
  <si>
    <t>SOSSA VIVAS YOLADA STELLA</t>
  </si>
  <si>
    <t>FRACICA GOMEZ ESMERALDA DORIS</t>
  </si>
  <si>
    <t>LOPEZ LONDONO LUZ STELLA</t>
  </si>
  <si>
    <t>RIVERA PEÑA OLGA PATRICIA</t>
  </si>
  <si>
    <t xml:space="preserve">DUARTE CELY RUBIELA </t>
  </si>
  <si>
    <t>OROZCO GARCIA LILIANA PATRICIA</t>
  </si>
  <si>
    <t>GONZALEZ TORRES CLAUDIA EDILMA</t>
  </si>
  <si>
    <t>IBANEZ AYALA CLAUDIA PATRICIA</t>
  </si>
  <si>
    <t>BARRETO CAMARGO NANCY YAZMIN</t>
  </si>
  <si>
    <t>PATINO SANABRIA LUZ MARINA</t>
  </si>
  <si>
    <t xml:space="preserve">CAMARGO  MARIA CABRA </t>
  </si>
  <si>
    <t>ROJAS CAMARGO LIDA YAZMIN</t>
  </si>
  <si>
    <t>DUCON FONSECA NORA ESPERANZA</t>
  </si>
  <si>
    <t xml:space="preserve">MEDINA CHIA FLORALBA </t>
  </si>
  <si>
    <t>FLECHAS PEREZ ALBA INES</t>
  </si>
  <si>
    <t>LARROTTA RODRIGUEZ SANDRA ZULIETH</t>
  </si>
  <si>
    <t>LOPEZ  SANDRA YASMIN</t>
  </si>
  <si>
    <t xml:space="preserve">CAMARGO AGUDELO  GLADYS </t>
  </si>
  <si>
    <t xml:space="preserve">FABIOLA  MARTHA </t>
  </si>
  <si>
    <t>NARANJO TORRES DORA ISABEL</t>
  </si>
  <si>
    <t>NOVA ORTIZ FLOR ELBA</t>
  </si>
  <si>
    <t>GONZALEZ GUTIERREZ LADY NANCY</t>
  </si>
  <si>
    <t xml:space="preserve">SANABRIA  VERENICE </t>
  </si>
  <si>
    <t>ALVAREZ VELOZA MARIA PIEDAD</t>
  </si>
  <si>
    <t>SANCHEZ SANABRIA FANNY AMALIA</t>
  </si>
  <si>
    <t xml:space="preserve">RODRIGUEZ SANABRIA NELSY </t>
  </si>
  <si>
    <t>HURTADO PEÑA LIDIA CONSTANZA</t>
  </si>
  <si>
    <t>AYALA AYALA CLAUDIA ELENA</t>
  </si>
  <si>
    <t xml:space="preserve">CHAPARRO RUEDA  GLORIA </t>
  </si>
  <si>
    <t>OROZCO RAVELO BLANCA EDILIA</t>
  </si>
  <si>
    <t>SEPULVEDA CARRILLO ELSA PATRICIA</t>
  </si>
  <si>
    <t xml:space="preserve">CHAPARRO PINEDA GLORIA </t>
  </si>
  <si>
    <t xml:space="preserve">SALAMANCA  AMANDA </t>
  </si>
  <si>
    <t xml:space="preserve">QUINTERO  MARIA </t>
  </si>
  <si>
    <t>LARA  MARIA ROSARIO</t>
  </si>
  <si>
    <t>FONSECA MONROY MARTHA LILIANA</t>
  </si>
  <si>
    <t>TRISTANCHO ORTIZ LIDA NATALIA</t>
  </si>
  <si>
    <t>SANTOS MANRIQUE DORA ELVA</t>
  </si>
  <si>
    <t>BARRERA PATIÑO NANCY JACQUELINE</t>
  </si>
  <si>
    <t>CAMARGO TELLEZ ANA BERTHA</t>
  </si>
  <si>
    <t>VARGAS COMBARIZA MARTHA PATRICIA</t>
  </si>
  <si>
    <t>TORRES COMBARIZA ROSARIO AMPARO</t>
  </si>
  <si>
    <t xml:space="preserve">PATARROYO VILLATE ELIANA </t>
  </si>
  <si>
    <t>SALAZAR CACERES NANCY BEATRIZ</t>
  </si>
  <si>
    <t>ACOSTA CABRA THAYANA YAMILE</t>
  </si>
  <si>
    <t>FIGUEREDO MESA ROSA PATRICIA</t>
  </si>
  <si>
    <t>OVALLE TORRES ANGELA YOLIMA</t>
  </si>
  <si>
    <t>CHILLON CEPEDA BLANCA LILIA</t>
  </si>
  <si>
    <t>CABRA COMBARIZA MARIA ELSA</t>
  </si>
  <si>
    <t>GARCIA VEGA LUZ NEIDA</t>
  </si>
  <si>
    <t xml:space="preserve">MONTANEZ CARDENAS FRANCY </t>
  </si>
  <si>
    <t xml:space="preserve">RODRIGUEZ  CARMENZA </t>
  </si>
  <si>
    <t>PUERTO CORREDOR MONICA ISABEL</t>
  </si>
  <si>
    <t>APONTE LIZARAZO MARTHA IBETH</t>
  </si>
  <si>
    <t>BARROSO VERA MAIRA PATRICIA</t>
  </si>
  <si>
    <t>CAMARGO HIGUERA EDITH MELY</t>
  </si>
  <si>
    <t>BUITRAGO QUINTERO SEGUNDA LILIA</t>
  </si>
  <si>
    <t xml:space="preserve">CARDENAZ  SONIA </t>
  </si>
  <si>
    <t>MEJIA URREA MARIA HELENA</t>
  </si>
  <si>
    <t>ESTUPIÑAN MARTIN MAUREEN ADRIANA</t>
  </si>
  <si>
    <t>GALINDO ROJAS LUZ MERY</t>
  </si>
  <si>
    <t>VEGA GUTIERREZ GLORIA YANETH</t>
  </si>
  <si>
    <t>SOLANO GOMEZ FEDRA ELIZABETH</t>
  </si>
  <si>
    <t>DUARTE SUAREZ MARGARITA ISABEL</t>
  </si>
  <si>
    <t xml:space="preserve">RIVERA MELGAREJO ROSALBA </t>
  </si>
  <si>
    <t>PEREZ ROSAS CLAUDIA MARITZA</t>
  </si>
  <si>
    <t>MORANTES  SANDRA LUCIA</t>
  </si>
  <si>
    <t>MESA PORRAS LUZ EDITH</t>
  </si>
  <si>
    <t>CASTRO BENITEZ ALBA MILENA</t>
  </si>
  <si>
    <t>BERDUGO VARGAS MARY LUZ</t>
  </si>
  <si>
    <t xml:space="preserve">RODRIGUEZ  ANGELA </t>
  </si>
  <si>
    <t xml:space="preserve">VILLATE REYES ESMERALDA </t>
  </si>
  <si>
    <t>BERNAL ROMERO OLGA YANNETH</t>
  </si>
  <si>
    <t>CARDOZO FIGUEREDO MARIA CRISTINA</t>
  </si>
  <si>
    <t>ARAQUE SOTO ANA VERONICA</t>
  </si>
  <si>
    <t>LADINO PACHECO LUZ ELENA</t>
  </si>
  <si>
    <t>CHAPARRO NARANJO GLADYS STELLA</t>
  </si>
  <si>
    <t>SICUARIZA AVELLA GLORIA CECILIA</t>
  </si>
  <si>
    <t>PUERTO REYES RUBY YANNETH</t>
  </si>
  <si>
    <t xml:space="preserve">EMILCEN  MARTHA </t>
  </si>
  <si>
    <t>SANCHEZ FERRUCHO MARIA HERMINDA</t>
  </si>
  <si>
    <t>TORRES TORRES CLAUDIA PILAR</t>
  </si>
  <si>
    <t>PINEDA PINEDA SONIA PATRICIA</t>
  </si>
  <si>
    <t xml:space="preserve">TOSCANO GOYENECHE  ROCIO </t>
  </si>
  <si>
    <t xml:space="preserve">FLECHAS CESPEDES YANETH </t>
  </si>
  <si>
    <t>RIVERA NOVA LUZ ANGELA</t>
  </si>
  <si>
    <t xml:space="preserve">ANGARITA GRIMALDOS NURY </t>
  </si>
  <si>
    <t xml:space="preserve">VARGAS  DIANA </t>
  </si>
  <si>
    <t>MARTINEZ QUINTERO MAGDA YANETH</t>
  </si>
  <si>
    <t xml:space="preserve">ROBAYO FUENTES LEONOR </t>
  </si>
  <si>
    <t xml:space="preserve">JIMENEZ NAVARRO NAYIBE </t>
  </si>
  <si>
    <t>TORRES CELY MYRIAM ROCIO</t>
  </si>
  <si>
    <t>MORA SANABRIA MARTHA ISABEL</t>
  </si>
  <si>
    <t>BOADA DIAZ ROSA ADRIANA</t>
  </si>
  <si>
    <t>MEDINA CASTILLO OLGA LUCIA</t>
  </si>
  <si>
    <t>PARADA  MARIA NELLY</t>
  </si>
  <si>
    <t>SALAMANCA GUAUQUE NANCY YANETH</t>
  </si>
  <si>
    <t>PEREZ RAMIREZ LYDA MARCELA</t>
  </si>
  <si>
    <t>RICAURTE BALLESTEROS BELSSY ENITH</t>
  </si>
  <si>
    <t xml:space="preserve">ROTTA LA NUBIA </t>
  </si>
  <si>
    <t>PEDRAZA PEDRAZA GLORIA MERCEDES</t>
  </si>
  <si>
    <t>RINCON GOMEZ GLORIA MIREYA</t>
  </si>
  <si>
    <t xml:space="preserve">CUSPOCA NITOLA  GLORIA YAMILE </t>
  </si>
  <si>
    <t>CABRA PARDO LUZ ALEIDA</t>
  </si>
  <si>
    <t>MEDINA GUTIERREZ BLANCA CECILIA</t>
  </si>
  <si>
    <t>ROJAS CORREA IRIS YOLANDA</t>
  </si>
  <si>
    <t>COMBITA LEGUIZAMON BERTA SULEIMA</t>
  </si>
  <si>
    <t>VARGAS PAREDES MERY YANNETH</t>
  </si>
  <si>
    <t>BECERRA BECERRA YOLANDA PATRICIA</t>
  </si>
  <si>
    <t xml:space="preserve">ESTHER  LIGIA </t>
  </si>
  <si>
    <t xml:space="preserve">CARDENAS CELY MYRIAM </t>
  </si>
  <si>
    <t>PUERTO ROJAS MIRIAN ISOLITA</t>
  </si>
  <si>
    <t>SANABRIA SANDOVAL NIDIA PATRICIA</t>
  </si>
  <si>
    <t>RUIZ RIMA CARMEN PATRICIA</t>
  </si>
  <si>
    <t>AVELLANEDA AVELLANEDA ANA YANIRA</t>
  </si>
  <si>
    <t>SUAREZ  MERY NUBIA</t>
  </si>
  <si>
    <t xml:space="preserve">JAQUELINE VARGAS ARIAS </t>
  </si>
  <si>
    <t>CANO NOVA MARTHA ELISABETH</t>
  </si>
  <si>
    <t xml:space="preserve">PEREZ  TULIA </t>
  </si>
  <si>
    <t>GONZALEZ MEDINA OLGA LUCIA</t>
  </si>
  <si>
    <t>ACERO ACERO MARIA LILIA</t>
  </si>
  <si>
    <t>SANTAMARIA PUERTO ERLY JOHANA</t>
  </si>
  <si>
    <t xml:space="preserve">CELY BECERRA ROSALBA </t>
  </si>
  <si>
    <t xml:space="preserve">ROJAS MARTINEZ GLADYS </t>
  </si>
  <si>
    <t xml:space="preserve">CACERES DURAN AIDE </t>
  </si>
  <si>
    <t>CEPEDA SANTOS CLAUDIA PATRICIA</t>
  </si>
  <si>
    <t>JIMENEZ SUANCHA MARTHA CECILIA</t>
  </si>
  <si>
    <t>ZABALA PUERTO BLANCA NAYIBE</t>
  </si>
  <si>
    <t>VELANDIA NORE JANNETH LUCILA</t>
  </si>
  <si>
    <t>SOLANO HERNANDEZ AURA JANNETH</t>
  </si>
  <si>
    <t xml:space="preserve">ENCISO HOYOS AZUCENA </t>
  </si>
  <si>
    <t xml:space="preserve">PINEDA  MIRIAM </t>
  </si>
  <si>
    <t>ROJAS VELANDIA CLAUDIA PATRICIA</t>
  </si>
  <si>
    <t>FERIA PEREZ SANDRA MILENA</t>
  </si>
  <si>
    <t>MEDINA CHIA ROSA MARIA</t>
  </si>
  <si>
    <t>CRISTIANO DUARTE MARIA TERESA</t>
  </si>
  <si>
    <t>SULMA YAZMIN NIÑO MANRIQUE</t>
  </si>
  <si>
    <t xml:space="preserve">CHIRIBI SICHACA LIGIA </t>
  </si>
  <si>
    <t>OCHOA CORREDOR CAROLINA MARIA</t>
  </si>
  <si>
    <t xml:space="preserve">GOMEZ ESPINEL FLORINDA </t>
  </si>
  <si>
    <t>PINEDA  ANGELA CONSUELO</t>
  </si>
  <si>
    <t>TORRES ZABALA ROSA ELENA</t>
  </si>
  <si>
    <t>FUENTES IBANEZ GLADYS ROCIO</t>
  </si>
  <si>
    <t>BECERRA BECERRA LUCILA SUSANA</t>
  </si>
  <si>
    <t>TORRES VELANDIA SANDRA MILENA</t>
  </si>
  <si>
    <t>BARRERA  RODRIGUEZ ALBA  NEIRE</t>
  </si>
  <si>
    <t>SANDOVAL SUAREZ AURA NELLY</t>
  </si>
  <si>
    <t>CAMARGO MORALES FRANCY YANNETH</t>
  </si>
  <si>
    <t>DUEÑAS VELDERRAMA ANA SILVIA</t>
  </si>
  <si>
    <t xml:space="preserve">GUADALUPE  YOBANNA </t>
  </si>
  <si>
    <t>RINCON BALAGUERA JENY ROCIO</t>
  </si>
  <si>
    <t>CELY PINEDA LUZ ZORAIDA</t>
  </si>
  <si>
    <t>VEGA REYES YENNY ANDREA</t>
  </si>
  <si>
    <t>ROMERO VALDERRAMA JARLEN AMALIA</t>
  </si>
  <si>
    <t>GUIO CHAPARRO ANGELA CRISTINA</t>
  </si>
  <si>
    <t>SANDOVAL SANDOVAL MARY SOL</t>
  </si>
  <si>
    <t>CARREÑO CEPEDA CLAUDIA INES</t>
  </si>
  <si>
    <t>TAMARA MELO ESTHER LUCIA</t>
  </si>
  <si>
    <t>SOLANO PINZON BLANCA ROCIO</t>
  </si>
  <si>
    <t xml:space="preserve">GONZALEZ  SANDRA </t>
  </si>
  <si>
    <t>CORREA CORREA OLGA LUCIA</t>
  </si>
  <si>
    <t>BLANCO TIBADUIZA MAGDA LILIANA</t>
  </si>
  <si>
    <t>TIRIA  MARTHA YANNETH</t>
  </si>
  <si>
    <t>ROJAS  MARIA EUGENIA</t>
  </si>
  <si>
    <t>ALBARRACIN CARDOZO LUZ STELLA</t>
  </si>
  <si>
    <t>AGREDO CORREA LIGIA DORELLY</t>
  </si>
  <si>
    <t xml:space="preserve">FLOREZ  MAYERLY </t>
  </si>
  <si>
    <t>RIVERO  LUZ MARINA</t>
  </si>
  <si>
    <t xml:space="preserve">CRISTINA  MARIA </t>
  </si>
  <si>
    <t>GRANADOS DIAZ SOFIA ISABEL</t>
  </si>
  <si>
    <t>LEON PACO ZANDRA MARITZA</t>
  </si>
  <si>
    <t>CEPEDA LOPEZ MONICA LILIANA</t>
  </si>
  <si>
    <t xml:space="preserve">ESTRELLA  BLANCA </t>
  </si>
  <si>
    <t>AVILA VARGAS LINA MARIA</t>
  </si>
  <si>
    <t>OROZCO SANABRIA ANGELA ROCIO</t>
  </si>
  <si>
    <t>PAEZ SOSA MARIA YINMACULADA</t>
  </si>
  <si>
    <t xml:space="preserve">QUIROGA SALAMANCA YAMILE </t>
  </si>
  <si>
    <t>GALINDO PITA LYTHA LLANTEH</t>
  </si>
  <si>
    <t>PEREZ TAITA FLOR STELLA</t>
  </si>
  <si>
    <t>FLOREZ LOPEZ CLAUDIA PATRICIA</t>
  </si>
  <si>
    <t xml:space="preserve">CORTAZAR  NESLY </t>
  </si>
  <si>
    <t xml:space="preserve">GONZALES  MONICA </t>
  </si>
  <si>
    <t>SOSA CORREA ANA ROSA</t>
  </si>
  <si>
    <t>GOMEZ . ALBA LUCIA</t>
  </si>
  <si>
    <t>GOMEZ CAMARGO NOHORA PATRICIA</t>
  </si>
  <si>
    <t>CAMARGO RODRIGUEZ FANNY OMAIRA</t>
  </si>
  <si>
    <t>RINCON 3112831442 BLANCA ALCIRA</t>
  </si>
  <si>
    <t xml:space="preserve">ALBARRACIN SUAREZ NIDIA </t>
  </si>
  <si>
    <t>BECERRA  CLAUDIA MARCELA</t>
  </si>
  <si>
    <t>ASCENCIO TUZO MARIA LUISA</t>
  </si>
  <si>
    <t xml:space="preserve">ROJAS GUERRERO ORFA </t>
  </si>
  <si>
    <t xml:space="preserve">COTAMO DUARTE MARLENE </t>
  </si>
  <si>
    <t>VALDERRAMA PEDRAZA ANA MANUELA</t>
  </si>
  <si>
    <t>LOPEZ LOPEZ MARTHA ISABEL</t>
  </si>
  <si>
    <t>SOSA VARGAS ALBA YANNETH</t>
  </si>
  <si>
    <t>VERDUGO ESTUPINAN YENNY MARCELA</t>
  </si>
  <si>
    <t xml:space="preserve">CELY VARGAS EMILCEN </t>
  </si>
  <si>
    <t>CAMACHO NIÑO LILIANA MILENA</t>
  </si>
  <si>
    <t>MORENO DURAN MARIA VICTORIA</t>
  </si>
  <si>
    <t>CASTRO PEREZ GLADYS YADIRA</t>
  </si>
  <si>
    <t>PITA GONZALEZ CLAUDIA ELENA</t>
  </si>
  <si>
    <t>ALDANA BOADA NELCY ESPERANZA</t>
  </si>
  <si>
    <t>RODRIGUEZ ACEVEDO YUDI MEREDITH</t>
  </si>
  <si>
    <t>GALLO ROMERO SANDRA YADIRA</t>
  </si>
  <si>
    <t>CORREDOR QUIJANO LYDA MILENA</t>
  </si>
  <si>
    <t>FONSECA TORRES LILIA ELENA</t>
  </si>
  <si>
    <t>RIOS DIAZ MARIA YOLANDA</t>
  </si>
  <si>
    <t>SOLANO PEREZ NELSY ESPERANZA</t>
  </si>
  <si>
    <t xml:space="preserve">CATIVE ROJAS DINORA </t>
  </si>
  <si>
    <t>ZAMBRANO MONTAÑA MARY FARBIELLY</t>
  </si>
  <si>
    <t xml:space="preserve">CHAPARRO  MARILUZ </t>
  </si>
  <si>
    <t>MATEUS GARCIA ANA ISABEL</t>
  </si>
  <si>
    <t xml:space="preserve">BOTIA SILVA RUBIELA </t>
  </si>
  <si>
    <t xml:space="preserve">DIAZ  LIDA </t>
  </si>
  <si>
    <t xml:space="preserve">AYALA QUINTANA ANDREA </t>
  </si>
  <si>
    <t>SUAREZ PEREZ EDITH YAMILE</t>
  </si>
  <si>
    <t xml:space="preserve">PAREDES AVENDAÑO EMMA </t>
  </si>
  <si>
    <t>TORRES RUEDA ENEYDA ELISABETH</t>
  </si>
  <si>
    <t>DIAZ VALDERRAMA LUZ MARGEL</t>
  </si>
  <si>
    <t>GARCIA LARA LUZ MILA PATRICIA</t>
  </si>
  <si>
    <t>BRAVO  MARIA EUGENIA</t>
  </si>
  <si>
    <t>ARCHILA PINZON MARTHA CECILIA</t>
  </si>
  <si>
    <t>MATEUS PINTO ANA MARLENE</t>
  </si>
  <si>
    <t>ARAQUE SOTO ANA RITA</t>
  </si>
  <si>
    <t>ARIAS PINEDA ZORAIDA PILAR</t>
  </si>
  <si>
    <t>MELGAREJO CARREÑO DIANA ISABEL</t>
  </si>
  <si>
    <t>REYES NIÑO ROSA EMILCEN</t>
  </si>
  <si>
    <t>TORRES ROJAS CONSTANCE MIREYA</t>
  </si>
  <si>
    <t>MOLANO LOPEZ VILMA LUCIA</t>
  </si>
  <si>
    <t>BAEZ  CLAUDIA EMILSE</t>
  </si>
  <si>
    <t>CHAPARRO MONTANA ROSA HAIDEN</t>
  </si>
  <si>
    <t>RODRIGUEZ RAMIREZ SONIA YANETH</t>
  </si>
  <si>
    <t>MORENO RODRIGUEZ NIDIA MIREYA</t>
  </si>
  <si>
    <t xml:space="preserve">GOMEZ MIRANDA HERMELINDA </t>
  </si>
  <si>
    <t xml:space="preserve">MEDINA PINZON  NUBIA ESPERANZA </t>
  </si>
  <si>
    <t>MATEUS SANCHEZ ASTRID MARCELA</t>
  </si>
  <si>
    <t xml:space="preserve">NEMPEQUE PEREZ ELIZABETH </t>
  </si>
  <si>
    <t xml:space="preserve">MORENO ANGARITA  XIMENA </t>
  </si>
  <si>
    <t>CAMARGO ROSAS MARIA AMALIA</t>
  </si>
  <si>
    <t xml:space="preserve">CAMACHO LOPEZ  YOLANDA </t>
  </si>
  <si>
    <t>ROJAS ALVAREZ MARIA AZUCENA</t>
  </si>
  <si>
    <t xml:space="preserve">BARRERA LIZARAZO MARCEDES </t>
  </si>
  <si>
    <t>CORONADO PAEZ GLORIA YAZMIN</t>
  </si>
  <si>
    <t>ROJAS MESA CLARA BIBIANA</t>
  </si>
  <si>
    <t>CORREA GUARIN ANA LUCIA</t>
  </si>
  <si>
    <t xml:space="preserve">VARGAS AVENDAÑO NAYIVE </t>
  </si>
  <si>
    <t>VELANDIA VELANDIA NYDIA CONSTANZA</t>
  </si>
  <si>
    <t>OCHOA CAMARGO NANCY YOLIMA</t>
  </si>
  <si>
    <t>BONZA TORRES LIGIA YADIRA</t>
  </si>
  <si>
    <t>CHISINO MANOSALVA NANCY EDITH</t>
  </si>
  <si>
    <t xml:space="preserve">BLANCO BERMUDEZ NELLY </t>
  </si>
  <si>
    <t>RESTREPO CORDOBA DIANA PATRICIA</t>
  </si>
  <si>
    <t>ALMANZA TAMARA MARIA MADELEINE</t>
  </si>
  <si>
    <t>BECERRA TAITA BETTSY HAYDE</t>
  </si>
  <si>
    <t>MATEUS JIMENEZ ALIRA LUZ</t>
  </si>
  <si>
    <t>COMBARIZA VARGAS ANA MILENA</t>
  </si>
  <si>
    <t>MENDOZA GALINDO SANDRA PATRICIA</t>
  </si>
  <si>
    <t>VALDERRAMA CORDON SANDRA MILENA</t>
  </si>
  <si>
    <t xml:space="preserve">MYRIAN  LUZ </t>
  </si>
  <si>
    <t>JAIME  OLGA CRISTINA</t>
  </si>
  <si>
    <t xml:space="preserve">MALAGON SOSA  ROSA EMILIA </t>
  </si>
  <si>
    <t>GARZON TAMAYO ELSA EDITH</t>
  </si>
  <si>
    <t>MONTAÑEZ RUIZ NURY YAZMIN</t>
  </si>
  <si>
    <t xml:space="preserve">CADENA VELANDIA MARICELA </t>
  </si>
  <si>
    <t>ROMERO CARDENAS YUDY ALEJANDRA</t>
  </si>
  <si>
    <t>BONILLA RIVERA NYDIA LUCIA</t>
  </si>
  <si>
    <t xml:space="preserve">CAMARGO CHAPARRO CAROLINA </t>
  </si>
  <si>
    <t>URRUTIA VELANDIA NANCY LIBIA</t>
  </si>
  <si>
    <t>GOMEZ NAVAS JENNY CAROLINA</t>
  </si>
  <si>
    <t>RICO BAEZ SANDRA MILENA</t>
  </si>
  <si>
    <t>VILLATE PINZON ANA YAMILE</t>
  </si>
  <si>
    <t>ORTIZ VELANDIA SANDRA LILIANA</t>
  </si>
  <si>
    <t>RIVERA BOADA MARY LUZ</t>
  </si>
  <si>
    <t>HERNANDEZ GONZALES ANGELA STELLA</t>
  </si>
  <si>
    <t xml:space="preserve">MEDINA  MONICA </t>
  </si>
  <si>
    <t>VASQUEZ GARCIA MARIA ISABEL</t>
  </si>
  <si>
    <t>FUQUEN DURAN PAOLA ANDREA</t>
  </si>
  <si>
    <t>RAMIREZ SANCHEZ YANETH ANGELICA</t>
  </si>
  <si>
    <t>BENAVIDES RUIZ SANDRA ESPERANZA</t>
  </si>
  <si>
    <t xml:space="preserve">PEÑA CASTAÑEDA CAROLA </t>
  </si>
  <si>
    <t>NUÑEZ TAMAYO SANDRA MILENA</t>
  </si>
  <si>
    <t>CAMARGO  CLAUDIA MARCELA</t>
  </si>
  <si>
    <t>CUERVO RODRIGUEZ SANDRA MILENA</t>
  </si>
  <si>
    <t>GRANADOS PITA SANDRA PATRICIA</t>
  </si>
  <si>
    <t>GRANADOS ABELLA SANDRA CRISTINA</t>
  </si>
  <si>
    <t>LARA HIGUERA MAGDA LILIANA</t>
  </si>
  <si>
    <t>SUAREZ BECERRA NELLY PATRICIA</t>
  </si>
  <si>
    <t>SALCEDO TIRIA CLAUDIA MARIA</t>
  </si>
  <si>
    <t>ACERO VARGAS SANDRA MILENA</t>
  </si>
  <si>
    <t xml:space="preserve">CELY TRIANA MERCEDES </t>
  </si>
  <si>
    <t>SOLANO CRISTANCHO DORIS CONSUELO</t>
  </si>
  <si>
    <t>NIÑO MATEUS GLADYS ALEYDA</t>
  </si>
  <si>
    <t>CALIXTO ALBARRACIN MARIA CENAIDA</t>
  </si>
  <si>
    <t>MARINO COLMENARES CLARA MILENA</t>
  </si>
  <si>
    <t>MEJIA ALFONSO SANDRA LILIANA</t>
  </si>
  <si>
    <t>PINTO CORREA RUTH MATILDE</t>
  </si>
  <si>
    <t>CR 10A 8 30 CELY DORA ELSA</t>
  </si>
  <si>
    <t xml:space="preserve">GOMEZ PEREZ GABRIELA </t>
  </si>
  <si>
    <t xml:space="preserve">ROJAS  ESPERANZA </t>
  </si>
  <si>
    <t xml:space="preserve">FLECHAS CARDENAS ANGELA </t>
  </si>
  <si>
    <t>DURAN AMEZQUITA SANDRA MILENA</t>
  </si>
  <si>
    <t>SOLER DURAN INGRY SUSANA</t>
  </si>
  <si>
    <t xml:space="preserve">ESPERANZA  DORA </t>
  </si>
  <si>
    <t xml:space="preserve">BALLESTEROS RODRIGUEZ NELLY </t>
  </si>
  <si>
    <t>ALBARRACIN DIAZ JEHIMY JOBANA</t>
  </si>
  <si>
    <t>TINJACA CARRENO LUZ ANGELA</t>
  </si>
  <si>
    <t xml:space="preserve">ABRIL  CARIME </t>
  </si>
  <si>
    <t xml:space="preserve">OROZCO SANDOVAL SOVEIDA </t>
  </si>
  <si>
    <t>PEREZ TORRES CLAUDIA INES</t>
  </si>
  <si>
    <t xml:space="preserve">PEREZ USCATEGUI  LUZ MILENA </t>
  </si>
  <si>
    <t xml:space="preserve">OCHOA MATEUS  DORIS AYCHEL </t>
  </si>
  <si>
    <t xml:space="preserve">OSMA  MARLEN </t>
  </si>
  <si>
    <t>TOBITO COTACHIRA ZULMA EVENEY</t>
  </si>
  <si>
    <t>SALCEDO BECERRA SANDRA PATRICIA</t>
  </si>
  <si>
    <t xml:space="preserve">RIVEROS  AMALIA </t>
  </si>
  <si>
    <t>ARANGO CORREDOR  SANDRA LILIANA</t>
  </si>
  <si>
    <t>PENARANDA BLANCO DEISY ROCIO</t>
  </si>
  <si>
    <t xml:space="preserve">CHAPARRO GONZALEZ ROSALVINA </t>
  </si>
  <si>
    <t>RIVERA TAMAYO DIANA MARCELA</t>
  </si>
  <si>
    <t>BOTIA PEÑA NIDIA ESTER</t>
  </si>
  <si>
    <t>RAVELO PEREZ  NELLY EDILSE</t>
  </si>
  <si>
    <t>CARDOZO SANCHEZ ROSA NEIRA</t>
  </si>
  <si>
    <t>MACANA CANON LIDA MILENA</t>
  </si>
  <si>
    <t>RINCON CARDENAS MARTHA CECILIA</t>
  </si>
  <si>
    <t>RUIZ LIZARAZO LAUDIS MARIA</t>
  </si>
  <si>
    <t>ESTUPIÑAN COMBARIZA HAYLEY AIXA</t>
  </si>
  <si>
    <t xml:space="preserve">AVENDAÑO AVENDAÑO ROSALBA </t>
  </si>
  <si>
    <t xml:space="preserve">AMADO  NAYIBE </t>
  </si>
  <si>
    <t>SUNA LADINO LUZ MARITZA</t>
  </si>
  <si>
    <t>ASCENCIO TUZO SANDRA CECILIA</t>
  </si>
  <si>
    <t>GUERRERO RAVELO YENY ESPERANZA</t>
  </si>
  <si>
    <t xml:space="preserve">ARISMENDI  PATRICIA </t>
  </si>
  <si>
    <t>CELY GARCIA CARMEN DEL</t>
  </si>
  <si>
    <t>FLECHAS VEGA SANDRA PATRICIA</t>
  </si>
  <si>
    <t>PINZON SIZA CLAUDIA JANETH</t>
  </si>
  <si>
    <t>GOYENECHE  NANCY ASTRID</t>
  </si>
  <si>
    <t>CUSPOCA NITOLA CLAUDIA JULIANA</t>
  </si>
  <si>
    <t>ABRIL AMPARO PARRA LUZ</t>
  </si>
  <si>
    <t>PLAZAS COTAMO MARLLORY ROCIO</t>
  </si>
  <si>
    <t>SANDOVAL CEPEDA JANNETH MILENA</t>
  </si>
  <si>
    <t>SIMBAQUEBA RODRIGUEZ SANDRA ROCIO</t>
  </si>
  <si>
    <t xml:space="preserve">BURGOS BAEZ ADRIANA </t>
  </si>
  <si>
    <t>RODRIGUEZ GRANADOS ANA MARIA</t>
  </si>
  <si>
    <t>TORRES FERNANDEZ BLANCA JULIA</t>
  </si>
  <si>
    <t xml:space="preserve">XIMENA  KAROL </t>
  </si>
  <si>
    <t>MARIA GLADYS MEDINA RUBIO</t>
  </si>
  <si>
    <t>CABRA NIÑO ANA YASMIN</t>
  </si>
  <si>
    <t>PINTO JARRO MARITZA YANIRA</t>
  </si>
  <si>
    <t>VILLATE REYES MERCEDES HILIANA</t>
  </si>
  <si>
    <t>VELASQUEZ BARRETO SONIA AMPARO</t>
  </si>
  <si>
    <t>VARGAS ROJAS CLAUDIA MILENA</t>
  </si>
  <si>
    <t xml:space="preserve">MANRIQUE  ANA </t>
  </si>
  <si>
    <t>NIÑO PINZON DIANA ALEXANDRA</t>
  </si>
  <si>
    <t>PLAZAS ARISMENDY JENNY ALEXAMDRA</t>
  </si>
  <si>
    <t>CELY REYES MARTHA SOFIA</t>
  </si>
  <si>
    <t>SIERRA PAMPLONA ANDREA DEL PILAR</t>
  </si>
  <si>
    <t>UMAÑA VARGAS MARIA MATILDE</t>
  </si>
  <si>
    <t>ALVAREZ ROJAS LUZ MARINA</t>
  </si>
  <si>
    <t>FUENTES ALVAREZ MARIA ELIZABETH</t>
  </si>
  <si>
    <t xml:space="preserve">TOCA CACERES MARICELA </t>
  </si>
  <si>
    <t>CRUZ FUENTES SANDRA VICTORIA</t>
  </si>
  <si>
    <t>CELY TIBAMOSO JULIA PATRICIA</t>
  </si>
  <si>
    <t>SALAMANCA TORRES NANCY ESPERANZA</t>
  </si>
  <si>
    <t>CORREDOR RINCON ADRIANA ROCIO</t>
  </si>
  <si>
    <t xml:space="preserve">CACERES MARTINEZ MILENA </t>
  </si>
  <si>
    <t>DIAZ BAEZ MARTHA LUCIA</t>
  </si>
  <si>
    <t>ALVARADO ESPITIA ANA ILBIA</t>
  </si>
  <si>
    <t>SANABRIA MALAVER MARIA DOLORES</t>
  </si>
  <si>
    <t>RODRIGUEZ NIÑO DIANA MILENA</t>
  </si>
  <si>
    <t>BAUTISTA GUERRERO JOHANNA ENID</t>
  </si>
  <si>
    <t xml:space="preserve">MOLANO OCAMPO MARILUZ </t>
  </si>
  <si>
    <t xml:space="preserve">VALENCIA  CARMENZA </t>
  </si>
  <si>
    <t>RIOS RAVELO SANDRA MILENA</t>
  </si>
  <si>
    <t>PEREZ PEREZ AURA YANETH</t>
  </si>
  <si>
    <t xml:space="preserve">LEON MARQUEZ EMILSE </t>
  </si>
  <si>
    <t xml:space="preserve">MARINA  RODRIGUEZ </t>
  </si>
  <si>
    <t xml:space="preserve">LIZARAZO  BLANCA </t>
  </si>
  <si>
    <t xml:space="preserve">MENCO  ZULMA </t>
  </si>
  <si>
    <t xml:space="preserve">SANCHEZ MOJICA YESMIN </t>
  </si>
  <si>
    <t>DIAZ RICAURTE ALEXANDRA PATRICIA</t>
  </si>
  <si>
    <t>GONZALEZ MONTANEZ SANDRA ROSIO</t>
  </si>
  <si>
    <t>CODOBA MESA ANGELA CRISTINA</t>
  </si>
  <si>
    <t>MESA SALINAS CLAUDIA YANETH</t>
  </si>
  <si>
    <t>CELY ROJAS JUDY ALEXANDRA</t>
  </si>
  <si>
    <t>BENITEZ TRISTANCHO SONIA EDITH</t>
  </si>
  <si>
    <t>AVELLANEDA AVELLANEDA LIDA CONSUELO</t>
  </si>
  <si>
    <t>PUERTO SUA VIENA ESPERANZA</t>
  </si>
  <si>
    <t xml:space="preserve">MESA MARQUEZ  YOLIMA </t>
  </si>
  <si>
    <t xml:space="preserve">PARRA  MILENA </t>
  </si>
  <si>
    <t>RINCON CABRA ZAIDA XIMENA</t>
  </si>
  <si>
    <t xml:space="preserve">ARCHILA  NUBIA </t>
  </si>
  <si>
    <t>PEDRAZA RIANO NANCY YANETH</t>
  </si>
  <si>
    <t>OLARTE MORALES ANGELA MAYERLY</t>
  </si>
  <si>
    <t>GRANADOS SANTISTEBAN LIDA ALEXANDRA</t>
  </si>
  <si>
    <t>BECERRA CONSTANZA CARVAJAL ELIA</t>
  </si>
  <si>
    <t>GARCIA ANDRADE SANDRA YADIRA</t>
  </si>
  <si>
    <t>PUERTO ROJAS MARIA FABIOLA</t>
  </si>
  <si>
    <t>CUSPOCA GARCIA ELIS MARITZA</t>
  </si>
  <si>
    <t>DIAZ CELY ALEXANDRA MILENA</t>
  </si>
  <si>
    <t>EDITH CAROLINA ALVAREZ SALAMANCA</t>
  </si>
  <si>
    <t>HERNANDEZ BLANCO JHULITZA CAROLINA</t>
  </si>
  <si>
    <t>ROJAS RAMIREZ CLAUDIA MARIBEL</t>
  </si>
  <si>
    <t>CORREDOR TAMAYO ROSA MIRYAM</t>
  </si>
  <si>
    <t>BOTIA PEÑA ZONIA ISABEL</t>
  </si>
  <si>
    <t>PEREZ TORRES NORA DEL PILAR</t>
  </si>
  <si>
    <t>VALDERRAMA PEDRAZA SONIA BETZY</t>
  </si>
  <si>
    <t>PATARROYO ROSAS LUZ YAMILE</t>
  </si>
  <si>
    <t xml:space="preserve">TORRES DIAZ ALEXANDRA </t>
  </si>
  <si>
    <t>CARRILLO GARCIA OMAIRA CONSUELO</t>
  </si>
  <si>
    <t>PICO MALPICA FANNY YESENIA</t>
  </si>
  <si>
    <t>ZAMBRANO VALDERRAMA NEYLA JANNETH</t>
  </si>
  <si>
    <t>CORREA MALAVER ALIDA ESMERALDA</t>
  </si>
  <si>
    <t>PACHECO VERGARA VIVIANA MAYERLY</t>
  </si>
  <si>
    <t>GONZALEZ PANQUEVA MONICA LILIANA</t>
  </si>
  <si>
    <t>RINCON  MARIA GLADYS</t>
  </si>
  <si>
    <t>VERA BARBOSA ANA SOFIA</t>
  </si>
  <si>
    <t>PENAGOS TORRES ALBA LUDMYLA</t>
  </si>
  <si>
    <t>DAVID ZAPATA BEATRIZ ELENA</t>
  </si>
  <si>
    <t>RODRIGUEZ ARANGUREN DORYS MARISELA</t>
  </si>
  <si>
    <t>CORREDOR PEREZ ADRIANA ELIZABETH</t>
  </si>
  <si>
    <t>MATEUS SANCHEZ MAGDA JULIETH</t>
  </si>
  <si>
    <t xml:space="preserve">ROJAS GONZALEZ YINA </t>
  </si>
  <si>
    <t xml:space="preserve">CASTAÑEDA CUSBA NANCY </t>
  </si>
  <si>
    <t>OVIEDO ROBALLO CLAUDIA PATRICIA</t>
  </si>
  <si>
    <t>ALBARRACIN MOJICA MARTHA CECILIA</t>
  </si>
  <si>
    <t>DUEÑAS JIMENEZ CLAUDIA MILENA</t>
  </si>
  <si>
    <t>AGUDELO ACERO SANDRA PATRICIA</t>
  </si>
  <si>
    <t>AGUDELO SANCHEZ NYDIA LUDIN</t>
  </si>
  <si>
    <t>ROJAS PITA SOLANYI MARYORY</t>
  </si>
  <si>
    <t>FLECHAS MAYORGA CAROL VIVIANA</t>
  </si>
  <si>
    <t>RAMIREZ RODRIGUEZ LUZ YANETH</t>
  </si>
  <si>
    <t>BUITRAGO BUITRAGO OLGA LUCIA</t>
  </si>
  <si>
    <t xml:space="preserve">SANCHEZ BUITRAGO PATRICIA </t>
  </si>
  <si>
    <t>PINEDA MARTINEZ LILIANA PATRICIA</t>
  </si>
  <si>
    <t>CASTRO PINILLA ROCIO DEL</t>
  </si>
  <si>
    <t>SAMACA CAMACHO NEIDA XIMENA</t>
  </si>
  <si>
    <t>FONSECA PEREZ MARIA JHIONEDY</t>
  </si>
  <si>
    <t>BARRERA ALBARRACIN MARTA ISABEL</t>
  </si>
  <si>
    <t>MEDINA GUTIERREZ AURA NELLY</t>
  </si>
  <si>
    <t>BOLIVAR BOLIVAR OLGA ESPERANZA</t>
  </si>
  <si>
    <t>LOPEZ HERNANDEZ ANA  ISABEL</t>
  </si>
  <si>
    <t>MONROY COMBARIZA NANCY ANDREA</t>
  </si>
  <si>
    <t>CAMARGO OCHOA MARIA CRISTINA</t>
  </si>
  <si>
    <t>HURTADO RAMIREZ BLANCA YANETH</t>
  </si>
  <si>
    <t xml:space="preserve">PEÑA PEÑA GLADYS </t>
  </si>
  <si>
    <t>RAMIREZ CAMARGO ENITH YADIRA</t>
  </si>
  <si>
    <t>OSTOS BRIJALDO CLARA EDITH</t>
  </si>
  <si>
    <t xml:space="preserve">MONROY AREVALO  EDILIA </t>
  </si>
  <si>
    <t>ROSAS PUERTO LIDA YANETH</t>
  </si>
  <si>
    <t>PLAZAS VARGAS MARIA ELENA</t>
  </si>
  <si>
    <t>VARGAS LARA SANDRA YANETH</t>
  </si>
  <si>
    <t>CAMARGO CAMARGO EMITH .</t>
  </si>
  <si>
    <t>SOSA BENAVIDES ANNY MILLER</t>
  </si>
  <si>
    <t>JAIMES CAMACHO NIDIA FABIOLA</t>
  </si>
  <si>
    <t>LOPEZ  ZANDRA LILIANA</t>
  </si>
  <si>
    <t>GARZON OSORIO NIDIA CRISTINA</t>
  </si>
  <si>
    <t>TORRES CELY MARIA CLAUDIA</t>
  </si>
  <si>
    <t>AGUDELO  MARTHA LILIANA</t>
  </si>
  <si>
    <t>ROSAS PUERTO NELLY AMAGDA</t>
  </si>
  <si>
    <t>ACERO NINO SANDRA MILENA</t>
  </si>
  <si>
    <t>ROJAS REYES CLAUDIA MARCELA</t>
  </si>
  <si>
    <t>ZANGUÑA  MARIA CRISTINA</t>
  </si>
  <si>
    <t xml:space="preserve">OCHOA  CLAUDIA </t>
  </si>
  <si>
    <t>RODRIGUEZ BARRERA GLORIA XIMENA</t>
  </si>
  <si>
    <t>DIAZ SANCHEZ YADIRA CONSTANZA</t>
  </si>
  <si>
    <t>MEDINA LEON MARIA CAROLINA</t>
  </si>
  <si>
    <t>VELANDIA  ADRIANA CAOLINA</t>
  </si>
  <si>
    <t>GONZALEZ SOGAMOSO JHENY PAOLA</t>
  </si>
  <si>
    <t>HERNANDEZ PEDRAZA LUZ DARY</t>
  </si>
  <si>
    <t>VALBUENA . ALEJANDRA MARIA</t>
  </si>
  <si>
    <t>CHAPARRO VALENCIA ADRIANA MARIA</t>
  </si>
  <si>
    <t>OCHOA BENITEZ DIANA CRISTINA</t>
  </si>
  <si>
    <t>PACHECO DIAZ DORIS EMILCEN</t>
  </si>
  <si>
    <t xml:space="preserve">NINO PATARROYO SORAIDA </t>
  </si>
  <si>
    <t>BAEZ PINEDA ADRIANA FERNANDA</t>
  </si>
  <si>
    <t>FONCESA ANTONIO DIANA MARCELA</t>
  </si>
  <si>
    <t xml:space="preserve">SILVA  SANDRA </t>
  </si>
  <si>
    <t>MARQUEZ ALARCON BLANCA NELYS</t>
  </si>
  <si>
    <t>ABRIL PEREZ MARIA ISLENA</t>
  </si>
  <si>
    <t xml:space="preserve">ROMERO SEGUA LORRAINE </t>
  </si>
  <si>
    <t>DURAN TEJEDOR NERY CARENY</t>
  </si>
  <si>
    <t>VILLERO CASTRO ESILDA MARIA</t>
  </si>
  <si>
    <t>VARGAS CORDERO ADITH JOHANNA</t>
  </si>
  <si>
    <t>Carmen Perez Brigida Del</t>
  </si>
  <si>
    <t>OLIVEROS HERNANDEZ INES MARIA</t>
  </si>
  <si>
    <t>RINCON DE CRUZ MARIA DE LOS ANGELES</t>
  </si>
  <si>
    <t>ALBA OROZCO MARIA ELIZABETH</t>
  </si>
  <si>
    <t>RINCON CRISTANCHO NUVIA ELIZABETH</t>
  </si>
  <si>
    <t xml:space="preserve">GOMEZ  AMANDA </t>
  </si>
  <si>
    <t>GONZALEZ  MARIA ROSA</t>
  </si>
  <si>
    <t xml:space="preserve">BRAVO CASAS YOLANDA </t>
  </si>
  <si>
    <t>GIRALDO FORERO MARIA ELENA</t>
  </si>
  <si>
    <t>HERRERA JARAMILLO MARIA ANGELA</t>
  </si>
  <si>
    <t xml:space="preserve">MONTEALEGRE  EMMA </t>
  </si>
  <si>
    <t>ANA MARIA ALVAREZ ORTIZ</t>
  </si>
  <si>
    <t>ARAQUE PERICO MARY DEL CARMEN</t>
  </si>
  <si>
    <t xml:space="preserve">CHAVEZ  EDELMIRA </t>
  </si>
  <si>
    <t>BELTRAN JIMENEZ LINDA LAURA</t>
  </si>
  <si>
    <t>MARINA  JAIMES DE MORENO</t>
  </si>
  <si>
    <t xml:space="preserve">CARRILLO AVILA NUBIA </t>
  </si>
  <si>
    <t xml:space="preserve">AREVALO  ESPERANZA </t>
  </si>
  <si>
    <t xml:space="preserve">COMBARIZA  BETY </t>
  </si>
  <si>
    <t>ROJAS  MARY PATRICIA</t>
  </si>
  <si>
    <t>PONGUTA SIABATTO ANA ISABEL</t>
  </si>
  <si>
    <t>NEIRA MOLANO VILMA PATRICIA</t>
  </si>
  <si>
    <t>ANA DORELLY AGUDELO VEGA</t>
  </si>
  <si>
    <t>UYAZAN LARROTA BLANCA MARGARITA</t>
  </si>
  <si>
    <t>BRICEÑO SILVA CLAUDIA ESTRELLA</t>
  </si>
  <si>
    <t>RAMIREZ GUALTEROS LUZ MARINA</t>
  </si>
  <si>
    <t>RAMIREZ ACERO RUTH ISABEL</t>
  </si>
  <si>
    <t>AVILA ALFONSO NUBIA STELLA</t>
  </si>
  <si>
    <t>MENDIVELSO CRISTIANO MARIA EVARISTA</t>
  </si>
  <si>
    <t>MERCHAN MORENO MARIA ADELFA</t>
  </si>
  <si>
    <t>SANDRA ISABEL BENAVIDES CHAVES</t>
  </si>
  <si>
    <t>ARAQUE VARGAS BLANCA MYRIAM</t>
  </si>
  <si>
    <t>MENDEZ MENDOZA ELBA NAIR</t>
  </si>
  <si>
    <t xml:space="preserve">NIETO CAMERO PATRICIA </t>
  </si>
  <si>
    <t>ESTUPIÑAN BALLESTEROS ROSALBA DEL CARMEN</t>
  </si>
  <si>
    <t>ROMERO WALTEROS ANA VITALIA</t>
  </si>
  <si>
    <t>OFELIA RODRIGUEZ MARIA GONZALEZ</t>
  </si>
  <si>
    <t>ACOSTA CASTRO JULIA YOLANDA</t>
  </si>
  <si>
    <t>TOVAR RAMIREZ SONIA PATRICIA</t>
  </si>
  <si>
    <t xml:space="preserve">CORREDOR  LIDIA </t>
  </si>
  <si>
    <t xml:space="preserve">LINARES BOLIVAR BETTY </t>
  </si>
  <si>
    <t>LEON SUAREZ ANA IBETH</t>
  </si>
  <si>
    <t>BECERRA MARTINEZ AMALIA BERNARDA</t>
  </si>
  <si>
    <t>QUINTERO CARDENAS LUZ MARITZA</t>
  </si>
  <si>
    <t>RINCON PEREZ ANA CECILIA</t>
  </si>
  <si>
    <t>PEÑA  MARIA EUGENIA</t>
  </si>
  <si>
    <t>ESCANDON GONZALEZ CLAUDIA PATRICIA</t>
  </si>
  <si>
    <t xml:space="preserve">LOPEZ LOPEZ GRACIELA </t>
  </si>
  <si>
    <t>CIPAGAUTA CORREA CLARA INES</t>
  </si>
  <si>
    <t xml:space="preserve">LEGUIZAMON  AMANDA </t>
  </si>
  <si>
    <t>CARDENAS CETINA GIOMAR OMAIRA</t>
  </si>
  <si>
    <t>GAMBOA GORDILLO LUZ MARY</t>
  </si>
  <si>
    <t>PAEZ ESPITIA CARMEN MARIELA</t>
  </si>
  <si>
    <t>GALLO  ANA EDILIA</t>
  </si>
  <si>
    <t>LIZARAZO  ROSA ALBA</t>
  </si>
  <si>
    <t xml:space="preserve">HORTIZ HERRERA  MARIA EDILSA </t>
  </si>
  <si>
    <t>TIRIA HIGUERA MARTHA LUCIA</t>
  </si>
  <si>
    <t xml:space="preserve">RUBIAN  MARIA </t>
  </si>
  <si>
    <t xml:space="preserve">MARIÑO VELANDIA NORMA </t>
  </si>
  <si>
    <t>VACCA QUINTERO MARIA DEL PILAR</t>
  </si>
  <si>
    <t>JARAMILLO BUITRAGO MARTA CECILIA</t>
  </si>
  <si>
    <t>VARGAS SANCHEZ ZULY JANEETT</t>
  </si>
  <si>
    <t>PEREZ ACEVEDO MARIA CLEMENCIA</t>
  </si>
  <si>
    <t xml:space="preserve">CHUDT COLMENARES  CLAUDIA CONSUELO </t>
  </si>
  <si>
    <t>GOMEZ PATIÑO LUZ ELENA</t>
  </si>
  <si>
    <t>ALMONACID MARTINEZ FLOR ALBA</t>
  </si>
  <si>
    <t xml:space="preserve">RODRIGUEZ GONZALEZ ARGENIS </t>
  </si>
  <si>
    <t>BULLA .  DIANA PATRICIA</t>
  </si>
  <si>
    <t>NINO GONZALEZ LUZ MARINA</t>
  </si>
  <si>
    <t xml:space="preserve">GRANADOS  ELVIRA </t>
  </si>
  <si>
    <t xml:space="preserve">SALAZAR RIANO GLADYS </t>
  </si>
  <si>
    <t>RODRIGUEZ CICUA NELLY CRISTINA</t>
  </si>
  <si>
    <t>TORRES  CIELO ROCIO</t>
  </si>
  <si>
    <t>BECERRA  MARIA ANAIZ</t>
  </si>
  <si>
    <t>LANDINEZ AGUILAR NANCY TATIANA</t>
  </si>
  <si>
    <t xml:space="preserve">QUIROGA PACHON ESPERANZA </t>
  </si>
  <si>
    <t>CHAPARRO MARTINEZ SONIA CRISTINA</t>
  </si>
  <si>
    <t xml:space="preserve">OROZCO CARREÑO HEDY </t>
  </si>
  <si>
    <t>VELANDIA SELENO ANA ALODIA</t>
  </si>
  <si>
    <t>CORTES SANCHEZ IBONNE YANEHT</t>
  </si>
  <si>
    <t>CELY ACEVEDO NELSY EDITH</t>
  </si>
  <si>
    <t xml:space="preserve">GUZMAN JANNETH PAEZ </t>
  </si>
  <si>
    <t xml:space="preserve">BARRERO VERA MARIA </t>
  </si>
  <si>
    <t xml:space="preserve">ANGARITA BURGOS GLADIS </t>
  </si>
  <si>
    <t>MELO MELO NOHORA ALBA</t>
  </si>
  <si>
    <t>RODRIGUEZ CLAVIJO BLANCA DORIS</t>
  </si>
  <si>
    <t>SALAZAR DIAZ OMAYRA</t>
  </si>
  <si>
    <t>MALAVER CELY NANCY DEL CARMEN</t>
  </si>
  <si>
    <t xml:space="preserve">TORRES  LORENA </t>
  </si>
  <si>
    <t xml:space="preserve">PARRA LOPEZ CLELIA </t>
  </si>
  <si>
    <t xml:space="preserve">CAICEDO PATRICIA PINZON </t>
  </si>
  <si>
    <t>CAMACHO BUSTOS EVEANNA YANETH</t>
  </si>
  <si>
    <t>ROSA SANCHEZ MARGARITA DE LA</t>
  </si>
  <si>
    <t>CANO AGREDO OLGA LUCIA</t>
  </si>
  <si>
    <t xml:space="preserve">AYDE  GLADYS </t>
  </si>
  <si>
    <t>REYES LARA MARTHA CECILIA</t>
  </si>
  <si>
    <t xml:space="preserve">NIÑO  ADRIANA </t>
  </si>
  <si>
    <t>PINTO JARRO OLGA LUCIA</t>
  </si>
  <si>
    <t>GOMEZ BRISEÑO SONIA ESPERANZA</t>
  </si>
  <si>
    <t xml:space="preserve">MEJIA GUEVARA MARTHA </t>
  </si>
  <si>
    <t>GOMES BARRIOS SANDRA MIREYA</t>
  </si>
  <si>
    <t>TORRES BECERRA GLADYS LILIA</t>
  </si>
  <si>
    <t>SILVA SIRATA ANA ELIZABETH</t>
  </si>
  <si>
    <t>QUINTANA SEGURA CLAUDIA MARCELA</t>
  </si>
  <si>
    <t>CORREDOR RODRIGUEZ MARIA CRISTINA</t>
  </si>
  <si>
    <t xml:space="preserve">PEREZ  MARIA </t>
  </si>
  <si>
    <t>ROBAYO NIÑO SANDRA MILENA</t>
  </si>
  <si>
    <t>MARTINEZ  FLOR ANGELA</t>
  </si>
  <si>
    <t>ACOSTA LOPEZ RUBY ELISA</t>
  </si>
  <si>
    <t>COMBARIZA AZUERO MARIA DEL PILAR</t>
  </si>
  <si>
    <t xml:space="preserve">GOMEZ MONTAÑA SANDRA </t>
  </si>
  <si>
    <t xml:space="preserve">PUENTES FAJARDO MAYERLY </t>
  </si>
  <si>
    <t xml:space="preserve">BENAVIDES HERNANDEZ OLADIS </t>
  </si>
  <si>
    <t>RIANO NINO MARY RUTH</t>
  </si>
  <si>
    <t>RUBIO CONTRERAS HERLY MIREYA</t>
  </si>
  <si>
    <t xml:space="preserve">CORTES HERNANDEZ MARIA DEL PILAR </t>
  </si>
  <si>
    <t>MORALES ROBLES ELSA EDITH</t>
  </si>
  <si>
    <t xml:space="preserve">MELO RAMIREZ DELFINA </t>
  </si>
  <si>
    <t xml:space="preserve">RUIZ  MARCELA </t>
  </si>
  <si>
    <t xml:space="preserve">CARVAJAL GONZALEZ AYDE </t>
  </si>
  <si>
    <t>OLAYA CAMARGO JUDITH DEL PILAR</t>
  </si>
  <si>
    <t xml:space="preserve">GONZALEZ VEGA DAMARIS </t>
  </si>
  <si>
    <t>RODRIGUEZ VIRACACHA MARIA OBDULIA</t>
  </si>
  <si>
    <t xml:space="preserve">CARVAJAL  SANDRA </t>
  </si>
  <si>
    <t>GALVIS NINO LUZ MARINA</t>
  </si>
  <si>
    <t>CRISTANCHO HERRERA CLAUDIA PATRICIA</t>
  </si>
  <si>
    <t xml:space="preserve">CERINZA MOJICA MARILCE </t>
  </si>
  <si>
    <t>SILVA PAIPA MARTHA YANIVE</t>
  </si>
  <si>
    <t>CARVAJAL PATARROYO CLAUDIA CONSTANZA</t>
  </si>
  <si>
    <t>PEDRAZA CORREDOR MARY LUZ</t>
  </si>
  <si>
    <t>FIGUEROA GODOY SANDRA ELIZETH</t>
  </si>
  <si>
    <t>NUÑEZ RODRIGUEZ LILIA MARLEN</t>
  </si>
  <si>
    <t>VERDUGO ESTUPIÑAN MILENA YADIRA</t>
  </si>
  <si>
    <t xml:space="preserve">FONSECA  DIANA </t>
  </si>
  <si>
    <t>CHAVEZ DURAN MARIA NELLY</t>
  </si>
  <si>
    <t>GARZON PINEDA LUZ MARINA</t>
  </si>
  <si>
    <t xml:space="preserve">DUARTE NIÑO YAMILE </t>
  </si>
  <si>
    <t xml:space="preserve">CABALLERO JIMENEZ NIDIA </t>
  </si>
  <si>
    <t>CERRO VERGARA FLOR TATIANA</t>
  </si>
  <si>
    <t xml:space="preserve">ALBARRACIN HERNANDEZ PRESENTACION </t>
  </si>
  <si>
    <t>PUERTO GUIO MARTHA PATRICIA</t>
  </si>
  <si>
    <t>LEON OSTOS PAOLA ANDREA</t>
  </si>
  <si>
    <t>SILVA SANDOVAL MAGDA NORAIMA</t>
  </si>
  <si>
    <t>MARTIN DIAZ ADRIANA MILENA</t>
  </si>
  <si>
    <t>ROJAS GONZALEZ NELSY YADIRA</t>
  </si>
  <si>
    <t>ESTUPIÑAN ESTUPIÑAN ALEXANDRA XIMENA</t>
  </si>
  <si>
    <t>MACHUCA CIFUENTES GLADYS YANED</t>
  </si>
  <si>
    <t xml:space="preserve">MORALES BARRERA MARIBEL </t>
  </si>
  <si>
    <t>GARAVITO CASTRO MARIA EDILMA</t>
  </si>
  <si>
    <t>GACHA RAMIREZ JUDY ANDREA</t>
  </si>
  <si>
    <t>BEJARANO MALAVERA NECTY ESNEIDA</t>
  </si>
  <si>
    <t xml:space="preserve">BENITEZ GOYENECHE NELSY </t>
  </si>
  <si>
    <t xml:space="preserve">RODRIGUEZ QUINTERO  CONSTANZA </t>
  </si>
  <si>
    <t>IBAÑEZ SERRANO CAROLINA MARCELA</t>
  </si>
  <si>
    <t xml:space="preserve">REAL MORENO PATRICIA </t>
  </si>
  <si>
    <t>PEREZ ACEVEDO MONICA MARIA</t>
  </si>
  <si>
    <t>PIRACOCA HERNANDEZ NIDIA ESPERANZA</t>
  </si>
  <si>
    <t xml:space="preserve">PARADA GARCIA NANCY </t>
  </si>
  <si>
    <t>CAMARGO CAMARGO FLOR ANGELA</t>
  </si>
  <si>
    <t>PEREZ INFANTE ALEIDA ROCIO</t>
  </si>
  <si>
    <t xml:space="preserve">PEREZ VEGA INDIRA </t>
  </si>
  <si>
    <t xml:space="preserve">ALVAREZ MEDINA CAMILA </t>
  </si>
  <si>
    <t>RAMIREZ VALDERRAMA JULIA MIREYA</t>
  </si>
  <si>
    <t>CUBIDES POVEDA NELSY YUDITH</t>
  </si>
  <si>
    <t>SOLER AVILA LIBIA INES</t>
  </si>
  <si>
    <t>VDR SAN LORENZO SUAREZ LUZ MIRYAM</t>
  </si>
  <si>
    <t xml:space="preserve">VELANDIA BOTTIA AMABELL </t>
  </si>
  <si>
    <t xml:space="preserve">SANCHEZ LEMUS ADRIANA </t>
  </si>
  <si>
    <t xml:space="preserve">VILLALOBOS RIAÑO JOHANA </t>
  </si>
  <si>
    <t>VALDERRAMA CAMARGO BRIGITT YOLANDA</t>
  </si>
  <si>
    <t xml:space="preserve">REAL LINARES LIZETH </t>
  </si>
  <si>
    <t>ROSA ALCIRA ROJAS ESTUPIÑAN</t>
  </si>
  <si>
    <t xml:space="preserve">MARIA  BERDUGO </t>
  </si>
  <si>
    <t>CELY MORENO ANGELA MARIETA</t>
  </si>
  <si>
    <t>RODRIGUEZ DIAZ DIANA CAROLINA</t>
  </si>
  <si>
    <t>MONTEJO RIANO EMPERATRIZ HELENA</t>
  </si>
  <si>
    <t xml:space="preserve">ALDANA VILLAMIL NUBIA </t>
  </si>
  <si>
    <t>RIAÑO ROMERO CARMEN STHELLA</t>
  </si>
  <si>
    <t>AGUILERA URREGO FANY GRACIELA</t>
  </si>
  <si>
    <t>AMEZQUITA  NANCY INES</t>
  </si>
  <si>
    <t xml:space="preserve">AVELLANEDA RODRIGUEZ ANDREA </t>
  </si>
  <si>
    <t>GALINDO MEJIA MARTHA PATRICIA</t>
  </si>
  <si>
    <t>PANQUEVA . LAURA XIMENA</t>
  </si>
  <si>
    <t>FLOREZ DUARTE JENNY INELSY</t>
  </si>
  <si>
    <t>ACERO SANCHEZ YENNY HASBLEYDY</t>
  </si>
  <si>
    <t>DAZA NAVA CLAUDIA MARCELA</t>
  </si>
  <si>
    <t>DURAN  YESENIA GRICEL</t>
  </si>
  <si>
    <t xml:space="preserve">GUERRERO DELGADILLO YESENIA </t>
  </si>
  <si>
    <t xml:space="preserve">FUENTES ANGARITA FARYD </t>
  </si>
  <si>
    <t xml:space="preserve">RINCON FUENTES CONSUELO </t>
  </si>
  <si>
    <t>RODRIGUEZ MARTINEZ YENNY LILIANA</t>
  </si>
  <si>
    <t>BONZA ARCHILA ASTRID MAYERLY</t>
  </si>
  <si>
    <t xml:space="preserve">VARGAS AYALA VELLCY </t>
  </si>
  <si>
    <t>RUBIANO ROJAS ANDREA CAROLINA</t>
  </si>
  <si>
    <t xml:space="preserve">VELASQUEZ PEREZ TATIANA </t>
  </si>
  <si>
    <t>MENDIVELSO MALAMBO CLAUDIA PATRICIA</t>
  </si>
  <si>
    <t xml:space="preserve">GIRATA MARTINEZ MARTA </t>
  </si>
  <si>
    <t>DELGADO CELY PAULA ANDREA</t>
  </si>
  <si>
    <t>GARCIA GOMEZ MARIA FIDELIA</t>
  </si>
  <si>
    <t>CR 5 A N 15 B 41 ANDRADE LORELL JACKELINE</t>
  </si>
  <si>
    <t>CANTOR TIRIA LIDA MARITZA</t>
  </si>
  <si>
    <t>BECERRA SAAVEDRA LUZ MARIBEL</t>
  </si>
  <si>
    <t>BARRERA MORENO LAURA YASMIN</t>
  </si>
  <si>
    <t>FONSECA MUNEVAR FRANCY LORENA</t>
  </si>
  <si>
    <t xml:space="preserve">GARCEZ  BETTY </t>
  </si>
  <si>
    <t>MORA  LUISA FERNANDA</t>
  </si>
  <si>
    <t>CAMPOS FIQUITIVA MONICA LILIANA</t>
  </si>
  <si>
    <t>TENJO FORERO DEYSI JOHANA</t>
  </si>
  <si>
    <t>MONTOYA JIMENEZ BIBIAN ANDREA</t>
  </si>
  <si>
    <t>SUAREZ TORRES ANGELA PIEDAD</t>
  </si>
  <si>
    <t>GACHA MARTINEZ LUZ MIREYA</t>
  </si>
  <si>
    <t>ANGARITA  LUZ MIREYA</t>
  </si>
  <si>
    <t>CARRILLO TORRES  ALEXANDRA</t>
  </si>
  <si>
    <t xml:space="preserve">MONTOYA  YANETH </t>
  </si>
  <si>
    <t>CUEVAS LOPEZ ROSA STELLA</t>
  </si>
  <si>
    <t>CASTELBLANCO CAMARGO ROSA CAROLINA</t>
  </si>
  <si>
    <t xml:space="preserve">ARDILA MURCIA LADY </t>
  </si>
  <si>
    <t>BECERRA RODRIGUEZ INGRID ASTRID</t>
  </si>
  <si>
    <t xml:space="preserve">CARDENAS  PATRICIA </t>
  </si>
  <si>
    <t xml:space="preserve">PULIDO RAMIREZ PATRICIA </t>
  </si>
  <si>
    <t>ARIZA  GINNA MARCELA</t>
  </si>
  <si>
    <t xml:space="preserve">VIRACACHA GONZALEZ NANCY </t>
  </si>
  <si>
    <t>ORJUELA  LINA PAOLA</t>
  </si>
  <si>
    <t>GALINDO PATIÑO JENNY PAOLA</t>
  </si>
  <si>
    <t xml:space="preserve">CARVAJAL RUBIANO SORANNY </t>
  </si>
  <si>
    <t>RUIZ RAMIREZ LIBY CATERYNE</t>
  </si>
  <si>
    <t>SILVA BRICENO LEIDY SIOMARA</t>
  </si>
  <si>
    <t>ROJAS AMADO LIZET MILENA</t>
  </si>
  <si>
    <t xml:space="preserve">BARRERA  MALKA </t>
  </si>
  <si>
    <t>ORTIZ  AIDA LILIANA</t>
  </si>
  <si>
    <t>MENDOZA CARDENAS LUZ HELENA</t>
  </si>
  <si>
    <t>RAMOS SERRANO ESTHER BEATRIZ</t>
  </si>
  <si>
    <t>AGUILAR SANDOVAL SANDRA MILENA</t>
  </si>
  <si>
    <t>HORTUA TORRES DEISSY JOHANNA</t>
  </si>
  <si>
    <t>MARTINEZ SATIVA MARIA YANED</t>
  </si>
  <si>
    <t xml:space="preserve">RECALDE  MARIANA </t>
  </si>
  <si>
    <t>MARTINEZ LEON LUZ STELLA</t>
  </si>
  <si>
    <t>CLAUDIA MILENA HERNANDEZ ORTIZ</t>
  </si>
  <si>
    <t>VARGAS VARGAS NUBIA ROCIO</t>
  </si>
  <si>
    <t xml:space="preserve">PEREZ  NANCY </t>
  </si>
  <si>
    <t>LOZANO . CLAUDIA MARCELA</t>
  </si>
  <si>
    <t xml:space="preserve">TARAZONA ARCHILA CRISTELL </t>
  </si>
  <si>
    <t>BERMUDEZ CRUZ GINNA VIVIANA</t>
  </si>
  <si>
    <t>MURILLO MARTINEZ MARTHA YAMILE</t>
  </si>
  <si>
    <t xml:space="preserve">CASTILLO CONTRERAS YENIFER </t>
  </si>
  <si>
    <t>REYES LARA VIVIANA MARCELA</t>
  </si>
  <si>
    <t xml:space="preserve">GOYENECHE FERNANDEZ JANETH </t>
  </si>
  <si>
    <t>MERCHAN ESPINDOLA YENI ROCIO</t>
  </si>
  <si>
    <t>MERCHAN CAMACHO NELLY MARCELA</t>
  </si>
  <si>
    <t>NEIRA GUALTEROS LADY BIBIANA</t>
  </si>
  <si>
    <t>REY FUENTES LORENA VIVIANA</t>
  </si>
  <si>
    <t>CALDERON SANCHEZ NEIDI YOLANDA</t>
  </si>
  <si>
    <t>GUIO GUEVARA EMILY JOHANA</t>
  </si>
  <si>
    <t>LARA RIOS DIANA PATRICIA</t>
  </si>
  <si>
    <t>SALCEDO ROJAS LUZ ADRIANA</t>
  </si>
  <si>
    <t xml:space="preserve">CUCUNUBA  ISBELIA </t>
  </si>
  <si>
    <t>DELGADO RESTREPO MAYELI MARCELA</t>
  </si>
  <si>
    <t xml:space="preserve">ARISMENDY NAUSA TATIANA </t>
  </si>
  <si>
    <t>ROA MOJICA DORA MIREYA</t>
  </si>
  <si>
    <t>VASQUEZ CORREDOR DIANA PAOLA</t>
  </si>
  <si>
    <t xml:space="preserve">SIERRA JACQUELINE DIAZ </t>
  </si>
  <si>
    <t>MEJIA HORMAZA ANGELA PATRICIA</t>
  </si>
  <si>
    <t>ESPITIA CIFUENTES DEISY KARINA</t>
  </si>
  <si>
    <t>NEISA RAMOS LILIANA ANDREA</t>
  </si>
  <si>
    <t>ESTUPIÑAN CUADROS VIVIANA CONSTANZA</t>
  </si>
  <si>
    <t xml:space="preserve">BAEZ CABRA CAROLINA </t>
  </si>
  <si>
    <t xml:space="preserve">GAVIRIA  LEIDY </t>
  </si>
  <si>
    <t xml:space="preserve">VERA CABRA  CANDY </t>
  </si>
  <si>
    <t>CAMPOS ALBA ANA CAROLINA</t>
  </si>
  <si>
    <t>MESA MERCHAN MARTHA LILIANA</t>
  </si>
  <si>
    <t xml:space="preserve">FARIETA  DIANA </t>
  </si>
  <si>
    <t>GONZALEZ ORDOÑEZ MARIA MARCELA</t>
  </si>
  <si>
    <t>LONDOÑO SOCHE INGRITH PAOLA</t>
  </si>
  <si>
    <t xml:space="preserve">CRUZ CRISTANCHO ELIZABETH </t>
  </si>
  <si>
    <t>POLANCO QUEVEDO SANDRA LILIANA</t>
  </si>
  <si>
    <t>ALVAREZ TOLEDO YANID AMPARO</t>
  </si>
  <si>
    <t>GONZALEZ  EDNA ESMERALDA</t>
  </si>
  <si>
    <t xml:space="preserve">POLANIA  MARINELA </t>
  </si>
  <si>
    <t>KAMMERER THERAN LILIANA ROSA</t>
  </si>
  <si>
    <t>MONTENEGRO ORDOÑEZ MONICA CONSTANZA</t>
  </si>
  <si>
    <t>ARAQUE LEON LUZ MARINA</t>
  </si>
  <si>
    <t xml:space="preserve">PARRA MARTHA DIAZ </t>
  </si>
  <si>
    <t xml:space="preserve">FERNANDEZ MENDEZ MATILDE </t>
  </si>
  <si>
    <t>RODRIGUEZ MALAGON KELLY MAUREN</t>
  </si>
  <si>
    <t xml:space="preserve">GARCIA  SOCORRO </t>
  </si>
  <si>
    <t>PATIÑO PEREZ ANA MERCEDES</t>
  </si>
  <si>
    <t>PERDOMO LARA LUZ MARY</t>
  </si>
  <si>
    <t>CORREDOR ARAQUE ROSA CECILIA</t>
  </si>
  <si>
    <t xml:space="preserve">CASTRO ORTIZ SANDRA </t>
  </si>
  <si>
    <t>NORIEGA GALVAN IFELIA MARIA</t>
  </si>
  <si>
    <t xml:space="preserve">ISAQUITA REY MELVA </t>
  </si>
  <si>
    <t>COTE BRANGO LEYLA MARIA</t>
  </si>
  <si>
    <t>GONZALEZ TORRES LUZ MERY</t>
  </si>
  <si>
    <t>VARGAS TORRES MYRIAM ZULAY</t>
  </si>
  <si>
    <t>GONZALEZ MONTES MARIA AMPARO</t>
  </si>
  <si>
    <t xml:space="preserve">PAEZ BIBIANA GUTIERREZ </t>
  </si>
  <si>
    <t>VALERO URREA MERLY PAOLA</t>
  </si>
  <si>
    <t xml:space="preserve">PERILLA  GUILLERMINA </t>
  </si>
  <si>
    <t>ESTHER PRADA GLORIA ESTHER</t>
  </si>
  <si>
    <t xml:space="preserve">RODRIGUEZ IGUA ANITA </t>
  </si>
  <si>
    <t xml:space="preserve">VARGAS CELY ELICINDA </t>
  </si>
  <si>
    <t xml:space="preserve">PEÑA  JULIETA </t>
  </si>
  <si>
    <t>TAMAYO HERRERA ALBA MERCEDES</t>
  </si>
  <si>
    <t>LARA VERGARA LUZ MYRIAM</t>
  </si>
  <si>
    <t>CETINA ZAMBRANO CLAUDIA CRISTINA</t>
  </si>
  <si>
    <t xml:space="preserve">MARISOL  CAMARGO </t>
  </si>
  <si>
    <t>ALMENDRALES HODGES EDITH MARIA</t>
  </si>
  <si>
    <t xml:space="preserve">Aponte  Esperanza </t>
  </si>
  <si>
    <t>CAMACHO RAMIREZ LUZ ELENA</t>
  </si>
  <si>
    <t>MORENO VEGA ALBA ROSLENY</t>
  </si>
  <si>
    <t xml:space="preserve">CACERES MANRIQUE YANETH </t>
  </si>
  <si>
    <t>ACEROS CHAPARRO MARTHA YANNETH</t>
  </si>
  <si>
    <t>GOMEZ PEÑA NOHORA LUCIA</t>
  </si>
  <si>
    <t>SOLER SANTACOLOMA CLARA XIMENA</t>
  </si>
  <si>
    <t xml:space="preserve">BECERA  ALBA </t>
  </si>
  <si>
    <t>JAIMES REYES MARTA ROCIO</t>
  </si>
  <si>
    <t xml:space="preserve">MORENO JAIMES MARISOL </t>
  </si>
  <si>
    <t>QUIROGA RIVAS JULIE ALEXANDRA</t>
  </si>
  <si>
    <t>SANCHEZ HERNANDEZ FLOR ESTELA</t>
  </si>
  <si>
    <t>CASTAÑEDA GRANADOS YENNY MARITZA</t>
  </si>
  <si>
    <t xml:space="preserve">PUENTES MORENO ROSSMERY </t>
  </si>
  <si>
    <t xml:space="preserve">RAMIREZ RUBIANO JENNS </t>
  </si>
  <si>
    <t xml:space="preserve">CELY LEON LUCY </t>
  </si>
  <si>
    <t>PEREA LARA SANDRA MILENA</t>
  </si>
  <si>
    <t xml:space="preserve">GALVIS  PAOLA </t>
  </si>
  <si>
    <t>SEPULVEDA JEREZ ANGELA DANIELA</t>
  </si>
  <si>
    <t>TRIANA ESTUPIÑAN PAULA INES</t>
  </si>
  <si>
    <t xml:space="preserve">SOLARES  LIZETH </t>
  </si>
  <si>
    <t xml:space="preserve">RIOS ARENAS ARLEYDI </t>
  </si>
  <si>
    <t>AMAYA MEJIA ERIKA YOLANDA</t>
  </si>
  <si>
    <t>ROJAS ARENAS ELENA MARIA</t>
  </si>
  <si>
    <t>ORTIZ  ANYI ALEJANDRA</t>
  </si>
  <si>
    <t>HERNANDEZ RIVERA PILAR DEL</t>
  </si>
  <si>
    <t>PINEDA GARCIA ADRIANA MARIA</t>
  </si>
  <si>
    <t>CAMACHO GUZMAN LUZ MARINA</t>
  </si>
  <si>
    <t>PANCHA DELGADO MARTHA ROCIO</t>
  </si>
  <si>
    <t>VIVAS FRANCO PATRICIA EMILIA</t>
  </si>
  <si>
    <t>RODRIGUEZ  MARIA ELENA</t>
  </si>
  <si>
    <t>IJAJI CADAVID LUZ MIRYAM</t>
  </si>
  <si>
    <t xml:space="preserve">SUAREZ ROJAS  SANDRA BEATRIZ </t>
  </si>
  <si>
    <t>MONROY CORREDOR VERONICA YANETH</t>
  </si>
  <si>
    <t>RUGE  SANDRA MILENA</t>
  </si>
  <si>
    <t>ARENAS ROJAS SANDRA MILENA</t>
  </si>
  <si>
    <t xml:space="preserve">GAMBOA  NASLY </t>
  </si>
  <si>
    <t>NUÑEZ AVENDAÑO LUZ MARINA</t>
  </si>
  <si>
    <t xml:space="preserve">MUÑOZ MUÑOZ MIRYAN </t>
  </si>
  <si>
    <t>CASTILLO CASTILLO ARELIS ILDA</t>
  </si>
  <si>
    <t xml:space="preserve">SANCHEZ TARAZONA EULALIA </t>
  </si>
  <si>
    <t>PEREZ CORREDOR NIDYA ESTRELLA</t>
  </si>
  <si>
    <t>CHAPID  GLEYDA GENID</t>
  </si>
  <si>
    <t>CABRA ACOSTA FELIX GILBERTO</t>
  </si>
  <si>
    <t>SUCERQUIA  HENRY ALONSO</t>
  </si>
  <si>
    <t xml:space="preserve">FUENTES GONZALEZ  JOSE LUIS </t>
  </si>
  <si>
    <t xml:space="preserve">FORERO . OCTAVIO </t>
  </si>
  <si>
    <t>SUAREZ SANDOVAL LUIS EDGAR</t>
  </si>
  <si>
    <t>GIRALDO GOMEZ CARLOS ERNESTO</t>
  </si>
  <si>
    <t>JURADO VASQUEZ HUGO ARMANDO</t>
  </si>
  <si>
    <t>RUIZ GIRALDO ANDRES PAOLO</t>
  </si>
  <si>
    <t>TUNJA CARRENO FABIAN LEONARDO</t>
  </si>
  <si>
    <t>BARRIOS ALMANZA ALEX FERNANDO</t>
  </si>
  <si>
    <t xml:space="preserve">ROJAS  VICTOR </t>
  </si>
  <si>
    <t>GAZABON RADA LUIS GABREL</t>
  </si>
  <si>
    <t xml:space="preserve">B  A </t>
  </si>
  <si>
    <t>GIL MORALES OMAR ALONSO</t>
  </si>
  <si>
    <t>CUCUNUBA ROJAS JESUS BENIGNO</t>
  </si>
  <si>
    <t>CONTRERAS LARA JESUS RAFAEL</t>
  </si>
  <si>
    <t xml:space="preserve">ZULETA SALAZAR HEINZ </t>
  </si>
  <si>
    <t>TORRES CORREDOR OSKAR FERNANDO</t>
  </si>
  <si>
    <t>VARGAS LEON YEISON JAVIER</t>
  </si>
  <si>
    <t>ROMERO TOLEDO FIDEL ALFONSO</t>
  </si>
  <si>
    <t>DACCARETT ARIZA ALFREDO ANTONIO</t>
  </si>
  <si>
    <t>OLIVERO ZARATE EDINSON RAFAEL</t>
  </si>
  <si>
    <t>RODRIGUEZ GARCIA LUIS EDUARDO</t>
  </si>
  <si>
    <t>RINCON MENDOZA JOSE DE JESUS</t>
  </si>
  <si>
    <t>JIMENEZ MESA DAVID ENRIQUE</t>
  </si>
  <si>
    <t>VANEGAS CAICEDO NICTOR ARNULFO</t>
  </si>
  <si>
    <t>MONTIEL BARRIOS ALFREDO DE JESUS</t>
  </si>
  <si>
    <t>RINCON DUEÑAS JORGE ALIRIO</t>
  </si>
  <si>
    <t>GARCIA FERNANDEZ LUIS EMIRO</t>
  </si>
  <si>
    <t xml:space="preserve">CETINA  JOSE </t>
  </si>
  <si>
    <t>VARGAS VARGAS ANTONIO MANUEL</t>
  </si>
  <si>
    <t>ARCINIEGAS ACEVEDO JOHN JAIRO</t>
  </si>
  <si>
    <t>QUIJANO GOMEZ PETER JOHNATAN</t>
  </si>
  <si>
    <t>ALARCON PEDRAZA YEFFER STHIFF</t>
  </si>
  <si>
    <t>PINTO ALBARRACIN JOSE MAURICIO</t>
  </si>
  <si>
    <t xml:space="preserve">PULIDO MENDOZA  HARRISON BAUDILIO </t>
  </si>
  <si>
    <t>ROJAS CHAPARRO NELSON MANUEL</t>
  </si>
  <si>
    <t>NARANJO AVILA ALVARO LEONARDO</t>
  </si>
  <si>
    <t>ADAME LOPEZ DIEGO FERNANDO</t>
  </si>
  <si>
    <t>GODOY RODRIGUEZ VICTOR JULIO</t>
  </si>
  <si>
    <t xml:space="preserve">CARDENAS  MILLER </t>
  </si>
  <si>
    <t xml:space="preserve">AREVALO  OMAR </t>
  </si>
  <si>
    <t xml:space="preserve">PORRAS  OMAR </t>
  </si>
  <si>
    <t>AYALA RIVEROS JUAN GABRIEL</t>
  </si>
  <si>
    <t xml:space="preserve">MILLAN PEREZ GONZALO </t>
  </si>
  <si>
    <t>GUIO PEREZ OSWALDO ANDRES</t>
  </si>
  <si>
    <t>ROJAS NOCUA JUAN ALONSO</t>
  </si>
  <si>
    <t>BARRERA ROZO CAMILO ENRIQUE</t>
  </si>
  <si>
    <t>LOPEZ MANOSALVA PEDRO ALEXANDER</t>
  </si>
  <si>
    <t>GIL ROJAS JOSE JAIME</t>
  </si>
  <si>
    <t xml:space="preserve">OCHOA SALAMANCA  OSCAR LIBARDO </t>
  </si>
  <si>
    <t>BARINAS AGUIRRE DIEGO ARMANDO</t>
  </si>
  <si>
    <t>CARDENAS ROSAS LUIS FELIPE</t>
  </si>
  <si>
    <t>LOPEZ CALDERON ELKIN ANDRES</t>
  </si>
  <si>
    <t>DIAZ NIÑO OSCAR GIOVANNI</t>
  </si>
  <si>
    <t>PEDRAZA PINEDA OSCAR ANDRES</t>
  </si>
  <si>
    <t>CELY  LUIS CARLOS</t>
  </si>
  <si>
    <t>ANGEL RODRIGUEZ FAVIO ERNESTO</t>
  </si>
  <si>
    <t>PUENTE LA BALSA PEREZ HERVIN GUIOVANI</t>
  </si>
  <si>
    <t>HOLGUIN TINJACA RORY ALEJANDRO</t>
  </si>
  <si>
    <t xml:space="preserve">ZEA GUTIERREZ RODRIGO </t>
  </si>
  <si>
    <t>LOPEZ ROA JOHN DARWIN</t>
  </si>
  <si>
    <t>CAMACHO GONZALEZ LUIS EDGAR</t>
  </si>
  <si>
    <t>CEPEDA PEREZ DIEGO ERNESTO</t>
  </si>
  <si>
    <t>BARRERA ALFONSO DIEGO FERNANDO</t>
  </si>
  <si>
    <t>URINTIVE ROJAS WILVER ALEXANDER</t>
  </si>
  <si>
    <t>OSCAR JAVIER ROSAS MEDINA</t>
  </si>
  <si>
    <t>AREVALO SUPANTEVE PEDRO MAURICIO</t>
  </si>
  <si>
    <t>COLMENARES VARGAS CESAR LEONARDO</t>
  </si>
  <si>
    <t>VELA DIMATE JUAN ASDRUBAL</t>
  </si>
  <si>
    <t>HURTADO BARINAS RONAL FERNANDO</t>
  </si>
  <si>
    <t>PEREZ MOLANO OMAR GUILLERMO</t>
  </si>
  <si>
    <t xml:space="preserve">PULIDO  JHON </t>
  </si>
  <si>
    <t>BOLIVAR BOLIVAR JULIO ALBERTO</t>
  </si>
  <si>
    <t xml:space="preserve">PAVA VARGAS WILIAN </t>
  </si>
  <si>
    <t xml:space="preserve">DURAN AVILA YEBRAIL </t>
  </si>
  <si>
    <t>SIERRA  JORGE JAMES</t>
  </si>
  <si>
    <t>PENAGOS MATEUS MANUEL FERNANDO</t>
  </si>
  <si>
    <t>RODRIGUEZ BALLESTEROS NAIRO JULIAN</t>
  </si>
  <si>
    <t>PEREZ ORDUS DIEGO ANDRES</t>
  </si>
  <si>
    <t xml:space="preserve">AGUDELO  HUMBERTO </t>
  </si>
  <si>
    <t>PUERTO PALACIOS LUIS GABRIEL</t>
  </si>
  <si>
    <t>BRAVO CHACON FREDY MAURICIO</t>
  </si>
  <si>
    <t>CARO ALVARADO JUAN CARLOS</t>
  </si>
  <si>
    <t>ROBLES GARCIA OMAR ANDRES</t>
  </si>
  <si>
    <t>JIMENEZ CUADROS CARLOS ANDRES</t>
  </si>
  <si>
    <t>GALLO SEPULVEDA JHONNY JAVIER</t>
  </si>
  <si>
    <t>LOPEZ  JOSE RAUL</t>
  </si>
  <si>
    <t>VALENCIA HURTADO FABIAN FERNANDO</t>
  </si>
  <si>
    <t>ZAMBRANO RODRIGUEZ MIGUEL ANGEL</t>
  </si>
  <si>
    <t>BARRERA MARTINEZ ARTURO FABIO</t>
  </si>
  <si>
    <t>PEREZ GOMEZ ARLEY MAURICIO</t>
  </si>
  <si>
    <t xml:space="preserve">CELY HURTADO ORLANDO </t>
  </si>
  <si>
    <t>CRISTANCHO ROJAS LUIS ALIRIO</t>
  </si>
  <si>
    <t>CHAPARRO CERON WILLIAM RICARDO</t>
  </si>
  <si>
    <t>MEDINA BUITRAGO LUIS ANDRO</t>
  </si>
  <si>
    <t>CARREÑO PERDOMO OSCAR ALIRIO</t>
  </si>
  <si>
    <t>FONSECA FERNANDEZ JOSE RAUMIR</t>
  </si>
  <si>
    <t>TOBO SIACHOQUE YEFRI ROSENDO</t>
  </si>
  <si>
    <t xml:space="preserve">PARRA CELY FERNANDO </t>
  </si>
  <si>
    <t>VARGAS CELY LUIS FERNANDO</t>
  </si>
  <si>
    <t>GUAUQUE GRANADOS NELSON JAVIER</t>
  </si>
  <si>
    <t xml:space="preserve">QUIJANO MERCHAN JAIME </t>
  </si>
  <si>
    <t>URINTIVE ROJAS WILLIAM NELSON</t>
  </si>
  <si>
    <t xml:space="preserve">PULIDO ALFONSO MAURICIO </t>
  </si>
  <si>
    <t xml:space="preserve">CORREDOR RODRIGUEZ SAMUEL </t>
  </si>
  <si>
    <t>ALCIDES VEGA JOSE GAVIRIA</t>
  </si>
  <si>
    <t xml:space="preserve">CESAR  JULIO </t>
  </si>
  <si>
    <t>LEON GONZALEZ VICTOR ALEXIS</t>
  </si>
  <si>
    <t xml:space="preserve">RINCON TAPIAS SALOMON </t>
  </si>
  <si>
    <t>BARRERA TIBAVIJA JULIO CESAR</t>
  </si>
  <si>
    <t xml:space="preserve">CARDENAS NARANJO BLADIMIR </t>
  </si>
  <si>
    <t>CELY DURAN JOSE HERNANDO</t>
  </si>
  <si>
    <t>MESA CHAPARRO JOSE ALFREDO</t>
  </si>
  <si>
    <t xml:space="preserve">CELY MANCO EMMANUEL </t>
  </si>
  <si>
    <t>CARDENAS MONTAÑEZ LUIS ALEJANDRO</t>
  </si>
  <si>
    <t xml:space="preserve">ANDRES  JAIME </t>
  </si>
  <si>
    <t>AYALA RIVEROS LUIS ENRIQUE</t>
  </si>
  <si>
    <t>GARZON SUAREZ OSCAR JULIAN</t>
  </si>
  <si>
    <t>JIMENEZ DIAZ NESTOR ALEJANDRO</t>
  </si>
  <si>
    <t>FERRUCHO BAYONA JUAN PABLO</t>
  </si>
  <si>
    <t xml:space="preserve">PINEDA HERNANDEZ ROBINSON </t>
  </si>
  <si>
    <t>AGUDELO  FABIO LEONEL</t>
  </si>
  <si>
    <t>PATINO CASTILLO EDER HANS</t>
  </si>
  <si>
    <t>MONTAÑA MONTES NESTOR OSWALDO</t>
  </si>
  <si>
    <t>PEREZ CARDENAS VICTOR JULIO</t>
  </si>
  <si>
    <t>CHIQUILLO GIL ALFONSO ENRIQUE</t>
  </si>
  <si>
    <t xml:space="preserve">FERNANDO  DANNY </t>
  </si>
  <si>
    <t xml:space="preserve">ROJAS ALDANA FRANK </t>
  </si>
  <si>
    <t xml:space="preserve">JOSE  EMILIO </t>
  </si>
  <si>
    <t>REYES PLAZAS NESTOR IVAN</t>
  </si>
  <si>
    <t xml:space="preserve">VARGAS ALBA OMAR </t>
  </si>
  <si>
    <t xml:space="preserve">CASTRO MARIÑO JUAN </t>
  </si>
  <si>
    <t>ALARCON CASTILLO WILSON GONZALO</t>
  </si>
  <si>
    <t>MANOSALVA DALLOS JUAN RODRIGO</t>
  </si>
  <si>
    <t>CARDENAS ROSAS WILLIAM JAVIER</t>
  </si>
  <si>
    <t>OSCAR OSWALDO RUIZ BALLESTEROS</t>
  </si>
  <si>
    <t>VIJA HOLGUIN RAFAEL ANTONIO</t>
  </si>
  <si>
    <t>SALAZAR MONGUI CESAR AUGUSTO</t>
  </si>
  <si>
    <t>JIMENEZ HERNANDEZ EDWIN BASILIO</t>
  </si>
  <si>
    <t>NAVARRETE PEREZ CARLOS EDUARDO</t>
  </si>
  <si>
    <t>LUIS ALBERTO QUINTANA GRANADOS</t>
  </si>
  <si>
    <t>SOLANO MORALES CARLOS MAURICIO</t>
  </si>
  <si>
    <t>CASTAÑEDA RINCON LUIS MANUEL</t>
  </si>
  <si>
    <t xml:space="preserve">GUERRERO LUMBAQUE GUILLERMO </t>
  </si>
  <si>
    <t>PINTO MEDINA DARIO ALBERTO</t>
  </si>
  <si>
    <t>ORTIZ ROJAS MANUEL ANDRES</t>
  </si>
  <si>
    <t>RAMOS PEDRAZA HEDDILMERK ALESXIS</t>
  </si>
  <si>
    <t>GOYENECHE CEPEDA TITO ARGEMIRO</t>
  </si>
  <si>
    <t>PALACIOS DIAZ VICTOR ALEJANDRO</t>
  </si>
  <si>
    <t>RODRIGUEZ HERRERA JHON CLIRIO</t>
  </si>
  <si>
    <t>ARIAS VINASCO ANDRES FELIPE</t>
  </si>
  <si>
    <t>BELTRAN RUIZ FABIO DANIEL</t>
  </si>
  <si>
    <t>COY SANCHEZ CARLOS ANIBAL</t>
  </si>
  <si>
    <t>AVILA PIZA LUIS EVERARDO</t>
  </si>
  <si>
    <t xml:space="preserve">ROJAS SANTAMARIA GUSTAVO </t>
  </si>
  <si>
    <t xml:space="preserve">HAMON GARCES  FREDY </t>
  </si>
  <si>
    <t xml:space="preserve">LEON RAMIREZ  JULIO ALBERTO </t>
  </si>
  <si>
    <t>CUERVO CANO JOSE DARIO</t>
  </si>
  <si>
    <t xml:space="preserve">TRIANA  RODRIGO </t>
  </si>
  <si>
    <t>PULIDO PARRA JOSE DEL CARMEN</t>
  </si>
  <si>
    <t>VEGA VEGA CARLOS JULIO</t>
  </si>
  <si>
    <t>CHAPARRO PAVA LUIS FERNANDO</t>
  </si>
  <si>
    <t>ARAQUE SOLANO LUIS ERASM</t>
  </si>
  <si>
    <t xml:space="preserve">FERNANDEZ ANGARITA ARMANDO </t>
  </si>
  <si>
    <t xml:space="preserve">CELY ANGARITA ROSSO </t>
  </si>
  <si>
    <t>CRUZ CHIQUILLO LUIS EDUARDO</t>
  </si>
  <si>
    <t xml:space="preserve">ESTUPIÑAN CENEN GUALTEROS </t>
  </si>
  <si>
    <t>SANABRIA ALFONSO MARCO ANTONIO</t>
  </si>
  <si>
    <t>MOLANO HERNANDEZ MOLANO ALVARO</t>
  </si>
  <si>
    <t xml:space="preserve">PINZON RINCON WILSON </t>
  </si>
  <si>
    <t xml:space="preserve">PARRA PARRA MARIO </t>
  </si>
  <si>
    <t xml:space="preserve">CHIQUILLO ROJAS SENON </t>
  </si>
  <si>
    <t>CAMACHO  JAVIER RINCON</t>
  </si>
  <si>
    <t xml:space="preserve">PAVA GONZALEZ PABLO </t>
  </si>
  <si>
    <t>FUENTES  CARLOS ANDRES</t>
  </si>
  <si>
    <t>CHIQUILLO ALFONSO EDWIN ALEXIS</t>
  </si>
  <si>
    <t>BERDUGO  CARLOS JULIO</t>
  </si>
  <si>
    <t>RINCON ALFONSO HENRY ARTURO</t>
  </si>
  <si>
    <t>RAMOS .  CARLOS OVIDIO OVIDIO</t>
  </si>
  <si>
    <t xml:space="preserve">AMAYA MARQUEZ FREDY </t>
  </si>
  <si>
    <t xml:space="preserve">GOMEZ ALFONSO EDGAR </t>
  </si>
  <si>
    <t>ESTUPIÑAN LEON ELVER DARIO</t>
  </si>
  <si>
    <t xml:space="preserve">ESTUPIÑAN AMAYA JAVIER </t>
  </si>
  <si>
    <t xml:space="preserve">FUENTES PULIDO EDINSSON </t>
  </si>
  <si>
    <t>GOMEZ CELY HENRY ARMANDO</t>
  </si>
  <si>
    <t xml:space="preserve">DUARTE  MIGUEL </t>
  </si>
  <si>
    <t>RUIZ BALLESTEROS JAIRO HERNAN</t>
  </si>
  <si>
    <t>ROJAS ROJAS JOSE ALIRIO</t>
  </si>
  <si>
    <t xml:space="preserve">MANRIQUE CHINOME LUIS </t>
  </si>
  <si>
    <t xml:space="preserve">CONTRERAS ARIAS  TULIO CESAR </t>
  </si>
  <si>
    <t>GOMEZ  JOSE GABRIEL</t>
  </si>
  <si>
    <t>MARIÑO FAJARDO CARLOS ALBERTO</t>
  </si>
  <si>
    <t xml:space="preserve">RIAÑO  FLAMINIO </t>
  </si>
  <si>
    <t xml:space="preserve">ALVAREZ MONTAÑEZ AGUSTIN </t>
  </si>
  <si>
    <t>PEDRAZA ALVARADO JOSE DANIEL</t>
  </si>
  <si>
    <t>CASTILLO AGUILLON JORGE HERNAN</t>
  </si>
  <si>
    <t>ARCHILA MARQUEZ MIGUEL ANTONIO</t>
  </si>
  <si>
    <t>RODRIGUEZ PEREZ LUIS EDUARDO</t>
  </si>
  <si>
    <t>CHINOME PUENTES HANS ERNESTO</t>
  </si>
  <si>
    <t>ALVARADO GARCIA HUGO ENRIQUE</t>
  </si>
  <si>
    <t>MEDINA HERRERA GERMAN ROBERTO</t>
  </si>
  <si>
    <t xml:space="preserve">GOMEZ ZAFRA ORLANDO </t>
  </si>
  <si>
    <t xml:space="preserve">BARRERA MONTAÑEZ AUDENAGO </t>
  </si>
  <si>
    <t>NIÑO SANCHEZ LUIS ALEJANDRO</t>
  </si>
  <si>
    <t>HERNANDEZ GRANADOS CARLOS MAURICIO</t>
  </si>
  <si>
    <t>CELIS CELIS PABLO ANTONIO</t>
  </si>
  <si>
    <t xml:space="preserve">GALLO CARDENAS ARISTOBULO </t>
  </si>
  <si>
    <t>TORRES BECERRA JORGE OSWALDO</t>
  </si>
  <si>
    <t>PUERTO TORRES PABLO ALONSO</t>
  </si>
  <si>
    <t xml:space="preserve">DALLOS RIOS OVIDIO </t>
  </si>
  <si>
    <t>ADAME TORRES BENEDICTO JESUS</t>
  </si>
  <si>
    <t xml:space="preserve">CELY  JAVIER </t>
  </si>
  <si>
    <t>GIL CASTRO ARNOLDO DE JESUS</t>
  </si>
  <si>
    <t>VALDERRAMA BAEZ DARIO ANDRES</t>
  </si>
  <si>
    <t>BAUTISTA RIVERA LUIS ABELARDO</t>
  </si>
  <si>
    <t xml:space="preserve">PLAZAS LOZANO JOSELIN </t>
  </si>
  <si>
    <t xml:space="preserve">BARRERA MONTANEZ  AUDILIO </t>
  </si>
  <si>
    <t>DIAZ GUIO JOSE RODRIGO</t>
  </si>
  <si>
    <t>DAZA POVEDA JOHN WILIAM</t>
  </si>
  <si>
    <t xml:space="preserve">FLOREZ MORENO NOLBERTO </t>
  </si>
  <si>
    <t xml:space="preserve">DIAZ NIÑO RICARDO </t>
  </si>
  <si>
    <t xml:space="preserve">RINCON PEREZ  ALFONSO </t>
  </si>
  <si>
    <t>PINTO LEON JORGE ORLANDO</t>
  </si>
  <si>
    <t>ESPITIA FUENTES DARIO ORLANDO</t>
  </si>
  <si>
    <t xml:space="preserve">GRANADOS GONZALEZ MISAEL </t>
  </si>
  <si>
    <t>VALDERRAMA BAEZ OMAR FERNANDO</t>
  </si>
  <si>
    <t>PAREDES PEREZ URIEL MAURICIO</t>
  </si>
  <si>
    <t>NIÑO BARRERA JOSE FRANCISCO</t>
  </si>
  <si>
    <t>TORRES MARINO JUAN PABLO</t>
  </si>
  <si>
    <t>FAJARDO CUEVAS JHON FREDY</t>
  </si>
  <si>
    <t>NIÑO CELY ELIAS DEL CARMEN</t>
  </si>
  <si>
    <t xml:space="preserve">SALAMANCA ALBARRACIN EDILBERTO </t>
  </si>
  <si>
    <t>MARTIN DIAZ MAURO ALEJANDRO</t>
  </si>
  <si>
    <t>MEDINA ZABALA OSCAR ARMANDO</t>
  </si>
  <si>
    <t>RATIVA SALCEDO WILMER LEANDRO</t>
  </si>
  <si>
    <t>DUARTE CHAPARRO CARLOS ALBERTO</t>
  </si>
  <si>
    <t>SERRANO RODRIGUEZ NELSON JAVIER</t>
  </si>
  <si>
    <t>ARDILA VELANDIA JHON MARIO</t>
  </si>
  <si>
    <t>GONZALEZ HOLGUIN HECTOR JULIO</t>
  </si>
  <si>
    <t>TORRES  NELSO ALVAREZ</t>
  </si>
  <si>
    <t>CASTELLANOS CACERES MARIO ROSENDO</t>
  </si>
  <si>
    <t>MARTIN DIAZ GIOVANNY ALONSO</t>
  </si>
  <si>
    <t>MARTINEZ LEON LUIS EDUARDO</t>
  </si>
  <si>
    <t xml:space="preserve">BELMAN  GARCIA </t>
  </si>
  <si>
    <t xml:space="preserve">CAMACHO GONZALEZ MAURICIO </t>
  </si>
  <si>
    <t>CHINOME MORALES CARLOS HUMBERTO</t>
  </si>
  <si>
    <t>CARDENAS COLINA FREDY ALBERTO</t>
  </si>
  <si>
    <t>GARCIA BECERRA VICTOR JULIO</t>
  </si>
  <si>
    <t>MARTINEZ CELY PEDRO MANUEL</t>
  </si>
  <si>
    <t>BAEZ SOLANO WILSON RICARDO</t>
  </si>
  <si>
    <t>FAJARDO CUEVAS MARCO ANTONIO</t>
  </si>
  <si>
    <t>DIAZ  JULIO ALEXANDER</t>
  </si>
  <si>
    <t>MANCHEGO LOPEZ PEDRO ELIAS</t>
  </si>
  <si>
    <t>RINCON PEREZ LUIS ANTONIO</t>
  </si>
  <si>
    <t xml:space="preserve">GALVIS CRISTANCHO  FABIAN </t>
  </si>
  <si>
    <t xml:space="preserve">MORENO  GABRIEL </t>
  </si>
  <si>
    <t>GOMEZ ROJAS JHON ALEXANDER</t>
  </si>
  <si>
    <t>PATIÑO  OSCAR FERNANDO</t>
  </si>
  <si>
    <t>BECERRA QUIROZ JUAN PABLO</t>
  </si>
  <si>
    <t>FONSECA ALVAREZ CARLOS MIGUEL</t>
  </si>
  <si>
    <t>ALVAREZ GONZALEZ EDWIN HUMBERTO</t>
  </si>
  <si>
    <t>RINCON NIÑO FREDY ALONSO</t>
  </si>
  <si>
    <t>CRUZ NIÑO JUAN PABLO</t>
  </si>
  <si>
    <t>NIÑO CALIXTO FERNANDO ALONSO</t>
  </si>
  <si>
    <t>LOPEZ PANQUEBA JESUS MARIA</t>
  </si>
  <si>
    <t>SILVA CELY CESAR AUGUSTO</t>
  </si>
  <si>
    <t>MARTINEZ MANOSALVA MARCO DANIEL</t>
  </si>
  <si>
    <t xml:space="preserve">GIL RIOS HERNANDO </t>
  </si>
  <si>
    <t>ALVAREZ MARTINEZ JULIO ALONSO</t>
  </si>
  <si>
    <t>MORENO VIVAS JUAN CARLOS</t>
  </si>
  <si>
    <t xml:space="preserve">MORENO VIVAS ARNULFO </t>
  </si>
  <si>
    <t>CAMARGO JIMENEZ MIGUEL ANGEL</t>
  </si>
  <si>
    <t>HERRERA LEON ELIAS FACUNDO</t>
  </si>
  <si>
    <t xml:space="preserve">RIAÑO ROMERO JAIME </t>
  </si>
  <si>
    <t>RINCON RIVERA LUIS ALFREDO</t>
  </si>
  <si>
    <t>BARRERA MARIÑO JOSE VALENTIN</t>
  </si>
  <si>
    <t xml:space="preserve">GARCIA ESTUPIÑAN MAURICIO </t>
  </si>
  <si>
    <t xml:space="preserve">MOJICA  PEDRO </t>
  </si>
  <si>
    <t>CARVAJAL MEDINA HECTOR SABINO</t>
  </si>
  <si>
    <t>ESTUPINAN GIL JESUS DE</t>
  </si>
  <si>
    <t>RIVERA ROJAS PABLO ERNESTO</t>
  </si>
  <si>
    <t>VERGARA ESPINDOLA PUBLIO DEL CARMEN</t>
  </si>
  <si>
    <t>ROMERO MELO JULIO CESAR</t>
  </si>
  <si>
    <t>RINCON ESTUPIÑAN JOSE ALEJANDRO</t>
  </si>
  <si>
    <t>AMAYA CASTRO CARLOS ARTURO</t>
  </si>
  <si>
    <t>CAYACHOA AMAYA LUIS MIGUEL</t>
  </si>
  <si>
    <t>ALBARACIN SANCHEZ JOSE ROBINSON</t>
  </si>
  <si>
    <t xml:space="preserve">SARMIENTO SANTOS  YESID </t>
  </si>
  <si>
    <t>PARADA VERGARA JESUS MARIA</t>
  </si>
  <si>
    <t xml:space="preserve">ESTUPINAN ARISMENDY ALEJANDRO </t>
  </si>
  <si>
    <t>CUYANO RANGEL OSCAR ELIAS</t>
  </si>
  <si>
    <t>MALPICA ABRIL MIGUEL ORLANDO</t>
  </si>
  <si>
    <t xml:space="preserve">HERRERA CUEVAS NILSON </t>
  </si>
  <si>
    <t>GOYENECHE MEJIA JUAN RAMON</t>
  </si>
  <si>
    <t>GOYENECHE RODRIGUEZ JOSE ANTONIO</t>
  </si>
  <si>
    <t>RANGEL MOJICA JORGE ENRIQUE</t>
  </si>
  <si>
    <t>DURAN  CARLOS MAURICIO</t>
  </si>
  <si>
    <t>CESAR ALBERTO DURAN FERNANDEZ</t>
  </si>
  <si>
    <t xml:space="preserve">mojica  alfredo </t>
  </si>
  <si>
    <t>VERGARA FUENTES VICTOR GONZALO</t>
  </si>
  <si>
    <t>TORRES NIÑO MANUEL HUMBERTO</t>
  </si>
  <si>
    <t>PINZON VEGA JAIRO ALEXANDER</t>
  </si>
  <si>
    <t xml:space="preserve">SARMIENTO SANTOS EPIFANIO </t>
  </si>
  <si>
    <t>ARAQUE MARTINEZ OMAR DE JESUS</t>
  </si>
  <si>
    <t>ARAQUE MONTAÑEZ OMAR YOBANY</t>
  </si>
  <si>
    <t>OJEDA OCHOA JOAQUIN ALONSO</t>
  </si>
  <si>
    <t>ESPINDOLA NIÑO VICTOR JULIO</t>
  </si>
  <si>
    <t>DIAZ RODRIGUEZ JOSE VICENTE</t>
  </si>
  <si>
    <t>MALPICA ABRIL HENRY HILDEBRAN</t>
  </si>
  <si>
    <t>SOLEDAD VERGARA JORGE ELIECER</t>
  </si>
  <si>
    <t>CUEVAS  CARLOS JULIO</t>
  </si>
  <si>
    <t>BENITEZ ROMERO OSCAR JAVIER</t>
  </si>
  <si>
    <t>ALMANZA ANGEL ANGEL ARMANDO</t>
  </si>
  <si>
    <t>ESTUPINAN SALAZAR OSCAR FERNANDO</t>
  </si>
  <si>
    <t>CARVAJAL RICO MIGUEL ALONSO</t>
  </si>
  <si>
    <t>ESTUPIÑAN LEON CARLOS MAURICIO</t>
  </si>
  <si>
    <t xml:space="preserve">HERNANDEZ LEAL HORACIO </t>
  </si>
  <si>
    <t xml:space="preserve">PEDRAZA  RODULFO </t>
  </si>
  <si>
    <t xml:space="preserve">CORREA PEREZ HERNANDO </t>
  </si>
  <si>
    <t>PEDROZA GOMEZ JULIO ROBERTO</t>
  </si>
  <si>
    <t>FONSECA PUERTO JORGE ARISTOBULO</t>
  </si>
  <si>
    <t xml:space="preserve">FONSECA SUAREZ JAIRO </t>
  </si>
  <si>
    <t>RUIZ RUIZ LUIS ANTONIO</t>
  </si>
  <si>
    <t>GRANADOS  CARLOS HERNANDO</t>
  </si>
  <si>
    <t>ECHEVERRIA CASTELLANOS JORGE ENRIQUE</t>
  </si>
  <si>
    <t>VILLAMIL RIVERA LUIS ANTONIO</t>
  </si>
  <si>
    <t>OSPINA CELY CESAR HUMBERTO</t>
  </si>
  <si>
    <t>ECHEVERRIA  VICTOR HUGO</t>
  </si>
  <si>
    <t>TELLEZ CARDENAS LUIS GABRIEL</t>
  </si>
  <si>
    <t xml:space="preserve">APONTE CORREA MIGUEL </t>
  </si>
  <si>
    <t>DAZA HIGUERA VICTOR JULIO</t>
  </si>
  <si>
    <t xml:space="preserve">MONROY OCHOA MAURICIO </t>
  </si>
  <si>
    <t>HURTADO LOPEZ EDGAR HERNAN</t>
  </si>
  <si>
    <t>SANCHEZ DIAZ NAIRO NELSON</t>
  </si>
  <si>
    <t>RODRIGUEZ VELANDIA ENRIQUE OTONIEL</t>
  </si>
  <si>
    <t xml:space="preserve">SOGAMOSO HURTADO EDILBERTO </t>
  </si>
  <si>
    <t xml:space="preserve">CORREDOR PEDRAZA EDGAR </t>
  </si>
  <si>
    <t>RODRIGUEZ RINCON MIGUEL ANGEL</t>
  </si>
  <si>
    <t>PIRABAN ROMERO REINALDO AGUSTIN</t>
  </si>
  <si>
    <t>MARIO ALEJANDRO ALVARADO BRIJALDO</t>
  </si>
  <si>
    <t>ORTEGA OCHOA LUIS CARLOS</t>
  </si>
  <si>
    <t xml:space="preserve">GONZALEZ DIAZ EFRAIN </t>
  </si>
  <si>
    <t>SANCHEZ CAMARGO JORGE MARIO</t>
  </si>
  <si>
    <t xml:space="preserve">PARRA AMADO RICARDO </t>
  </si>
  <si>
    <t>RINCON BAEZ JAIRO SAUL</t>
  </si>
  <si>
    <t>AMADO RINCON VICTOR ALFONSO</t>
  </si>
  <si>
    <t xml:space="preserve">SILVA RINCON ALVARO </t>
  </si>
  <si>
    <t>SUAREZ PORRAS LUIS FRANCISCO</t>
  </si>
  <si>
    <t xml:space="preserve">BAUTISTA  ORLANDO </t>
  </si>
  <si>
    <t xml:space="preserve">TELLEZ  JOSE </t>
  </si>
  <si>
    <t>PEÑARANDA ALVAREZ JORGE ENRIQUE</t>
  </si>
  <si>
    <t>MONTANEZ . CARMEN JULIO</t>
  </si>
  <si>
    <t xml:space="preserve">GALLO DIAZ GUSTAVO </t>
  </si>
  <si>
    <t>MARQUEZ CARVAJAL LUIS ALEJANDRO</t>
  </si>
  <si>
    <t xml:space="preserve">PINTO DIAZ JACOBO </t>
  </si>
  <si>
    <t xml:space="preserve">VARGAS BECERRA NEPOMUCENO </t>
  </si>
  <si>
    <t xml:space="preserve">RAMIREZ CONTRERAS ALVARO </t>
  </si>
  <si>
    <t xml:space="preserve">CARDENAS OROSCO WILSON </t>
  </si>
  <si>
    <t xml:space="preserve">MERCHAN BALAGUERA NORBERTO </t>
  </si>
  <si>
    <t xml:space="preserve">ALVAREZ GRIMALDOS ARISTOBULO </t>
  </si>
  <si>
    <t xml:space="preserve">CONTRERAS RAMIREZ MISAEL </t>
  </si>
  <si>
    <t xml:space="preserve">BALAGUERA ASCENCIO FAUSTINO </t>
  </si>
  <si>
    <t>MARTINEZ CASTRO CARLOS ALBERTO</t>
  </si>
  <si>
    <t>DIAZ FERNANDEZ RAUL ANTONIO</t>
  </si>
  <si>
    <t xml:space="preserve">SILVA GOMEZ ORLANDO </t>
  </si>
  <si>
    <t xml:space="preserve">ROJAS BALAGUERA HERNANDO </t>
  </si>
  <si>
    <t xml:space="preserve">BALAGUERA LUIS  ALEJANDRO </t>
  </si>
  <si>
    <t xml:space="preserve">RAMIREZ CONTRERAS CELINO </t>
  </si>
  <si>
    <t xml:space="preserve">SILVA GOMEZ FRANCISCO </t>
  </si>
  <si>
    <t xml:space="preserve">ARAQUE MACHUCA JUAN </t>
  </si>
  <si>
    <t xml:space="preserve">ALFONSO VARGAS  JERSAN </t>
  </si>
  <si>
    <t>BALAGUERA BALAGUERA FREDY ALFONSO</t>
  </si>
  <si>
    <t xml:space="preserve">PARMENIO  JOSE </t>
  </si>
  <si>
    <t xml:space="preserve">CARDENAS VARGAS JAIRO </t>
  </si>
  <si>
    <t xml:space="preserve">ORLANDO  HERMES </t>
  </si>
  <si>
    <t>CRISTANCHO RAVELO JOSE ALBERTO</t>
  </si>
  <si>
    <t>VARGAS TIBADUIZA PEDRO EMILIO</t>
  </si>
  <si>
    <t>ALVAREZ PEÑARANDA FREDY ADOLFO</t>
  </si>
  <si>
    <t>PENARANDA ALVAREZ LUIS EDUARDO</t>
  </si>
  <si>
    <t>ALBARRACIN MORA NELSON ENRIQUE</t>
  </si>
  <si>
    <t>FUENTES  JOSE LUIS</t>
  </si>
  <si>
    <t xml:space="preserve">GALVIS AYALA  WILSON JAIRO </t>
  </si>
  <si>
    <t>ESPITIA ESPINDOLA LUIS ALIRIO</t>
  </si>
  <si>
    <t xml:space="preserve">ARAQUE TELLEZ ORLANDO </t>
  </si>
  <si>
    <t xml:space="preserve">BALAGUERA GUERRERO DISMAEL </t>
  </si>
  <si>
    <t>ALARCON SILVA JAIRO NELSON</t>
  </si>
  <si>
    <t>BAUTISTA ALVAREZ FREDY YOOBANY</t>
  </si>
  <si>
    <t>DIAZ DIAZ ROBERTO CARLOS</t>
  </si>
  <si>
    <t>PORRAS BALAGUERA DIEGO EDISON</t>
  </si>
  <si>
    <t>HERNANDEZ RODRIGUEZ JOSE ANTONIO</t>
  </si>
  <si>
    <t xml:space="preserve">JHON FREDY AYALA </t>
  </si>
  <si>
    <t xml:space="preserve">CORREA PEREZ OVANI </t>
  </si>
  <si>
    <t>BALAGUERA CRISTANCHO ALVARO WILMER</t>
  </si>
  <si>
    <t>LEON ROJAS JORGE HUMBERTO HUMBERTO</t>
  </si>
  <si>
    <t>AMADO PEREZ YEFER ANDRES</t>
  </si>
  <si>
    <t>VARGAS CUEVAS JUAN CARLOS</t>
  </si>
  <si>
    <t xml:space="preserve">CASTRO GARCIA  JOSE MIGUEL </t>
  </si>
  <si>
    <t xml:space="preserve">CASTRO AYALA HERBIN </t>
  </si>
  <si>
    <t>PACHON GUERRERO EDWIN ENRIQUE</t>
  </si>
  <si>
    <t xml:space="preserve">OLMEDO ROJAS HENRY </t>
  </si>
  <si>
    <t xml:space="preserve">GARZON CADENA HERMES </t>
  </si>
  <si>
    <t xml:space="preserve">RODRIGUEZ CAMARGO  LEONARDO </t>
  </si>
  <si>
    <t>PULIDO JIMENEZ HECTOR ISIDRO</t>
  </si>
  <si>
    <t>SAENZ BARRETO ANGEL MAURICIO</t>
  </si>
  <si>
    <t xml:space="preserve">VERGARA  LUIS </t>
  </si>
  <si>
    <t>MOLANO PINEDA GERMAN MAURICIO</t>
  </si>
  <si>
    <t>GUIO DIAZ LUIS CARLOS</t>
  </si>
  <si>
    <t>RODRIGUEZ CAMARGO JUAN FRANCISCO</t>
  </si>
  <si>
    <t xml:space="preserve">AVILA  RUBEN </t>
  </si>
  <si>
    <t>ACUÑA DIAZ FABIO ENRIQUE</t>
  </si>
  <si>
    <t>VERGARA  LUIS EDILZON</t>
  </si>
  <si>
    <t>ALVAREZ CORREDOR MANUEL IGNACIO</t>
  </si>
  <si>
    <t>ANGEL RODRIGUEZ FELIX ANTONIO</t>
  </si>
  <si>
    <t>CUJABAN HURTADO BRAULIO ANTONIO</t>
  </si>
  <si>
    <t>HURTADO VELANDIA LUIS GUILLERMO</t>
  </si>
  <si>
    <t>CELY RINCON ANATOLIO LEONARDO</t>
  </si>
  <si>
    <t>RINCON SILVA NORBERTO DE JESUS</t>
  </si>
  <si>
    <t xml:space="preserve">MONTAÑEZ GOMEZ FABIO </t>
  </si>
  <si>
    <t xml:space="preserve">VELANDIA CARDENAS FABIO </t>
  </si>
  <si>
    <t>CHINOME ALVAREZ JOSE MAURICIO</t>
  </si>
  <si>
    <t>GARCIA RINCON ANGEL ROBERTO</t>
  </si>
  <si>
    <t>HIGUERA QUINTANA JAIME HORACIO</t>
  </si>
  <si>
    <t>MARIÑO ALVAREZ HECTOR MAURICIO</t>
  </si>
  <si>
    <t xml:space="preserve">RINCON CELY HECTOR </t>
  </si>
  <si>
    <t xml:space="preserve">CRITANCHO RINCON OSCAR </t>
  </si>
  <si>
    <t>CELY BELTRAN ELVER MAURICIO</t>
  </si>
  <si>
    <t>MARTINEZ PEREZ FRANCISCO ALEXANDER</t>
  </si>
  <si>
    <t>CHINOME  JOSE ALEXANDER</t>
  </si>
  <si>
    <t>PEDRAZA SILVA ANGEL LEONARDO</t>
  </si>
  <si>
    <t>ALTUZARRA VELANDIA JUAN VICENTE</t>
  </si>
  <si>
    <t>CASTELLANOS BERNAL MARCO FIDEL</t>
  </si>
  <si>
    <t xml:space="preserve">GARCIA VELASQUEZ JORGE </t>
  </si>
  <si>
    <t>BARRETO BALLESTEROS HECTOR JOSE</t>
  </si>
  <si>
    <t>HUERTAS BUITRAGO WILFER MAURICO</t>
  </si>
  <si>
    <t xml:space="preserve">Garzón Sánchez Uriel </t>
  </si>
  <si>
    <t>CONTRERAS MARTIN NEIL YAMIT</t>
  </si>
  <si>
    <t>PARRA LEON CIRO ALEXANDER</t>
  </si>
  <si>
    <t xml:space="preserve">NOVOA  FERNEY </t>
  </si>
  <si>
    <t>PARRA JEREZ PEDRO JOSE</t>
  </si>
  <si>
    <t>RODRIGUEZ  JOSE OVIDIO</t>
  </si>
  <si>
    <t>PEREZ ROPERO FABIO ANANIAS</t>
  </si>
  <si>
    <t>RAMIREZ  LUIS ALVARO</t>
  </si>
  <si>
    <t xml:space="preserve">MOLINA GIL ROGELIO </t>
  </si>
  <si>
    <t xml:space="preserve">AREVALO CASTRO  HECTOR MAURICIO </t>
  </si>
  <si>
    <t>GRANADOS BENAVIDES LUIS ALVARO</t>
  </si>
  <si>
    <t>AVENDAÑO CAMARGO MILTON EDGARDO</t>
  </si>
  <si>
    <t xml:space="preserve">FONSECA RODRIGUEZ MAURICIO </t>
  </si>
  <si>
    <t>GARZON ECHEVERRIA WILLIAM ALBERTO</t>
  </si>
  <si>
    <t>CASTRO CASTRO PEDRO JULIO</t>
  </si>
  <si>
    <t>MORENO  RENSO LEONARDO</t>
  </si>
  <si>
    <t>HURTADO VERGARA MILLER JAIRO</t>
  </si>
  <si>
    <t>SANABRIA RODRIGUEZ JOSE DANIEL</t>
  </si>
  <si>
    <t>JIMENEZ AVELLA JOSE ALFREDO</t>
  </si>
  <si>
    <t>GARZON VARGAS OLGER GUSTAVO</t>
  </si>
  <si>
    <t xml:space="preserve">HURTADO PEREZ GONZALO </t>
  </si>
  <si>
    <t>GARCIA LOPEZ SEGUNDO EUCLIDES</t>
  </si>
  <si>
    <t>VARGAS VARGAS CARLOS ALBERTO</t>
  </si>
  <si>
    <t xml:space="preserve">BARON PLAZAS WILSON </t>
  </si>
  <si>
    <t>TICORA CABRERA LEONARDO ANDRES</t>
  </si>
  <si>
    <t>SANA PULIDO EDUWIN REINALDO</t>
  </si>
  <si>
    <t>AVENDAÑO CAMARGO JOHNSON ALBERTO</t>
  </si>
  <si>
    <t>RODRIGUEZ AVENDAÑO JHON FREDDY</t>
  </si>
  <si>
    <t>GONZALEZ MONTOYA GERMAN ANDRES</t>
  </si>
  <si>
    <t xml:space="preserve">JIMENEZ CAMARGO RICARDO </t>
  </si>
  <si>
    <t xml:space="preserve">CAMARGO OSTOS CADIR </t>
  </si>
  <si>
    <t>VARGAS ESCAMILLA JUAN CARLOS</t>
  </si>
  <si>
    <t>PIZA CARREÑO HUGO GEOVANNI</t>
  </si>
  <si>
    <t>MEDINA PUERTO MILTON FREDDY</t>
  </si>
  <si>
    <t>PULIDO PEREZ FREDY NIXON</t>
  </si>
  <si>
    <t xml:space="preserve">ARGUELLO GONZALEZ  ALFONSO </t>
  </si>
  <si>
    <t>GAMEZ PINEDA ROBERTO ANTONIO</t>
  </si>
  <si>
    <t>GOMEZ  FREDY ARBEY</t>
  </si>
  <si>
    <t xml:space="preserve">ESPEJO ALFONSO CESAR </t>
  </si>
  <si>
    <t>VASQUEZ MEJIA JAIME ROLANDO</t>
  </si>
  <si>
    <t xml:space="preserve">ROSAS NITOLA FREDY </t>
  </si>
  <si>
    <t xml:space="preserve">RODRIGUEZ ZAMBRANO GERMAN </t>
  </si>
  <si>
    <t>MENDEZ GAMBA YOHN HENRY</t>
  </si>
  <si>
    <t>AVENDAÑO MARTINEZ JHON JEFERSON</t>
  </si>
  <si>
    <t xml:space="preserve">ALEXANDER  DANIEL </t>
  </si>
  <si>
    <t>VILLAMIZAR GONZALEZ MANUEL FABIAN</t>
  </si>
  <si>
    <t>CORAL HERNANDEZ JAVIER ANTONIO</t>
  </si>
  <si>
    <t xml:space="preserve">CUEVAS MEDINA  HERNAN ALBERTO </t>
  </si>
  <si>
    <t>LADINO LADINO MANUEL DAGOBERTO</t>
  </si>
  <si>
    <t>TOBO FAJARDO OSCAR JAVIER</t>
  </si>
  <si>
    <t>SIACHOQUE HERNANDEZ LUIS HERNANDO</t>
  </si>
  <si>
    <t xml:space="preserve">GUAIDIA EMILIO NIÑO </t>
  </si>
  <si>
    <t xml:space="preserve">URIAN ADAME ALBANO </t>
  </si>
  <si>
    <t>DIAZ PERALTA HENRY ISMAEL</t>
  </si>
  <si>
    <t xml:space="preserve">SISSA FRAUSIN JAIRO </t>
  </si>
  <si>
    <t>RINCON ACEVEDO EDGAR ORLANDO</t>
  </si>
  <si>
    <t>BARRERA MONTAÑA HECTOR ARLEY</t>
  </si>
  <si>
    <t>BARRAGAN LEAL NELSON ALBERTO</t>
  </si>
  <si>
    <t>MARTINEZ CELY SEGUNDO ORLANDO</t>
  </si>
  <si>
    <t>MORALES SOLER PEDRO TITO</t>
  </si>
  <si>
    <t>SILVA ZEA DIEGO DARIO</t>
  </si>
  <si>
    <t>SALAZAR NEITA OSCAR JULIAN</t>
  </si>
  <si>
    <t>ARIAS FAJARDO LEONARDO FABIO</t>
  </si>
  <si>
    <t>AMORTEGUI MARTINEZ JOSE LEONEL</t>
  </si>
  <si>
    <t>PEREZ VELANDIA YAIR ORLANDO</t>
  </si>
  <si>
    <t xml:space="preserve">CARVAJAL ALVAREZ SEGUNDO </t>
  </si>
  <si>
    <t xml:space="preserve">VARGAS BERDUGO ORLANDO </t>
  </si>
  <si>
    <t>RINCON PARADA PEDRO IGNACIO</t>
  </si>
  <si>
    <t>PINZON DIAZ LUIS ORLANDO</t>
  </si>
  <si>
    <t>BAUTISTA CUCAITA JESUS DE</t>
  </si>
  <si>
    <t xml:space="preserve">ALBARRACIN ESTEPA  JHON JAIRO </t>
  </si>
  <si>
    <t>TORRES MARTINEZ WILSON ELIESER</t>
  </si>
  <si>
    <t xml:space="preserve">ESLAVA  HENRY </t>
  </si>
  <si>
    <t>SUAREZ BURGOS OSCAR EDGARDO</t>
  </si>
  <si>
    <t xml:space="preserve">TUTA CARO ROBERTO </t>
  </si>
  <si>
    <t>TOBACIA CASTRO LUIS URIEL</t>
  </si>
  <si>
    <t>VEGA SANTOS JOLMAN ALBERTO</t>
  </si>
  <si>
    <t>REYES SILVA JOSE ALEXANDER</t>
  </si>
  <si>
    <t>ALBARRACIN ESTEPA JOSE ELIEZER</t>
  </si>
  <si>
    <t xml:space="preserve">MANOSALVA  OSCAR </t>
  </si>
  <si>
    <t>ZOTAQUIRA GALVIS JOSE ALFREDO</t>
  </si>
  <si>
    <t>VEGA ALVAREZ JAVIER ANTONIO</t>
  </si>
  <si>
    <t>SOLANO SANCHEZ JAVIER ORLANDO</t>
  </si>
  <si>
    <t>MARTINEZ PUENTES JESUS IGNACIO</t>
  </si>
  <si>
    <t xml:space="preserve">BLANCO SALAMANCA ISRAEL </t>
  </si>
  <si>
    <t>PEDRAZA RIAÑO SERGIO RAFAEL</t>
  </si>
  <si>
    <t xml:space="preserve">NIÑO NIÑO ROLANDO </t>
  </si>
  <si>
    <t xml:space="preserve">TAMAYO LOPEZ CAMILO </t>
  </si>
  <si>
    <t>VARGAS BARBOSA CARLOS JAVIER</t>
  </si>
  <si>
    <t>DAZA PERILLA TAIRON AMILKAR</t>
  </si>
  <si>
    <t>GUTIERREZ  EDGAR FERNANDO</t>
  </si>
  <si>
    <t>PEREZ PUERTO WILSON JAVIER</t>
  </si>
  <si>
    <t xml:space="preserve">SILVA MARTINEZ NORBERTO </t>
  </si>
  <si>
    <t>FONSECA CAMARGO FREDY RENE</t>
  </si>
  <si>
    <t>CELY ROJAS OSCAR ALEXANDER</t>
  </si>
  <si>
    <t>MARQUEZ AYALA JOSE AVELINO</t>
  </si>
  <si>
    <t xml:space="preserve">PALACIOS GUERRERO SINIVALDO </t>
  </si>
  <si>
    <t xml:space="preserve">TORRES TIRIA RAUL </t>
  </si>
  <si>
    <t xml:space="preserve">ARAQUE ESTUPINAN  JOSE TEODULO </t>
  </si>
  <si>
    <t>TORRES FLOREZ MARTIN EMILIO</t>
  </si>
  <si>
    <t>HERNANDEZ TAMAYO GERSON MAURICIO</t>
  </si>
  <si>
    <t>JIMENEZ SUANCHA NELSON GERMAN</t>
  </si>
  <si>
    <t>MALAVER NORE JORGE ELIECER</t>
  </si>
  <si>
    <t>GRANADOS RIOS FABIO ALONSO</t>
  </si>
  <si>
    <t xml:space="preserve">GAONA VILLATE GERMAN </t>
  </si>
  <si>
    <t>RIVERA PINZON HECTOR JULIO</t>
  </si>
  <si>
    <t>REYES ACOSTA WILLIAM ALFONSO</t>
  </si>
  <si>
    <t>VARGAS  JUAN CARLOS</t>
  </si>
  <si>
    <t>ROMERO MARTINEZ NELSON ARTURO</t>
  </si>
  <si>
    <t>DAVILA OLIVEROS FRANCISCO JAVIER</t>
  </si>
  <si>
    <t>TORRES CEPEDA GILBERTO JAVIER</t>
  </si>
  <si>
    <t>MEDINA SANCHEZ JULIO CLAY</t>
  </si>
  <si>
    <t>CAMARGO TIBAMOSCA DANIEL HUMBERTO</t>
  </si>
  <si>
    <t>CUSBA ALBARRACIN JOSE MIGUEL</t>
  </si>
  <si>
    <t>GUEVARA BOTIA NELSON ERNESTO</t>
  </si>
  <si>
    <t xml:space="preserve">ORTEGA JOYA ARIEL </t>
  </si>
  <si>
    <t>CAMARGO MEDINA JESUS ALEXANDER</t>
  </si>
  <si>
    <t>TRISTANCHO BOTIA EDGAR HERNANDO</t>
  </si>
  <si>
    <t>RINCON BASTIDAS NELSON MAURICIO</t>
  </si>
  <si>
    <t xml:space="preserve">SOLER CORREDOR CAMILO </t>
  </si>
  <si>
    <t>MOSCOSO MANRIQUE SERGIO ALEJANDRO</t>
  </si>
  <si>
    <t xml:space="preserve">PACHECO AVELLA  EDGAR </t>
  </si>
  <si>
    <t>CELY VEGA LUIS EDUARDO</t>
  </si>
  <si>
    <t>BECERRA PITA JORGE ERNESTO</t>
  </si>
  <si>
    <t xml:space="preserve">PUERTO GOMEZ ALEXANDER </t>
  </si>
  <si>
    <t>CELY ROJAS WILLIAM JAVIER</t>
  </si>
  <si>
    <t xml:space="preserve">LIZARAZO  RENE </t>
  </si>
  <si>
    <t>MORENO ALFONSO CARLOS JULIO</t>
  </si>
  <si>
    <t>ADAME HERNANDEZ FREDY ALEXANDER</t>
  </si>
  <si>
    <t>GOMEZ MENDIVELSO LUIS ALFONSO</t>
  </si>
  <si>
    <t>CASTILLO CEPEDA LUIS EDUARDO</t>
  </si>
  <si>
    <t xml:space="preserve">PACHECO CABRA MARTIN </t>
  </si>
  <si>
    <t>HERRERA MILLAN HECTOR LEONARDO</t>
  </si>
  <si>
    <t xml:space="preserve">DURAN MENDIVELSO  ALBERTO </t>
  </si>
  <si>
    <t xml:space="preserve">GOMEZ  OSCAR </t>
  </si>
  <si>
    <t xml:space="preserve">MALAGON DURAN OLEGARIO </t>
  </si>
  <si>
    <t>BONILLA MURILLO VICTOR JULIO</t>
  </si>
  <si>
    <t>VARGAS SOLANO NELSON HUMBERTO</t>
  </si>
  <si>
    <t xml:space="preserve">GARCIA  MANUEL </t>
  </si>
  <si>
    <t>ROJAS CASTRO FERNEY EDUARDO</t>
  </si>
  <si>
    <t>VARGAS COGOLLO JOSE RICARDO</t>
  </si>
  <si>
    <t xml:space="preserve">PAMPLONA RINCON RODRIGO </t>
  </si>
  <si>
    <t xml:space="preserve">BRAVO  OSCAR </t>
  </si>
  <si>
    <t>BECERRA PEREZ CESAR RICARDO</t>
  </si>
  <si>
    <t>AGUILAR LOZANO JOSE MIGUEL</t>
  </si>
  <si>
    <t>GOMEZ ACEVEDO WILLIAM CHARLES</t>
  </si>
  <si>
    <t>ALVAREZ SILVA JOSE RODOLFO</t>
  </si>
  <si>
    <t>BENITEZ NOCOBE ELKIN ORLANDO</t>
  </si>
  <si>
    <t xml:space="preserve">TAMAYO ALVAREZ  MARCO </t>
  </si>
  <si>
    <t xml:space="preserve">URRUTIA  WILLIAM </t>
  </si>
  <si>
    <t xml:space="preserve">ORTIZ  OSCAR </t>
  </si>
  <si>
    <t>ORTIZ FERNANDEZ OSCAR MAURICIO</t>
  </si>
  <si>
    <t>VEGA  RICARDO ABEL</t>
  </si>
  <si>
    <t>BARRERA ALVARADO HUGO FERNANDO</t>
  </si>
  <si>
    <t xml:space="preserve">MENDIVELSON DURAN ORLANDO </t>
  </si>
  <si>
    <t xml:space="preserve">FERNANDEZ MURILLO MAURICIO </t>
  </si>
  <si>
    <t>ROJAS RODRIGUEZ JOSE GREGORIO</t>
  </si>
  <si>
    <t xml:space="preserve">MORALES  PABLO </t>
  </si>
  <si>
    <t xml:space="preserve">TUTA ALFONSO VALDERRAMA </t>
  </si>
  <si>
    <t xml:space="preserve">SIERRA MOZO  GUSTAVO </t>
  </si>
  <si>
    <t>VARGAS VARGAS HENRY GIOVANNY</t>
  </si>
  <si>
    <t>CAMARGO GONZALEZ CARLOS ANDRES</t>
  </si>
  <si>
    <t>NAUSA GOMEZ CARLOS ALIRIO</t>
  </si>
  <si>
    <t>AGUILAR NIÑO WILLIAM ORLANDO</t>
  </si>
  <si>
    <t>HIGUERA REYES JUAN CESAR</t>
  </si>
  <si>
    <t>POBLADOR SEPULVEDA YECID JOSE</t>
  </si>
  <si>
    <t>CHAPARRO  FERNANDO JORGE</t>
  </si>
  <si>
    <t>VARGAS  HECTOR ALIRIO</t>
  </si>
  <si>
    <t>CORREDOR CAMARGO HENRY MAURICIO</t>
  </si>
  <si>
    <t>GONZALEZ BECERRA WILLIGTON MARCELO</t>
  </si>
  <si>
    <t>ALVAREZ RUIZ WILSON FERNANDO</t>
  </si>
  <si>
    <t>CAMARGO ALVAREZ JAIME ARTURO</t>
  </si>
  <si>
    <t>SANABRIA CACHOPE FRANCISCO JAVIER</t>
  </si>
  <si>
    <t>FERNANDEZ ANGEL FREDY LEONARDO</t>
  </si>
  <si>
    <t>CRUZ GUEVARA GABRIEL MAURICIO</t>
  </si>
  <si>
    <t>MERCHAN VARGAS RAFAEL ANTONIO</t>
  </si>
  <si>
    <t>QUIJANO PINEDA WILSON RAMIRO</t>
  </si>
  <si>
    <t xml:space="preserve">FONSECA  JAIME </t>
  </si>
  <si>
    <t>GONZALEZ PINEDA OMAR DEMILDO</t>
  </si>
  <si>
    <t xml:space="preserve">GOMEZ ESPINEL SIERVO </t>
  </si>
  <si>
    <t>GONZALEZ HERNANDEZ MEYER EDILSSON</t>
  </si>
  <si>
    <t>LEON VARGAS LUIS JOSE</t>
  </si>
  <si>
    <t>MESA CASTRO JAIRO ANTONIO</t>
  </si>
  <si>
    <t>BECERRA RODRIGUEZ EDGAR ALFONSO</t>
  </si>
  <si>
    <t>CORREA SANABRIA GERMAN RICARDO</t>
  </si>
  <si>
    <t>HOLGUIN REYES DILSON FRANCLIN</t>
  </si>
  <si>
    <t>MESA DURAN LUIS FELIPE</t>
  </si>
  <si>
    <t>CEPEDA REYES SEGUNDO ROBERTO</t>
  </si>
  <si>
    <t>LOPEZ LOPEZ LUIS GABRIEL</t>
  </si>
  <si>
    <t>GARCIA FONSECA JUAN CARLOS</t>
  </si>
  <si>
    <t>ZABALA TORRES JAIME ALBERTO</t>
  </si>
  <si>
    <t>CORREDOR MENDOZA RICARDO ANDRES</t>
  </si>
  <si>
    <t>GONZALEZ BAUTISTA MIGUEL ERNESTO</t>
  </si>
  <si>
    <t xml:space="preserve">OCHOA VALDERRAMA WILLINGTON </t>
  </si>
  <si>
    <t>CASTRO BLANCO PEDRO WILLIAM</t>
  </si>
  <si>
    <t>MORALES CELY WILLIAM ALONSO</t>
  </si>
  <si>
    <t>CEPEDA BARRERA JOSE NORBERTO</t>
  </si>
  <si>
    <t xml:space="preserve">SABA SIERRA RICARDO </t>
  </si>
  <si>
    <t xml:space="preserve">MONTIEL PEREZ HECTOR </t>
  </si>
  <si>
    <t xml:space="preserve">PULIDO AGUILAR OSWALDO </t>
  </si>
  <si>
    <t>BARRERA RODRIGUEZ WILIAM ALBERTO</t>
  </si>
  <si>
    <t>AMAYA MERCHAN EDGAR HERNANDO</t>
  </si>
  <si>
    <t xml:space="preserve">VEGA RINCON  MILTON </t>
  </si>
  <si>
    <t>PARRA CAMACHO GABRIEL ANTONIO</t>
  </si>
  <si>
    <t>SANDOVAL VARGAS MARIO JAVIER</t>
  </si>
  <si>
    <t xml:space="preserve">GONZALEZ BARON RENE </t>
  </si>
  <si>
    <t>CELY ARIAS JAVIER HERNAN</t>
  </si>
  <si>
    <t>JULIO ROBERTO GOMEZ PEDRAZA</t>
  </si>
  <si>
    <t>MOJICA MOJICA NEL JULIAN</t>
  </si>
  <si>
    <t>CAMARGO BECERRA MIGUEL ANGEL</t>
  </si>
  <si>
    <t xml:space="preserve">BAEZ ARAQUE LEONIDAS </t>
  </si>
  <si>
    <t>VALDERRAMA CAMARGO LUIS EDUARDO</t>
  </si>
  <si>
    <t xml:space="preserve">ANGARITA RODRIGUEZ HIGINIO </t>
  </si>
  <si>
    <t xml:space="preserve">SOLER CORREDOR FREDY </t>
  </si>
  <si>
    <t>TORRES CAMARGO JOSE ALEXANDER</t>
  </si>
  <si>
    <t>GONZALEZ ZARABANDA JOSE HUMBERTO</t>
  </si>
  <si>
    <t>TRIANA ESTEPA RAMIRO RAUL</t>
  </si>
  <si>
    <t xml:space="preserve">PUENTES PORRAS MARTIN </t>
  </si>
  <si>
    <t xml:space="preserve">SOLANO GOMEZ DIEGO </t>
  </si>
  <si>
    <t>TOBITO ALVARADO JULIO ALEJANDRO</t>
  </si>
  <si>
    <t>ROMERO MARTINEZ JORGE ENRIQUE</t>
  </si>
  <si>
    <t xml:space="preserve">TORRES CARDENAS  GIOVANNY </t>
  </si>
  <si>
    <t>TIRIA TORRES WILSON OSWALDO</t>
  </si>
  <si>
    <t xml:space="preserve">CAMACHO RODRIGUEZ GEISON </t>
  </si>
  <si>
    <t xml:space="preserve">RINCON  WILLIAM </t>
  </si>
  <si>
    <t>CARO COMBARIZA LUIS FERNANDO</t>
  </si>
  <si>
    <t>CORREA CORREA WILSON GERARDO</t>
  </si>
  <si>
    <t>TAMAYO LOPEZ WILSON ALIRIO</t>
  </si>
  <si>
    <t xml:space="preserve">TORRES  HENRY </t>
  </si>
  <si>
    <t>GERARDO MILLAN JAIME GERARDO</t>
  </si>
  <si>
    <t>ZARABANDA TORRES ANGEL GABRIEL</t>
  </si>
  <si>
    <t>JIMENEZ RIVERA JUAN CARLOS</t>
  </si>
  <si>
    <t>BALLESTEROS  MAURICIO ALEXANDER</t>
  </si>
  <si>
    <t>GOMEZ ACEVEDO ALEXANDER LEANDRO</t>
  </si>
  <si>
    <t>CUSPOCA MARTINEZ JOSE CONSTANTINO</t>
  </si>
  <si>
    <t>BAUTISTA ORTIZ JOSE LIBARDO</t>
  </si>
  <si>
    <t>VILLAMOR TORRES HOLLMAN RICARDO</t>
  </si>
  <si>
    <t>MALAVER CERCADO JIMY ALEXANDER</t>
  </si>
  <si>
    <t xml:space="preserve">JIMENEZ SUANCHA GUSTAVO </t>
  </si>
  <si>
    <t>RODRIGUEZ GUERRERO DANNY ALEXANDER</t>
  </si>
  <si>
    <t>BRISEÑO . MILTON ALBERTO</t>
  </si>
  <si>
    <t>ARGUELLO CASTRO WILLIAM FERNANDO</t>
  </si>
  <si>
    <t>PIZA CARREÑO OSCAR YECID</t>
  </si>
  <si>
    <t xml:space="preserve">RICO  WILSON </t>
  </si>
  <si>
    <t>JEREZ  MIGUEL ANGEL</t>
  </si>
  <si>
    <t xml:space="preserve">CELY  GERMAN </t>
  </si>
  <si>
    <t>MANRIQUE PUERTO JORGE HUMBERTO</t>
  </si>
  <si>
    <t>QIÑONES PARADA JORGE ENRIQUE</t>
  </si>
  <si>
    <t>INFANTE VIVAS JOSE LUIS</t>
  </si>
  <si>
    <t>REYES ESTUPIÑAN HUGO NELSON</t>
  </si>
  <si>
    <t xml:space="preserve">BECERRA  WILLIAM </t>
  </si>
  <si>
    <t>MEJIA NINO LUIS ENRIQUE</t>
  </si>
  <si>
    <t xml:space="preserve">PARADA MESA ORLANDO </t>
  </si>
  <si>
    <t>ROBAYO FUENTES CARLOS ANDRES</t>
  </si>
  <si>
    <t xml:space="preserve">MORENO BAEZ ANGELMIRO </t>
  </si>
  <si>
    <t>TORRES PRIETO JOSE EDUARDO</t>
  </si>
  <si>
    <t>BECERRA BECERRA MANUEL ANTONIO</t>
  </si>
  <si>
    <t>INFANTE FLECHAS GONZALO ALFREDO</t>
  </si>
  <si>
    <t xml:space="preserve">RONDON BUITRAGO ARMANDO </t>
  </si>
  <si>
    <t>RODRIGUEZ NIÑO MILTON HUGO</t>
  </si>
  <si>
    <t>GUEVARA BOTIA WILSON MIGUEL</t>
  </si>
  <si>
    <t>BECERRA BONZA JAIRO ALEJANDRO</t>
  </si>
  <si>
    <t xml:space="preserve">GOMEZ FONSECA WILSON </t>
  </si>
  <si>
    <t>GRIMALDOS FUENTES AMILKAR JAVIER</t>
  </si>
  <si>
    <t>CEPEDA GUATIBONZA JOSE NEVARDO</t>
  </si>
  <si>
    <t>CUY BARON JULIO ANDRES</t>
  </si>
  <si>
    <t xml:space="preserve">ANTONIO  HENRY </t>
  </si>
  <si>
    <t>VARGAS CARDOZO MIGUEL ANGEL</t>
  </si>
  <si>
    <t>CASTIBLANCO  LUIS ANTONIO</t>
  </si>
  <si>
    <t xml:space="preserve">MORANTES  NELSON </t>
  </si>
  <si>
    <t>NINO PEREZ RICARDO ALONSO</t>
  </si>
  <si>
    <t>NOMEZQUE PINEDA LUIS ALEJANDRO</t>
  </si>
  <si>
    <t>CACERES CAICEDO DANIEL EDUARDO</t>
  </si>
  <si>
    <t>GOMEZ CASTRO CARLOS RODRIGO</t>
  </si>
  <si>
    <t>MARTINEZ NINO JOSE ALEXANDER</t>
  </si>
  <si>
    <t>PEDRAZA DIAZ WILSON ORLANDO</t>
  </si>
  <si>
    <t>CEPEDA ZARATE JOHN FREDY</t>
  </si>
  <si>
    <t>SOSA AVELLA WILSON ENRIQUE</t>
  </si>
  <si>
    <t>FONSECA .  JOSE NELSON</t>
  </si>
  <si>
    <t xml:space="preserve">RODRIGUEZ  ARNULFO </t>
  </si>
  <si>
    <t>CAMARGO MARTINEZ LUIS ENRIQUE</t>
  </si>
  <si>
    <t xml:space="preserve">BALLESTEROS CUEVAS IVAN </t>
  </si>
  <si>
    <t>OCHICA ALVARADO LUIS HERNANDO</t>
  </si>
  <si>
    <t>CAMARGO MORALES OSCAR DANILO</t>
  </si>
  <si>
    <t xml:space="preserve">COMBARIZA  JUANCARLOS </t>
  </si>
  <si>
    <t>CARRILLO LIZCANO JULIO CESAR</t>
  </si>
  <si>
    <t xml:space="preserve">GUTIERREZ GONZALEZ HERNANDO </t>
  </si>
  <si>
    <t>ROSAS LIZARAZO EDWIN ALEXANDER</t>
  </si>
  <si>
    <t>TORRES TORRES OMAR DARIO</t>
  </si>
  <si>
    <t xml:space="preserve">MEDINA  DALADIER </t>
  </si>
  <si>
    <t>PULIDO LOPEZ DIEGO TULIO</t>
  </si>
  <si>
    <t>RUIZ RIMA JULIO CESAR</t>
  </si>
  <si>
    <t>BAEZ MARTINEZ JORGE ARTURO</t>
  </si>
  <si>
    <t>PALACIOS TORRES NELSON EDUARDO</t>
  </si>
  <si>
    <t>GONZALEZ TORRES RAFAEL HUMBERTO</t>
  </si>
  <si>
    <t>PABON TIRANO JHON JAIRO</t>
  </si>
  <si>
    <t>VALDERRAMA  DIEGO ALEXANDER</t>
  </si>
  <si>
    <t>CELY ARIAS NELSON ANDRES</t>
  </si>
  <si>
    <t>NOVA PEÑA FREDY ALEXANDER</t>
  </si>
  <si>
    <t xml:space="preserve">LADINO  JOSE </t>
  </si>
  <si>
    <t>ROBAYO AVELLA MIGUEL ORLANDO</t>
  </si>
  <si>
    <t>SUAREZ TOVAR MARIO ANDRES</t>
  </si>
  <si>
    <t>JAVIER ARMANDO CORREDOR GONZALEZ</t>
  </si>
  <si>
    <t>MANRIQUE  HERNAN JAVIER</t>
  </si>
  <si>
    <t xml:space="preserve">FLOREZ FONSECA MAURICIO </t>
  </si>
  <si>
    <t>OCHOA VARGAS JOSE ROBERTO</t>
  </si>
  <si>
    <t xml:space="preserve">MONTOYA MOJICA  WILBER PASTOR </t>
  </si>
  <si>
    <t>PATARROYO CAMARGO WILLIAM FERNEY</t>
  </si>
  <si>
    <t>RODRIGUEZ GALLO MARCO ANTONIO</t>
  </si>
  <si>
    <t xml:space="preserve">NUÑEZ HERNANDEZ VLADIMIR </t>
  </si>
  <si>
    <t xml:space="preserve">SERRANO USCATEGUI HUGO </t>
  </si>
  <si>
    <t xml:space="preserve">ARIAS NIÑO JORGE </t>
  </si>
  <si>
    <t>HURTADO MOLANO ORLANDO RENE</t>
  </si>
  <si>
    <t>ALVARADO MARTINEZ FREDY YESID</t>
  </si>
  <si>
    <t>PINEDA NIÑO OSCAR JAVIER</t>
  </si>
  <si>
    <t>TORRES PUERTO SANDRO FABIAN</t>
  </si>
  <si>
    <t xml:space="preserve">MARTINEZ AVILA  RODOLFO </t>
  </si>
  <si>
    <t>HIGUERA INFANTE MARIO HERNANDO</t>
  </si>
  <si>
    <t>DIAZ TORRES JOSE NELSON</t>
  </si>
  <si>
    <t>MOJICA AGUDELO JOSE SANDRO</t>
  </si>
  <si>
    <t xml:space="preserve">GOMEZ BECERRA DIDIER </t>
  </si>
  <si>
    <t xml:space="preserve">SANABRIA TORRES JULIAN </t>
  </si>
  <si>
    <t xml:space="preserve">BARRERA BECERRA JIMMER </t>
  </si>
  <si>
    <t xml:space="preserve">CARRILLO  ROLANDO </t>
  </si>
  <si>
    <t>SOLER ACERO LUIS IGNACIO</t>
  </si>
  <si>
    <t>VALDERRAMA CAMARGO JOSE ALEJANDRO</t>
  </si>
  <si>
    <t>FIGUEROA PEREZ LUIS CARLOS</t>
  </si>
  <si>
    <t>FIQUITIVA ABRIL PABLO EMILIO</t>
  </si>
  <si>
    <t>BERNAL MEJIA WUILSON AGUSTO</t>
  </si>
  <si>
    <t>CHAPARRO FONSECA JOSE ALFONSO</t>
  </si>
  <si>
    <t>MERCHAN TORRES JULIAN GERARDO</t>
  </si>
  <si>
    <t>MOLANO AYALA LUIS SERAFIN</t>
  </si>
  <si>
    <t>ROJAS VELANDIA JOSE IGNACIO</t>
  </si>
  <si>
    <t>NITOLA TORRES EDUIN HERNANDO</t>
  </si>
  <si>
    <t>APARICIO NITOLA CARLOS IVAN</t>
  </si>
  <si>
    <t xml:space="preserve">MORENO TORRES WILLIAM </t>
  </si>
  <si>
    <t>DUEÑAS VALDERRAMA LUIS FERNANDO</t>
  </si>
  <si>
    <t>MATALLANA MORALES IVAN ORLANDO</t>
  </si>
  <si>
    <t>DUARTE DAZA NESTOR LEONEL</t>
  </si>
  <si>
    <t>CASTRO COMBARIZA HEINAR RAUL</t>
  </si>
  <si>
    <t>ARIAS BUITRAGO SERGIO ANTONIO</t>
  </si>
  <si>
    <t xml:space="preserve">GUEVARA PEREZ  OSCAR IVAN </t>
  </si>
  <si>
    <t xml:space="preserve">RODRIGUEZ PARRA ANDRES </t>
  </si>
  <si>
    <t xml:space="preserve">VASQUEZ  EDGAR </t>
  </si>
  <si>
    <t>CARDENAS DAZA MARIO ALBEIRO</t>
  </si>
  <si>
    <t>BAUTISTA MORENO JUAN FRANCISCO</t>
  </si>
  <si>
    <t>TORRES RODRIGUEZ WILSON JULIO</t>
  </si>
  <si>
    <t xml:space="preserve">RODOLFO  NELSON </t>
  </si>
  <si>
    <t>GOMEZ RINCON NELSON GIOVANY</t>
  </si>
  <si>
    <t xml:space="preserve">MATEUS LOPEZ WILINTON </t>
  </si>
  <si>
    <t xml:space="preserve">MORENO  CARLOS </t>
  </si>
  <si>
    <t>PEREZ GALLO SEGUNDO BENJAMIN</t>
  </si>
  <si>
    <t xml:space="preserve">PARRA PEÑA GIOVANY </t>
  </si>
  <si>
    <t>FONSECA LOPEZ NELSON LEONARDO</t>
  </si>
  <si>
    <t xml:space="preserve">SATIVA MARTINEZ OSWALDO </t>
  </si>
  <si>
    <t>GUEVARA CAMARGO JAIRO ANTONIO</t>
  </si>
  <si>
    <t>ESPEJO BECERRA MILTON ALFONSO</t>
  </si>
  <si>
    <t xml:space="preserve">CAMELO PEREZ FERNANDO </t>
  </si>
  <si>
    <t xml:space="preserve">ROMERO  EDWIN </t>
  </si>
  <si>
    <t>DAVILA MEJIA FREDY ALONSO</t>
  </si>
  <si>
    <t xml:space="preserve">CANARIA LEON RICHAR </t>
  </si>
  <si>
    <t>PEREZ RAMIREZ CARLOS ANDRES</t>
  </si>
  <si>
    <t>NIÑO DIAZ EDWIN ANTONIO</t>
  </si>
  <si>
    <t>ARIZA MEDINA FREDDY ALBERTO</t>
  </si>
  <si>
    <t>PEDRAZA LARA NELSON MAURICIO</t>
  </si>
  <si>
    <t>REYES VELANDIA VICTOR RAUL</t>
  </si>
  <si>
    <t>ESPINDOLA PEREZ LUIS RAUL</t>
  </si>
  <si>
    <t xml:space="preserve">MEDINA RINCON YEFERSSON </t>
  </si>
  <si>
    <t>VALENZUELA RODRIGUEZ JUAN CARLOS</t>
  </si>
  <si>
    <t>BLANCO CORREDOR CARLOS ENRIQUE</t>
  </si>
  <si>
    <t xml:space="preserve">CRUZ BENITEZ BAYARDO </t>
  </si>
  <si>
    <t>CARDENAS AGUDELO JULIO LIBARDO</t>
  </si>
  <si>
    <t>BELTRAN  JEISON EFREN</t>
  </si>
  <si>
    <t>CHAPARRO  JORGE ELIECER</t>
  </si>
  <si>
    <t>BARRERA QUINTANA JONNY ISAIAS</t>
  </si>
  <si>
    <t>ARISMENDY PEREZ CARLOS ORLANDO</t>
  </si>
  <si>
    <t xml:space="preserve">SOLANO CORREDOR FERNANDO </t>
  </si>
  <si>
    <t xml:space="preserve">SILVA VARGAS ESNEIDER </t>
  </si>
  <si>
    <t>ORTIZ LEON JOSE ROSEMBERG</t>
  </si>
  <si>
    <t>PINEDA SILVA JORGE ALIRIO</t>
  </si>
  <si>
    <t xml:space="preserve">MEJIA VALDERRAMA ALEXANDER </t>
  </si>
  <si>
    <t>CARLOS ARTURO CONTRERAS FUENTES</t>
  </si>
  <si>
    <t xml:space="preserve">SANTOS PEREZ ALEXANDER </t>
  </si>
  <si>
    <t>LARA RODRIGUEZ JAVIER ALEXANDER</t>
  </si>
  <si>
    <t>BOHORQUEZ MONROY LUIS ALEJANDRO</t>
  </si>
  <si>
    <t>CHAPARRO CAMARGO JOSE MARTIN</t>
  </si>
  <si>
    <t>APONTE FERNANDEZ JAIRO RAMIRO</t>
  </si>
  <si>
    <t>GOMEZ BECERRA WILLIAM ANDRES</t>
  </si>
  <si>
    <t xml:space="preserve">ESPINOSA PEREZ NELSON </t>
  </si>
  <si>
    <t>DURAN CAMARGO CESAR GIOVANNY</t>
  </si>
  <si>
    <t>RINCON PARRA HUGO HERNANDO</t>
  </si>
  <si>
    <t xml:space="preserve">ORLANDO  GEOVANY </t>
  </si>
  <si>
    <t>SERRANO GOMEZ LUIS GERARDO</t>
  </si>
  <si>
    <t xml:space="preserve">BOHORQUEZ DELGADO MAXIMINO </t>
  </si>
  <si>
    <t>MONTAÑEZ  JOSE ALEXANDER</t>
  </si>
  <si>
    <t xml:space="preserve">OSCAR  JOSE </t>
  </si>
  <si>
    <t xml:space="preserve">AVILA PITA RICARDO </t>
  </si>
  <si>
    <t>AMEZQUITA CHAPARRO RUBEN DARIO</t>
  </si>
  <si>
    <t xml:space="preserve">SANTANA ACOSTA  JUAN CARLOS </t>
  </si>
  <si>
    <t>CASTRO ZAPATA YHON ANDRES</t>
  </si>
  <si>
    <t>VARGAS PAREDES HENRY ISMAEL</t>
  </si>
  <si>
    <t>JOYA ROBALLO WILSON ARMANDO</t>
  </si>
  <si>
    <t>INFANTE VALDERRAMA EFREN DARIO</t>
  </si>
  <si>
    <t>SIERRA NIÑO FERNANDO ALONSO</t>
  </si>
  <si>
    <t xml:space="preserve">MOLANO AYALA GUSTAVO </t>
  </si>
  <si>
    <t>HERNANDEZ GOMEZ RAUL ALEJANDRO</t>
  </si>
  <si>
    <t>CAMARGO CAMARGO JHOAN CESAR</t>
  </si>
  <si>
    <t>SOSA GONZALES CIRO ALFONSO</t>
  </si>
  <si>
    <t>ROSAS VALDERRAMA OSCAR FRANCISCO</t>
  </si>
  <si>
    <t>LEON  FRAN ANTONIO</t>
  </si>
  <si>
    <t>TORRES TOBITO CARLOS ENRIQUE</t>
  </si>
  <si>
    <t>MOJICA AGUDELO LUIS ALFREDO</t>
  </si>
  <si>
    <t>VARGAS ESTUPIÑAN LUIS FERNANDO</t>
  </si>
  <si>
    <t>CAMARGO TIBADUISA JAIRO ALBERTO</t>
  </si>
  <si>
    <t>VALDERRAMA PEDRAZA JORGE ERNESTO</t>
  </si>
  <si>
    <t>DIAZ RODRIGUEZ ERWIN JOHNS</t>
  </si>
  <si>
    <t>CUERVO BECERRA NORBERTO JESUS</t>
  </si>
  <si>
    <t xml:space="preserve">CASTELLANOS IZAQUITA ALONSO </t>
  </si>
  <si>
    <t xml:space="preserve">ESTUPIÑAN  JOHAN </t>
  </si>
  <si>
    <t>ALARCON VILLAR REMBRANDT LEONARDO</t>
  </si>
  <si>
    <t xml:space="preserve">SANDOVAL JOSE LUIS </t>
  </si>
  <si>
    <t>ROJAS CASTRO JORGE ALBERTO</t>
  </si>
  <si>
    <t>BLANCO JAIME GUILLERMO ANDRES</t>
  </si>
  <si>
    <t>SALAZAR SALAZAR FREDDY YESID</t>
  </si>
  <si>
    <t xml:space="preserve">PARAMERO  ANTONIO </t>
  </si>
  <si>
    <t>NIÑO DIAZ JUAN PABLO</t>
  </si>
  <si>
    <t>GALINDO ROJAS EDWING SAMAEL</t>
  </si>
  <si>
    <t>CRA 17 22 59 CELY HECTOR ALONSO</t>
  </si>
  <si>
    <t>ARGUELLO CELY JOHN JAIRO</t>
  </si>
  <si>
    <t>TORRES AMAYA JAVIER RICARDO</t>
  </si>
  <si>
    <t>GOMEZ PEDRAZA PEDRO ELIAS</t>
  </si>
  <si>
    <t>DIAZ FERNANDEZ JAIRO GERARDO</t>
  </si>
  <si>
    <t>ORDUZ PEREZ NELSON DANIEL</t>
  </si>
  <si>
    <t>ZAMBRANO MONSALVE NELSON ENRIQUE</t>
  </si>
  <si>
    <t>LOPEZ MARQUEZ OSCAR YOVANNY</t>
  </si>
  <si>
    <t>FONSECA CAMARGO JOSE VICENTE</t>
  </si>
  <si>
    <t>CHAPARRO BUITRAGO JOSE GABRIEL</t>
  </si>
  <si>
    <t>BRICEÑO MARTIN ORMILSO ALFONSO</t>
  </si>
  <si>
    <t>GONZALEZ PINEDA OSCAR EDUARDO</t>
  </si>
  <si>
    <t>PEDRAZA RAMIREZ JOSE ANTONIO</t>
  </si>
  <si>
    <t>PIRAGAUTA PEÑA EDWIN FERNANDO</t>
  </si>
  <si>
    <t>FAJARDO MONROY EDWARD OSWALDO</t>
  </si>
  <si>
    <t>ARDILA MARTINEZ JORGE PORFIDIO</t>
  </si>
  <si>
    <t>CHAPARRO MESA WILSON JAVIER</t>
  </si>
  <si>
    <t>COLMENARES  ANDRES MAURICIO</t>
  </si>
  <si>
    <t>BECERRA PULIDO JUAN CARLOS</t>
  </si>
  <si>
    <t>BECERRA HIGUERA CARLOS ANDRES</t>
  </si>
  <si>
    <t>GONZALEZ NIÑO JOSE MANUEL</t>
  </si>
  <si>
    <t>CACERES SOLANO JAVIER MAURICIO</t>
  </si>
  <si>
    <t>MERCHAN JIMENEZ WILLIAN SAMUEL</t>
  </si>
  <si>
    <t>INFANTE BAEZ JOSE DIGNOEL</t>
  </si>
  <si>
    <t>ROJAS CHAPARRO FABER GUSTAVO</t>
  </si>
  <si>
    <t>CHAPARRO RUIZ CARLOS ANDRES</t>
  </si>
  <si>
    <t xml:space="preserve">GOYENECHE RAVELO ORLANDO </t>
  </si>
  <si>
    <t>CONTRERAS  ROMAN ELADIO</t>
  </si>
  <si>
    <t>TRISTANCHO ORTIZ RAFAEL IGNACIO</t>
  </si>
  <si>
    <t>VARGAS COMBARIZA JULIO CESAR</t>
  </si>
  <si>
    <t xml:space="preserve">GALINDO  FREDY </t>
  </si>
  <si>
    <t>SOLANO HERNANDEZ EDWIN ALEXANDER</t>
  </si>
  <si>
    <t>MESA AFRICANO LUIS ALEXANDER</t>
  </si>
  <si>
    <t>YANQUEN PARADA JORGE ELIESER</t>
  </si>
  <si>
    <t xml:space="preserve">MENDIVELSO MENDIVELSO EDUARD </t>
  </si>
  <si>
    <t xml:space="preserve">BECERRA AVENDAÑO ALFONSO </t>
  </si>
  <si>
    <t xml:space="preserve">GOMEZ GARCIA MIGUEL </t>
  </si>
  <si>
    <t xml:space="preserve">BECERRA GUEVARA ALEXANDER </t>
  </si>
  <si>
    <t>CRISTANCHO . ALBEIRO ANTONIO</t>
  </si>
  <si>
    <t>PLAZAS ARISMENDY CRISTIAN ORLANDO</t>
  </si>
  <si>
    <t xml:space="preserve">BERDUGO CELY YESID </t>
  </si>
  <si>
    <t>CARVAJAL LAZARO LUIS MARIO</t>
  </si>
  <si>
    <t>MARIÑO COTRINA ALVARO FERNANDO</t>
  </si>
  <si>
    <t>VALERO MELO JHON ADEL</t>
  </si>
  <si>
    <t>GOMEZ ARCHILA JUAN CARLOS</t>
  </si>
  <si>
    <t>VILLAMIZAR JOYA FREDY ROLDAN</t>
  </si>
  <si>
    <t>ZORRO AVILA JUAN CARLOS</t>
  </si>
  <si>
    <t xml:space="preserve">CAMARGO HIGUERA PEDRO </t>
  </si>
  <si>
    <t>PEÑA PUERTO GELMAN AUGUSTO</t>
  </si>
  <si>
    <t>SANABRIA PATIÑO JOSE JAVIER</t>
  </si>
  <si>
    <t xml:space="preserve">CORREA LOPEZ RICARDO </t>
  </si>
  <si>
    <t>HERNANDEZ VIVAS RICHAR GEOVANNY</t>
  </si>
  <si>
    <t xml:space="preserve">RODRIGUEZ NIÑO RAUL </t>
  </si>
  <si>
    <t>PORRAS SANCHEZ CARLOS JAVIER</t>
  </si>
  <si>
    <t>TOBITO CORREDOR JOHN FRETMEYE</t>
  </si>
  <si>
    <t>GOMEZ DIAZ FREDY ROLANDO</t>
  </si>
  <si>
    <t>BOTIA ROBLES JUAN FERNANDO</t>
  </si>
  <si>
    <t>VALDERRAMA CORREDOR JOSE DODIER</t>
  </si>
  <si>
    <t>ACERO CASTILLO CARLOS MAURICIO</t>
  </si>
  <si>
    <t xml:space="preserve">NIÑO GONZALEZ ALVARO </t>
  </si>
  <si>
    <t xml:space="preserve">GOMEZ  JOLMAN </t>
  </si>
  <si>
    <t>NEITA  MIGUEL ANGEL</t>
  </si>
  <si>
    <t xml:space="preserve">BLANCO GARCIA  WILLINTON </t>
  </si>
  <si>
    <t>CAMACHO ZAFRA RODRIGO ALONSO</t>
  </si>
  <si>
    <t>SANTOS PAIPA JOSE DAVID</t>
  </si>
  <si>
    <t xml:space="preserve">PULIDO  NELSON </t>
  </si>
  <si>
    <t>CRUZ MARTINEZ LUIS ALFONSO</t>
  </si>
  <si>
    <t xml:space="preserve">AYALA HERRERA  LUIS EDUARDO </t>
  </si>
  <si>
    <t>BLANCO  FREDDY ANDRES</t>
  </si>
  <si>
    <t>GUEVARA VELANDIA LUIS EMIRO</t>
  </si>
  <si>
    <t>BAEZ VARGAS FREDY ADALBERTO</t>
  </si>
  <si>
    <t>LARA CHIQUILLO ESLY NATAN</t>
  </si>
  <si>
    <t>RIVERA BARRERA WILSON ERNESTO</t>
  </si>
  <si>
    <t>GUIO CHAPARRO GIOVANI FERNANDO</t>
  </si>
  <si>
    <t xml:space="preserve">MOLANO BECERRA GIRALDO </t>
  </si>
  <si>
    <t>MIGUEL  VALDERRAMA RINCON</t>
  </si>
  <si>
    <t xml:space="preserve">ESTUPINAN ALVARADO  ALEXANDER </t>
  </si>
  <si>
    <t>PARRA VARGAS RENSO ROLANDO</t>
  </si>
  <si>
    <t>NOCUA PEÑA EDWIN TIBERIO</t>
  </si>
  <si>
    <t>GOMEZ CHAPARRO JAVIER ALEXANDER</t>
  </si>
  <si>
    <t>BECERRA DOTOR MIGUEL ANGEL</t>
  </si>
  <si>
    <t>RAIGOSO VALCARCEL LUIS JOSE</t>
  </si>
  <si>
    <t>AGUILAR RODRIGUEZ FELIX MARIA</t>
  </si>
  <si>
    <t xml:space="preserve">GUEVARA ALVAREZ CARLOS </t>
  </si>
  <si>
    <t>REYES CASTRO FARDY ALEXANDER</t>
  </si>
  <si>
    <t>CUERVO FIGUEREDO NELSON FABIAN</t>
  </si>
  <si>
    <t>CASTAÑEDA RINCON JUAN VICENTE</t>
  </si>
  <si>
    <t>LEON PEDRAZA PEDRO JESUS</t>
  </si>
  <si>
    <t>UYASAN ALARCON JORGE ALEXANDER</t>
  </si>
  <si>
    <t>OLIVEROS DAVILA EDUUIM YOBANNY</t>
  </si>
  <si>
    <t>AGUILAR CEPEDA JOHON EDGARDO</t>
  </si>
  <si>
    <t>BLANCO ALARCON GERMAN ALONSO</t>
  </si>
  <si>
    <t>MARTINEZ . JAVIER ARTURO</t>
  </si>
  <si>
    <t xml:space="preserve">PINTO CELY  MIGUEL ANGEL </t>
  </si>
  <si>
    <t>RUIZ HERNANDEZ DANIEL ALEXANDER</t>
  </si>
  <si>
    <t>OLARTE ARANGUREN GERMAN DARIO</t>
  </si>
  <si>
    <t>TAMARA CABRA FREDY RICARDO</t>
  </si>
  <si>
    <t>REYES SERRANO GEOVANI ANTONIO</t>
  </si>
  <si>
    <t>VANEGAS TORRES OSCAR MAURICIO</t>
  </si>
  <si>
    <t>GOMEZ GARCIA EDWIN GUSTAVO</t>
  </si>
  <si>
    <t>ACOSTA CASTAÑEDA EDHIN JAVIER</t>
  </si>
  <si>
    <t>GONZALEZ BECERRA WILSON ORLANDO</t>
  </si>
  <si>
    <t>VEGA  JOSE HUMBERTO</t>
  </si>
  <si>
    <t>SANDOVAL CEPEDA EDWIN MAURICIO</t>
  </si>
  <si>
    <t>SANCHEZ CENDALES LUIS FERNANDO</t>
  </si>
  <si>
    <t xml:space="preserve">ENGATIVA AVELLANEDA WILSON </t>
  </si>
  <si>
    <t>MOLANO RUEDA DIEGO ALEXANDER</t>
  </si>
  <si>
    <t>OTERO MURILLO CARLOS EDUARDO</t>
  </si>
  <si>
    <t>HERNANDEZ PENA LUIS GIOVANNY</t>
  </si>
  <si>
    <t>RODRIGUEZ DUCON SAMUEL FERNANDO</t>
  </si>
  <si>
    <t>CABRA  LUIS CARLOS</t>
  </si>
  <si>
    <t>AVILA PITA OSCAR DANIEL</t>
  </si>
  <si>
    <t xml:space="preserve">SANCHEZ BECERRA  JUAN CARLOS </t>
  </si>
  <si>
    <t>ORTIZ RINCON ORLANDO JAVIER</t>
  </si>
  <si>
    <t xml:space="preserve">CARDENAS LEON AUGUSTO </t>
  </si>
  <si>
    <t>GONZALEZ HERNANDEZ JULIO CESAR</t>
  </si>
  <si>
    <t>AMEZQUITA FIGUEREDO JUAN PABLO</t>
  </si>
  <si>
    <t>MARTINEZ MARTINEZ BELISARIO ANTONIO</t>
  </si>
  <si>
    <t>GODOY TARAZONA CESAR FERNANDO</t>
  </si>
  <si>
    <t>SOLANO TORRES NORBERTO ALEXANDER</t>
  </si>
  <si>
    <t>GALLO DAZA JAIME RICARDO</t>
  </si>
  <si>
    <t>REAL GOMEZ FELIPE ALEJANDRO</t>
  </si>
  <si>
    <t xml:space="preserve">CELY VERDUGO RODRIGO </t>
  </si>
  <si>
    <t>MORALES HIGUERA NELSON ARTURO</t>
  </si>
  <si>
    <t>FAJARDO HIGUERA ALBEIRO AUGUSTO</t>
  </si>
  <si>
    <t>ROBERTO PULIDO JOSE ROBERTO</t>
  </si>
  <si>
    <t>VARGAS PALENCIA ANTONIO OBDULIO</t>
  </si>
  <si>
    <t>GONZALES TORRES FREDY GIOVANNI</t>
  </si>
  <si>
    <t xml:space="preserve">SALAZAR CARDENAS HERNANDO </t>
  </si>
  <si>
    <t>MONSALVE  CARLOS ALBERTO</t>
  </si>
  <si>
    <t>PEÑA CASTAÑEDA IVAN DARIO</t>
  </si>
  <si>
    <t xml:space="preserve">ALFREDO  LUCIAN </t>
  </si>
  <si>
    <t xml:space="preserve">MOLANO FONSECA JUAN </t>
  </si>
  <si>
    <t>ROJAS MEDINA JULIO ALEXANDER</t>
  </si>
  <si>
    <t>ARAQUE SUAREZ EMIR ARNOLDO</t>
  </si>
  <si>
    <t xml:space="preserve">ACOSTA MEDINA WILSON </t>
  </si>
  <si>
    <t>SANABRIA LOZANO CARLOS GUSTAVO</t>
  </si>
  <si>
    <t xml:space="preserve">MOISES  FREDY </t>
  </si>
  <si>
    <t>CORREDOR CAMARGO JAVIER ADOLFO</t>
  </si>
  <si>
    <t>GONZALEZ PAMPLONA CESAR RICARDO</t>
  </si>
  <si>
    <t>CASTILLO MORENO FREDDY ARBEY</t>
  </si>
  <si>
    <t>MARTINEZ GONZALEZ ROUALD FERNANDO</t>
  </si>
  <si>
    <t>LIZARAZO PRECIADO HENRY SAMUEL</t>
  </si>
  <si>
    <t>PARADA PARADA MANUEL ENRIQUE</t>
  </si>
  <si>
    <t>CARDENAS BARRETO PEDRO JAVIER</t>
  </si>
  <si>
    <t>PALACIOS NUNEZ  JIMMY ALEJANDRO</t>
  </si>
  <si>
    <t>RINCON MELO PABLO RAUL</t>
  </si>
  <si>
    <t>BONILLA PUERTO JAIRO ALEXANDER</t>
  </si>
  <si>
    <t>MARQUEZ VALDERRAMA WILSON FREDDY</t>
  </si>
  <si>
    <t>JAVIER RUZ JOSE JAVIER</t>
  </si>
  <si>
    <t xml:space="preserve">Fuentes Mejia Javier </t>
  </si>
  <si>
    <t xml:space="preserve">VARGAS PARADA ADRIAN </t>
  </si>
  <si>
    <t>ALDANA BALAGUERA JOSE MIGUEL</t>
  </si>
  <si>
    <t xml:space="preserve">CRISTANCHO CARO YOBANY </t>
  </si>
  <si>
    <t>CAMARGO RODRIGUEZ JOSE DAGOBERTO</t>
  </si>
  <si>
    <t>HERNANDEZ ROJAS WILSON FERNANDO</t>
  </si>
  <si>
    <t>TAMARA  ELIECER PUERTO</t>
  </si>
  <si>
    <t xml:space="preserve">VALDERRAMA  FREDDY </t>
  </si>
  <si>
    <t>PARRA CAMACHO VICTOR JULIO</t>
  </si>
  <si>
    <t>MARQUEZ RICAURTE WILSON MAURICIO</t>
  </si>
  <si>
    <t>OCHOA RAMIREZ OMAR RUBEN</t>
  </si>
  <si>
    <t>CELY MARTINEZ LUIS ALFREDO</t>
  </si>
  <si>
    <t>SEPULVEDA BLANCO JORGE ARMANDO</t>
  </si>
  <si>
    <t>VALDERRAMA TORRES RUBEN DARIO</t>
  </si>
  <si>
    <t>PEÑA CORREA ALVARO ORLANDO</t>
  </si>
  <si>
    <t>CORTES CAMARGO FREDDY MAURICIO</t>
  </si>
  <si>
    <t>CHAPARRO PESCA SEGUNDO ALBEIRO</t>
  </si>
  <si>
    <t xml:space="preserve">PARRA RIVERA  JOSE ALBERTO </t>
  </si>
  <si>
    <t>VARGAS RINCON WILLIAM FERNANDO</t>
  </si>
  <si>
    <t>HERNANDEZ PEDRAZA OSCAR HERNANDO</t>
  </si>
  <si>
    <t>ROJAS QUINTERO OSCAR JAVIER</t>
  </si>
  <si>
    <t>BOHORQUEZ MONROY MIGUEL ANGEL</t>
  </si>
  <si>
    <t>PRIETO CAMARGO LUIS ALEXADER</t>
  </si>
  <si>
    <t>RIAÑO TIRIA FAUSTO ALEXANDER</t>
  </si>
  <si>
    <t>PENA GUARIN JOSE ANTONIO</t>
  </si>
  <si>
    <t>PAIPA APONTE AWER GILBERTO</t>
  </si>
  <si>
    <t xml:space="preserve">GIL GIL JAIME </t>
  </si>
  <si>
    <t>AVELLANEDA ANGARITA JOSE EDISON</t>
  </si>
  <si>
    <t xml:space="preserve">BARRERA CUTA  JOSE ALEJANDRO </t>
  </si>
  <si>
    <t>FLOREZ VALDERRAMA YOBANY ALONSO</t>
  </si>
  <si>
    <t>ORTIZ  JAIME ORLANDO</t>
  </si>
  <si>
    <t>BECERRA HIGUERA JESUS RAFAEL</t>
  </si>
  <si>
    <t>SOTAQUIRA ROBLES NELSON ARNULFO</t>
  </si>
  <si>
    <t>CRISTANCHO  HENRY ALEJANRO</t>
  </si>
  <si>
    <t>BELTRAN MORENO LUIS ARMANDO</t>
  </si>
  <si>
    <t>DIAZ CHAPARRO MARIO ALFONSO</t>
  </si>
  <si>
    <t>ALFONSO SILVA VICTOR HUGO</t>
  </si>
  <si>
    <t>MARTINEZ VILLAMIL LUIS ALEXANDER</t>
  </si>
  <si>
    <t xml:space="preserve">HERNANDO  MILLER </t>
  </si>
  <si>
    <t xml:space="preserve">SANCHEZ AVILA JAVIER </t>
  </si>
  <si>
    <t xml:space="preserve">BLANCO  JUAN </t>
  </si>
  <si>
    <t xml:space="preserve">MEDINA MEDINA  JOSE GERMAN </t>
  </si>
  <si>
    <t>GRIMALDOS RIVEROS ALEX ARMANDO</t>
  </si>
  <si>
    <t xml:space="preserve">ALVAREZ GONZALEZ  OSCAR JAVIER </t>
  </si>
  <si>
    <t>MEDINA BECERRA JHON FREDY</t>
  </si>
  <si>
    <t>CAMACHO LOPEZ LUIS PABLO</t>
  </si>
  <si>
    <t>PUERTO CORREDOR CARLOS JOSE</t>
  </si>
  <si>
    <t>PUERTO REYES HUGO GIOVANNY</t>
  </si>
  <si>
    <t xml:space="preserve">VARGAS  ARMANDO </t>
  </si>
  <si>
    <t>RUIZ  JAIME FERNANDO</t>
  </si>
  <si>
    <t>MORENO BAEZ WILLYAM RICARDO</t>
  </si>
  <si>
    <t xml:space="preserve">CELY VERDUGO ARMANDO </t>
  </si>
  <si>
    <t>CEPEDA PATIÑO RICARDO JAVIER</t>
  </si>
  <si>
    <t>AVELLANEDA HERNANDEZ JORGE ARTURO</t>
  </si>
  <si>
    <t>CELY TORRES JUAN GERMAN</t>
  </si>
  <si>
    <t>ALBARRACIN MESA GIOVANY GUSTAVO</t>
  </si>
  <si>
    <t xml:space="preserve">ZULUAGA VILLANUEVA ALCIDES </t>
  </si>
  <si>
    <t>GARCIA LEMUS OMAR ANTONIO</t>
  </si>
  <si>
    <t xml:space="preserve">VERDUGO LOZANO FERNELY </t>
  </si>
  <si>
    <t>OSCAR JULIAN CHAPARRO ROJAS</t>
  </si>
  <si>
    <t>ARANGO GALINDO HENRRY DANILO</t>
  </si>
  <si>
    <t>GOMEZ OLIVEROS RONALD LEONEL</t>
  </si>
  <si>
    <t xml:space="preserve">CAMARGO CHAPARRO  ISMAEL </t>
  </si>
  <si>
    <t xml:space="preserve">BARRAGAN  JULIAN </t>
  </si>
  <si>
    <t>AGUIRRE LOPEZ DIEGO FERNANDO</t>
  </si>
  <si>
    <t>ESTUPINAN PICO LUIS MIGUEL</t>
  </si>
  <si>
    <t>BONILLA BERNAL HOLMAN ALFREDO</t>
  </si>
  <si>
    <t xml:space="preserve">RUEDA PINEDA YEISON </t>
  </si>
  <si>
    <t>ROJAS ROJAS JAISSON GABRIEL</t>
  </si>
  <si>
    <t>VILLAMIZAR REYES JAVIER HERNANDO</t>
  </si>
  <si>
    <t xml:space="preserve">MOJICA LLANOS ALEXIS </t>
  </si>
  <si>
    <t>AGUDELO SANDOVAL EDEN RENE</t>
  </si>
  <si>
    <t>MANTILLA PARRA OLMAR RAFAEL</t>
  </si>
  <si>
    <t>PEDRO ALONSO LAGOS PINTO</t>
  </si>
  <si>
    <t>MARTINEZ QUINTERO MILTON LEANDRO</t>
  </si>
  <si>
    <t xml:space="preserve">CRUZ MARIÑO NOLBERTO </t>
  </si>
  <si>
    <t>ARAQUE ARAQUE CARLOS EMIRO</t>
  </si>
  <si>
    <t>ARENAS ALVAREZ WILLIAM YAMIDT</t>
  </si>
  <si>
    <t xml:space="preserve">CASTAÑEDA  ADRIAN </t>
  </si>
  <si>
    <t>MARTINEZ GARCIA CARLOS ANDRES</t>
  </si>
  <si>
    <t>RINCON CARMAGO IVAN DARIO</t>
  </si>
  <si>
    <t>FONSECA BARRERA GERMAN MAURICIO</t>
  </si>
  <si>
    <t xml:space="preserve">FONSECA  WILINTON </t>
  </si>
  <si>
    <t>REYES GALLO WILSON HERNANDO</t>
  </si>
  <si>
    <t>CEPEDA PEREZ JUAN CARLOS</t>
  </si>
  <si>
    <t>PORRAS SANCHEZ FREDY YOVANNY</t>
  </si>
  <si>
    <t>CRISTANCHO RODRIGUEZ EDWIN ANTONIO</t>
  </si>
  <si>
    <t>ROJAS PEREZ RONAL GILBERTO</t>
  </si>
  <si>
    <t>PITA MACHUCA GUILLERMO ANTONIO</t>
  </si>
  <si>
    <t>TORRES TORRES GERMAN EDUARDO</t>
  </si>
  <si>
    <t>FONSECA SALAMANCA HOLMAN HUMBERTO</t>
  </si>
  <si>
    <t>TORRES BECERRA EDWAR ANIBAL</t>
  </si>
  <si>
    <t xml:space="preserve">OCHOA  MAURICIO </t>
  </si>
  <si>
    <t xml:space="preserve">FERNANDO  DIEGO </t>
  </si>
  <si>
    <t>MALAVER . FREDY ARQUIMEDES</t>
  </si>
  <si>
    <t>ACEVEDO VILLAMIL FRANCISCO JAVIER</t>
  </si>
  <si>
    <t>CORONADO  FREDY EDUARDO</t>
  </si>
  <si>
    <t>ALBARRACIN  FABIAN ANDRES</t>
  </si>
  <si>
    <t xml:space="preserve">MORENO GOMEZ JESUS </t>
  </si>
  <si>
    <t xml:space="preserve">RIVERA ALFONSO ELVER </t>
  </si>
  <si>
    <t>LEAL VALBUENA JOSE ALEXANDER</t>
  </si>
  <si>
    <t>TORRES FONSECA HENRY YOVANNI</t>
  </si>
  <si>
    <t xml:space="preserve">BECERRA CUSPOCA  WILLIAM FERNANDO </t>
  </si>
  <si>
    <t xml:space="preserve">ROJAS ARAQUE HUMBERTO </t>
  </si>
  <si>
    <t>VARGAS  DIEGO ALEJANDRO</t>
  </si>
  <si>
    <t>CORREDOR GONZALEZ JOSE RICARDO</t>
  </si>
  <si>
    <t>GROSSO ACERO HEINER OSWALDO</t>
  </si>
  <si>
    <t>ROJAS SANCHEZ GERMAN DARIO</t>
  </si>
  <si>
    <t>RESTREPO CORDOBA ANDRES FELIPE</t>
  </si>
  <si>
    <t>CHAPARRO RUEDA CARLOS ARTURO</t>
  </si>
  <si>
    <t>PEREZ OCHOA JOHNNY LEONARDO</t>
  </si>
  <si>
    <t>LOPEZ DIAZ WILLIAM IGNACIO</t>
  </si>
  <si>
    <t>PUERTO CIFUNTES WILSON MAURICIO</t>
  </si>
  <si>
    <t xml:space="preserve">CRISTANCHO MENDOZA  HERNEY </t>
  </si>
  <si>
    <t>RODRIGUEZ RODRIGUEZ JESUS ALEXANDER</t>
  </si>
  <si>
    <t>REYES  JUAN CARLOS</t>
  </si>
  <si>
    <t xml:space="preserve">PEREZ  HERNANDO </t>
  </si>
  <si>
    <t>MALPICA ABRIL FREDY ALEXANDER</t>
  </si>
  <si>
    <t>TORRES GALINDO YEMERSON HARBEY</t>
  </si>
  <si>
    <t>SUAREZ AMEZQUITA WILSON FERNANDO</t>
  </si>
  <si>
    <t>ANGARITA NINO CAMILO ANDRES</t>
  </si>
  <si>
    <t>PACHON RUIZ DIEGO MAURICIO</t>
  </si>
  <si>
    <t>SANABRIA MOYANO LUIS CARLOS</t>
  </si>
  <si>
    <t xml:space="preserve">GONZALEZ GONZALEZ ANDRES </t>
  </si>
  <si>
    <t>ADAME ALVAREZ JUAN MAURICIO</t>
  </si>
  <si>
    <t>PORRAS AMAYA JOSE FERNANDO</t>
  </si>
  <si>
    <t>MONTERO TOVAR OSCAR RICARDO</t>
  </si>
  <si>
    <t>MATEUS FUQUEN FERNELLY GIOVANY</t>
  </si>
  <si>
    <t>LOPEZ HIGUERA JOSE ANDRES</t>
  </si>
  <si>
    <t>SUAREZ GARCIA GIOVAN ISIDRO</t>
  </si>
  <si>
    <t>RODRIGUEZ PARRA HOLMAN GEOVANNI</t>
  </si>
  <si>
    <t xml:space="preserve">BAEZ MARTINEZ ROBERTO </t>
  </si>
  <si>
    <t>MANOSALVA MANRIQUE FREDY ALBERTO</t>
  </si>
  <si>
    <t>SILVA VARGAS EREIMAN ASDRUBAL</t>
  </si>
  <si>
    <t>AMAYA HERNANDEZ EDWIN LEONARDO</t>
  </si>
  <si>
    <t xml:space="preserve">ESTUPIÑAN  OSCAR </t>
  </si>
  <si>
    <t>ALVARADO CEPEDA EDWIN FERNEY</t>
  </si>
  <si>
    <t xml:space="preserve">TORRES OSCAR  JAVIER </t>
  </si>
  <si>
    <t xml:space="preserve">FERNANDEZ ROJAS CESAR </t>
  </si>
  <si>
    <t>SANDOVAL PUERTO JOMIL ROLANDO</t>
  </si>
  <si>
    <t xml:space="preserve">ALVAREZ  LIBARDO </t>
  </si>
  <si>
    <t>POVEDA RINCON WILMAN ORLANDO</t>
  </si>
  <si>
    <t>CL 20 16 90 SANABRIA JHON MAURICIO</t>
  </si>
  <si>
    <t>GUTIERREZ PATINO VICTOR JAVIER</t>
  </si>
  <si>
    <t xml:space="preserve">MEDINA PARRA  JAIME ANDRES </t>
  </si>
  <si>
    <t>LOPEZ HURTADO PABLO ENRIQUE</t>
  </si>
  <si>
    <t xml:space="preserve">TORRES NOVA WILLIAM </t>
  </si>
  <si>
    <t xml:space="preserve">TIRIA  WILLIAM </t>
  </si>
  <si>
    <t>CARREÑO HERNANDEZ ABNNER DANIEL</t>
  </si>
  <si>
    <t>BARRERA SIAUCHO JORGE ENRIQUE</t>
  </si>
  <si>
    <t>MEDINA RUBIO JOSE ALBERTO</t>
  </si>
  <si>
    <t>ACEVEDO GIRAL OSMAN JAVIER</t>
  </si>
  <si>
    <t xml:space="preserve">FERNANDEZ ALFONSO  YOVANY </t>
  </si>
  <si>
    <t xml:space="preserve">QUINTERO CUADROS HERNANDO </t>
  </si>
  <si>
    <t>SANDOVAL CHAPARRO WILMAN HERNANDO</t>
  </si>
  <si>
    <t>NUNEZ LARGO JAIRO ALEXANDER</t>
  </si>
  <si>
    <t xml:space="preserve">PATARROYO VILLATE LEONARDO </t>
  </si>
  <si>
    <t>ORJUELA GOMEZ JOSE ALEXANDER</t>
  </si>
  <si>
    <t>TORRES DUCON JUAN DAVID</t>
  </si>
  <si>
    <t>CASTRO PEREZ JAVIER ALEXANDER</t>
  </si>
  <si>
    <t>OCHOA . ALEX FERNANDO</t>
  </si>
  <si>
    <t>POBLADOR SEPULVEDA JIMMY NEIDER</t>
  </si>
  <si>
    <t xml:space="preserve">VARGAS BALAGUERA GERMAN </t>
  </si>
  <si>
    <t>CELY RIVERA LUIS RODOLFO</t>
  </si>
  <si>
    <t>CORREALES ROJAS CARLOS QUINTILIANO</t>
  </si>
  <si>
    <t>MURILLO RODRIGUEZ DEIVI JOHN</t>
  </si>
  <si>
    <t xml:space="preserve">GOMEZ  WILFREDO </t>
  </si>
  <si>
    <t xml:space="preserve">ALEJANDRO  JAIME </t>
  </si>
  <si>
    <t xml:space="preserve">MARIA  ANGEL </t>
  </si>
  <si>
    <t xml:space="preserve">CHAPARRO NITOLA RICARDO </t>
  </si>
  <si>
    <t>GONZALEZ NIÑO EDWIN GIOVANNI</t>
  </si>
  <si>
    <t>NIÑO MERCHAN HECTOR OLIVO</t>
  </si>
  <si>
    <t>PIRAGUA QUESADA WILSON ALEXANDER</t>
  </si>
  <si>
    <t>TAPIAS LEON BELKYNS ALEXANDER</t>
  </si>
  <si>
    <t>JIMENEZ MARTINEZ DANIEL ALFONSO</t>
  </si>
  <si>
    <t xml:space="preserve">RAMIREZ RODRIGUEZ  JOE NEFTALY </t>
  </si>
  <si>
    <t>PEREZ CASTAÑEDA JOSE RICARDO</t>
  </si>
  <si>
    <t>RIANO BENITEZ JOHN FREDY</t>
  </si>
  <si>
    <t xml:space="preserve">CASTRO CEPEDA FLAMINIO </t>
  </si>
  <si>
    <t>ACEVEDO CUY JOSE ALFREDO</t>
  </si>
  <si>
    <t>ROJAS RODRIGUEZ MIGUEL ANGEL</t>
  </si>
  <si>
    <t>RODRIGUEZ AMEZQUITA WILIAM ORLANDO</t>
  </si>
  <si>
    <t xml:space="preserve">ALVAREZ ROJAS OSWALDO </t>
  </si>
  <si>
    <t>GIRALDO BUITRAGO HECTOR FABIO</t>
  </si>
  <si>
    <t>RINCON MELO DIEGO FABIAN</t>
  </si>
  <si>
    <t>CARVAJAL SANABRIA JAIRO FERNANDO</t>
  </si>
  <si>
    <t>ROJAS SACHICA RICARDO ALONSO</t>
  </si>
  <si>
    <t>BECERRA DUEÑAS CAMILO ALBERTO</t>
  </si>
  <si>
    <t>PAIPA QUINTERO JOSE ALEJANDRO</t>
  </si>
  <si>
    <t>BECERRA PEREZ EDGAR LEONARDO</t>
  </si>
  <si>
    <t>CRISTIANO .  OSCAR AFRANIO</t>
  </si>
  <si>
    <t>MANRIQUE CARDENAS ELVER CLEMENTE</t>
  </si>
  <si>
    <t xml:space="preserve">PUERTO  OMAR </t>
  </si>
  <si>
    <t>GOMEZ CUSPOCA JORGE ELIECER</t>
  </si>
  <si>
    <t>BECERRA BARR ERNESTO ALEXANDER</t>
  </si>
  <si>
    <t>PEDRAZA PEDRAZA LEONARDO ENRIQUE</t>
  </si>
  <si>
    <t xml:space="preserve">FONSECA  EDGAR </t>
  </si>
  <si>
    <t>GUECHA BECERRA JAVIER EDUARDO</t>
  </si>
  <si>
    <t xml:space="preserve">GRACIA BECERRA ROBERTO </t>
  </si>
  <si>
    <t>ROJAS ESCOBAR NELSON MAURICIO</t>
  </si>
  <si>
    <t xml:space="preserve">RODRIGUEZ VELOZA DIEGO </t>
  </si>
  <si>
    <t>BARAJAS CACERES CESAR JULIAN</t>
  </si>
  <si>
    <t xml:space="preserve">CARDENAS VALDERRAMA FERMIN </t>
  </si>
  <si>
    <t>TAMARA RIVEROS OSCAR EDGARDO</t>
  </si>
  <si>
    <t>SOLANO PAIPA NESTOR YESID</t>
  </si>
  <si>
    <t>NIÑO MUNAR OSCAR HERNANDO</t>
  </si>
  <si>
    <t xml:space="preserve">HERRERA  GABRIEL </t>
  </si>
  <si>
    <t>CAMACHO BECERRA WILSON YOVANY</t>
  </si>
  <si>
    <t xml:space="preserve">CASTRO MONTANEZ  WILLIAN </t>
  </si>
  <si>
    <t xml:space="preserve">SUAREZ  GUSTAVO </t>
  </si>
  <si>
    <t>CALDERON  JIMMY ALEXANDER</t>
  </si>
  <si>
    <t>CHAPARRO  LUIS ALFONSO</t>
  </si>
  <si>
    <t>AVENDAÑO GALLO RICK GIOVANI</t>
  </si>
  <si>
    <t>GARCIA RODRIGUEZ CRISTIAN FABIAN</t>
  </si>
  <si>
    <t>ALARCON  WILSON DE JESUS</t>
  </si>
  <si>
    <t>LIZARAZO .  CARLOS ANDRES</t>
  </si>
  <si>
    <t>GONZALES BERDUGO JUAN CARLOS</t>
  </si>
  <si>
    <t xml:space="preserve">NUNEZ MANRIQUE  JAIME ANDRES </t>
  </si>
  <si>
    <t xml:space="preserve">ROJAS CUEVAS ALFREDO </t>
  </si>
  <si>
    <t>GOMEZ GARCIA JUAN PABLO</t>
  </si>
  <si>
    <t>ROJAS DUENAS FABIAN LEANDRO</t>
  </si>
  <si>
    <t xml:space="preserve">SILVA ABARRACIN WALDOMIRO </t>
  </si>
  <si>
    <t xml:space="preserve">SOLANO MEDINA GERMAN </t>
  </si>
  <si>
    <t>HERRERA BARRIOS EDWIN JAVIER</t>
  </si>
  <si>
    <t>BARON MORENO GUILLERMO EDUARDO</t>
  </si>
  <si>
    <t>PEDRAZA  JUAN MIGUEL</t>
  </si>
  <si>
    <t>JIMENEZ TAMAYO WILSON OLIVEROS</t>
  </si>
  <si>
    <t>PLAZAS SEPULVEDA PEDRO ALEXANDER</t>
  </si>
  <si>
    <t>CARDENAS INFANTE LUIS FABIAN</t>
  </si>
  <si>
    <t>CARO MEJIA CESAR AGUSTO</t>
  </si>
  <si>
    <t xml:space="preserve">SANABRIA  EDGARDO EMILIO </t>
  </si>
  <si>
    <t>RODRIGUEZ RODRIGUEZ CARLOS ERNESTO</t>
  </si>
  <si>
    <t>BOHORQUEZ AMAYA OSCAR JAVIER</t>
  </si>
  <si>
    <t>SALAMANCA ABRIL JORGE HERNAN</t>
  </si>
  <si>
    <t>SANCHEZ HUEZA HECTOR JULIO</t>
  </si>
  <si>
    <t xml:space="preserve">ALEXANDER  EDWIN </t>
  </si>
  <si>
    <t>GARCIA TORRES RODRIGO ALBEIRO</t>
  </si>
  <si>
    <t>ESPITIA SILVA DAVID CAMILO</t>
  </si>
  <si>
    <t>GUIO CHAPARRO GERMAN DARIO</t>
  </si>
  <si>
    <t>ALVAREZ OCHOA EDWIN RICARDO</t>
  </si>
  <si>
    <t>CAMARGO NIÑO JUAN ALBERTO</t>
  </si>
  <si>
    <t>BARON SANDOVAL LUIS HERNANDO</t>
  </si>
  <si>
    <t>PITA CAMRGO WILMAR LEANDRO</t>
  </si>
  <si>
    <t>HIGUERA REYES WILLIAM OSWALDO</t>
  </si>
  <si>
    <t>AMEZQUITA LOZANO OSCAR RICARDO</t>
  </si>
  <si>
    <t>RAMOS SOLER CARLOS ALBERTO</t>
  </si>
  <si>
    <t>ESPINDOLA PEREZ JAVIER ENRIQUE</t>
  </si>
  <si>
    <t>ALVARADO AVENDAÑO JOSE ISAAC</t>
  </si>
  <si>
    <t>TORRES FONSECA WILLIAM LEONARDO</t>
  </si>
  <si>
    <t>GONZALEZ CARDENAS EDISON ORLANDO</t>
  </si>
  <si>
    <t xml:space="preserve">RODRIGUEZ MUÑOZ CRISTIAN </t>
  </si>
  <si>
    <t>GONZALEZ CURMEN FERNANDO EPIMENIO</t>
  </si>
  <si>
    <t>FERNANDEZ  ISRAEL CRSITANCHO</t>
  </si>
  <si>
    <t xml:space="preserve">ALBERTO  JHON </t>
  </si>
  <si>
    <t>TORRES HERNANDEZ OSCAR DAVID</t>
  </si>
  <si>
    <t>AMEZQUITA CHAPARRO JULIO CESAR</t>
  </si>
  <si>
    <t>COLMENARES GAMBOA EDWIN YEISON</t>
  </si>
  <si>
    <t>GOMEZ FONSECA JUAN CARLOS</t>
  </si>
  <si>
    <t xml:space="preserve">PITA  WILSON </t>
  </si>
  <si>
    <t>CORREDOR VIVAS JAIME WILLIAM</t>
  </si>
  <si>
    <t xml:space="preserve">BERNAL ESTUPIÑAN WILLINTON </t>
  </si>
  <si>
    <t>CASTRO TIRIA LUIS ENRIQUE</t>
  </si>
  <si>
    <t>GONZALEZ DIAZ LUIS ANTONIO</t>
  </si>
  <si>
    <t xml:space="preserve">CAMARGO PINZON LEONARDO </t>
  </si>
  <si>
    <t>CHAPARRO SILVA NESTOR JAVIER</t>
  </si>
  <si>
    <t>SALAMANCA CHIVATA JUAN GABRIEL</t>
  </si>
  <si>
    <t xml:space="preserve">PARRA CAMACHO EMILIANO </t>
  </si>
  <si>
    <t xml:space="preserve">MARQUEZ CARVAJAL RODOLFO </t>
  </si>
  <si>
    <t>CORREDOR VILLATE LUIS IBAN</t>
  </si>
  <si>
    <t>CHAPARRO CAMARGO CARLOS ERNESTO</t>
  </si>
  <si>
    <t>RIAÑO GORDILLO FREDY OSWALDO</t>
  </si>
  <si>
    <t>CUCUNUBA LAGOS CARLOS EDUARDO</t>
  </si>
  <si>
    <t>OCHOA DELGADO OSCAR EDUARDO</t>
  </si>
  <si>
    <t>CAMARGO PEDRAZA MILTON ROLANDO</t>
  </si>
  <si>
    <t>COY BERNAL YEFERSON ALEXANDER</t>
  </si>
  <si>
    <t>HERNANDEZ CAMARGO HECTOR JULIO</t>
  </si>
  <si>
    <t>SANCHEZ BENAVIDES EDGAR YOVANY</t>
  </si>
  <si>
    <t>AGREDO CORREA EDWIN GILDARDO</t>
  </si>
  <si>
    <t xml:space="preserve">HOLGUIN LEON LIBARDO </t>
  </si>
  <si>
    <t xml:space="preserve">CORREDOR MOLANO OSVALDO </t>
  </si>
  <si>
    <t xml:space="preserve">CASTAÑEDA  JUAN MANUEL </t>
  </si>
  <si>
    <t>SANCHEZ OCHOA DIEGO ALEXANDER</t>
  </si>
  <si>
    <t>ALVARADO MORCOTE FREDY ALEXNDER</t>
  </si>
  <si>
    <t>SEPULVEDA MORENO EDWIN RONAL</t>
  </si>
  <si>
    <t>MEJIA . WILSON FERNANDO</t>
  </si>
  <si>
    <t>TAMAYO GONZALEZ FABIAN ANDRES</t>
  </si>
  <si>
    <t>LOPEZ VELANDIA THORMAN ALEXIS</t>
  </si>
  <si>
    <t>AVELLA NARANJO JUAN DE LOS REYES</t>
  </si>
  <si>
    <t>PEREA LARA JOAQUIN ANTONIO</t>
  </si>
  <si>
    <t>ESTUPIÑAN CAMARGO JOHN ALEXANDER</t>
  </si>
  <si>
    <t>VALVUENA MORANTES CARLOS ARTURO</t>
  </si>
  <si>
    <t xml:space="preserve">OSCAR  LUIS </t>
  </si>
  <si>
    <t>CABRERA MARTINEZ WILSON HOWARD</t>
  </si>
  <si>
    <t>PRIETO RINCON ADRIAN ALEXANDER</t>
  </si>
  <si>
    <t>MARTINEZ LOPEZ JOHAN ANSELMO</t>
  </si>
  <si>
    <t>HERRERA VILLA DIEGO ARMANDO</t>
  </si>
  <si>
    <t xml:space="preserve">GALINDO ROJAS GIOVANI </t>
  </si>
  <si>
    <t>DUEÑAS ALONSO JOSE IGNACIO</t>
  </si>
  <si>
    <t>ORJUELA  JHON JAIRO</t>
  </si>
  <si>
    <t>ALFONSO MUNEVAR JORGE MILTON</t>
  </si>
  <si>
    <t>SILVA INFANTE EDWIN ALDEMAR</t>
  </si>
  <si>
    <t>PICO ROSAS FERNANDO FLAMINIO</t>
  </si>
  <si>
    <t>RICARDO ESTEVEZ RICARDO MANCIPE</t>
  </si>
  <si>
    <t>RUIZ CHAPARRO LUIS ALEXANDER</t>
  </si>
  <si>
    <t>PULIDO  JEHINSON TORRES</t>
  </si>
  <si>
    <t xml:space="preserve">CUY OLARTE SEGUNDO </t>
  </si>
  <si>
    <t>CHAPARRO NINO EDWIN JAVIER</t>
  </si>
  <si>
    <t>GONZALEZ VELANDIA DIEGO ALEXANDER</t>
  </si>
  <si>
    <t xml:space="preserve">SUA MENDIVELSO SEURIEL </t>
  </si>
  <si>
    <t xml:space="preserve">SERRANO EUSCATEGUI PEDRO </t>
  </si>
  <si>
    <t>HELBERTH YESID ESPITIA FLOREZ</t>
  </si>
  <si>
    <t>ULLOA TORRES JOSE CESAR</t>
  </si>
  <si>
    <t>JOYA CASTAÑEDA JULIAN FERNANDO</t>
  </si>
  <si>
    <t xml:space="preserve">BECERRA PUERTO MAURICIO </t>
  </si>
  <si>
    <t>CORREA CORREA FREDY ALEXANDER</t>
  </si>
  <si>
    <t xml:space="preserve">NIETO  WALTER </t>
  </si>
  <si>
    <t>RAMIREZ OCHOA LUIS ANGEL</t>
  </si>
  <si>
    <t>RODRIGUEZ PARRA HELVER LISANDRO</t>
  </si>
  <si>
    <t>VELANDIA VELANDIA PEDRO ENRIQUE</t>
  </si>
  <si>
    <t xml:space="preserve">JUAN CARLOS APONTE </t>
  </si>
  <si>
    <t>CORREA ZUÑIGA JOSE JEFRENS</t>
  </si>
  <si>
    <t xml:space="preserve">CASTAÑEDA  HECTOR </t>
  </si>
  <si>
    <t>ALVAREZ PEREZ CARLOS ARTURO</t>
  </si>
  <si>
    <t>RIVERA CAMARGO EDISON FERNANDO</t>
  </si>
  <si>
    <t>ROJAS MONTAÑEZ MILLER ALBERTO</t>
  </si>
  <si>
    <t>GIL CARDENAS EDWIN ALEXANDER</t>
  </si>
  <si>
    <t>GOMEZ BLANCO JORGE ELIECER</t>
  </si>
  <si>
    <t>FERNANDEZ RINCON JEISON OSCAR</t>
  </si>
  <si>
    <t>RODRIGUEZ REYEZ LUIS CARLOS</t>
  </si>
  <si>
    <t>BELTRAN  WILLIAM EDGARDO</t>
  </si>
  <si>
    <t>VARGAS GARCIA ANDRES FERNANDO</t>
  </si>
  <si>
    <t>RIVEROS RIVERA LUIS CARLOS</t>
  </si>
  <si>
    <t>DIAZ VARGAS JORGE ARMANDO</t>
  </si>
  <si>
    <t>INFANTE VALDERRAMA YERSON YAIR</t>
  </si>
  <si>
    <t>DIAZ SEGURA VICTOR LEONARDO</t>
  </si>
  <si>
    <t xml:space="preserve">ACOSTA  NESTOR </t>
  </si>
  <si>
    <t>BECERRA BONZA JAVIER MAURICIO</t>
  </si>
  <si>
    <t>HERNANDEZ CAMACHO CESAR ALEJANDRO</t>
  </si>
  <si>
    <t xml:space="preserve">CUADROS ROJAS MIGUEL </t>
  </si>
  <si>
    <t>DIAZ TAMAYO JAHIR GERMAN</t>
  </si>
  <si>
    <t>LEON VARGAS JOSE ANGEL</t>
  </si>
  <si>
    <t xml:space="preserve">ORLANDO  JORGE </t>
  </si>
  <si>
    <t>BOADA BONILLA OSCAR EDUARDO</t>
  </si>
  <si>
    <t>MERCHAN GONZALEZ IVAN DARIO</t>
  </si>
  <si>
    <t>MESA MARQUEZ FAUSTO ADRIAN</t>
  </si>
  <si>
    <t>SANDOVAL SANDOVAL GUILLERMO ALEJANDRO</t>
  </si>
  <si>
    <t>RODRIGUEZ TORRES WILMAR LEONARDO</t>
  </si>
  <si>
    <t xml:space="preserve">CARRENO FERNANDEZ  CESAR AUGUSTO </t>
  </si>
  <si>
    <t>MANCHEGO CUBILLOS CRISTO JULIO</t>
  </si>
  <si>
    <t>CARDENAS MACIAS JAYDER LEONARDO</t>
  </si>
  <si>
    <t>CORREA MALAVER JOSE AGUSTIN</t>
  </si>
  <si>
    <t xml:space="preserve">TAMAYO LOPEZ  EDGAR FERNANDO </t>
  </si>
  <si>
    <t>FIQUITIVA SANDOVAL FREDDY ALFONSO</t>
  </si>
  <si>
    <t>RINCON ROMERO EDUIN OTINIO</t>
  </si>
  <si>
    <t>VILLATE HERNANDEZ GUILLERMO RODOLFO</t>
  </si>
  <si>
    <t>FLOREZ ROJAS OSCAR JAVIER</t>
  </si>
  <si>
    <t>CHAPARRO MORENO YEISON ANDRES</t>
  </si>
  <si>
    <t xml:space="preserve">TOBOS QUIROGA GUILLERMO </t>
  </si>
  <si>
    <t>ORJUELA DIAZ JHON ALONSO</t>
  </si>
  <si>
    <t>RINCON PEDRAZA MILTON JAVIER</t>
  </si>
  <si>
    <t>GUIO  WILLIAM ENRIQUE</t>
  </si>
  <si>
    <t>CONTRERAS NIO OSCAR LEONARDO</t>
  </si>
  <si>
    <t xml:space="preserve">DIAZ BERNAL ORLANDO </t>
  </si>
  <si>
    <t>VARON MORENO OMAR YECYD</t>
  </si>
  <si>
    <t>GRANADOS CELY JESUS MAURICIO</t>
  </si>
  <si>
    <t>MARTNEZ MATALLANA EDWIN JULIAN</t>
  </si>
  <si>
    <t>FERRUCHO RODRIGUEZ EDWIN ISMAEL</t>
  </si>
  <si>
    <t>TORRES BECERRA MARIO ANDRES</t>
  </si>
  <si>
    <t>MATEUS JIMENEZ FREDY AUGUSTO</t>
  </si>
  <si>
    <t>BARRETO AVILA MIGUEL ANGEL</t>
  </si>
  <si>
    <t xml:space="preserve">PARADA  GUSTAVO </t>
  </si>
  <si>
    <t xml:space="preserve">SALAMANCA ABRIL OSCAR </t>
  </si>
  <si>
    <t>VARGAS BAEZ EDWIN ALEXIS</t>
  </si>
  <si>
    <t>BOLIVAR BOLIVAR EDWIN LEONARDO</t>
  </si>
  <si>
    <t>BECERRA BECERRA JOSE JUAN</t>
  </si>
  <si>
    <t>HIGUERA LOPEZ HECTOR JULIO</t>
  </si>
  <si>
    <t>BRICEÑO FERNANDEZ WILMAR YESID</t>
  </si>
  <si>
    <t xml:space="preserve">HERNANDEZ TOSCANO HARVEY </t>
  </si>
  <si>
    <t>ANGARITA LOPEZ RUBEN DARIO</t>
  </si>
  <si>
    <t>MEDINA BOTIA WILSON RAFAEL</t>
  </si>
  <si>
    <t xml:space="preserve">MEDINA NUNEZ JAIRO </t>
  </si>
  <si>
    <t>ALVAREZ PEREZ FREDI ANDRES</t>
  </si>
  <si>
    <t>CASTRO NINO JUAN EDUARDO</t>
  </si>
  <si>
    <t>CUSPOCA MARTINEZ JAVIER JESUS</t>
  </si>
  <si>
    <t>OLARTE CASTRO LUIS FERNANDO</t>
  </si>
  <si>
    <t>ROJAS PUERTO EDWIN GUSTAVO</t>
  </si>
  <si>
    <t xml:space="preserve">JORGE  PEDRO </t>
  </si>
  <si>
    <t>ALBARRACIN MARTINEZ CARLOS ENRIQUE</t>
  </si>
  <si>
    <t>BECERRA JIMENEZ GERMAN YOVANNY</t>
  </si>
  <si>
    <t xml:space="preserve">BECERRA  LUIS </t>
  </si>
  <si>
    <t>EDWIN JARED TAPIAS LEON</t>
  </si>
  <si>
    <t>HIGUERA  JUAN CARLOS</t>
  </si>
  <si>
    <t>TIRIA TAMARA  FABIO ARBEY</t>
  </si>
  <si>
    <t>PEREZ MORALES OSCAR HUMBERTO</t>
  </si>
  <si>
    <t>SUAREZ CASTRO PEDRO NELSON</t>
  </si>
  <si>
    <t>CHAPARRO ZEA EDINSON ARMANDO</t>
  </si>
  <si>
    <t>MIRANDA AMAYA RICARDO ALONSO</t>
  </si>
  <si>
    <t>RODRIGUEZ  JUAN FRANCISCO</t>
  </si>
  <si>
    <t>BARRERA GUALDRON ISMAEL ERNESTO</t>
  </si>
  <si>
    <t>TORRES DUEÑAS DIEGO HERNANDO</t>
  </si>
  <si>
    <t>CHAPARRO RUEDA JAVIER ERNESTO</t>
  </si>
  <si>
    <t>CAMARGO IBAÑEZ WILMER LEONARDO</t>
  </si>
  <si>
    <t>BAUTISTA CARDOZO JORGE ALIRIO</t>
  </si>
  <si>
    <t xml:space="preserve">OCHOA  FABIO </t>
  </si>
  <si>
    <t>MATEUS ROSAS OSCAR ANDRES</t>
  </si>
  <si>
    <t>CARDONA BLANCO DIEGO ARMANDO</t>
  </si>
  <si>
    <t>CAMARGO JAIME EDGAR ALONSO</t>
  </si>
  <si>
    <t>PEREZ RODRIGUEZ DIEGO FERNANDO</t>
  </si>
  <si>
    <t>TORRES SAAVEDRA JUAN CARLOS</t>
  </si>
  <si>
    <t xml:space="preserve">GARZON MONTANEZ CAMILO </t>
  </si>
  <si>
    <t>FUENTES CORREDOR JOHN FREDY</t>
  </si>
  <si>
    <t xml:space="preserve">CABRA SANCHEZ NELSON </t>
  </si>
  <si>
    <t xml:space="preserve">RODRIGUEZ  FABIAN </t>
  </si>
  <si>
    <t>VELANDIA AVILA LUCAS DARIO</t>
  </si>
  <si>
    <t>PACO MONROY HOLMAN MAURICIO</t>
  </si>
  <si>
    <t>BURGOS SUESCUN FABIAN GILBERTO</t>
  </si>
  <si>
    <t>MEDINA ALVARADO YEFER HUMBERTO</t>
  </si>
  <si>
    <t xml:space="preserve">LEOPOLDO  WILSON </t>
  </si>
  <si>
    <t>PUENTES  FREDY DE JESUS</t>
  </si>
  <si>
    <t>AGUILAR ORTIZ OSCAR ARMANDO</t>
  </si>
  <si>
    <t>OCHOA DELGADO MICHAEL LEONARDO</t>
  </si>
  <si>
    <t xml:space="preserve">ACOSTA RODRIGUEZ BRAULIO </t>
  </si>
  <si>
    <t>ROMERO HERNANDEZ RAFAEL RICARDO</t>
  </si>
  <si>
    <t>GUTIERREZ GONZALEZ ROLANDO JOSE</t>
  </si>
  <si>
    <t>TORRES SUAREZ JULIAN RODRIGO</t>
  </si>
  <si>
    <t>ALEXANDER PEREZ JOSE PALACIOS</t>
  </si>
  <si>
    <t xml:space="preserve">GONZALEZ SANCHEZ  EDILSON </t>
  </si>
  <si>
    <t>NIÑO CORREDOR WILLIAM JAVIER</t>
  </si>
  <si>
    <t xml:space="preserve">ARTURO  MIGUEL </t>
  </si>
  <si>
    <t xml:space="preserve">IVAN  ROGGER </t>
  </si>
  <si>
    <t>ABRIL CALDERON HECTOR URIEL</t>
  </si>
  <si>
    <t>PEREZ ESTUPIÑAN JOSE MAURICIO</t>
  </si>
  <si>
    <t>MOJICA BARRERA JUAN CARLOS</t>
  </si>
  <si>
    <t>ROJAS GUARIN JAVIER ANTONIO</t>
  </si>
  <si>
    <t>TIRIA CHAPARRO DAVID LUCIANO</t>
  </si>
  <si>
    <t>CALDERON GRANADOS FABIO ANDRES</t>
  </si>
  <si>
    <t>GARAVITO MALDONADO EDWIN YESID</t>
  </si>
  <si>
    <t>VARGAS TIRIA HARVIN HUMBERTO</t>
  </si>
  <si>
    <t>CUEVAS OCHOA JUAN JAVIER</t>
  </si>
  <si>
    <t xml:space="preserve">FUENTES PALCIOS OCTAVIO </t>
  </si>
  <si>
    <t>SIACHOQUE PEDRAZA FRANKLIN JULIAN</t>
  </si>
  <si>
    <t>MEDINA BECERRA SAULO TULIO</t>
  </si>
  <si>
    <t xml:space="preserve">CAMARGO ALBA FABIAN </t>
  </si>
  <si>
    <t>CHAPARRO ESTUPIÑAN URIEL DANILO</t>
  </si>
  <si>
    <t>CORREDOR FONSECA JAIRO EDGAR</t>
  </si>
  <si>
    <t>TRIANA GALLO LUIS SENEN</t>
  </si>
  <si>
    <t>MOJICA  MAURICIO ALEXANDER</t>
  </si>
  <si>
    <t>SOLANO GOMEZ RUBEN DARIO</t>
  </si>
  <si>
    <t>RAMIREZ BOADA WALTER ALEJANDRO</t>
  </si>
  <si>
    <t>PARDO VARGAS JUAN EDUARDO</t>
  </si>
  <si>
    <t>PEREZ SANCHEZ OMAR GERARDO</t>
  </si>
  <si>
    <t xml:space="preserve">GERARDO  WILLIAM </t>
  </si>
  <si>
    <t>GOMEZ BLANCO JOSE PASCUAL</t>
  </si>
  <si>
    <t>QUINTERO NIÑO AGUSTIN DE JESUS</t>
  </si>
  <si>
    <t xml:space="preserve">CELY LEON SAMUEL </t>
  </si>
  <si>
    <t>FONSECA SILVA LUIS ALEJANDRO</t>
  </si>
  <si>
    <t>SALAZAR BECERRA DIEGO FERNADO</t>
  </si>
  <si>
    <t>GUERRERO ALVAREZ LEONARDO IVAN</t>
  </si>
  <si>
    <t>BLANCO HERNANDEZ FREDY OSWALDO</t>
  </si>
  <si>
    <t xml:space="preserve">RODRIGUEZ MARTINEZ  GIOVANY ALFONSO </t>
  </si>
  <si>
    <t>CEPEDA ALBARRACIN BEIMER ARIEL</t>
  </si>
  <si>
    <t>HOLGUIN CELY ARIZ ORLANDO</t>
  </si>
  <si>
    <t>DIAZ ALFONSO EDUIN MAURICIO</t>
  </si>
  <si>
    <t xml:space="preserve">SUAREZ  CARLOS </t>
  </si>
  <si>
    <t>GNZALEZ ROJAS JORGE ALBERTO</t>
  </si>
  <si>
    <t>CORDOBA  JAVIER ALEXANDER</t>
  </si>
  <si>
    <t>PEÑA MARTINEZ FREDY ALEXANDER</t>
  </si>
  <si>
    <t>POVEDA  FABIAN MAURICIO</t>
  </si>
  <si>
    <t>GOMEZ BARRERA HELMER JESSET</t>
  </si>
  <si>
    <t>BECERRA VALDERRAMA CESAR EDUARDO</t>
  </si>
  <si>
    <t>BOADA BONILLA WILLIAM RICARDO</t>
  </si>
  <si>
    <t>MARTINEZ BARRERA JORGE YOVAN</t>
  </si>
  <si>
    <t>QUIROZ PEREZ SEGUNDO ALBEIRO</t>
  </si>
  <si>
    <t xml:space="preserve">SANABRIA  ORLANDO </t>
  </si>
  <si>
    <t xml:space="preserve">SEPULVEDA CARO JAIME </t>
  </si>
  <si>
    <t xml:space="preserve">MUÑOZ  MAURICIO </t>
  </si>
  <si>
    <t>CR 9 21 48 PINEDA FABIAN JOSE</t>
  </si>
  <si>
    <t>JHON ANDERSSON GONZALEZ CORREA</t>
  </si>
  <si>
    <t>GERMAN ALBERTO GARCIA BALLESTEROS</t>
  </si>
  <si>
    <t>BARON PUENTES HECTOR JULIO</t>
  </si>
  <si>
    <t>DELGADO ROMERO VICTOR JULIO</t>
  </si>
  <si>
    <t>FLECHAS AMEZQUITA FREDY ROBERTO</t>
  </si>
  <si>
    <t>DIAZ ACERO LUIS GABRIEL</t>
  </si>
  <si>
    <t>BERDUGO TORRES ROBBINS LORENZO</t>
  </si>
  <si>
    <t xml:space="preserve">CUY OLARTE EDGAR </t>
  </si>
  <si>
    <t xml:space="preserve">CHAPARRO  WILLIAN </t>
  </si>
  <si>
    <t xml:space="preserve">LARROTTA  JULIAN </t>
  </si>
  <si>
    <t>MARTINEZ CELY RAFAEL GIOVANNI</t>
  </si>
  <si>
    <t>ROJAS BENAVIDES RAFAEL ANDRES</t>
  </si>
  <si>
    <t>VARGAS MARTINEZ JHON FREDY</t>
  </si>
  <si>
    <t xml:space="preserve">LARREA PACHON JULIAN </t>
  </si>
  <si>
    <t xml:space="preserve">CASTRO GUTIERREZ ALEXANDER </t>
  </si>
  <si>
    <t>PARADA SILVA JULIO CESAR</t>
  </si>
  <si>
    <t>ORTIZ ESTUPINAN FABIO FERNANDO</t>
  </si>
  <si>
    <t>ZAMBRANO TORRES HERNAN RICARDO</t>
  </si>
  <si>
    <t>CR24 4 38 ZABALA WILSON EDUARDO</t>
  </si>
  <si>
    <t>TORRES GARAVITO YEISON FERNANDO</t>
  </si>
  <si>
    <t>MORALES CARDENAS WILMAR JARBEY</t>
  </si>
  <si>
    <t>GARZON BONILLA CARLOS ANDRES</t>
  </si>
  <si>
    <t xml:space="preserve">RAMIREZ RODRIGUEZ  WALTER YESID </t>
  </si>
  <si>
    <t>BARINAS GONZALEZ WILMAR ESTEBAN</t>
  </si>
  <si>
    <t>COLMENARES GAMBOA EDISON YAMIR</t>
  </si>
  <si>
    <t xml:space="preserve">SANDOVAL LOPEZ  FREDY MAURICIO </t>
  </si>
  <si>
    <t xml:space="preserve">GALLO CASTRO ARNULFO </t>
  </si>
  <si>
    <t>SIAUCHO ACEVEDO EDWIN ANDRES</t>
  </si>
  <si>
    <t>ROJAS  VICTOR DANIEL</t>
  </si>
  <si>
    <t>CACERES  DIEGO FERNANDO</t>
  </si>
  <si>
    <t>FONSECA ROSAS VICTOR MANUEL</t>
  </si>
  <si>
    <t>PARRA CRISTANCHO FERNANDO ANDRES</t>
  </si>
  <si>
    <t>RIAÑO CHAPARRO DIEGO MAURICIO</t>
  </si>
  <si>
    <t>HERNANDEZ CAMARGO JOHN JAIRO</t>
  </si>
  <si>
    <t xml:space="preserve">GALVIS CASTELLANOS  WALTER OSWALDO </t>
  </si>
  <si>
    <t>RINCON HERNANDEZ ELVER JAHIR</t>
  </si>
  <si>
    <t>DUARTE CORREA MIGUEL ANGEL</t>
  </si>
  <si>
    <t xml:space="preserve">LA ESPERANZA  HELADERIA Y FRUTERIA KIKES LA ESPERANZA </t>
  </si>
  <si>
    <t>CUY FONSECA IVAN DARIO</t>
  </si>
  <si>
    <t>SOLANO JIMENEZ CARLOS ANDRES</t>
  </si>
  <si>
    <t>COTE VELANDIA DAVID ALEJANDRO</t>
  </si>
  <si>
    <t>SOLANO . JHON SNEIDER</t>
  </si>
  <si>
    <t>ALVAREZ GOMEZ EDGAR GIOVANNY</t>
  </si>
  <si>
    <t>CAMARGO TIBOCHA LUIS ARNOLDO</t>
  </si>
  <si>
    <t>TARAZONA HERNANDEZ JORGE ENRIQUE</t>
  </si>
  <si>
    <t>PEREZ  EDISON AVELLA</t>
  </si>
  <si>
    <t>SALAMANCA BERNAL OSCAR FERNANDO</t>
  </si>
  <si>
    <t>MORENO PEREZ CESAR FERNANDO</t>
  </si>
  <si>
    <t xml:space="preserve">GOMEZ TAMARA TAMARA WILSON </t>
  </si>
  <si>
    <t>MARTINEZ RINCON LUIS ABELARDO</t>
  </si>
  <si>
    <t>NEIRA ALVAREZ JUAN ANDRES</t>
  </si>
  <si>
    <t>BUSTOS MUÑOZ JIMMY ALEXANDER</t>
  </si>
  <si>
    <t>SALAMANCA BECERRA ADAN MAURICIO</t>
  </si>
  <si>
    <t>BARRERA .  OMAR YESID</t>
  </si>
  <si>
    <t xml:space="preserve">JIMENEZ GONZALEZ  EDWAR MANUEL </t>
  </si>
  <si>
    <t>MIRANDA AVILA WILSON HISNARDO</t>
  </si>
  <si>
    <t>ARBOLEDA CASTRO JUAN GABRIEL</t>
  </si>
  <si>
    <t xml:space="preserve">VELANDIA GONZALEZ JONATHAN </t>
  </si>
  <si>
    <t>DURAN RIANO GUSTAVO ANDRES</t>
  </si>
  <si>
    <t xml:space="preserve">RIVEROS FONSECA CARLOS </t>
  </si>
  <si>
    <t xml:space="preserve">EDUARDO  CARLOS </t>
  </si>
  <si>
    <t>SANDOVAL GONZALEZ EDWIN JHONATTAN</t>
  </si>
  <si>
    <t>FUENTES MORA JEISON ARMANDO</t>
  </si>
  <si>
    <t>LOPEZ GONZALEZ YEISON ORLANDO</t>
  </si>
  <si>
    <t>NIÑO CELY FREDY ALONSO</t>
  </si>
  <si>
    <t>CARDENAS PARADA WILSON YOVANY</t>
  </si>
  <si>
    <t>CARDENAS LEON ANDERSON YAMID</t>
  </si>
  <si>
    <t>SILVA ALVAREZ MANUEL JESUS</t>
  </si>
  <si>
    <t>TORRADO MALDONADO EDGAR EDURDO</t>
  </si>
  <si>
    <t>BARRERA BARRERA EDGAR JULIAN</t>
  </si>
  <si>
    <t>MERCHAN CELY CAMILO ANDRES</t>
  </si>
  <si>
    <t>GARCIA AVENDAÑO CESAR LEONARDO</t>
  </si>
  <si>
    <t>PARADA CRISTANCHO FABIAN ALEXANDER</t>
  </si>
  <si>
    <t>OSUNA OROSCO RAUL ARMANDO</t>
  </si>
  <si>
    <t>MONRROY CARDENAS JOSE ALEXANDER</t>
  </si>
  <si>
    <t xml:space="preserve">CUSPOCA PITA CESAR </t>
  </si>
  <si>
    <t>ANGARITA OCHOA JOHN ALEXANDER</t>
  </si>
  <si>
    <t>MATEUS  YORFI JOHAN</t>
  </si>
  <si>
    <t xml:space="preserve">ALVARADO CARMONA HOLLMANN </t>
  </si>
  <si>
    <t xml:space="preserve">BERNAL  ANDRES </t>
  </si>
  <si>
    <t>CABRA SANCHEZ CARLOS ALFONSO</t>
  </si>
  <si>
    <t>NUNCIRA IBAÑEZ JUAN CAMILO</t>
  </si>
  <si>
    <t>PEDRAZA NOCUA DIEGO LEONARDO</t>
  </si>
  <si>
    <t xml:space="preserve">VEGA ESLAVA YEFERSON </t>
  </si>
  <si>
    <t>SOLANO HIGUERA HENRY EDUARDO</t>
  </si>
  <si>
    <t>BARRETO TORRES JAIME HUMBERTO</t>
  </si>
  <si>
    <t>SOSA VARGAS LUIS HERNANDO</t>
  </si>
  <si>
    <t>GUTIERREZ CHAPARRO WILSON ALEXANDER</t>
  </si>
  <si>
    <t xml:space="preserve">LAGOS TIRIA ALVARO </t>
  </si>
  <si>
    <t>CUCUNUBA CARVAJAL JOSE URIBE</t>
  </si>
  <si>
    <t xml:space="preserve">DUARTE  WILLIAM </t>
  </si>
  <si>
    <t>IBANEZ SANDOVAL ELVER JOSE</t>
  </si>
  <si>
    <t>MARTINEZ MARTINEZ JOSE RAMOS</t>
  </si>
  <si>
    <t>RINCON ALFONSO HECTOR DANIEL</t>
  </si>
  <si>
    <t>RINCON PARRA YHERSON ROLANDO</t>
  </si>
  <si>
    <t xml:space="preserve">ANGEL  NELSON </t>
  </si>
  <si>
    <t>COLMENARES SOLANO WALTER ALEJANDRO</t>
  </si>
  <si>
    <t xml:space="preserve">LAVERDE CHAPARRO WILMER </t>
  </si>
  <si>
    <t>GRANADOS VILLATE WILMAN FABIAN</t>
  </si>
  <si>
    <t>ALVAREZ CARACAS CARLOS OSWALDO</t>
  </si>
  <si>
    <t>NAVARRETE MOLANO WILLIAM EDUARDO</t>
  </si>
  <si>
    <t>SOLANO PEREZ VICTOR MANUEL</t>
  </si>
  <si>
    <t>SAAVEDRA CHIA JOSE ALEJANDRO</t>
  </si>
  <si>
    <t>GUIO ALEXANDER ESPITIA DILSON</t>
  </si>
  <si>
    <t xml:space="preserve">DUEÑAS CIPAGAUTA ALEJANDRO </t>
  </si>
  <si>
    <t>PLAZAS CASTRO LEONARDO RAFAEL</t>
  </si>
  <si>
    <t>VEGA CRISTANCHO EDIXON VICENTE</t>
  </si>
  <si>
    <t xml:space="preserve">GOYENECHE BLANCO JAVIER </t>
  </si>
  <si>
    <t>LOPEZ GONZALEZ EDILBERTO FRANCISCO</t>
  </si>
  <si>
    <t>LOPEZ VELANDIA WILLIAM YOVANY</t>
  </si>
  <si>
    <t>GOMEZ  JUAN GABRIEL</t>
  </si>
  <si>
    <t>RODRIGUEZ BERNAL YESID HERNANDO</t>
  </si>
  <si>
    <t>MORALES BOHORQUEZ GABRIEL ALEXANDER</t>
  </si>
  <si>
    <t>FIGUEREDO MOGOLLON JUAN CARLOS</t>
  </si>
  <si>
    <t xml:space="preserve">HORMAZA PEREZ FREDY </t>
  </si>
  <si>
    <t>LIZARAZO LEON OSCAR ALFONSO</t>
  </si>
  <si>
    <t>SOLEDAD SIZA NELSON YAMIT YAMIT</t>
  </si>
  <si>
    <t>ROJAS MESA NELSON ANDRES</t>
  </si>
  <si>
    <t>PEREZ CETINA CARLOS ANDRES</t>
  </si>
  <si>
    <t xml:space="preserve">LAGOS HERNANDEZ ARIOSTO </t>
  </si>
  <si>
    <t xml:space="preserve">CUCUNUBA CUCUNUBA JUAN </t>
  </si>
  <si>
    <t xml:space="preserve">GARCIA DIAZ DIEGO </t>
  </si>
  <si>
    <t xml:space="preserve">VEGA MOLANO HERNANDO </t>
  </si>
  <si>
    <t>JUAN PABLO POVEDA RINCON</t>
  </si>
  <si>
    <t>GARCIA CUSBA RICARDO ANDRES</t>
  </si>
  <si>
    <t xml:space="preserve">SANTOS  WILSON </t>
  </si>
  <si>
    <t>MARTINEZ ACEVEDO JORGE ELICER</t>
  </si>
  <si>
    <t>CABALLERO  JONATHAN ANDRES</t>
  </si>
  <si>
    <t xml:space="preserve">NOVA CACERES  LUIS EMILIO </t>
  </si>
  <si>
    <t>FLOREZ FIGUEREDO MIGUEL ANGEL</t>
  </si>
  <si>
    <t xml:space="preserve">SUAREZ NINO  EDILFONSO </t>
  </si>
  <si>
    <t>MORENO GOMEZ EDUARD JAVIER</t>
  </si>
  <si>
    <t>OCHOA PINTO JOHN EDISON</t>
  </si>
  <si>
    <t>ZABALA LOPEZ ROBINSON ANDRES</t>
  </si>
  <si>
    <t>PIZA CASTILLO EDWIN DAVID</t>
  </si>
  <si>
    <t>HIGUERA TORRES NELSON FERNANDO</t>
  </si>
  <si>
    <t>COLMENARES COLMENARES CARLOS JOHAN</t>
  </si>
  <si>
    <t>CELY PUERTO EDISON EUCLIDES</t>
  </si>
  <si>
    <t>MORENO CASTRO GERARDO ANDRES</t>
  </si>
  <si>
    <t>MONTERO GOMEZ CHRISTIAN ARTURO</t>
  </si>
  <si>
    <t>MEDINA VARGAS CESAR ENRIQUE</t>
  </si>
  <si>
    <t xml:space="preserve">MIRANDA  HENRY </t>
  </si>
  <si>
    <t>COMBITA SILVA WILLIAM FERNANDO</t>
  </si>
  <si>
    <t xml:space="preserve">GRIMALDOS PUENTES DANIEL </t>
  </si>
  <si>
    <t>PRADA GARCIA JUAN GABRIEL</t>
  </si>
  <si>
    <t>MARQUEZ FANDINO FABIO ALEXANDER</t>
  </si>
  <si>
    <t>PALACIOS VARGAS JOHN ALEXANDER</t>
  </si>
  <si>
    <t>AVENDAÑO CASTELLANOS MARLON DIDIER</t>
  </si>
  <si>
    <t>AVELLANEDA PEREZ JULIAN ALBERTO</t>
  </si>
  <si>
    <t>GAITAN PARRA EDGAR ANTONIO</t>
  </si>
  <si>
    <t xml:space="preserve">CARO  LEONARDO </t>
  </si>
  <si>
    <t>PITA MURCIA RUBEN ENRIQUE</t>
  </si>
  <si>
    <t xml:space="preserve">BECERRA PEREZ FABIAN </t>
  </si>
  <si>
    <t>PRIETO PERICO GUILLERMO EDUARDO</t>
  </si>
  <si>
    <t xml:space="preserve">MONROY CABEZAS OSCAR </t>
  </si>
  <si>
    <t>RUDA SUAREZ RAFAEL RICARDO</t>
  </si>
  <si>
    <t xml:space="preserve">TORRES  CARLOS </t>
  </si>
  <si>
    <t>GROSSO TURGA NIXON ROLANDO</t>
  </si>
  <si>
    <t>CEPEDA GUATIBONZA diego ARMANDO</t>
  </si>
  <si>
    <t>CASTAÑEDA RINCON WILLIAM FERNANDO</t>
  </si>
  <si>
    <t>CARDENAS MACIAS PASCUAL ALBEIRO</t>
  </si>
  <si>
    <t xml:space="preserve">ALFONSO  VICTOR </t>
  </si>
  <si>
    <t>CHACON BRAVO JAVIER RICARDO</t>
  </si>
  <si>
    <t>TORRES MARIÑO HECTOR GIOWANI</t>
  </si>
  <si>
    <t>HERNANDEZ GUTIERREZ EDISON JAIR</t>
  </si>
  <si>
    <t>COMBARIZA VARGAS FRANCISCO ALBERTO</t>
  </si>
  <si>
    <t xml:space="preserve">RODRIGUEZ PRIETO JONATHAN </t>
  </si>
  <si>
    <t>REYES FORERO VICTOR ALFONSO</t>
  </si>
  <si>
    <t xml:space="preserve">CAMARGO GUTIERREZ MIGUEL </t>
  </si>
  <si>
    <t>SOSA CHINOME IVAN LEONARDO</t>
  </si>
  <si>
    <t>SILVA MANRIQUE EDWIN FREDY</t>
  </si>
  <si>
    <t>PEDRAZA AVELLA JOHN EDINSON</t>
  </si>
  <si>
    <t xml:space="preserve">SOLANO PUERTO GERMAN </t>
  </si>
  <si>
    <t>MEDINA HIGUERA VILMAR ARIEL</t>
  </si>
  <si>
    <t>CAMARGO TORRES FAUSTO VICENTE</t>
  </si>
  <si>
    <t>CASTRO ALARCON WILLIAM DARIO</t>
  </si>
  <si>
    <t>MESA JOYA ORLANDO FABIAN</t>
  </si>
  <si>
    <t>ROJAS  FABIO MEDINA</t>
  </si>
  <si>
    <t>EDINSON LEANDRO VALDERRAMA BECERRA</t>
  </si>
  <si>
    <t>PUERTO CAMACHO RUBEN DARIO</t>
  </si>
  <si>
    <t>UMAÑA SIZA ELVIS SAVINO</t>
  </si>
  <si>
    <t>CELY ROJAS ANDRES CAMILO</t>
  </si>
  <si>
    <t>BEDOYA YEPES HELVER HORACIO</t>
  </si>
  <si>
    <t>BONILLA AMADO DIEGO STHYPH</t>
  </si>
  <si>
    <t>TORRES  WILMER DAVID</t>
  </si>
  <si>
    <t>FIRACATIVE  CARLOS ARTURO</t>
  </si>
  <si>
    <t>GOMEZ BERNAL VICTOR JULIO</t>
  </si>
  <si>
    <t>COGARIA CABRA ANGEL DARIO</t>
  </si>
  <si>
    <t>GUEVARA BOTIA HENRRY MAURICIO</t>
  </si>
  <si>
    <t>BOHORQUEZ CELY RONALD ALFREDO</t>
  </si>
  <si>
    <t>FUENTES MEDINA DIEGO ANDRES</t>
  </si>
  <si>
    <t>ACERO CHAPETON EDWARD YESID</t>
  </si>
  <si>
    <t>BECERRA TAMAYO JHON FREDY</t>
  </si>
  <si>
    <t>OCHOA ANGARITA MIGUEL ANDRES</t>
  </si>
  <si>
    <t>TAMARA OCHOA JUAN CARLOS</t>
  </si>
  <si>
    <t xml:space="preserve">CELY CASTILLO GERMAN </t>
  </si>
  <si>
    <t xml:space="preserve">CARO  MIGUEL </t>
  </si>
  <si>
    <t>MEDRANO PUERTO OMAR ALBERTO</t>
  </si>
  <si>
    <t>CORREA CORREDOR ROGELIO ANDRES</t>
  </si>
  <si>
    <t>TORRES TORRES VICTOR ALFONSO</t>
  </si>
  <si>
    <t>CHAPARRO VERDUGO JULIO CESAR</t>
  </si>
  <si>
    <t>HERNAN DARIO HERRERA PUENTES</t>
  </si>
  <si>
    <t>CHAPARRO ZEA JUAN CARLOS CARLOS</t>
  </si>
  <si>
    <t>SANTA MARIA PUERTO GUSTAVO ALEXANDER</t>
  </si>
  <si>
    <t xml:space="preserve">BALAGUERA SOLANO RAUL </t>
  </si>
  <si>
    <t>CASAS PALACIOS JUAN CAMILO</t>
  </si>
  <si>
    <t xml:space="preserve">BECERRA GUEVARA FREDY </t>
  </si>
  <si>
    <t>LEON MARQUEZ HELMER HERNAN</t>
  </si>
  <si>
    <t>MARTINEZ GONZALEZ JHON ALEJANDRO</t>
  </si>
  <si>
    <t xml:space="preserve">CHAPARRO VERDUGO OLVER </t>
  </si>
  <si>
    <t>ALBARRACIN MONTAÑA ANDRES LEONARDO</t>
  </si>
  <si>
    <t xml:space="preserve">CELY  OMAR </t>
  </si>
  <si>
    <t>GRANADOS SATIVA JUAN MANUEL</t>
  </si>
  <si>
    <t>ARISMENDY USCATEGUI CESAR HARVEY</t>
  </si>
  <si>
    <t>AVELLA MACHUCA DIEGO ARMANDO</t>
  </si>
  <si>
    <t>RODRIGUEZ CONDE FABIAN ALBERTO</t>
  </si>
  <si>
    <t>GOMEZ MARQUEZ YONNY ALBERTO</t>
  </si>
  <si>
    <t>ANGARITA OCHOA JAIME ANDRES</t>
  </si>
  <si>
    <t>NITOLA RANGEL ANGEL ALEXIS</t>
  </si>
  <si>
    <t>CUY FONSECA HENRY HERNANDO</t>
  </si>
  <si>
    <t xml:space="preserve">BURGOS HERNANDEZ RENSON </t>
  </si>
  <si>
    <t>CARRERO RIVERA RONALD ALEXANDER</t>
  </si>
  <si>
    <t>MORENO GAMBOA HENRY ALEXANDER</t>
  </si>
  <si>
    <t>RUANO AMADO VICTOR ALFONSO</t>
  </si>
  <si>
    <t xml:space="preserve">GAYON  DAVID </t>
  </si>
  <si>
    <t>SANCHEZ AVELLA JAIME ALBERTO</t>
  </si>
  <si>
    <t xml:space="preserve">DUEÑAS CIPAGAUTA ANDRES </t>
  </si>
  <si>
    <t>VALDERRAMA BALAGUERA JUAN CAMILO</t>
  </si>
  <si>
    <t>OSTOS MEDINA CRISTIAN HAIR</t>
  </si>
  <si>
    <t>SANABRIA DUEÑAS JORGE ELIECER</t>
  </si>
  <si>
    <t>TUTA CORREDOR YEZID ALEXANDER</t>
  </si>
  <si>
    <t>MORENO  FABIO ANDRES</t>
  </si>
  <si>
    <t>CELY BERDUGO FABIAN ANDRES</t>
  </si>
  <si>
    <t>HIGUERA BECERRA CESAR ARMANDO</t>
  </si>
  <si>
    <t>GAMEZ GUEVARA DIEGO ARMANDO</t>
  </si>
  <si>
    <t>HOLGUIN CELY JUAN CARLOS</t>
  </si>
  <si>
    <t>BECERRA JIMENEZ EDWIN GONZALO</t>
  </si>
  <si>
    <t>CELY TORRES NELSON ARTURO</t>
  </si>
  <si>
    <t xml:space="preserve">ACERO VALDERRAMA FABIO </t>
  </si>
  <si>
    <t xml:space="preserve">UYABAN AVELLANEDA ISRRAEL </t>
  </si>
  <si>
    <t>ROMERO VELANDIA SEGUNDO ESNIDEL</t>
  </si>
  <si>
    <t xml:space="preserve">BLANCO SALAMANCA ALIRIO </t>
  </si>
  <si>
    <t xml:space="preserve">BLANCO SALAMANCA  DIOMEDES </t>
  </si>
  <si>
    <t xml:space="preserve">GOMEZ MENDIVELSO DOMINGO </t>
  </si>
  <si>
    <t>MONGUI CAMACHO WILSON ALBERTO</t>
  </si>
  <si>
    <t>RODRIGUEZ SEPULVEDA DIDIER ELY</t>
  </si>
  <si>
    <t>MOJICA  LUIS ELIECER</t>
  </si>
  <si>
    <t>VALBUENA CORREA ELVIS YAMITH</t>
  </si>
  <si>
    <t>SUA REYES JHON HARRINSON</t>
  </si>
  <si>
    <t xml:space="preserve">MOLANO MORENO FERNANDO </t>
  </si>
  <si>
    <t>MONROY CABEZAS JOSE FERNANDO</t>
  </si>
  <si>
    <t xml:space="preserve">MOGOLLON VIANCHA OMAR </t>
  </si>
  <si>
    <t xml:space="preserve">PATIÑO  EFRAIN </t>
  </si>
  <si>
    <t>SANCHEZ BAYONA HUGO ERNESTO</t>
  </si>
  <si>
    <t>HECTOR GUILLERMO CHINCHILLA PACANCHIQUE</t>
  </si>
  <si>
    <t>GUERRERO GUTIERREZ JOSE MARTIN</t>
  </si>
  <si>
    <t>MALPICA  JOSE HARVEY</t>
  </si>
  <si>
    <t>CARVAJAL GOYENECHE LUIS ENRIQUE</t>
  </si>
  <si>
    <t xml:space="preserve">CARRENO MEDINA MAURICIO </t>
  </si>
  <si>
    <t>GALLO DUARTE LUIS ERNESTO</t>
  </si>
  <si>
    <t>FUENTES ESTUPIÑAN JUAN CARLOS</t>
  </si>
  <si>
    <t>CARDOZO TIBAVIJA  JOSE YOBANI</t>
  </si>
  <si>
    <t xml:space="preserve">MARTINEZ  ANDRES </t>
  </si>
  <si>
    <t>VARGAS MENDIETA JORGE HUMBERTO</t>
  </si>
  <si>
    <t xml:space="preserve">CAICEDO MOLANO RICARDO </t>
  </si>
  <si>
    <t xml:space="preserve">ORTIZ SUAREZ LEONCIO </t>
  </si>
  <si>
    <t>CARO CELY VICTOR MANUEL</t>
  </si>
  <si>
    <t>MORENO CUBIDES WILLIAM ANDRES</t>
  </si>
  <si>
    <t xml:space="preserve">HERNANDEZ  JHON </t>
  </si>
  <si>
    <t xml:space="preserve">TORRES  DIEGO </t>
  </si>
  <si>
    <t>PATIÑO NEITA FREDY LEONARDO</t>
  </si>
  <si>
    <t>BOTIA MEDINA JOSE LEONIDAS</t>
  </si>
  <si>
    <t>ANGARITA QUICASAQUE RITO ANTONIO</t>
  </si>
  <si>
    <t>MANCIPE SALCEDO FREDY ALEXANDER</t>
  </si>
  <si>
    <t>CASTRO SERRANO VICTOR MANUEL</t>
  </si>
  <si>
    <t>AGUIRRE ESPINEL EFRAIN ARMANDO</t>
  </si>
  <si>
    <t>GOMEZ CEPEDA FELIPE FERNANDO</t>
  </si>
  <si>
    <t xml:space="preserve">CHIPIAJE RODRIGUES MARTIN </t>
  </si>
  <si>
    <t>MERIZALDE . WILLIAM SNIT</t>
  </si>
  <si>
    <t>PEREZ REYES JAVIER AVELARDO</t>
  </si>
  <si>
    <t>HERNANDEZ JAIMES ROBERTH LEYDER</t>
  </si>
  <si>
    <t>RODRIGUEZ PEREZ JILMAR AUDREY</t>
  </si>
  <si>
    <t xml:space="preserve">ALBA CALVO OVIEDO </t>
  </si>
  <si>
    <t>MURILLO MARIN ADRIAN ORLANDO</t>
  </si>
  <si>
    <t>CASTRO GALEANO JUAN CARLOS</t>
  </si>
  <si>
    <t>GASPAR ARCILA DIEGO MAURICIO</t>
  </si>
  <si>
    <t>PALLARES MARTINEZ JORGE IVAN</t>
  </si>
  <si>
    <t>ZULUAGA VILLANUEVA CARLOS EMILIO</t>
  </si>
  <si>
    <t>GONZALEZ VILLAZON JOSE MIGUEL</t>
  </si>
  <si>
    <t>MORALES LOPEZ GUSTAVO LUIS</t>
  </si>
  <si>
    <t xml:space="preserve">JAIMES ELKIN JIMENEZ </t>
  </si>
  <si>
    <t>CAMARG NITOLA JOSE ADOLFO</t>
  </si>
  <si>
    <t>PEREZ MACEA LIBARDO RAUL</t>
  </si>
  <si>
    <t xml:space="preserve">SANDOVAL ADRIANO FIGUEREDO </t>
  </si>
  <si>
    <t xml:space="preserve">GUEVARA WILLIAM PEREZ </t>
  </si>
  <si>
    <t>RODRIGUEZ RODRIGUEZ JOSE EPIFANIO</t>
  </si>
  <si>
    <t xml:space="preserve">VEGA  ANSELMO </t>
  </si>
  <si>
    <t xml:space="preserve">ALVARADO RAMIREZ FABIO </t>
  </si>
  <si>
    <t>SALAMANCA GUACANEME JOSE A.</t>
  </si>
  <si>
    <t xml:space="preserve">NIETO GARCIA JAIRO </t>
  </si>
  <si>
    <t xml:space="preserve">MARIÑO  JAIRO </t>
  </si>
  <si>
    <t>ROJAS CELY ALVARO EMILIO</t>
  </si>
  <si>
    <t>CIFUENTES  JUAN CARLOS</t>
  </si>
  <si>
    <t xml:space="preserve">RESTREPO RICARDO  HEBER STEVE </t>
  </si>
  <si>
    <t>FERNANDEZ  VICTOR HUGO</t>
  </si>
  <si>
    <t>TELLEZ RODRIGUEZ JUAN CARLOS</t>
  </si>
  <si>
    <t>DIAZ RUIZ JORGE HERNESTO ANDRES</t>
  </si>
  <si>
    <t>BECERRA VELANDIA JOSE HERMENEGILDO</t>
  </si>
  <si>
    <t>MARTINEZ GOMEZ JOSE DANIEL</t>
  </si>
  <si>
    <t>ROMERO CUBILLOS LUIS ORLANDO</t>
  </si>
  <si>
    <t xml:space="preserve">RAMIREZ CONTRERAS  SIXTO </t>
  </si>
  <si>
    <t>MOLANO CASTIBLANCO NESTOR ENRIQUE</t>
  </si>
  <si>
    <t>MOLINA GIL JOSE NICOLAS</t>
  </si>
  <si>
    <t>SANTANA BALCERAS JHON JAIRO</t>
  </si>
  <si>
    <t>GONZALEZ SERRANO LUIS ALBERTO</t>
  </si>
  <si>
    <t xml:space="preserve">NADER SABOGAL ALVERTO </t>
  </si>
  <si>
    <t xml:space="preserve">SALINAS PATIÑO GERSAIN </t>
  </si>
  <si>
    <t xml:space="preserve">SUA  OSCAR </t>
  </si>
  <si>
    <t xml:space="preserve">CHAPARRO  DONALDO </t>
  </si>
  <si>
    <t>PARRALES MARTINEZ JOHN BLADIMIR</t>
  </si>
  <si>
    <t xml:space="preserve">VANEGAS  RODRIGO </t>
  </si>
  <si>
    <t>RAMIREZ RODRIGUEZ JOSE EDUARDO</t>
  </si>
  <si>
    <t>ALVAREZ RINCON WILSON ERNESTO</t>
  </si>
  <si>
    <t xml:space="preserve">CARO  EDUARDO </t>
  </si>
  <si>
    <t xml:space="preserve">JEREZ  JAIRO </t>
  </si>
  <si>
    <t xml:space="preserve">RIVERA CELY SANTIAGO </t>
  </si>
  <si>
    <t>LEON SUAREZ JUAN BAUTISTA</t>
  </si>
  <si>
    <t xml:space="preserve">ARMANDO  JOSE </t>
  </si>
  <si>
    <t>DIAZ CARRILLO FRANCISCO JAVIER</t>
  </si>
  <si>
    <t xml:space="preserve">GAMBA ORJUELA  ILDEFONSO </t>
  </si>
  <si>
    <t>JARRO MUÑOZ HENRY LEONEL</t>
  </si>
  <si>
    <t xml:space="preserve">FONSECA  GERMAN </t>
  </si>
  <si>
    <t>LOAIZA GIRALDO JOSE JOAQUIN</t>
  </si>
  <si>
    <t>GOMEZ PUERTO RUBEN DARIO</t>
  </si>
  <si>
    <t xml:space="preserve">ALVAREZ AVILA HEVER </t>
  </si>
  <si>
    <t xml:space="preserve">TOBO PUENTES YECID </t>
  </si>
  <si>
    <t xml:space="preserve">PEREZ PEREZ  HUMBERTO DE JESUS </t>
  </si>
  <si>
    <t>AVELLA RAMIREZ HAROLD ORLANDO</t>
  </si>
  <si>
    <t>DAZA TRISTANCHO JOSE LUIS</t>
  </si>
  <si>
    <t>CARLOS GUSTAVO SERRANO ALVAREZ</t>
  </si>
  <si>
    <t>GONZALES  JOSE ALFREDO</t>
  </si>
  <si>
    <t xml:space="preserve">CASTILLO  NELSON </t>
  </si>
  <si>
    <t>PONGUTA SIABATO JOSE TARSICIO</t>
  </si>
  <si>
    <t>CARDOZO PINZON MAURICIO ANIBAL</t>
  </si>
  <si>
    <t xml:space="preserve">ALARCON  RICARDO </t>
  </si>
  <si>
    <t>MEJIA LOPEZ ERWIN IBAN</t>
  </si>
  <si>
    <t>PUERTO SUAREZ GUSTAVO JULIO</t>
  </si>
  <si>
    <t xml:space="preserve">BARRERA  FABIO </t>
  </si>
  <si>
    <t xml:space="preserve">BOBADILLA VASQUEZ OMAR </t>
  </si>
  <si>
    <t>GARZON DIAZ PEDRO ANTONIO</t>
  </si>
  <si>
    <t>CORREDOR REYES SEGUNDO FLORENTINO</t>
  </si>
  <si>
    <t>SILVA BARRERA CARLOS JULIO</t>
  </si>
  <si>
    <t xml:space="preserve">CAMARGO RAMIREZ FREDY </t>
  </si>
  <si>
    <t>GALVIS HERNANDEZ JAIME ENRIQUE</t>
  </si>
  <si>
    <t xml:space="preserve">GRIMALDOS RINCON ABEL </t>
  </si>
  <si>
    <t xml:space="preserve">RINCON BECERRA ORLANDO </t>
  </si>
  <si>
    <t>ALARCON JAIME LUIS ALEJANDRO</t>
  </si>
  <si>
    <t>BOLIVAR HERNANDEZ JOSE WILLIAM</t>
  </si>
  <si>
    <t>ROJAS ANGARITA JOSE RITO</t>
  </si>
  <si>
    <t>CASTILLO ROZO PABLO YESID</t>
  </si>
  <si>
    <t xml:space="preserve">CABALLERO SUAREZ ROBERTO </t>
  </si>
  <si>
    <t xml:space="preserve">FONSECA ALVARADO JAIRO </t>
  </si>
  <si>
    <t>PEREZ UCHAMOCHA MAURICIO ALBERTO</t>
  </si>
  <si>
    <t>NAVARRO QUIJANO JORGE LUIS</t>
  </si>
  <si>
    <t xml:space="preserve">QUINTANA SEGURA WILLIAM </t>
  </si>
  <si>
    <t xml:space="preserve">VARGAS DIAZ RENAN </t>
  </si>
  <si>
    <t>RIVERA ROJAS OSCAR HUMBERTO</t>
  </si>
  <si>
    <t>PARADA FLECHAS JUAN ALEJANDRO</t>
  </si>
  <si>
    <t>BAUTISTA CABRA LUIS ALBERTO</t>
  </si>
  <si>
    <t>SIERRA NUNEZ JOSE GILBERTO</t>
  </si>
  <si>
    <t>GONZALEZ TORRES FERNANDO JOSE</t>
  </si>
  <si>
    <t xml:space="preserve">TALERO BARRERO CRISTIAN </t>
  </si>
  <si>
    <t xml:space="preserve">PADILLA BLANCO FERNANDO </t>
  </si>
  <si>
    <t xml:space="preserve">NEIRA PEREIRA JAVIER </t>
  </si>
  <si>
    <t>ESTRADA MOLINA HUGO ENRIQUE</t>
  </si>
  <si>
    <t>CARDENAS CORREDOR JUAN CARLOS</t>
  </si>
  <si>
    <t>VALBUENA ARAQUE JUAN VICENTE</t>
  </si>
  <si>
    <t xml:space="preserve">PEDRO FRANCISCO GONZALEZ </t>
  </si>
  <si>
    <t xml:space="preserve">DURAN PEREZ JOAQUIN </t>
  </si>
  <si>
    <t xml:space="preserve">RAMIREZ NIÑO DESIDERIO </t>
  </si>
  <si>
    <t xml:space="preserve">CASTIBLANCO SOLANO ALFONSO </t>
  </si>
  <si>
    <t xml:space="preserve">NELSON  CORREDOR </t>
  </si>
  <si>
    <t>NAVARRETE SANTISTEBAN CARLOS JULIO</t>
  </si>
  <si>
    <t xml:space="preserve">PUERTO JIMENEZ MARCOLINO </t>
  </si>
  <si>
    <t>MONROY ARIAS JAIME WILLAN</t>
  </si>
  <si>
    <t xml:space="preserve">ANGULO RODRIGUEZ PARMENIO </t>
  </si>
  <si>
    <t xml:space="preserve">GONZALEZ ARAQUE TEODORO </t>
  </si>
  <si>
    <t xml:space="preserve">DIAZ RAMIREZ JAIRO </t>
  </si>
  <si>
    <t>SANABRIA MONRROY JORGE HERNAN</t>
  </si>
  <si>
    <t xml:space="preserve">ANIBAL GOMEZ JAIRO </t>
  </si>
  <si>
    <t>ARTEAGA MENDEZ CARLOS ALFREDO</t>
  </si>
  <si>
    <t xml:space="preserve">VARGAS  DIEGO </t>
  </si>
  <si>
    <t>ACOSTA USECHI GERMAN ALBERTO</t>
  </si>
  <si>
    <t>GARZON ORTEGA ALVARO ERNESTO</t>
  </si>
  <si>
    <t xml:space="preserve">TOCANCIPA MORENO GUILLERMO </t>
  </si>
  <si>
    <t>GONZALEZ MEDINA WILSON RAFAEL</t>
  </si>
  <si>
    <t xml:space="preserve">TAMARA TORRES WILSON </t>
  </si>
  <si>
    <t>ALVAREZ PALACIOS JAVIER ENRIQUE</t>
  </si>
  <si>
    <t>FONSECA RODRIGUEZ JORGE ALEXANDER</t>
  </si>
  <si>
    <t xml:space="preserve">RODRIGUEZ CASTRO JAVIER </t>
  </si>
  <si>
    <t>PEDRAZA PEREZ JOSE SIMEON</t>
  </si>
  <si>
    <t>MONTOYA CELY GUSTAVO ALBERTO</t>
  </si>
  <si>
    <t>ZAFRA RUIZ JUAN ANTONIO</t>
  </si>
  <si>
    <t>RUBIO CEPEDA JAIME ELIECER</t>
  </si>
  <si>
    <t xml:space="preserve">FLOREZ RODRIGUEZ ALFREDO </t>
  </si>
  <si>
    <t xml:space="preserve">MENDOZA NARANJO RODRIGO </t>
  </si>
  <si>
    <t>VASQUEZ ROCHA EDGAR GIOVANNI</t>
  </si>
  <si>
    <t xml:space="preserve">HERNANDEZ  ALIRIO </t>
  </si>
  <si>
    <t>LOPEZ PERICO HENRY OLMEDO</t>
  </si>
  <si>
    <t>GARCIA BARRIOS CAMILO ANTONIO</t>
  </si>
  <si>
    <t xml:space="preserve">PUENTES ORTIZ JOSE </t>
  </si>
  <si>
    <t xml:space="preserve">CRUZ  FRANCISCO </t>
  </si>
  <si>
    <t xml:space="preserve">JAIME CORDERO YEBRAIL </t>
  </si>
  <si>
    <t>FONSECA PEREZ CAMPO ELIAS</t>
  </si>
  <si>
    <t>BARRERA FONSECA PEDRO JAVIER</t>
  </si>
  <si>
    <t xml:space="preserve">RINCON GAMBA OSCAR </t>
  </si>
  <si>
    <t>CORREDOR MANRIQUE WILINTON ORLANDO</t>
  </si>
  <si>
    <t xml:space="preserve">RONCANCIO  YOWANY </t>
  </si>
  <si>
    <t>ROMERO POVEDA HECTOR JULIO</t>
  </si>
  <si>
    <t>ROMERO ROMERO NELSON OSBALDO</t>
  </si>
  <si>
    <t>TELLEZ  LUIS ENRIQUE</t>
  </si>
  <si>
    <t xml:space="preserve">GOMEZ JOYA MICKOL </t>
  </si>
  <si>
    <t xml:space="preserve">RIVEROS BONILLA WILDER </t>
  </si>
  <si>
    <t>MARTINEZ PEREZ JAVIER FERNANDO</t>
  </si>
  <si>
    <t>MURCIA  PEDRO ALFREDO</t>
  </si>
  <si>
    <t>CORREDOR CARRILLO GIOVANNI ENRIQUE</t>
  </si>
  <si>
    <t xml:space="preserve">FAJARDO JAIMES ARTURO </t>
  </si>
  <si>
    <t>PEREZ SANDOVAL JORGE HUMBERTO</t>
  </si>
  <si>
    <t>CHACON  LUIS FERNANDO</t>
  </si>
  <si>
    <t>LOPEZ SANTODOMINGO GERSON HERNANDO</t>
  </si>
  <si>
    <t xml:space="preserve">MEDINA JAIME MARIO </t>
  </si>
  <si>
    <t>CORREDOR BECHARA YOSETH ALEXANDER</t>
  </si>
  <si>
    <t>LOPEZ LUNA PABLO ANTONIO</t>
  </si>
  <si>
    <t>PINEDA MUÑOZ WILMAN ALONSO</t>
  </si>
  <si>
    <t>CORREA BUITRAGO JIMY ALEXANDER</t>
  </si>
  <si>
    <t xml:space="preserve">OLIVEROS DIAZ WILMAN </t>
  </si>
  <si>
    <t>CORREDOR GOMEZ VICTOR ENRIQUE</t>
  </si>
  <si>
    <t>CASAS GONZALEZ JHONNY ALEXANDER</t>
  </si>
  <si>
    <t>HERNANDEZ LOPEZ FREDY MAURICIO</t>
  </si>
  <si>
    <t>PINZON VALDERRAMA JUAN MANUEL</t>
  </si>
  <si>
    <t xml:space="preserve">VERTEL LAMBRAÑO HENRY </t>
  </si>
  <si>
    <t>SANCHEZ BLANCO EDWIN HERNANDO</t>
  </si>
  <si>
    <t>GIRALDO CHAPARRP CESAR AUGUSTO</t>
  </si>
  <si>
    <t>LEE ROJAS FAVIO LEONARDO</t>
  </si>
  <si>
    <t xml:space="preserve">NARANJO DIAZ ROBINSON </t>
  </si>
  <si>
    <t>HAROLD ANDRES PIEDRAHITA SANCHEZ</t>
  </si>
  <si>
    <t xml:space="preserve">CHAPARRO  WILMER </t>
  </si>
  <si>
    <t>DIAZ MATEUS JUAN PABLO</t>
  </si>
  <si>
    <t>LOZANO GOMEZ DIEGO ALEJANDRO</t>
  </si>
  <si>
    <t xml:space="preserve">BLANCO CARVAJAL ABELARDO </t>
  </si>
  <si>
    <t xml:space="preserve">JAIME SANDOVAL RIGOBERTO </t>
  </si>
  <si>
    <t>MOLINA PLAZAS LUIS EDUARDO</t>
  </si>
  <si>
    <t xml:space="preserve">LOPEZ CARREÑO WILLIAM </t>
  </si>
  <si>
    <t>PALACIOS GRANADOS LEONARDO ANDRES</t>
  </si>
  <si>
    <t xml:space="preserve">CASTRO  WILLIAM </t>
  </si>
  <si>
    <t>MARTINEZ LADINO DIEGO ERNESTOR</t>
  </si>
  <si>
    <t>ARIAS GUARIN DAVID ENRIQUE</t>
  </si>
  <si>
    <t>SILVA  LUIS ANTONIO</t>
  </si>
  <si>
    <t>JAIMES  YOVANNY ARSENIO</t>
  </si>
  <si>
    <t xml:space="preserve">HEREDIA  OSCAR </t>
  </si>
  <si>
    <t xml:space="preserve">MESA LEGUIZAMON ALEXANDER </t>
  </si>
  <si>
    <t>CANTI CAMACHO JULIAN LEONARD</t>
  </si>
  <si>
    <t>CUSGUEN  JOSE JUAQUIN</t>
  </si>
  <si>
    <t>CRISTIANO ALBA JOSE EFREN</t>
  </si>
  <si>
    <t>ALONSO GUERRA GERMAN CAMILO</t>
  </si>
  <si>
    <t>ACOSTA DURAN JOSUE LEONARDO</t>
  </si>
  <si>
    <t xml:space="preserve">GUERRERO BARRERA YEBRAIL </t>
  </si>
  <si>
    <t xml:space="preserve">LOAIZA GUTIERREZ OLMEDO </t>
  </si>
  <si>
    <t xml:space="preserve">RICO  PEDRO </t>
  </si>
  <si>
    <t>ROJAS PEREZ JOSE ORLANDO</t>
  </si>
  <si>
    <t>VACA BOHORQUEZ WILSON ERNESTO</t>
  </si>
  <si>
    <t>PARRA PIÑEROS RONNY ALEXANDER</t>
  </si>
  <si>
    <t xml:space="preserve">PORRAS MORENO ROLANDO </t>
  </si>
  <si>
    <t>VARGAS DIAZ JOSE HERNANDO</t>
  </si>
  <si>
    <t>RAMIREZ RODRIGUEZ LUIS ANTONIO</t>
  </si>
  <si>
    <t>RIVERA BARRERA WILSON MANUEL</t>
  </si>
  <si>
    <t>MAYORGA BARRERA HENRY ALEXANDER</t>
  </si>
  <si>
    <t>SOTELO CARDENAS JUAN DAVID</t>
  </si>
  <si>
    <t>NIETO MENDOZA MIGUEL ANTONIO</t>
  </si>
  <si>
    <t>CAMILO ANDRES CAMILO ALVAREZ</t>
  </si>
  <si>
    <t>CARTAGENA GELVIZ JUAN CARLOS</t>
  </si>
  <si>
    <t>REYES PEREZ JESUS DE</t>
  </si>
  <si>
    <t>MUNAR HERNANDEZ DARIO MAURICIO</t>
  </si>
  <si>
    <t>BAEZ GALVIS WILLMER MIGUEL</t>
  </si>
  <si>
    <t>ZAMBRANO ALVAREZ FREDY ALEXANDER</t>
  </si>
  <si>
    <t>PALENCIA UMAÑA MARCO ANTONIO</t>
  </si>
  <si>
    <t>CL 212 77 91 AVELLA LEONARDO DAVID</t>
  </si>
  <si>
    <t>CASTANEDA SUAREZ JAIRO ANDRES</t>
  </si>
  <si>
    <t>RODRIGUEZ PULIDO OSCAR JAVIER</t>
  </si>
  <si>
    <t xml:space="preserve">MARTINEZ LADINO JORGE </t>
  </si>
  <si>
    <t>MARTINEZ CALDERON CARLOS ANDRES</t>
  </si>
  <si>
    <t xml:space="preserve">TAPIERO YATE DAVID </t>
  </si>
  <si>
    <t>PEDRAZA CORREDOR NESTOR ADOLFO</t>
  </si>
  <si>
    <t xml:space="preserve">BUENDIA PAEZ JAIME </t>
  </si>
  <si>
    <t>CALDERON VARGAS NELSON ALEJANDRO</t>
  </si>
  <si>
    <t xml:space="preserve">LIZARAZO  LUIS </t>
  </si>
  <si>
    <t>CHAPARRO MOLINA JHONSON ESTIUUAR</t>
  </si>
  <si>
    <t>PULIDO PEREZ JOSE GIOVANNY</t>
  </si>
  <si>
    <t>ALDANA SANDOVAL CESAR AUGUSTO</t>
  </si>
  <si>
    <t>PEÑALOZA  WILLIAM ANDRES</t>
  </si>
  <si>
    <t>RODRIGUEZ MARTINEZ JAIME ORLANDO</t>
  </si>
  <si>
    <t xml:space="preserve">PADILLA IMBUS FERLEY </t>
  </si>
  <si>
    <t>CASTELLANOS MELO JORGE ELIECER</t>
  </si>
  <si>
    <t xml:space="preserve">FARIETTA DAZA MAURICIO </t>
  </si>
  <si>
    <t>GALVIS NINO JUAN CARLOS</t>
  </si>
  <si>
    <t>PUENTES CORTES JUAN PABLO</t>
  </si>
  <si>
    <t>GALEANO CARDOZO IRVIN JAVIER</t>
  </si>
  <si>
    <t>PARRA  JOSE MERARDO</t>
  </si>
  <si>
    <t>HERNAN ALBERTO SUTA FONSECA</t>
  </si>
  <si>
    <t>RUBIANO MENDEZ FRANK JEFERSON</t>
  </si>
  <si>
    <t xml:space="preserve">MUÑOS  HOMINTI </t>
  </si>
  <si>
    <t>SOTELO LOPEZ DAVID JULIAN</t>
  </si>
  <si>
    <t>CAMACHO PALACIOS OSCAR DARIO</t>
  </si>
  <si>
    <t>TIMARAN VALLEJO GABRIEL ORLANDO</t>
  </si>
  <si>
    <t xml:space="preserve">CARLOS ALBERTO MARQUEZ </t>
  </si>
  <si>
    <t>ALONSO MURILLO JOSE RUBEN</t>
  </si>
  <si>
    <t>ROJAS  JUAN PABLO</t>
  </si>
  <si>
    <t>FONSECA BARRERA MIGUEL ANGEL</t>
  </si>
  <si>
    <t>CORREA RAMIREZ LUIS FERNANDO</t>
  </si>
  <si>
    <t>CARRILLO LIZCANO JAVIER OSVALDO</t>
  </si>
  <si>
    <t>MOLANO GOMEZ JULIO CESAR</t>
  </si>
  <si>
    <t>BOHORQUEZ BUENO JOSE MIGUEL</t>
  </si>
  <si>
    <t>SUAREZ RANGEL WILMER YESIHT</t>
  </si>
  <si>
    <t>MATEUS PALACIOS CARLOS ARIEL</t>
  </si>
  <si>
    <t>CEPEDA REYEZ MARCO ELIAS</t>
  </si>
  <si>
    <t>FORERO ROJAS MILLER JOHAN</t>
  </si>
  <si>
    <t>ARISMENDY  JORGE ENRIQUE</t>
  </si>
  <si>
    <t xml:space="preserve">RODRIGUEZ TELLEZ EDWIN </t>
  </si>
  <si>
    <t>BEJARANO LOPEZ JOSE STEVE</t>
  </si>
  <si>
    <t xml:space="preserve">CASTRO  BILLE </t>
  </si>
  <si>
    <t>LEONARDO ANDRES SANCHEZ MARIN</t>
  </si>
  <si>
    <t>PALENCIA LOPEZ CESAR FERNANDO</t>
  </si>
  <si>
    <t xml:space="preserve">MUÑOZ LOPEZ BLADIMIR </t>
  </si>
  <si>
    <t xml:space="preserve">BAEZ BASTO OMAR </t>
  </si>
  <si>
    <t xml:space="preserve">TORRES  CESAR </t>
  </si>
  <si>
    <t xml:space="preserve">HERRERA TARAZONA  GIOVANNI </t>
  </si>
  <si>
    <t xml:space="preserve">CABALLERO CEPEDA JAHIR </t>
  </si>
  <si>
    <t>RONCANCIO PINZON ELKIN SALVADOR</t>
  </si>
  <si>
    <t>SIERRA RIAÑO EDWIN JAVIER</t>
  </si>
  <si>
    <t xml:space="preserve">BERNAL CARDOZO EMIRO </t>
  </si>
  <si>
    <t xml:space="preserve">ACEVEDO GOMEZ JAVIER </t>
  </si>
  <si>
    <t>SANA GARAVITO JAIRO ANTONIO</t>
  </si>
  <si>
    <t xml:space="preserve">HERNANDEZ  JOSE </t>
  </si>
  <si>
    <t xml:space="preserve">RAMIREZ  MARIONEL </t>
  </si>
  <si>
    <t>PEÑA HERNANDEZ DIEGO EDUARDO</t>
  </si>
  <si>
    <t xml:space="preserve">REYES MARTINEZ RAUL </t>
  </si>
  <si>
    <t xml:space="preserve">VEGA  JUAN </t>
  </si>
  <si>
    <t>ESPEJO RODRIGUEZ FRANK SAUL</t>
  </si>
  <si>
    <t>OLMOS MELO OSCAR ANTONIO</t>
  </si>
  <si>
    <t>GUAYARA PRECIADO HELIO FABIAN</t>
  </si>
  <si>
    <t xml:space="preserve">MARIN CAMACHO NELSON </t>
  </si>
  <si>
    <t>MUÑOZ MURILLO FABIO ROLANDO</t>
  </si>
  <si>
    <t>CERREÑO  LUIS FERNANDO</t>
  </si>
  <si>
    <t>BARRERA BOHORQUEZ LUIS FRANCISCO</t>
  </si>
  <si>
    <t>ACOSTA USECHE HECTOR HERNAN</t>
  </si>
  <si>
    <t>BRICEÑO  JUAN PABLO</t>
  </si>
  <si>
    <t xml:space="preserve">ANTONIO  LUIS </t>
  </si>
  <si>
    <t xml:space="preserve">MENDEZ SANCHEZ CARLOS </t>
  </si>
  <si>
    <t xml:space="preserve">ESPINEL GUTIERREZ ALBEIRO DE JUSUS </t>
  </si>
  <si>
    <t>APARICIO LIZARAZO ANTONIO MARIA</t>
  </si>
  <si>
    <t xml:space="preserve">PULIDO MARTINEZ VITELMO </t>
  </si>
  <si>
    <t>BARRETO GONZALEZ LUIS ENRIQUE</t>
  </si>
  <si>
    <t>RIVERA AMORTEGUI OSCAR ANDRES</t>
  </si>
  <si>
    <t xml:space="preserve">BARRETO GONSALEZ SAUL </t>
  </si>
  <si>
    <t>LEON GUERRERO NELSON ENRIQUE</t>
  </si>
  <si>
    <t xml:space="preserve">ALVAREZ .  JOSE DIONICIO </t>
  </si>
  <si>
    <t>BECERRA BECERRA JOSE RAUL</t>
  </si>
  <si>
    <t>CASTRO BUITRAGO RICARDO ALFREDO</t>
  </si>
  <si>
    <t xml:space="preserve">CACERES CHAVES JACINTO </t>
  </si>
  <si>
    <t>ALARCON  CARLOS ORLANDO</t>
  </si>
  <si>
    <t>ALARCON JIMENEZ JAIME ENRIQUE</t>
  </si>
  <si>
    <t xml:space="preserve">HERNANDEZ SUESCUN JULIO </t>
  </si>
  <si>
    <t>BECERRA BECERRA JUAN GUILLERMO</t>
  </si>
  <si>
    <t xml:space="preserve">PEÑA CRISTANCHO ANCELMO </t>
  </si>
  <si>
    <t xml:space="preserve">AVENDAÑO CORREDOR ULICES </t>
  </si>
  <si>
    <t>BUITRAGO OTALORA WILSON JAVIER</t>
  </si>
  <si>
    <t>AVELLA  LUIS ANTONIO</t>
  </si>
  <si>
    <t>ARISMENDY ARISMENDY JESUS ANTONIO</t>
  </si>
  <si>
    <t>MEJIA MEJIA HUGO ALONSO</t>
  </si>
  <si>
    <t xml:space="preserve">BECERRA AVENDANO ANDRES </t>
  </si>
  <si>
    <t xml:space="preserve">DIAZ BARRERA MILTON REINEL </t>
  </si>
  <si>
    <t>RUIZ CAMERO DAVID EDUARDO</t>
  </si>
  <si>
    <t>IBAÑEZ TOBAR FABIO ENRIQUE</t>
  </si>
  <si>
    <t xml:space="preserve">RODRIGO  JOSE </t>
  </si>
  <si>
    <t>BRICEÑO MESA CARLOS ARTURO</t>
  </si>
  <si>
    <t>RONDON TAMAYO WILSON NELSON</t>
  </si>
  <si>
    <t>QUIMBAYA HUERTAS JUAN CARLOS</t>
  </si>
  <si>
    <t>RODRIGUEZ HINCAPIE ANGEL RICAURTE</t>
  </si>
  <si>
    <t>BUITRAGO BELLO PEDRO ESTEBAN</t>
  </si>
  <si>
    <t xml:space="preserve">TOCANCHON DAVID JARAMILLO </t>
  </si>
  <si>
    <t xml:space="preserve">ROLDAN CASTANEDA ROLDAN </t>
  </si>
  <si>
    <t xml:space="preserve">VARGAS CALERO ALVARO </t>
  </si>
  <si>
    <t>CARRENO SEGURA JORGE ANTONIO</t>
  </si>
  <si>
    <t>ROJAS PARRA JOSE LEONARDO</t>
  </si>
  <si>
    <t xml:space="preserve">GIL BRICEÑO EDWIN </t>
  </si>
  <si>
    <t>FORERO VEGA ANDRES FERNANDO</t>
  </si>
  <si>
    <t xml:space="preserve">CASTELLANOS  JHON </t>
  </si>
  <si>
    <t>ALARCON MESA EDWIN ORLANDO</t>
  </si>
  <si>
    <t>ALVAREZ ARIAS YESMER ALEXANDER</t>
  </si>
  <si>
    <t>CAMARGO GONZALEZ JAMES ANDRES</t>
  </si>
  <si>
    <t>RAMIREZ DUEÑAS LEONARDO FABIO</t>
  </si>
  <si>
    <t>RODRIGUEZ DIAZ WILMAR ARLEY</t>
  </si>
  <si>
    <t>SEPULVEDA LUGO DANIEL EDUARDO</t>
  </si>
  <si>
    <t xml:space="preserve">CONDE ARANDA MAURICIO </t>
  </si>
  <si>
    <t xml:space="preserve">AGUDELO SANCHEZ  YAMID </t>
  </si>
  <si>
    <t xml:space="preserve">ALBAÑIL FURQUE DAIRON </t>
  </si>
  <si>
    <t xml:space="preserve">SEPULVEDA  FABIAN </t>
  </si>
  <si>
    <t>BARBOSA MORENO JULIAN EDUARDO</t>
  </si>
  <si>
    <t>DIEZ POLANCO JORGE MARIO</t>
  </si>
  <si>
    <t>LASSO AGUDELO JULIAN ANDRES</t>
  </si>
  <si>
    <t>ACEVEDO ARIAS MIGUEL JOSE</t>
  </si>
  <si>
    <t>OCHOA  PEDRO IVAN</t>
  </si>
  <si>
    <t>MUÑOZ BORJA ANDRES FELIPE</t>
  </si>
  <si>
    <t>SANDOVAL CARREÑO WILMER LEONARDO</t>
  </si>
  <si>
    <t>BELTRAN HERNANDEZ CARLOS ANDRES</t>
  </si>
  <si>
    <t>HERRERA LARA IVAN MAURICIO</t>
  </si>
  <si>
    <t>ALVARADO TORRES JHON EDISSON</t>
  </si>
  <si>
    <t xml:space="preserve">CARREÑO CARREÑO GABRIEL </t>
  </si>
  <si>
    <t>GUERRERO CICERY JHON FREDY</t>
  </si>
  <si>
    <t xml:space="preserve">PACHON  JAVIER </t>
  </si>
  <si>
    <t xml:space="preserve">CRISTIANO  DEMOFILO </t>
  </si>
  <si>
    <t>RODRIGUEZ GOMEZ VICTOR ALFREDO</t>
  </si>
  <si>
    <t>BAUTISTA OVIEDO WILMAR RICARDO</t>
  </si>
  <si>
    <t>NIÑO SISSA JAIRO ALONSO</t>
  </si>
  <si>
    <t xml:space="preserve">MAYORGA BELTRAN  NORTE </t>
  </si>
  <si>
    <t xml:space="preserve">VARGAS ADELMO CANGREJO </t>
  </si>
  <si>
    <t>MORENO RUBIO JORGE JULIAN</t>
  </si>
  <si>
    <t>RUIZ GONZALEZ FRANCISCO ELIECER</t>
  </si>
  <si>
    <t>ARANGO MARIN VICTOR ANDRES</t>
  </si>
  <si>
    <t>DOMINGUEZ LEYTON EDUAR JESUS</t>
  </si>
  <si>
    <t>LEON CERON OLGUER GUILLERMO</t>
  </si>
  <si>
    <t>VALDERRAMA NIÑO EDWUAR GUSTAVO</t>
  </si>
  <si>
    <t xml:space="preserve">CONDE CARVAJAL YADER </t>
  </si>
  <si>
    <t>GOMEZ PEREZ JOSE ALVARO</t>
  </si>
  <si>
    <t xml:space="preserve">ANAYA CALDERON JAVIER </t>
  </si>
  <si>
    <t>VALCARCEL BAEZ JOSE ALFREDO</t>
  </si>
  <si>
    <t xml:space="preserve">RODRIGUEZ CADENA JAIRO </t>
  </si>
  <si>
    <t xml:space="preserve">CABALLERO GARCES HERMID </t>
  </si>
  <si>
    <t xml:space="preserve">DURAN  ALVARO </t>
  </si>
  <si>
    <t>PEÑA RAMIREZ JOSE TEODORO</t>
  </si>
  <si>
    <t xml:space="preserve">ROMERO CONTRERAS HERNANDO </t>
  </si>
  <si>
    <t>CARRILLO BONILLA JUAN CARLOS</t>
  </si>
  <si>
    <t xml:space="preserve">BLANCO GOMEZ MARLON </t>
  </si>
  <si>
    <t xml:space="preserve">GONZALEZ MORENO GIOVANNI </t>
  </si>
  <si>
    <t>URIBE GELVEZ JOSE WLADIMIR</t>
  </si>
  <si>
    <t xml:space="preserve">MENESES  JOSE </t>
  </si>
  <si>
    <t>RANGEL MALDONADO JESUS DAVID</t>
  </si>
  <si>
    <t>GOMEZ NIÑO JOSE GILDARDO</t>
  </si>
  <si>
    <t xml:space="preserve">GUERRERO PAEZ NELSON </t>
  </si>
  <si>
    <t>SANDOVAL GONZALEZ LUIS CARLOS</t>
  </si>
  <si>
    <t>CRUZ  JOHN LARRY</t>
  </si>
  <si>
    <t>BANCAMIA . .</t>
  </si>
  <si>
    <t xml:space="preserve">ALFONSO GUERRERO ALEXANDER </t>
  </si>
  <si>
    <t>ARIAS ESPINOSA JOSE ANTONIO</t>
  </si>
  <si>
    <t>CELIS FRANCO PABLO ENRIQUE</t>
  </si>
  <si>
    <t>GARCIA CADENA ANGEL EMIRO</t>
  </si>
  <si>
    <t xml:space="preserve">LAYTON ACERO ESNEYDER </t>
  </si>
  <si>
    <t xml:space="preserve">PATIÑO NEIRA FERNANDO </t>
  </si>
  <si>
    <t>PARRA ESCOBAR LEONARDO FAVIO</t>
  </si>
  <si>
    <t xml:space="preserve">GUTIERREZ  ELIECER </t>
  </si>
  <si>
    <t xml:space="preserve">BERDUGO LOPEZ JESUS </t>
  </si>
  <si>
    <t xml:space="preserve">GOMEZ NIÑO ANCELMO </t>
  </si>
  <si>
    <t xml:space="preserve">GUALDRON  LORENZO </t>
  </si>
  <si>
    <t xml:space="preserve">DAZA BERNAL  RAFAEL ALIRIO </t>
  </si>
  <si>
    <t xml:space="preserve">ARMANDO  DIEGO </t>
  </si>
  <si>
    <t xml:space="preserve">ORTEGA  DIOMER </t>
  </si>
  <si>
    <t>ZAS ZAS CARBO ZARZAL</t>
  </si>
  <si>
    <t xml:space="preserve">MEDINA GARZON ARMANDO </t>
  </si>
  <si>
    <t xml:space="preserve">RANGEL NORBERTO DOMINGUEZ </t>
  </si>
  <si>
    <t>SANCHEZ RUSSI JOSE GUSTAVO</t>
  </si>
  <si>
    <t xml:space="preserve">RUEDA GOMEZ JAIRO </t>
  </si>
  <si>
    <t>RIVERA  CARLOS ABEL</t>
  </si>
  <si>
    <t>ACEROS SARMIENTO VICTOR MANUEL</t>
  </si>
  <si>
    <t>MADRID PINEDO LUIS ALFREDO</t>
  </si>
  <si>
    <t>DIETES . JOSE IGNACIO</t>
  </si>
  <si>
    <t>BELTRAN  JHON FERNANDO</t>
  </si>
  <si>
    <t xml:space="preserve">MARTINEZ ACEROS FRANCISCO </t>
  </si>
  <si>
    <t>BRAVO  JOSE LUIS</t>
  </si>
  <si>
    <t xml:space="preserve">BOLAÑO GUERRERO AMILCAR </t>
  </si>
  <si>
    <t>HASBON SERRANO IVAN ALBERTO</t>
  </si>
  <si>
    <t>DIAZ SEPULVEDA LUIS IGNACIO</t>
  </si>
  <si>
    <t>ABRIL JOYA LUIS ALEJANDRO</t>
  </si>
  <si>
    <t xml:space="preserve">NOCOVE  CRISTIAN </t>
  </si>
  <si>
    <t>OSORIO CRISTANCHO JAVIER AUGUSTO</t>
  </si>
  <si>
    <t xml:space="preserve">CASTAÑEDA  RICHARD </t>
  </si>
  <si>
    <t xml:space="preserve">GALLO DAZA FILIMON </t>
  </si>
  <si>
    <t xml:space="preserve">BALLESTEROS RODRIGUEZ HENRY </t>
  </si>
  <si>
    <t>ESTUPIÑAN GUZMAN CARLOS ENRIQUE</t>
  </si>
  <si>
    <t>CHAVEZ DUEÑAS LUIS ALFREDO</t>
  </si>
  <si>
    <t xml:space="preserve">ESPINOSA  MAURICIO </t>
  </si>
  <si>
    <t xml:space="preserve">ARDILA MURILLO EDGAR </t>
  </si>
  <si>
    <t xml:space="preserve">CRUZ BECERRA GUSTAVO </t>
  </si>
  <si>
    <t>ALMENDRALES HODGES MIGUEL EDUARDO</t>
  </si>
  <si>
    <t xml:space="preserve">MARTINEZ  ALEXANDER </t>
  </si>
  <si>
    <t xml:space="preserve">GARCIA DUARTE  ESTEBAN </t>
  </si>
  <si>
    <t>GALVIS ARDILA CARLOS JAVIER</t>
  </si>
  <si>
    <t xml:space="preserve">VECINO LOZANO ORLANDO </t>
  </si>
  <si>
    <t xml:space="preserve">GONZALEZ JIMENEZ GUSTAVO </t>
  </si>
  <si>
    <t xml:space="preserve">PARRA RAMIREZ ALVARO </t>
  </si>
  <si>
    <t>LAYTON BARBOSA SEGUNDO ALBERTO</t>
  </si>
  <si>
    <t>QUINTERO PEREZ LUIS ERNESTO</t>
  </si>
  <si>
    <t xml:space="preserve">DUENAS DUENAS  CARLOS ARTURO </t>
  </si>
  <si>
    <t>GARAVITO ARANDA FREDY HUMBERTO</t>
  </si>
  <si>
    <t>VARGAS LEON WILMER LEONARDO</t>
  </si>
  <si>
    <t>CASALLAS BOLIVAR JUAN CARLOS</t>
  </si>
  <si>
    <t>SARMIENTO SILVA CARLOS ANDRES</t>
  </si>
  <si>
    <t xml:space="preserve">BELTRAN AGUILAR ALEXANDER </t>
  </si>
  <si>
    <t>PULIDO MADRID IVAN FERNANDO</t>
  </si>
  <si>
    <t>BARAJAS LOPEZ OMAR ALEXANDER</t>
  </si>
  <si>
    <t>CHAPARRO BONILLA FAVER ADRIAN</t>
  </si>
  <si>
    <t xml:space="preserve">ORDUZ SIERRA BELISARIO </t>
  </si>
  <si>
    <t xml:space="preserve">CARDENAS BUENO ALEXANDER </t>
  </si>
  <si>
    <t>RUIZ RUIZ HUBER ANTONIO</t>
  </si>
  <si>
    <t>TRUJILLO LOPEZ JOHN NICOLAY</t>
  </si>
  <si>
    <t>TAMARA LUNA CARLOS RAFAEL</t>
  </si>
  <si>
    <t>ESTRADA GONZALES PABLO ANDRES</t>
  </si>
  <si>
    <t>CALDERON  JORGUE ALBERTO</t>
  </si>
  <si>
    <t>CAMPOS RODRIGUEZ LUIS FERNANDO</t>
  </si>
  <si>
    <t>SALAMANCA MUÑOZ OSCAR ENRIQUE</t>
  </si>
  <si>
    <t>GONZALEZ HINCAPIE JHON JERLY</t>
  </si>
  <si>
    <t>AGUDELO HURTADO JOSE GERMAN</t>
  </si>
  <si>
    <t>ZAMBRANO CORREA JUAN CARLOS</t>
  </si>
  <si>
    <t xml:space="preserve">SUAREZ SALAZAR ALONSO </t>
  </si>
  <si>
    <t>CASTRO MONDRAGON LUIS EVER</t>
  </si>
  <si>
    <t>HENRY JESUS VIDAL URREA</t>
  </si>
  <si>
    <t xml:space="preserve">RUEDA MORENO GERMAN </t>
  </si>
  <si>
    <t>CORREA TABORDA MARLON DARIO</t>
  </si>
  <si>
    <t xml:space="preserve">MONTES GARCES LEONARDO </t>
  </si>
  <si>
    <t>REYES HOYOS FREDY ROLANDO</t>
  </si>
  <si>
    <t>CARABALIN ANGULO RUBEN DARIO</t>
  </si>
  <si>
    <t xml:space="preserve">SILVA DELGADO JAIRO </t>
  </si>
  <si>
    <t>MONAGA ALZATE WILSON ARNOBY</t>
  </si>
  <si>
    <t>COMBITA AVILA PEDRO ANTONIO</t>
  </si>
  <si>
    <t xml:space="preserve">VALENCIA  MARIO </t>
  </si>
  <si>
    <t>ROJAS BECERRA WILSON ARIEL</t>
  </si>
  <si>
    <t>RAMON ROA EDWARD YULIAN</t>
  </si>
  <si>
    <t>OME DURAN JHON EXNEIDER</t>
  </si>
  <si>
    <t>CASTIBLANCO  lina ALEJANDRA</t>
  </si>
  <si>
    <t>PEREZ TIRANO CRISTIAN CAMILO</t>
  </si>
  <si>
    <t>CARDENAS SOLANO RAUL FERNANDO</t>
  </si>
  <si>
    <t>VARGAS TORRES JUAN MANUEL</t>
  </si>
  <si>
    <t xml:space="preserve">SUAREZ  HANNA </t>
  </si>
  <si>
    <t>BECERRA  CARLOS ANDRES</t>
  </si>
  <si>
    <t xml:space="preserve">BECERRA SAENZ CRISTOBAL </t>
  </si>
  <si>
    <t xml:space="preserve">GONZALEZ  JENNY </t>
  </si>
  <si>
    <t>LOPEZ  CARLOS ANDREs</t>
  </si>
  <si>
    <t>CARRILLO SAENZ LINA JULIANA</t>
  </si>
  <si>
    <t>BARRERA MANRIQUE MARIA VICTORIA</t>
  </si>
  <si>
    <t xml:space="preserve">SANDOVAL GIL EDILSON </t>
  </si>
  <si>
    <t xml:space="preserve">GUALDRON  JULIETH </t>
  </si>
  <si>
    <t>ORTIZ SANDOVAL LEIDY PATRICIA</t>
  </si>
  <si>
    <t>ANZUETA IBICA LUIS ELIECER</t>
  </si>
  <si>
    <t xml:space="preserve">DELGADO PEÑARANDA TALIA </t>
  </si>
  <si>
    <t>VELAZCO VILLEGAS YAFRAN ANTONIO</t>
  </si>
  <si>
    <t xml:space="preserve">MORALES  YEIMY </t>
  </si>
  <si>
    <t>ALVAREZ PALACIOS FREDY SANTIAGO</t>
  </si>
  <si>
    <t>avellaneda angarita Diego esteban</t>
  </si>
  <si>
    <t xml:space="preserve">ROJAS  MARIA </t>
  </si>
  <si>
    <t>SUAREZ TORRES MANUEL JOSE</t>
  </si>
  <si>
    <t>RE  PATRICIO JULIAN</t>
  </si>
  <si>
    <t xml:space="preserve">ESTRADA  HUGO </t>
  </si>
  <si>
    <t>PROCTER &amp; GAMBLE COLOMBIA LTDA</t>
  </si>
  <si>
    <t>DISEÑOS Y CONSTRUCCIONES S.A.S</t>
  </si>
  <si>
    <t xml:space="preserve">PEÑALOZA  WILLIAM </t>
  </si>
  <si>
    <t>PROMOTORA COMERCIAL Y TURISTICA SOCIEDAD POR ACCIONES SIMPLIFICADA</t>
  </si>
  <si>
    <t>AGROINDUSTRIAL MOLINO SONORA A.P. S A S</t>
  </si>
  <si>
    <t>SYSMAN S.A.S</t>
  </si>
  <si>
    <t>VELNEC S.A.S.</t>
  </si>
  <si>
    <t>BANCO AGRARIO DE COLOMBIA</t>
  </si>
  <si>
    <t xml:space="preserve">CRUZ ROJA COLOMBIANA DUITAMA </t>
  </si>
  <si>
    <t xml:space="preserve">PARROQUIA NUESTRA SEÑORA DEL ROSARIO </t>
  </si>
  <si>
    <t>CIVILES Y ELECTROMECANICOS INGENIEROS CONTRATISTAS CIVELMEC LIMITADA</t>
  </si>
  <si>
    <t>SERVICIOS DE ALIMENTACIÓN NP S.A.S</t>
  </si>
  <si>
    <t>RITCHI S.A.S</t>
  </si>
  <si>
    <t>COOPERATIVA DE TRANSPORTADORES LOS HEROES LIMITADA COOTRAHEROES LTDA</t>
  </si>
  <si>
    <t>SUDAMIN SAS</t>
  </si>
  <si>
    <t>SAN LUIS DISTRIBUIDORA DE VIDRIO LTDA</t>
  </si>
  <si>
    <t>COMERCIALIZADORA SERLE.COM S.A.S</t>
  </si>
  <si>
    <t>CORDINALTRA SOCIEDAD POR ACCIONES SIMPLIFICADA</t>
  </si>
  <si>
    <t>Asociacion De Padres Familia Y Vecinos Hogar Infantil Nazareth</t>
  </si>
  <si>
    <t>ADIUM S.A.S</t>
  </si>
  <si>
    <t>TALLERES RINCON Y SERRANO LTDA</t>
  </si>
  <si>
    <t>ICON LTDA INGENIEROS CONTRATISTAS</t>
  </si>
  <si>
    <t>BELLEZA EXPRESS S.A</t>
  </si>
  <si>
    <t>SOCIEDAD DE SERVICIOS OCULARES S.A.S</t>
  </si>
  <si>
    <t>MINERALES BOYACA LIMITADA EN LIQUIDACION</t>
  </si>
  <si>
    <t>ELECTRO HERNANDEZ E.G SOCIEDAD POR ACCIONES SIMPLIFICADA</t>
  </si>
  <si>
    <t>SUMMAR PROCESOS S.A.S.</t>
  </si>
  <si>
    <t>Centro De Bienestar De La Tercera Edad San Jose</t>
  </si>
  <si>
    <t>OPTION S A</t>
  </si>
  <si>
    <t>G Y J FERRETERIAS S.A.</t>
  </si>
  <si>
    <t>SALUD TOTAL</t>
  </si>
  <si>
    <t>INVERTRAC S.A SIGLA INVERTRAC</t>
  </si>
  <si>
    <t>IRADIO SAS</t>
  </si>
  <si>
    <t>VISION Y MARKETING S.A.S.</t>
  </si>
  <si>
    <t>ELECMER SOCIEDAD POR ACCIONES SIMPLIFICADA</t>
  </si>
  <si>
    <t>JULIO FUENTES E HIJOS SOCIEDAD POR ACCIONES SIMPLIFICADA</t>
  </si>
  <si>
    <t xml:space="preserve">LTDA  COOTRANSBOL LTDA </t>
  </si>
  <si>
    <t>INDUSTRIAS KATORI S.A.S.</t>
  </si>
  <si>
    <t>HUERFANO TRIANA Y CIA S.A.S</t>
  </si>
  <si>
    <t>PROMOTORA DE VIAJES Y TURISMO PROVITUR S.A.S</t>
  </si>
  <si>
    <t>FARIETTA DAZA GABRIEL MAURICIO</t>
  </si>
  <si>
    <t>PINTURAS SUPER LTDA</t>
  </si>
  <si>
    <t>SOCIEDAD TRANSPORTES URBANOS RURALES Y ESPECIALES DE DUITAMA TURES S.A.S</t>
  </si>
  <si>
    <t>ASOCIACION DE PROPIETARIOS DE TAXIS INDIVIDUALES DE DUITAMA</t>
  </si>
  <si>
    <t>TECSER LABORATORIOS S.A</t>
  </si>
  <si>
    <t>MEDIAGNOSTICA TECMEDI TECNOLOGIA MEDICA DIAGNOSTICA S.A.S.</t>
  </si>
  <si>
    <t>C.I.M SOCIEDAD POR ACCIONES SIMPLIFICADA</t>
  </si>
  <si>
    <t>TE.EI. ELECTRICISTAS SOCIEDAD LIMITADA</t>
  </si>
  <si>
    <t>COMPAÑIA ELECTRICA DE SOCHAGOTA S.A.S E.S.P</t>
  </si>
  <si>
    <t>EUROCOL LTDA</t>
  </si>
  <si>
    <t>BRINSA S.A.</t>
  </si>
  <si>
    <t>SODEXO S.A.S</t>
  </si>
  <si>
    <t>METROCONSTRUCCIONES S.A.S</t>
  </si>
  <si>
    <t>FAES FARMA COLOMBIA S.A.S.</t>
  </si>
  <si>
    <t>MINERALEX LIMITADA EN REORGANIZACION</t>
  </si>
  <si>
    <t>ASOCIACION DE USUARIOS DE EL DISTRITO DE RIEGO Y DRENAJE DE GRAN ESCALA DEL ALTO CHICAMOCHA Y FIRAVITOBA</t>
  </si>
  <si>
    <t>CENTRAL DE INSUMOS Y MATERIAS PRIMAS PARA LA INDUSTRIA ALIMENTARIA S.A.S.</t>
  </si>
  <si>
    <t xml:space="preserve">LTDA  CENTRO MOTORS </t>
  </si>
  <si>
    <t>DISTRIBUIDORA IMALBESTOS SAS</t>
  </si>
  <si>
    <t>SIMETRIC SA</t>
  </si>
  <si>
    <t>COOSALUD EPS</t>
  </si>
  <si>
    <t>COMPAÑIA DE MINEROS COLOMBIANOS LIMITADA</t>
  </si>
  <si>
    <t>EPS SANITAS SA</t>
  </si>
  <si>
    <t>Parroquia Nuestra Señora Del Carmen De Duitama</t>
  </si>
  <si>
    <t>GRUPO EMPRESARIAL LEON LEON E HIJOS SAS</t>
  </si>
  <si>
    <t>ASOCIACION JUVENIL VISION FUTURA</t>
  </si>
  <si>
    <t>FONDO DE EMPLEADOS DE GENSA</t>
  </si>
  <si>
    <t>TRILLADORA LA MONTAÑA SAS</t>
  </si>
  <si>
    <t>LUBRICANTES Y TRANSPORTES SOCIEDAD POR ACCIONES SIMPLIFICADA</t>
  </si>
  <si>
    <t>SINTRAMETAL SECCIONAL TUTA</t>
  </si>
  <si>
    <t>NEFROBOYACA SAS</t>
  </si>
  <si>
    <t>SOLOMAQUINAS</t>
  </si>
  <si>
    <t>ORGANIZACION SAN FRANCISCO SAS</t>
  </si>
  <si>
    <t>INVERSIONES DIAMONDS S.A.S</t>
  </si>
  <si>
    <t>PROCESOS ENERGETICOS INTEGRALES SAS</t>
  </si>
  <si>
    <t>INVERSIONES SANTA ELISA LTDA</t>
  </si>
  <si>
    <t>INDUCAB SAS</t>
  </si>
  <si>
    <t>INGECON S.A</t>
  </si>
  <si>
    <t>CEMENTERIO DIOCESANO DE DUITAMA</t>
  </si>
  <si>
    <t>COOPERATIVA MINERA MULTIACTIVA PAZ DE RIO LTDA</t>
  </si>
  <si>
    <t>ANALIZAR LABORATORIO FISIOQUIMICO LTDA</t>
  </si>
  <si>
    <t>ALMACENES PARAISO S.A</t>
  </si>
  <si>
    <t>INGTECSAS</t>
  </si>
  <si>
    <t>CONDOMINIO CAMPESTRE EL PARAISO</t>
  </si>
  <si>
    <t>PARROQUIA DE LA SANTISIMA TRINIDAD DE PAZ DE RIO</t>
  </si>
  <si>
    <t>BYG COMPAÑIA LTDA</t>
  </si>
  <si>
    <t>PARROQUIA DE NUESTRA SR DE LA CANDELARIA</t>
  </si>
  <si>
    <t>INVAR SAS</t>
  </si>
  <si>
    <t>DR MARCO QUIJANO RICO PH.D. EMPRESA UNIPERSONAL</t>
  </si>
  <si>
    <t>TURISMO S A S EVENTOS 1 A RECREACION Y</t>
  </si>
  <si>
    <t>COOMULTESCO</t>
  </si>
  <si>
    <t>MATICOLORES SAS</t>
  </si>
  <si>
    <t>MELTEC DE ORIENTE SAS</t>
  </si>
  <si>
    <t xml:space="preserve">DYC LTDA MULTIPROYECTOS </t>
  </si>
  <si>
    <t>CONSTRUCCIONES Y MONTAJES ELECTRICOS MORENO R LTDA</t>
  </si>
  <si>
    <t>SERVICIOS VARIOS INTEGRALES DE COLOMBIA LTDA</t>
  </si>
  <si>
    <t>PARROQUIA SANTA RITA DE CASIA</t>
  </si>
  <si>
    <t>FUNDACION ARTISTICA DEL TUNDAMA</t>
  </si>
  <si>
    <t>TRANSPORTES H &amp; A SAS</t>
  </si>
  <si>
    <t>ASOCIACION DE SUSCRIPTORES AAA</t>
  </si>
  <si>
    <t>VICOL LTDA</t>
  </si>
  <si>
    <t>TRANSPORTADORES UNIDOS DE COLOMBIA SA</t>
  </si>
  <si>
    <t>EDIFICIO CENTRO EMPRESARIAL PALMA REAL</t>
  </si>
  <si>
    <t>JUNTA ADMINISTRADORA ACUEDUCTO</t>
  </si>
  <si>
    <t>ACUATRINIDAD ESP</t>
  </si>
  <si>
    <t>DISTRIBUCIONES &amp;SERVICIOS IBS EU</t>
  </si>
  <si>
    <t>ASOCIACION DE SUSCRIPTORES DEL ACUEDUCTO SAN ANTONIO NORTE</t>
  </si>
  <si>
    <t>ESTACION DE SERVICIO LA ISLA SAS</t>
  </si>
  <si>
    <t>URBANIZACION ALTOS DEL MARANTA</t>
  </si>
  <si>
    <t>CONJUNTO MULTIFAMILIAR EL PARQUE</t>
  </si>
  <si>
    <t>CARGANDO S.A.S</t>
  </si>
  <si>
    <t>ASOCIACION DE SUSCRIPTORES DEL ACUEDUCTO DE SAN LUIS DEL MUNICIPIO DE DUITAMA</t>
  </si>
  <si>
    <t>ACE MEDIOS</t>
  </si>
  <si>
    <t>CONJUNTO RESIDENCIAL TORRES DE SANTA ISABEL</t>
  </si>
  <si>
    <t>PUEBLITO BOYACENSE PROPIEDAD HORIZONTAL</t>
  </si>
  <si>
    <t>CASA DE ANCIANOS LA PROVINCIA</t>
  </si>
  <si>
    <t>MANTENIMIENTOS Y SERVICIOS SAS</t>
  </si>
  <si>
    <t>EDIFICIO MAGDA PH</t>
  </si>
  <si>
    <t>GRUPO EMPRESARIAL VINCULAMOS SAS</t>
  </si>
  <si>
    <t>ASOPADRES INSTITUTO TECNICO SANTO TOMAS DE AQUINO DE DUITAMA</t>
  </si>
  <si>
    <t>ESPUMAS MOLDEADAS S.A.S</t>
  </si>
  <si>
    <t>ESTACION DE SERVICIO VILLA DEL RIO SAS</t>
  </si>
  <si>
    <t>SERVIPAGOS LIMITADA</t>
  </si>
  <si>
    <t>SICME LTDA</t>
  </si>
  <si>
    <t>CONJUNTO RESIDENCIAL QUINTAS DE LA ESPERANZA</t>
  </si>
  <si>
    <t>PARROQUIA SAN JOSE SATIVA N</t>
  </si>
  <si>
    <t>COSMOCENTRO LA 16</t>
  </si>
  <si>
    <t>GEOCIVILES INGENIERIA SAS</t>
  </si>
  <si>
    <t>IMEGO CARGAS SAS</t>
  </si>
  <si>
    <t>ASOPADRES SANTOTO SANTOTO</t>
  </si>
  <si>
    <t xml:space="preserve">SAS  DISCOLMETS </t>
  </si>
  <si>
    <t>INGENIERIA Y MONTAJES INGENIAR SAS</t>
  </si>
  <si>
    <t>BIMBO DE COLOMBIA SA</t>
  </si>
  <si>
    <t>EPS FAMISANAR LTDA</t>
  </si>
  <si>
    <t>JER S.A.</t>
  </si>
  <si>
    <t>ASOCIAC.NAL. OBRA KOLPING</t>
  </si>
  <si>
    <t>PHARMA MARKET LTDA .</t>
  </si>
  <si>
    <t>ECOLAB COLOMBIA S.A.</t>
  </si>
  <si>
    <t>PROTEX S.A</t>
  </si>
  <si>
    <t>COMERCIALIZADORA ALTIMAX SAS</t>
  </si>
  <si>
    <t>COVAL COMERCIAL SAS</t>
  </si>
  <si>
    <t>COLOMBOESPAÑOLA DE CONSERVAS LIMITADA</t>
  </si>
  <si>
    <t>RTC SISTEMAS LTDA</t>
  </si>
  <si>
    <t>FUNDACION INTERNACIONAL MARIA LUISA DE MORENO</t>
  </si>
  <si>
    <t xml:space="preserve">ZULUAGA  CONALTRA SA </t>
  </si>
  <si>
    <t>ALCA SISTEMAS SAS</t>
  </si>
  <si>
    <t>TRANSPORTES ESIVANS</t>
  </si>
  <si>
    <t>LA ESPERANZA INDUSTRIAL DE ALIMENTOS LTDA</t>
  </si>
  <si>
    <t>COLOMBIAN GREEN ENERGY SAS</t>
  </si>
  <si>
    <t>ASISTENCIA TECNICO INDUSTRIA SAS</t>
  </si>
  <si>
    <t>AGROPECUARIA J LA SAS</t>
  </si>
  <si>
    <t>INTERPROYECTOS SAS</t>
  </si>
  <si>
    <t>ALIMENTOS GLCOL S.A.S</t>
  </si>
  <si>
    <t>MANTENIMIENTO DE FILTROS LTDA</t>
  </si>
  <si>
    <t>MTI SAS</t>
  </si>
  <si>
    <t>LEVAPAN S.A.</t>
  </si>
  <si>
    <t>DISTRIBUIDORA NISSAN S.A.</t>
  </si>
  <si>
    <t>AUTOMUNDIAL SA</t>
  </si>
  <si>
    <t>GASEOSAS LUX SAS</t>
  </si>
  <si>
    <t>NESTLE DE COLOMBIA S.A</t>
  </si>
  <si>
    <t>ETERNA S.A</t>
  </si>
  <si>
    <t>UNILEVER ANDINA COLOMBIA LTDA</t>
  </si>
  <si>
    <t>BBVA</t>
  </si>
  <si>
    <t>COLMAQUINAS S A</t>
  </si>
  <si>
    <t>PRODUCTOS NATURALES DE LA SABANA  S.A</t>
  </si>
  <si>
    <t>CONG. DE RELIG TERC. CAP DE NUEST DE LOS DOLORES</t>
  </si>
  <si>
    <t>GRADEZCO LTDA</t>
  </si>
  <si>
    <t>CONGREGACION HNAS DE LA CARIDAD DOMINICAS</t>
  </si>
  <si>
    <t>DOMINICAS HIJAS DE NUESTRA SENORA DE NAZARETH</t>
  </si>
  <si>
    <t>BANCO POPULAR</t>
  </si>
  <si>
    <t>GRADEZCO LTDA LTDA</t>
  </si>
  <si>
    <t>SOCIEDAD SALESIANA</t>
  </si>
  <si>
    <t>POSITIVA DE COMPAÑIA SEGUROSSA</t>
  </si>
  <si>
    <t>ASOCIACION COLOMBIANA DE EMPLEADOS BANCARIOS</t>
  </si>
  <si>
    <t>SINTRABANCOL</t>
  </si>
  <si>
    <t>COMESTIBLES RICOS SAS</t>
  </si>
  <si>
    <t>ALPINA PRODUCTOS ALIMENTICIOS S.A</t>
  </si>
  <si>
    <t>MI BANCO</t>
  </si>
  <si>
    <t>FABRICA DE ESPECIAS Y PRODUCTOS  EL REY S.A</t>
  </si>
  <si>
    <t>BANCO DAVIVIENDA</t>
  </si>
  <si>
    <t>HDI SEGUROS COLOMBIA SA</t>
  </si>
  <si>
    <t>CONGREGACION SIERVAS DEL SAGRADO CORAZON DE JESUS Y DE LOS POBRES</t>
  </si>
  <si>
    <t>INGENIERIA DEL MEDIO AMBIENTE SAS</t>
  </si>
  <si>
    <t>CAJA DE COMPENSACION FAMILIAR COMPENSAR</t>
  </si>
  <si>
    <t>QUALA S.A.</t>
  </si>
  <si>
    <t>COOPERATIVA JURISCOOP</t>
  </si>
  <si>
    <t>ESPECIALIZADA DE COOINDEGABO COOPERATIVA</t>
  </si>
  <si>
    <t>IMPOCOMA SAS</t>
  </si>
  <si>
    <t>LANZETTA RENGIFO Y CIA SAS</t>
  </si>
  <si>
    <t>TRANSPORTES Y SERVICIOS TRANSER SA</t>
  </si>
  <si>
    <t>GRUPO ASD SAS</t>
  </si>
  <si>
    <t>UNIVERSIDAD NACIONAL ABIERTA Y A DISTANCI</t>
  </si>
  <si>
    <t>ORGANIZACION CARDENAS SAS</t>
  </si>
  <si>
    <t>ASEGURADORA SOLIDARIA</t>
  </si>
  <si>
    <t>T G T GAMAS SAS</t>
  </si>
  <si>
    <t>V O CINES Y CIA SAS</t>
  </si>
  <si>
    <t>FABRICA DE BOLSAS DE PAPEL UNIBOL S.A.S</t>
  </si>
  <si>
    <t>KENVUE COLOMBIA S.A.</t>
  </si>
  <si>
    <t>AGROSANTUARIO 333LTDA</t>
  </si>
  <si>
    <t>AVSA SA</t>
  </si>
  <si>
    <t>COMPAÑIA AUTOMOTRIZ CODIESEL SAS</t>
  </si>
  <si>
    <t>GRAPAS Y PINTILLAS EL CABALLO S.A</t>
  </si>
  <si>
    <t>COOMULDESA</t>
  </si>
  <si>
    <t>DISTRIBUCIONES PASTOR JULIO DELGADO SA</t>
  </si>
  <si>
    <t>GIRONES S.A.S</t>
  </si>
  <si>
    <t>TORRE CAFE AGUILA ROJA &amp; CIA SA</t>
  </si>
  <si>
    <t>DISTRIBUIDORA COLOMBINA LTDA</t>
  </si>
  <si>
    <t>HOTELES ESTELAR S.A</t>
  </si>
  <si>
    <t>ALIMENTOS CARNICOS S.A.S</t>
  </si>
  <si>
    <t xml:space="preserve">DE LEONES  CLUB </t>
  </si>
  <si>
    <t>PROIMPO SAS</t>
  </si>
  <si>
    <t>AGRICOLA HIMALAYA S.A</t>
  </si>
  <si>
    <t xml:space="preserve">COLGAS SA ESP  COLGAS SA ESP </t>
  </si>
  <si>
    <t>ESTUDASTRALES</t>
  </si>
  <si>
    <t>CASA LUKER S.A</t>
  </si>
  <si>
    <t>LANDERS Y CIA S.A.S</t>
  </si>
  <si>
    <t>PRODUCTOS FAMILIA SA</t>
  </si>
  <si>
    <t>COLOMBIANA DE COMERCIO S.A</t>
  </si>
  <si>
    <t>BANCOLOMBIA</t>
  </si>
  <si>
    <t>PREBEL SA</t>
  </si>
  <si>
    <t>DISTRIBUIDORA DE VINOS Y LICORES SAS</t>
  </si>
  <si>
    <t>BEISBOL DE COLOMBIA S.A.S</t>
  </si>
  <si>
    <t>HARINERA DEL VALLE S.A.</t>
  </si>
  <si>
    <t>COSMOAGRO SA</t>
  </si>
  <si>
    <t>COOFLOTAX</t>
  </si>
  <si>
    <t>COOPERATIVA DE TRANSPORTADORES RAPIDO CHICAMOCHA</t>
  </si>
  <si>
    <t>COMFABOY CENTRO RECREACIONAL DUITAMA</t>
  </si>
  <si>
    <t>MONASTERIO DEL SANTISIMO ROSARIO</t>
  </si>
  <si>
    <t>DIOCESIS DE DUITAMA SOGAMOSO</t>
  </si>
  <si>
    <t>COOTRASVALLE SAMACA</t>
  </si>
  <si>
    <t>COOPERATIVA DIACOOP</t>
  </si>
  <si>
    <t>FAMA S.A.</t>
  </si>
  <si>
    <t>COMPAÑIA MINERA Y FORESTAL</t>
  </si>
  <si>
    <t>CAMARA DE COMERCIO DE DUITAMA</t>
  </si>
  <si>
    <t>COOPERATIVA DE EDUCADORES REYES PATRIA</t>
  </si>
  <si>
    <t>BENEMERITO CUERPO DE BOMBEROS VOLUNTARIOS DE DUITAMA</t>
  </si>
  <si>
    <t>COOPERATIVA DE TRANSPORTADORES CIUDAD DEL ACERO</t>
  </si>
  <si>
    <t>COOMULTELECOM</t>
  </si>
  <si>
    <t>EQUIPOS Y SISTEMAS SAS</t>
  </si>
  <si>
    <t>TRABAJADORES DE ACERIAS PAZ DEL RIO SINDICATO NACIONAL DE</t>
  </si>
  <si>
    <t>TRANSPORTES DEL TUNDAMA S.A</t>
  </si>
  <si>
    <t>DISTRIBUIDORA DE COMBUSTIBLES EL SOL SAS</t>
  </si>
  <si>
    <t>INSTITUTO LEGA HERMANAS</t>
  </si>
  <si>
    <t>INVERSIONES Y PROMOCIONES  S.A.S</t>
  </si>
  <si>
    <t xml:space="preserve">SAN ISIDRO FUNDACION </t>
  </si>
  <si>
    <t>SUPER SERVICIOS BOYACA SAS</t>
  </si>
  <si>
    <t>HOTELES CON DESTINO SAS</t>
  </si>
  <si>
    <t>HOTEL OICATA</t>
  </si>
  <si>
    <t>ALMACEN DE MATERIALES PARA CONSTRUCCION ALMACONS LTDA</t>
  </si>
  <si>
    <t>INVERSIONES EL DORADO SAS</t>
  </si>
  <si>
    <t>SOCIEDAD CLINICA BOYACA LIMITADA</t>
  </si>
  <si>
    <t>CONSTRUCCIONES Y MONTAJES ENERGY SAS</t>
  </si>
  <si>
    <t>SOCIEDAD TRANSPORTADORA DE DUITAMA S,A,S,</t>
  </si>
  <si>
    <t>COOPERATIVA MULTIACTIVA EL DORADO</t>
  </si>
  <si>
    <t>DUITAMA  FARMACIA ETICOS</t>
  </si>
  <si>
    <t>ACUEDUCTO VRD SANTA LUCIA</t>
  </si>
  <si>
    <t>DISEÑO HUMANO LTDA HUMANO LTDA</t>
  </si>
  <si>
    <t>LATINA EDITORES</t>
  </si>
  <si>
    <t>SMR EL RESPLADOR SAS</t>
  </si>
  <si>
    <t>ASOCIACION AGUAS VITAL DE SAN ANTONIO SUR E.S.P</t>
  </si>
  <si>
    <t>SINTRAMUNICIPIOS DE BOYACA</t>
  </si>
  <si>
    <t>ELECTROMONTAJES J.C LIMITADA</t>
  </si>
  <si>
    <t>CANAL BOYACA</t>
  </si>
  <si>
    <t>ARBORISAN SAS</t>
  </si>
  <si>
    <t>CARBONES Y COQUES EU</t>
  </si>
  <si>
    <t>COMERCIALIZADORA L.M LTDA</t>
  </si>
  <si>
    <t>MARCAS Y LLANTAS SAS</t>
  </si>
  <si>
    <t>CEINTRANS</t>
  </si>
  <si>
    <t>INMOBILIARIA E INVERSIONES AVIVAR LTDA</t>
  </si>
  <si>
    <t>ODONTOMAX</t>
  </si>
  <si>
    <t>SOLTEC AG LMTD</t>
  </si>
  <si>
    <t>ORGANIZACION LOGISTICA TRANSPORTADORA S.A</t>
  </si>
  <si>
    <t>SIEC SAS</t>
  </si>
  <si>
    <t>CCS LIMITADO</t>
  </si>
  <si>
    <t>TERMALES COLOMBIA E U</t>
  </si>
  <si>
    <t>ALMAPINT</t>
  </si>
  <si>
    <t>CENTRO DE PASTORAL DON BOSCO</t>
  </si>
  <si>
    <t>CORPONATURALEZA</t>
  </si>
  <si>
    <t>COMPAÑIA CARBONES DE ORIENTE SAS</t>
  </si>
  <si>
    <t>JUNTA DE ACCION COMUNAL DEL BARRIO SAN JUAN BOSCO DEL MUNICIPIO DE DUITAMA</t>
  </si>
  <si>
    <t>ORGANIZACION TURISTICA LA GRANJA</t>
  </si>
  <si>
    <t>MARCA CONTRUCTORES SAS</t>
  </si>
  <si>
    <t>DISPOENERGIAS</t>
  </si>
  <si>
    <t>MOVILIZADORA EXPRESS DE COLOMBIA S.A.S</t>
  </si>
  <si>
    <t>ESPROCONS SAS</t>
  </si>
  <si>
    <t>CONDIMENTOS DOÑA ROSA LTDA</t>
  </si>
  <si>
    <t>VULTRANS TEAM SAS</t>
  </si>
  <si>
    <t>TRANSPORTES THM SAS</t>
  </si>
  <si>
    <t>IGLESIA MINISTERIOS FAMILIARES LLUVIA DE BENDICIONES</t>
  </si>
  <si>
    <t xml:space="preserve">IPSEU  BIOMEDICS </t>
  </si>
  <si>
    <t>ALL HEAVY TRANSPORT</t>
  </si>
  <si>
    <t>COMERCIALIZADORA AGROINDUSTRIAL COLOMBIANA S.A.S.</t>
  </si>
  <si>
    <t>NUEVA EMPRESA PROMOTORA DE SALUD EPS S.A.</t>
  </si>
  <si>
    <t>OPERACION Y GESTION INTEGRAL SAS</t>
  </si>
  <si>
    <t>PARROQUIA DEL SEÑOR DE LA MISERICORDIA</t>
  </si>
  <si>
    <t>IMPLEMENTAR CONSTRUCTORA SAS</t>
  </si>
  <si>
    <t>FESA SERVICIOS SAS</t>
  </si>
  <si>
    <t>HEALTHY AMERICA COLOMBIA SAS</t>
  </si>
  <si>
    <t>EMACOL LTDA</t>
  </si>
  <si>
    <t>FUNDACION INTERNACIONAL PARA EL DESARROLLO YLA EQUIDAD SOCIAL</t>
  </si>
  <si>
    <t>UNIREPUESTOS DL LIMITADA</t>
  </si>
  <si>
    <t>EXTREM MARKETING SAS</t>
  </si>
  <si>
    <t>A.B.S.INVERSIONES LTDA</t>
  </si>
  <si>
    <t>IGLESIA DE LOS SANTOS DE LOS ULTIMOS DIAS</t>
  </si>
  <si>
    <t>INGENIERIA Y AGROCIENCIAS CONSULTORES</t>
  </si>
  <si>
    <t>SERVILAPERLA OCE SAS</t>
  </si>
  <si>
    <t>COOTRANSMINEMONJAS</t>
  </si>
  <si>
    <t>KADIKA CONSULTING LTDA</t>
  </si>
  <si>
    <t>GARES</t>
  </si>
  <si>
    <t>MINERALES LA LUZ SAS</t>
  </si>
  <si>
    <t>RECREATIVOS INSUBER LTDA</t>
  </si>
  <si>
    <t>SAS BIC  BALKRAN INC</t>
  </si>
  <si>
    <t>CARBONES LA RIVERA</t>
  </si>
  <si>
    <t xml:space="preserve">SAS  DICARGA </t>
  </si>
  <si>
    <t>FEDERACION DE COLEGIOS CATOLICOS DE DUITAMA</t>
  </si>
  <si>
    <t>CONSTRUCTORA MONTE AZUL</t>
  </si>
  <si>
    <t>CONJUNTO SORRENTO</t>
  </si>
  <si>
    <t>GESTION INTEGRAL DE SERVICIOS Y PRODUCTOS INDUSTRIALES SAS</t>
  </si>
  <si>
    <t>INDUSTRIAS CONSTRUCCIONES CIVILES Y ESTRUCTURAS METALMECANICAS S.A.S</t>
  </si>
  <si>
    <t>COMINORTE LTDA</t>
  </si>
  <si>
    <t>CRCCONDUSALUD SAS</t>
  </si>
  <si>
    <t>TECNIVIERA LTDA</t>
  </si>
  <si>
    <t>TECNIFIBRAS BOYACA LTDA</t>
  </si>
  <si>
    <t>ECO7 396 SAS</t>
  </si>
  <si>
    <t>MONASTERIO DE LA ORDEN DE LA VISITACION DE SANTA MARIA</t>
  </si>
  <si>
    <t>B Y D MULTIPROYECTOS SAS</t>
  </si>
  <si>
    <t>SOCIEDAD DE SERVICIOS LOS HEROES SA</t>
  </si>
  <si>
    <t>ASESORIAS JURIDICAS TOBO CORREA SAS</t>
  </si>
  <si>
    <t>CORSEING SAS</t>
  </si>
  <si>
    <t>FUNDACION FAMILIA CANGURO</t>
  </si>
  <si>
    <t>SOCIEDAD DE ECONOMIA MIXTA TERMINAL DE PASAJEROS DE DUITAMA SA</t>
  </si>
  <si>
    <t>COY SALAMANCA LIMITADA</t>
  </si>
  <si>
    <t>COMERCIALIZADORA BOYACENSE RYG LTDA</t>
  </si>
  <si>
    <t>UNILIMPIA SAS</t>
  </si>
  <si>
    <t>PEPCOMERCIO SAS</t>
  </si>
  <si>
    <t>SUELOPETROL CA</t>
  </si>
  <si>
    <t>ASOCIACION CENTRO DE ESTUDIOS ING ELECTROMECANICA</t>
  </si>
  <si>
    <t xml:space="preserve">PLASTIDENTSAS </t>
  </si>
  <si>
    <t>E&amp;V INGENIERIA S.A.S.</t>
  </si>
  <si>
    <t>SAS  CONCORDE MARKETING</t>
  </si>
  <si>
    <t>CENTRAL DE ABASTOS</t>
  </si>
  <si>
    <t>INST. TECNICO INDUSTRIAL RAFAEL REYES</t>
  </si>
  <si>
    <t>ELEMECANIC SAS</t>
  </si>
  <si>
    <t>COMERCIAL NUTRESA S.A.S</t>
  </si>
  <si>
    <t>EPV CONSULTORES EMPRESARIALES SAS</t>
  </si>
  <si>
    <t>INTERCLINICA AVA SAS JUAN</t>
  </si>
  <si>
    <t>COOPERATIVA DE TRABAJO ASOCIADO MAXIPORTERIAS Y AS</t>
  </si>
  <si>
    <t>TOBOS</t>
  </si>
  <si>
    <t>CENTRO CIAL Y DE OFICINAS INNOVO PLAZA</t>
  </si>
  <si>
    <t>COORPORACION Y ARTE CULTURA</t>
  </si>
  <si>
    <t>INDUSTRIAS CARDENAS FIRE SAS</t>
  </si>
  <si>
    <t>REFRASING S.A.S.</t>
  </si>
  <si>
    <t>CECOLSEV SAS</t>
  </si>
  <si>
    <t>INVERSIONES LIXIM SAS</t>
  </si>
  <si>
    <t>SALUD VITAL INTEGRAL</t>
  </si>
  <si>
    <t>COMERCIALIZADORA MGS SION SAS SION MGS SAS</t>
  </si>
  <si>
    <t>LEGAL COLOMBIA LTDA</t>
  </si>
  <si>
    <t>mbls trucks de colombia</t>
  </si>
  <si>
    <t>COMERCIALIZADORA DISTRILLANTAS</t>
  </si>
  <si>
    <t>PROPIEDAD HORIZONTAL EDIFICIO ROYAL CENTER</t>
  </si>
  <si>
    <t>MANOS UNIDAS FUNDACION SOMOS</t>
  </si>
  <si>
    <t>DIMAP BOYACA S A S</t>
  </si>
  <si>
    <t>AVANZAR S.A.S.</t>
  </si>
  <si>
    <t>COMPAÑÍA DE MONTAJES DISEÑO Y CONSTRUCCION SAS</t>
  </si>
  <si>
    <t>ORGANIZACION DE AGENCIAS TRANSPORTES Y EVENTOS S A S</t>
  </si>
  <si>
    <t>DISTRIBUIDORA FERREACEROS S.A.S.</t>
  </si>
  <si>
    <t>ALBA LUZ GONZALEZ SAS</t>
  </si>
  <si>
    <t xml:space="preserve">SEI SAS  PROYECTOS </t>
  </si>
  <si>
    <t>ROBLEDALES PARQUE RESIDENCIAL PH</t>
  </si>
  <si>
    <t>AUTOBUSES MUISCA S.A.S</t>
  </si>
  <si>
    <t>INVERSIONES METROLLANTAS SAS</t>
  </si>
  <si>
    <t>FONDO DE EMPLEADOS COMPAÑIA ELECTRICA DE SOCHAGOTA</t>
  </si>
  <si>
    <t>PLANTA DE FERTILIZANTES Y DIATOMEAS SAS</t>
  </si>
  <si>
    <t>CONSTRUCCIONES EFICIENTES SAS</t>
  </si>
  <si>
    <t>TRACTO</t>
  </si>
  <si>
    <t>INVERSIONES CARBONES DEL ORIENTE EN CS</t>
  </si>
  <si>
    <t>SINTRACES</t>
  </si>
  <si>
    <t>PROYECTOS AGROAMBIENTALES  TERRANOVA</t>
  </si>
  <si>
    <t>ANBAR TOOLS</t>
  </si>
  <si>
    <t>TECNICRANE LTDA</t>
  </si>
  <si>
    <t>LLANTAS NARIÑO SAS</t>
  </si>
  <si>
    <t xml:space="preserve">DUITAMA  CLINICOS IPS </t>
  </si>
  <si>
    <t>ARMES INVERSIONES SAS INVERSIONES SAS</t>
  </si>
  <si>
    <t>TANQUES Y SERVICIOS DEL CASANARE SAS</t>
  </si>
  <si>
    <t>GRUPO PAMER SAS</t>
  </si>
  <si>
    <t>PRODUCTOS COMESTIBLES  TOLIBOY S.A.S</t>
  </si>
  <si>
    <t>TRANSCARGA PP SAS</t>
  </si>
  <si>
    <t>SOCIEDAD OPERADORA LA PRIMAVERA S A S</t>
  </si>
  <si>
    <t>CLUB DEPORTIVO COLEGIO CAMPESTRE SAN DIEGO</t>
  </si>
  <si>
    <t>CODIMSA SAS</t>
  </si>
  <si>
    <t>ESPERTA IPE SAS</t>
  </si>
  <si>
    <t>BANANERA DUITAMA SAS</t>
  </si>
  <si>
    <t>ARFESEG SAS</t>
  </si>
  <si>
    <t>DEJA-MU SUBACHOQUE SAS</t>
  </si>
  <si>
    <t>UNION LOGISTICA DE COLOMBIA</t>
  </si>
  <si>
    <t>EDIFICIO YARMUK MEDICAL CENTER PROPIEDAD HORIZONTAL</t>
  </si>
  <si>
    <t>SERVICIOS AGROPECUARIOS Y AMBIENTALES DAVID SAS</t>
  </si>
  <si>
    <t>COLOMBIA MAS TV</t>
  </si>
  <si>
    <t>PULIDO Y OTALORA S.A.S</t>
  </si>
  <si>
    <t>TSP TRUCK STORE &amp; PARTS</t>
  </si>
  <si>
    <t>TTC &amp; C SAS</t>
  </si>
  <si>
    <t>ALUMBOY DISTRIBUCIONES SAS</t>
  </si>
  <si>
    <t>INVERSIONES NEW ORLEANS INTERNATIONAL S.A.S</t>
  </si>
  <si>
    <t>HC INGENIERIA Y MONTAJES</t>
  </si>
  <si>
    <t>NUTRIR AGENTE COMERCIAL S.A.S.-BIC</t>
  </si>
  <si>
    <t>IT CERTIFICA</t>
  </si>
  <si>
    <t>IGLESIA CENTRO DE FE Y ESPERANZA</t>
  </si>
  <si>
    <t>CENTRO DE CONVENCIONES Y CAPACITACION CASILDA ZAFRA PROMOTORES DE CULTURA Y TURISMO S.A.S</t>
  </si>
  <si>
    <t>R &amp; M SEGUROS Y SERVICIOS S.A.S.</t>
  </si>
  <si>
    <t>RAP CARBON Y SEGURIDADMINERA SAS</t>
  </si>
  <si>
    <t>VITEM SAS</t>
  </si>
  <si>
    <t>SGC CRANES SAS</t>
  </si>
  <si>
    <t>MATEUS FUQUEN ASOCIADOS SAS</t>
  </si>
  <si>
    <t>INDUSTRIAS ALIMENTICIAS PRONAVID</t>
  </si>
  <si>
    <t>OPERADORES DE TRANSPORTE RUBI SAS</t>
  </si>
  <si>
    <t>MTRLUFER SAS</t>
  </si>
  <si>
    <t>CEMI CNC SAS</t>
  </si>
  <si>
    <t>FUNDACION DESPERTAR LOS SONIDOS DEL CORAZON</t>
  </si>
  <si>
    <t>COMERCIALIZADORA DE CARBONES Y MINERALES S&amp;R SAS</t>
  </si>
  <si>
    <t>ALTAID S.A.S</t>
  </si>
  <si>
    <t>INGELPARRA SOCIEDAD POR ACCIONES SIMPLIFICADAS</t>
  </si>
  <si>
    <t>CONSYCON SAS</t>
  </si>
  <si>
    <t>FUMIGACIONES EL TRIUNFO CAR</t>
  </si>
  <si>
    <t>SEMINARIO MAYOR SALVATORE MUNDI DIOCESIS DUITAMA</t>
  </si>
  <si>
    <t>INVERVET PEREZ VARGAS</t>
  </si>
  <si>
    <t>SEMAL SAS</t>
  </si>
  <si>
    <t xml:space="preserve">SAS  BERCALL INGENIERIA </t>
  </si>
  <si>
    <t>IMPORTADORA EL PUNTO DEL ARTE</t>
  </si>
  <si>
    <t>JERSALUD SAS</t>
  </si>
  <si>
    <t>KIRON SERVICIOS VETERINARIOS</t>
  </si>
  <si>
    <t>ESTACIONES INNOVADORAS S.A.S</t>
  </si>
  <si>
    <t>GRUPO CORINTO</t>
  </si>
  <si>
    <t>DE NEGOCIOS BANCO SANTANDER</t>
  </si>
  <si>
    <t>CONJUNTO RESIDENCIAL BALCONES DE VILLA AURORA</t>
  </si>
  <si>
    <t>FLORIDABLANCA DE COLOMBIA S.A.S TRASPORTE DE CARGA</t>
  </si>
  <si>
    <t>OCPM INGENIERIA SAS</t>
  </si>
  <si>
    <t>CONSTRUCTORA CONSTRUDISEÑO SAS</t>
  </si>
  <si>
    <t>AGROINSUMOS PREMIUN PLANTS SAS</t>
  </si>
  <si>
    <t>C.S.I. TALLEREZ SALAZAR SAS</t>
  </si>
  <si>
    <t>CONJUNTO TORRES DE INNOVO</t>
  </si>
  <si>
    <t>COMPAÑIA MULTISECTORIAL DE SERVICIOS EMPRESARIALES</t>
  </si>
  <si>
    <t>EDIF. MULTIFAMILIAR Y COMERCIAL BALCONES DE LAS AMERICAS PROPIEDAD HORIZONTAL</t>
  </si>
  <si>
    <t>CONSTRUCTORA ORIZZONTE S.A.S</t>
  </si>
  <si>
    <t>CONSTRUCSAF S.A.S.</t>
  </si>
  <si>
    <t>LABS. TRANSPORTE DE CARGA SAS</t>
  </si>
  <si>
    <t>ASOFRUCHIC</t>
  </si>
  <si>
    <t>MADERAS Y TRANSPORTES CAMARGO GALLO SOCIEDAD POR ACCIONES SIMPLIFICADAS</t>
  </si>
  <si>
    <t>RUIZ&amp;GUZMAN SAS</t>
  </si>
  <si>
    <t>CEMCO DE COLOMBIA S.A.S.</t>
  </si>
  <si>
    <t>FINANCIERA JURISCOOP</t>
  </si>
  <si>
    <t>financieros y cjn asesores</t>
  </si>
  <si>
    <t>SOGATRANS SOLUCIONES Y SERVICIOS  EMORESA</t>
  </si>
  <si>
    <t>TALENTO Y EFECTIVIDAD SAS</t>
  </si>
  <si>
    <t>FUNDACION SOÑANDO</t>
  </si>
  <si>
    <t>ORIENTAL DE PARTES</t>
  </si>
  <si>
    <t>H R EQUIPOS PARA CONSTRUCION</t>
  </si>
  <si>
    <t>OLC ASESORES C&amp;C LTDA</t>
  </si>
  <si>
    <t>GRUPO INVERSIONES SAAVEDRA</t>
  </si>
  <si>
    <t>TRACTOLUJOS TAMAYO SOCIEDAD POR ACCIONES SIMPLIFICADA</t>
  </si>
  <si>
    <t>ROCA SEGUROS LTDA</t>
  </si>
  <si>
    <t>SANTA CECILIA FLOWER S A S</t>
  </si>
  <si>
    <t>IGLESIA ASAMBLEA DE DIOS VIDA Y RESTAURACION</t>
  </si>
  <si>
    <t>FUNDACION MAS MANOS DE AMOR Y SOLIDARIDAD</t>
  </si>
  <si>
    <t xml:space="preserve">SAS  UNI2 MICROCREDITO SAS </t>
  </si>
  <si>
    <t>TRANSPORTES LA COLINA</t>
  </si>
  <si>
    <t xml:space="preserve">ASPROLEVAC  ASOCIACION DE  PRODUCTORES DE LECHE DEL VALLE CUCHE </t>
  </si>
  <si>
    <t>INVERSIONES SHAW GARCIA SAS</t>
  </si>
  <si>
    <t>COMBISEN S.A.S.</t>
  </si>
  <si>
    <t>SOLUCARBONES SAS</t>
  </si>
  <si>
    <t>MPJ INGENIERIA SAS</t>
  </si>
  <si>
    <t>GRUPO INGSAT SAS</t>
  </si>
  <si>
    <t>SOCIEDAD DE GESTION Y ASESORIA MINER</t>
  </si>
  <si>
    <t>TRACTOFLOREZ SOCIEDAD POR ACCIONES SIMPLIFICADAS</t>
  </si>
  <si>
    <t>SERVICIOS TOPOGRAFICOS PROFECIONALES</t>
  </si>
  <si>
    <t>CONJUNTO RESIDENCIAL TORRES DEL KARGUA</t>
  </si>
  <si>
    <t>CRC MEDIC DUITAMA IPS SAS</t>
  </si>
  <si>
    <t>SALITRE DE ORO SAS</t>
  </si>
  <si>
    <t>JUAN CARLOS PEREIRA S.A.S</t>
  </si>
  <si>
    <t>CUERPO DE BOMBEROS VOLUNTARIOS DE TIBASOSA</t>
  </si>
  <si>
    <t>S A OTEP INVERSIONES</t>
  </si>
  <si>
    <t>TRANSPORTE AMAYA</t>
  </si>
  <si>
    <t>CULTIVO LIMA SAS</t>
  </si>
  <si>
    <t>C.A.E.T.RA</t>
  </si>
  <si>
    <t>VA VITROALUM SAS</t>
  </si>
  <si>
    <t>FUNDACION CREANDO PROGRESO</t>
  </si>
  <si>
    <t>MINUTRICION SAS</t>
  </si>
  <si>
    <t>PROSPERITAS SAS</t>
  </si>
  <si>
    <t>COMPLEJO TURISTICO PUNTALARGA</t>
  </si>
  <si>
    <t>INVERSIONES AUTOSERVICIO SU AMIGO  SAS</t>
  </si>
  <si>
    <t>L&amp;A COMERCIAL S.A.S.</t>
  </si>
  <si>
    <t>ENSOTEC INGENIERIA SAS</t>
  </si>
  <si>
    <t>DICEMCOL SAS</t>
  </si>
  <si>
    <t>consultorio y soluciones integrales</t>
  </si>
  <si>
    <t>INDUSTRIAS ALIMENTICIAS ENRIPAN S.A.S.</t>
  </si>
  <si>
    <t>JYR SERVICES SAS</t>
  </si>
  <si>
    <t>INVERSIONES EN PROYECTOS Y SOLUCIONES</t>
  </si>
  <si>
    <t>INDUSTRIA ALIMENTICIA TRICONDOR SAS</t>
  </si>
  <si>
    <t>AMABE</t>
  </si>
  <si>
    <t>EL BODEGON</t>
  </si>
  <si>
    <t>RANDOM MONKEY</t>
  </si>
  <si>
    <t>SC LUBRICANTES</t>
  </si>
  <si>
    <t xml:space="preserve">S.A.S  INCORDIS </t>
  </si>
  <si>
    <t>TORNIMEC S.A.S</t>
  </si>
  <si>
    <t>SERVICIOS HOTELEROS MILAN SAS</t>
  </si>
  <si>
    <t>AMBITEC SAS</t>
  </si>
  <si>
    <t>CEA WILLIAMS</t>
  </si>
  <si>
    <t>ORIENTE COLOMBIANO GASES DEL</t>
  </si>
  <si>
    <t>CORPORACION BIOREGION</t>
  </si>
  <si>
    <t>K B HOLDINGS SAS</t>
  </si>
  <si>
    <t>MANNA SOLUCIONES SAS</t>
  </si>
  <si>
    <t>FONDOS DE EMPLEADOS DE SERVICIOS PUBLICO TAX PAIPA S.A</t>
  </si>
  <si>
    <t>CONJUNTO MULTIFAMILIAR Y COMERCIAL TORRES DE MARSELLA</t>
  </si>
  <si>
    <t>ISOINTEC INGENIERIA INTEGRAL SAS</t>
  </si>
  <si>
    <t>MEGAMARKET GSA SOCIEDAD POR ACCIONES SIMPLIFICADA</t>
  </si>
  <si>
    <t>FABRICACIONES Y SERVICIOS METALMECANICOS SAS</t>
  </si>
  <si>
    <t>CONJUNTO RESIDENCIAL COLINA REAL ALAMOS</t>
  </si>
  <si>
    <t>MULTISERVICIOS VILLA DEL ROSARIO SAS</t>
  </si>
  <si>
    <t>COMBUSTIBLES Y MINERALES SAS</t>
  </si>
  <si>
    <t>DIAGNOSMART</t>
  </si>
  <si>
    <t>VM PRODUCTION SAS</t>
  </si>
  <si>
    <t>SOLAACOL SAS</t>
  </si>
  <si>
    <t>CSM SOLUCIONES S.A.S</t>
  </si>
  <si>
    <t>REFRATECHNIK COLOMBIA SAS</t>
  </si>
  <si>
    <t>FUNDACION CREAMOS COLOMBIA</t>
  </si>
  <si>
    <t>FABRICAJAS COMPANI  SAS</t>
  </si>
  <si>
    <t>CALULA SAS</t>
  </si>
  <si>
    <t>ORGANIZACION CASA FUNERARIA LA ETERNIDAD SAS</t>
  </si>
  <si>
    <t>EQUIPOS PESADOS Y MULTISERVICIOS</t>
  </si>
  <si>
    <t xml:space="preserve">METALICAS FABRIMET SAS INDUSTRIAS </t>
  </si>
  <si>
    <t>ILUMINACION .CO SAS</t>
  </si>
  <si>
    <t>CORPORACION ESPIRITU DE BOYACA</t>
  </si>
  <si>
    <t>TUNSALUD IPS SAS IPS SAS</t>
  </si>
  <si>
    <t>CFERET SAS</t>
  </si>
  <si>
    <t>LUNA IPS SAS</t>
  </si>
  <si>
    <t>CONJUNTO RESIDENCIAL ATALYA</t>
  </si>
  <si>
    <t>SAS</t>
  </si>
  <si>
    <t>TNC SOLUCIONES</t>
  </si>
  <si>
    <t>MEGAMARKET FWR S.A.S.</t>
  </si>
  <si>
    <t>E Y F COMERCIALIZADORA SAS</t>
  </si>
  <si>
    <t>CONSTRUCTORA ARTEPCO SAS</t>
  </si>
  <si>
    <t>FUNSEMILLAS</t>
  </si>
  <si>
    <t>HLF HOTELES LA FLORESTA</t>
  </si>
  <si>
    <t>TAG CONSULTORES</t>
  </si>
  <si>
    <t>CONJUNTO RESIDENCIAL ROBLEDALES II</t>
  </si>
  <si>
    <t>G5 SOLUCIONES SAS</t>
  </si>
  <si>
    <t>ESPINO SAS</t>
  </si>
  <si>
    <t>CORPORACIÓN PARA EL  DESARROLLO SOC</t>
  </si>
  <si>
    <t>DIMERCAS</t>
  </si>
  <si>
    <t>DISMETSSL SAS</t>
  </si>
  <si>
    <t>PRAC OBRAS DE INGENIERIA SAS</t>
  </si>
  <si>
    <t>ESI PRESERAGROP S.A.S.</t>
  </si>
  <si>
    <t>SALAMANCA CAICEDO SAS</t>
  </si>
  <si>
    <t>H&amp;R ENERGY S.A.S</t>
  </si>
  <si>
    <t>AGROSERVICIOS EL MANA SAS</t>
  </si>
  <si>
    <t>CONTRUCTORA SIGMAR SAS</t>
  </si>
  <si>
    <t>JEZA SOLUCIONES EMPRESARIALES S.A.S</t>
  </si>
  <si>
    <t>INVERSIONES MONTE AVE SAS</t>
  </si>
  <si>
    <t>CONJUNTO RESIDENCIAL ALTOS DEL TUNDAMA</t>
  </si>
  <si>
    <t>DTIS INGENIERIA SAS</t>
  </si>
  <si>
    <t>SERVITRONIC INGENIERIA SAS</t>
  </si>
  <si>
    <t xml:space="preserve">NO  SYSTEMTICS </t>
  </si>
  <si>
    <t>CASA SPLINTER</t>
  </si>
  <si>
    <t>ATABAMZA</t>
  </si>
  <si>
    <t>DISTRIAGROS</t>
  </si>
  <si>
    <t>MEGAMARKET TIBASOSA SAS</t>
  </si>
  <si>
    <t>CEINCAR SAS</t>
  </si>
  <si>
    <t>ASOLAGUNA</t>
  </si>
  <si>
    <t>KYJ CONTADORES SAS</t>
  </si>
  <si>
    <t>FUNDACION PARA LA PROSPERIDAD Y DESARROLLO DEL CAMPO</t>
  </si>
  <si>
    <t>SOLUCIONES ARQUITECTONICAS G Y G SAS</t>
  </si>
  <si>
    <t>CENTRO DE DIAGNOSTICO AUTOMOTOR MOTOCENTRO SAS</t>
  </si>
  <si>
    <t>EDIFICIO MEJIA PH</t>
  </si>
  <si>
    <t>SOLUCIONES Y SERVICIOSDE CARGA</t>
  </si>
  <si>
    <t>1SETASFRESH SAS</t>
  </si>
  <si>
    <t>RENOVAUTOS MULTISERVICIOS SAS</t>
  </si>
  <si>
    <t>TRASOL SAS</t>
  </si>
  <si>
    <t>EDIFICIO ZENITH PROPIEDAD HORIZONTAL</t>
  </si>
  <si>
    <t>CONJUNTO RESERVAS DE ALAMEDA</t>
  </si>
  <si>
    <t>HOTEL NIVARI DUITAMA</t>
  </si>
  <si>
    <t>INDUSTRIAS DISMADEKOR</t>
  </si>
  <si>
    <t>INGELYMEC SAS</t>
  </si>
  <si>
    <t>OPERADORA MINERA INGERCARBONES SAS</t>
  </si>
  <si>
    <t>EDIFICIO LAS MERCEDES</t>
  </si>
  <si>
    <t>AUTOS Y CAMIONES DE BOYACA S.A.S.</t>
  </si>
  <si>
    <t>SANDOVALSAS</t>
  </si>
  <si>
    <t>RAFATRANS S.A.S</t>
  </si>
  <si>
    <t>INVERSIONES ALIMENTICIAS SANTANA SAS</t>
  </si>
  <si>
    <t>MARMON SAS</t>
  </si>
  <si>
    <t>JERANSA GROUP SAS</t>
  </si>
  <si>
    <t>RUTA I &amp; M SAS</t>
  </si>
  <si>
    <t>CUERPO DE BOMBEROS VOLUNTARIOS DE BETEITIVA .</t>
  </si>
  <si>
    <t>CORTILINE SAS</t>
  </si>
  <si>
    <t>DISTRIBUIDORA SAMEL SAS</t>
  </si>
  <si>
    <t>ingenieriadeproyectos</t>
  </si>
  <si>
    <t>SAVNE SAS</t>
  </si>
  <si>
    <t xml:space="preserve">SAS  PROVEMALLAS SAS </t>
  </si>
  <si>
    <t xml:space="preserve">SERVICIOS INTEGRALES  SOLUCIONES </t>
  </si>
  <si>
    <t>EDIFICIO MARIA FERNANDA</t>
  </si>
  <si>
    <t>DISTRIBUIDORA JOTAS PRINT SAS</t>
  </si>
  <si>
    <t>MAXIBOY SAS</t>
  </si>
  <si>
    <t>DISTRIPARTES MORENO SAS</t>
  </si>
  <si>
    <t>CORPORACION PARA EL PROCESO AMBIENTAL</t>
  </si>
  <si>
    <t>CARBOZARZAL SOCIEDAD POR ACCIONES SIMPLIFICADA</t>
  </si>
  <si>
    <t>MEGAMARKET SC SAS</t>
  </si>
  <si>
    <t>VALDEZ INGENIERIA</t>
  </si>
  <si>
    <t>NOBRAC Y MINERALES S.A.S</t>
  </si>
  <si>
    <t>EDIFICIO MULTIFAMILIAR BELMONTE</t>
  </si>
  <si>
    <t>GRUPO LUZ Y FUERZA COLOMBIA S.A.S</t>
  </si>
  <si>
    <t>NOBRAC Y MINERALES</t>
  </si>
  <si>
    <t>COMERCIALIZADORA GRANLAGO DEL CRUCERO S.A.S</t>
  </si>
  <si>
    <t xml:space="preserve">IPS  REINA MARIA </t>
  </si>
  <si>
    <t>SECLAYU SAS</t>
  </si>
  <si>
    <t>MINAS EL ALTICO SAS</t>
  </si>
  <si>
    <t>GLOBBERRY</t>
  </si>
  <si>
    <t>CONFIA SDC SAS</t>
  </si>
  <si>
    <t>SB CONSULTING SAS</t>
  </si>
  <si>
    <t>CONAIRE PUBLICIDAD SAS</t>
  </si>
  <si>
    <t>COMSUSER SAS</t>
  </si>
  <si>
    <t>CERTIGRUAS Y SERVICIOS SAS</t>
  </si>
  <si>
    <t>KAPITTAL IUS SAS</t>
  </si>
  <si>
    <t>PRODUCTOS LOS LANCEROS SAS</t>
  </si>
  <si>
    <t>EDIFICIO ALKARMEL</t>
  </si>
  <si>
    <t>PARRA ISAZA GRUPO INVERSIONISTA SAS</t>
  </si>
  <si>
    <t>MULTIFAMILIAR DALI</t>
  </si>
  <si>
    <t>ZIX COLOMBIA SAS COLOMBIA SAS</t>
  </si>
  <si>
    <t>COINTESA SAS</t>
  </si>
  <si>
    <t>HOGAR GERIATRICO TUNDAMA SAS</t>
  </si>
  <si>
    <t>IMED OIL SAS</t>
  </si>
  <si>
    <t>TOSTACAFE SAS</t>
  </si>
  <si>
    <t>SERINTASSAS</t>
  </si>
  <si>
    <t>ELITE BLU SAS</t>
  </si>
  <si>
    <t>SANTA ROSA AGROINDUSTRIAL S.A.S</t>
  </si>
  <si>
    <t>CORPORACION ARTISTICA Y SOCIAL SKENE</t>
  </si>
  <si>
    <t>BECERRA SOSA &amp; ASOCIADOS S.A.S - ZOMAC</t>
  </si>
  <si>
    <t>PUERTOMAR ZOMAC SAS</t>
  </si>
  <si>
    <t>BECERRA DIAZ &amp; ASOCIADOS SAS-ZOMAC</t>
  </si>
  <si>
    <t>CAMARGO ADAME INVERCIONES SAS SOMAC</t>
  </si>
  <si>
    <t>SERPRO BOYACA JL SAS</t>
  </si>
  <si>
    <t>INQUBO SAS</t>
  </si>
  <si>
    <t>GRUPO EFI SAS</t>
  </si>
  <si>
    <t>LABORATORIO ELECTRONIC DIESEL &amp; TURBO S.A.S</t>
  </si>
  <si>
    <t xml:space="preserve">SAN LORENZO  VIDRIOS </t>
  </si>
  <si>
    <t>CENTRIC INGENIERIA SAS</t>
  </si>
  <si>
    <t>JAL CONSTRUCCIONES Y REMODELCIONES SAS</t>
  </si>
  <si>
    <t>SOLUCIONES HIDRAULICA Y EQUIPOS DE TRANSPORTE SAS</t>
  </si>
  <si>
    <t>OPERADORES DE SERVICIOS HOTELEROS SAS</t>
  </si>
  <si>
    <t>CARELI C&amp;P SAS</t>
  </si>
  <si>
    <t>ZERO ESTRES SPA SAS</t>
  </si>
  <si>
    <t>ELECPACSAS</t>
  </si>
  <si>
    <t>GRUPO VALUE SAS</t>
  </si>
  <si>
    <t>FREDY MOGOLLON INGENIERIA SAS</t>
  </si>
  <si>
    <t>SUMINISTROS JHON PINEDA SAS TRANSPORTES Y</t>
  </si>
  <si>
    <t>CORPORACION GRAN FONDO BOYACA MUNDIAL</t>
  </si>
  <si>
    <t>BUGANBILES  CONJUNTO RESIDENCIAL</t>
  </si>
  <si>
    <t>INVERSIONES BELSAN S.A.S</t>
  </si>
  <si>
    <t xml:space="preserve">SAS  AGROPECUARIA Y AVICOLA AVIGAN </t>
  </si>
  <si>
    <t>GONZALEZ Y CIA MINERALES SAS</t>
  </si>
  <si>
    <t>MARTHA VARGAS ASESORES DE SEGUROS LIMITADA</t>
  </si>
  <si>
    <t>METSAP</t>
  </si>
  <si>
    <t>TRANSTORRES</t>
  </si>
  <si>
    <t>TRANSPORTES INVERSIONES ARCA</t>
  </si>
  <si>
    <t>CETRANS SAS</t>
  </si>
  <si>
    <t>INVERSIONES RODHER S.A.S</t>
  </si>
  <si>
    <t>TRENTO CONSTRUCIONES SAS</t>
  </si>
  <si>
    <t>COCINAS NUEVAS TENDENCIAS SAS</t>
  </si>
  <si>
    <t>CELUBELL BYP SAS</t>
  </si>
  <si>
    <t xml:space="preserve">MEDICA  INGENERIA </t>
  </si>
  <si>
    <t>SYS SERVICE</t>
  </si>
  <si>
    <t>DORADO AHC DISTRIBUCIONES S.A.S</t>
  </si>
  <si>
    <t>DISAL INGENIERIA SAS</t>
  </si>
  <si>
    <t>CONJUNTO RESIDENCIAL CASA BLANCA</t>
  </si>
  <si>
    <t>CONSTRUCTORA LPC SAS</t>
  </si>
  <si>
    <t>TRANSPORTES F Y R S A S</t>
  </si>
  <si>
    <t xml:space="preserve">CUNDINAMARCA  COMERCIALIZADORA A&amp;L S.A.S ZOMAC </t>
  </si>
  <si>
    <t>INDUSTRIAS, SOLDADURAS, MANTENIMIENTO ESPECIALIZADO VARGAS SOCIEDAD POR ACCIONES SAMPLIFICADA</t>
  </si>
  <si>
    <t>LOGISTIKOS CASS</t>
  </si>
  <si>
    <t>ELECTROIND NM SAS</t>
  </si>
  <si>
    <t xml:space="preserve">SOLUTION SAS DIMOTIK </t>
  </si>
  <si>
    <t>THE BURGER BISTRO S.A.S</t>
  </si>
  <si>
    <t>COLEGIO CAMPESTRE SAN DIEGO</t>
  </si>
  <si>
    <t>ALISTACONCORDE SAS</t>
  </si>
  <si>
    <t>EDIFICIO SANTA MONIKA PROPIEDAD HORIZONTAL</t>
  </si>
  <si>
    <t>RIBER COAL SA</t>
  </si>
  <si>
    <t>COMPAÑÍA CONSTRUCTORS Y COMERCIALIZADORA SAS</t>
  </si>
  <si>
    <t>FUNDACION CULTURAL MANOS EN ACCION POR COLOMBIA</t>
  </si>
  <si>
    <t>EST SERITEMPORALES SAS</t>
  </si>
  <si>
    <t>MOLINO SAN JOSE INDUSTRIA MOLINERA SAS</t>
  </si>
  <si>
    <t>CORPORACION INGENERIA ECONOMIA Y MEDIO AMBIENTE</t>
  </si>
  <si>
    <t>DIESEL S.A.S LABORATORIO GENERACION</t>
  </si>
  <si>
    <t>MEGAMARKETS NOBSA SAS</t>
  </si>
  <si>
    <t>COMERCIALIZADORA LA VIÑA BOYACA SAS</t>
  </si>
  <si>
    <t>SILUBMAQ SAS</t>
  </si>
  <si>
    <t>INDUSTRIAS MINEMA SAS</t>
  </si>
  <si>
    <t>F.M.EQUIPOS Y CONSTRUCCIONES S.A.S</t>
  </si>
  <si>
    <t>CARBOTRANSPORTE SAS</t>
  </si>
  <si>
    <t>PACKSA SAS</t>
  </si>
  <si>
    <t>GESTION INGENIERIA Y DESARROLLO SAS</t>
  </si>
  <si>
    <t>E&amp;L SOLUCIONES CONTRUCTIVAS SAS</t>
  </si>
  <si>
    <t>DENDRITAS ACTIVAS LASER SAS</t>
  </si>
  <si>
    <t>GEBO SAS</t>
  </si>
  <si>
    <t>COMERCIALIZADORA MERCATULLANTAS.A.S</t>
  </si>
  <si>
    <t>GRUPO PATCAR S.A.S</t>
  </si>
  <si>
    <t>COMERCIO INTEGRAL&amp;SERVICIOS S.A.S</t>
  </si>
  <si>
    <t>INFRANA SAS</t>
  </si>
  <si>
    <t>INVERSIONES CUBECOL SAS</t>
  </si>
  <si>
    <t>YO SOY FORKLIFT</t>
  </si>
  <si>
    <t>JENZAR SAS</t>
  </si>
  <si>
    <t>COMERCIALIZADORA SERRANO LEATHER SAS</t>
  </si>
  <si>
    <t>CENTUPLES S A S</t>
  </si>
  <si>
    <t>FERRETERIA LOS PINOS</t>
  </si>
  <si>
    <t>PROCESADORA DE LECHE DE BOYACA S.A.S</t>
  </si>
  <si>
    <t>POWER GRID INGENIERIA ELECTRICA SAS</t>
  </si>
  <si>
    <t>EMPRESA JAP SAS</t>
  </si>
  <si>
    <t>CONDOMINIO PARCELACION LOMA TIBIA CASAS DEL CAMPO</t>
  </si>
  <si>
    <t>ANDINA AUTOS SAS</t>
  </si>
  <si>
    <t>PYP SOLUCIONES CIVILES SAS</t>
  </si>
  <si>
    <t>GUSTYTORTAS SAS</t>
  </si>
  <si>
    <t>COLCLEAN JAGAR SAS</t>
  </si>
  <si>
    <t>CENTRO DE DIAGNOSTICO AUTOMOTOR BOYACA MOTOR SAS</t>
  </si>
  <si>
    <t>TALLERES DONDE ALEX</t>
  </si>
  <si>
    <t>EROES S.A.S</t>
  </si>
  <si>
    <t>CHIMAN GLOBAL S.A.S</t>
  </si>
  <si>
    <t>ARWILL TAPIZAUTOS S.A.S</t>
  </si>
  <si>
    <t xml:space="preserve">SAS  SOCIEDAD CARBONERA BYC </t>
  </si>
  <si>
    <t>PROHADMON SAS</t>
  </si>
  <si>
    <t>FELEX DE COLOMBIA</t>
  </si>
  <si>
    <t>TRANSPORTES CORDERO SAS</t>
  </si>
  <si>
    <t>AMPER ELECTRIC SAS</t>
  </si>
  <si>
    <t>AUTOSERVICIO LA DESPENSA FAMILIAR S.A.S</t>
  </si>
  <si>
    <t>SERVISEG TOOLS COMPANY SAS</t>
  </si>
  <si>
    <t>GAMAMOTORS DUITAMA SAS</t>
  </si>
  <si>
    <t>RIO MAR SEA FOOD SAS</t>
  </si>
  <si>
    <t>RANDAR S.A.S</t>
  </si>
  <si>
    <t>HIBOCHE CONSTRUCCIONES SAS</t>
  </si>
  <si>
    <t>MEGAMARKETT SOTAQUIRA S.A.S</t>
  </si>
  <si>
    <t>TRANSCT SAS</t>
  </si>
  <si>
    <t>GOLOSINAS HELADOS Y AMASIJOS BELEN SAS</t>
  </si>
  <si>
    <t>VILLAMILAC SAS</t>
  </si>
  <si>
    <t>TRANSPORTE SEGURO DE CARGA SAS</t>
  </si>
  <si>
    <t xml:space="preserve">NOVA  RICARDO </t>
  </si>
  <si>
    <t>JIAM INGENIERIA SAS</t>
  </si>
  <si>
    <t>TIEMPO DE MERKAR S.A.S.</t>
  </si>
  <si>
    <t>STEEL VITAL SAS</t>
  </si>
  <si>
    <t>VEYTRANS LOGISTICA S.A.S</t>
  </si>
  <si>
    <t>CONSORCIO REACTIVACIONES 2021</t>
  </si>
  <si>
    <t>AA GEMA SAS</t>
  </si>
  <si>
    <t>CRC MEDICAR IPS SAS</t>
  </si>
  <si>
    <t>CEA PRACTICAR DUITAMA</t>
  </si>
  <si>
    <t>MANDALA EDIFICIO RESIDENCIAL</t>
  </si>
  <si>
    <t>DISTRIBUCIONES JIM SAS</t>
  </si>
  <si>
    <t>CONJUNTO ALTOS DE BELLA SUIZA APARTAMENTOS</t>
  </si>
  <si>
    <t>GIMNASIO MODERNO SANTA SOFIA SAS</t>
  </si>
  <si>
    <t>INVERCIONES Y TRASPORTES JAC SAS</t>
  </si>
  <si>
    <t>ingenieria multiservicios</t>
  </si>
  <si>
    <t>RESTAURANTE CARNICOLAS SAS</t>
  </si>
  <si>
    <t>SANTOR INTEGRALES SERVICIOS S.A.S INTEGRALES SERVICIOS S.A.S</t>
  </si>
  <si>
    <t>CIRUDENTAL ADVANCE SAS</t>
  </si>
  <si>
    <t>VACAR CONSTRUCCIONES SAS</t>
  </si>
  <si>
    <t>EDIFICIO MILAN</t>
  </si>
  <si>
    <t>SION INGENIERIA S.A.S</t>
  </si>
  <si>
    <t>INVERSIONES SANNAHB SAS</t>
  </si>
  <si>
    <t>MARCO ANTONIO SANCHEZ SEMILLAS SAS</t>
  </si>
  <si>
    <t>SHM ARQUITECTURA E INGENIERIA SAS</t>
  </si>
  <si>
    <t>BRAFF</t>
  </si>
  <si>
    <t>LADRILLOS L&amp;R S.A.S.</t>
  </si>
  <si>
    <t>CONSTRUCMETAL INGENIERIA SAS</t>
  </si>
  <si>
    <t>INVERSIONES HOSPITALARIAS S.A.S</t>
  </si>
  <si>
    <t>BRATO MINERAL</t>
  </si>
  <si>
    <t>IDEOLOGY HCS SAS</t>
  </si>
  <si>
    <t>farmaceuticos Boyaca sociedad por acciones simplificada</t>
  </si>
  <si>
    <t xml:space="preserve">S.A.S  KBINA </t>
  </si>
  <si>
    <t>BELLEZA PRO</t>
  </si>
  <si>
    <t>LA CABAÑA DYD</t>
  </si>
  <si>
    <t>MULTIFAMILIAR SENDEROS DEL CARMEN</t>
  </si>
  <si>
    <t>CENTRO DE ENSEÑANZA AUTOMOVILISTICA CAPACITAR</t>
  </si>
  <si>
    <t>SERVIGUZMAN</t>
  </si>
  <si>
    <t xml:space="preserve">SAS  SEINTIN </t>
  </si>
  <si>
    <t>CENTRO DE ENSEÑANZA AUTOMOVILISTICA KILOMETROS VITALES DUITAMA S.A.S</t>
  </si>
  <si>
    <t>SECUENCIAL INGENIERIA SAS</t>
  </si>
  <si>
    <t>PRECIADO PATIÑO SURTI REPUESTOS</t>
  </si>
  <si>
    <t>INVERSIONES SAN ANDRES S.A.S.</t>
  </si>
  <si>
    <t>SOLDIMONTAJES MASTER SAS</t>
  </si>
  <si>
    <t>RESTAURANTE BOYACA REAL SAS</t>
  </si>
  <si>
    <t>CEA CONDUMASTER BOYACA</t>
  </si>
  <si>
    <t>INVERSIONES GOMEZ MENDIVELSO SAS</t>
  </si>
  <si>
    <t>INVERSIONES DE CARBONES GONZALEZ SAS</t>
  </si>
  <si>
    <t>PND1996S.A.S</t>
  </si>
  <si>
    <t>FUNDACION POR LA VIDA DICAR</t>
  </si>
  <si>
    <t xml:space="preserve">SAS CONCONEXION GROUP </t>
  </si>
  <si>
    <t>INDUSTRIA METAL MECANICA ORION</t>
  </si>
  <si>
    <t>AGREGADOS YCONSTRUCCIONES MAJES</t>
  </si>
  <si>
    <t>CONSTRUCTORA LGF INGENIERIA SAS</t>
  </si>
  <si>
    <t>MODULO DISEÑO E INTERIORISMO SAS</t>
  </si>
  <si>
    <t>SUPER NICO S.A.S</t>
  </si>
  <si>
    <t>SOLUCIONES COMERCIALES CYT SAS</t>
  </si>
  <si>
    <t xml:space="preserve">PLUS SAS  SERVICIOS INTEGRALES PREMIUM </t>
  </si>
  <si>
    <t>LUBRISERVICIOS DEL NORTE SAS</t>
  </si>
  <si>
    <t>IMPORTAIRE COL SAS</t>
  </si>
  <si>
    <t>SANTA HELENA GSH INVERSIONES</t>
  </si>
  <si>
    <t>CARBOCORSA S.A.S</t>
  </si>
  <si>
    <t>SUMINISTROS GYG SAS</t>
  </si>
  <si>
    <t>DISTRIBUCION Y COMERCIALIZACION SICAR S.A.S</t>
  </si>
  <si>
    <t>CORPORACION RADS COLOMBIA</t>
  </si>
  <si>
    <t>SUBMERCE SAS</t>
  </si>
  <si>
    <t>TRANSPORTES Y LOGISTICA FULL CARGA</t>
  </si>
  <si>
    <t xml:space="preserve">DOTACIONES SAS MINERTEC </t>
  </si>
  <si>
    <t>INVERSIONES  LOGISTICAS FRUANTI</t>
  </si>
  <si>
    <t xml:space="preserve">INTERIORISMO  COCOBA </t>
  </si>
  <si>
    <t>LA VINOTECA DE MARION</t>
  </si>
  <si>
    <t xml:space="preserve">CONSTRUCCIONES  FM SKY </t>
  </si>
  <si>
    <t>CLUB DEPORTIVO TALENTOS COLOMBI</t>
  </si>
  <si>
    <t>GLOBAL COLOMBIA S.A.S</t>
  </si>
  <si>
    <t>TRAC REPUESTOS DALLOS RINCON SAS</t>
  </si>
  <si>
    <t>MUNDIAL DE CAMARAS S A S</t>
  </si>
  <si>
    <t>NUEVO HORIZONTE BOYACA SAS</t>
  </si>
  <si>
    <t>CONSTRUCCIONES GDARIO S.A.S</t>
  </si>
  <si>
    <t>E&amp;F DIESEL TRUCK S.A.S</t>
  </si>
  <si>
    <t>AV GRUPO ASESOR SAS</t>
  </si>
  <si>
    <t xml:space="preserve">MEDINA VILLOTA  SUA SERVICES SAS </t>
  </si>
  <si>
    <t>MECANICA ESPECIALISADA PARA TRATO CAMION MECADISEL</t>
  </si>
  <si>
    <t>ASILTEC PR SAS</t>
  </si>
  <si>
    <t>ALEYPAR S.A.S</t>
  </si>
  <si>
    <t>BYR INGENIERIA Y MANTENIMIENTO SAS</t>
  </si>
  <si>
    <t>JETB S.A.S</t>
  </si>
  <si>
    <t>EPAZ CLEAN SAS</t>
  </si>
  <si>
    <t>INDUSTRIA VIKHENSO SAS</t>
  </si>
  <si>
    <t>PICAFLO S.A.S</t>
  </si>
  <si>
    <t>SIEC SOLUCIONES DE ING SAS</t>
  </si>
  <si>
    <t>EL TALLER DE SANTA RITA</t>
  </si>
  <si>
    <t>GRANJA VICOLA SAN CRISTOBAL</t>
  </si>
  <si>
    <t>EMPRESA CONSTRUCTORA OBRAS ELECTRICAS YCIVILIE SAS</t>
  </si>
  <si>
    <t>S.A.S  SERVICUMMINS COLOMBIA</t>
  </si>
  <si>
    <t>MEGAVENTAS SAS</t>
  </si>
  <si>
    <t>SEVEAUTOS APRENDE A CONDUCIR SAS</t>
  </si>
  <si>
    <t>FERREMADERAS</t>
  </si>
  <si>
    <t>CARBONERA NOBRAC SAS</t>
  </si>
  <si>
    <t>LABORATORIO E INGENIERIA SAS</t>
  </si>
  <si>
    <t>CREALO SAS</t>
  </si>
  <si>
    <t>ORGANIZACION DE DESARROLLO AUTOMOTRIZ</t>
  </si>
  <si>
    <t xml:space="preserve">PRODUCTIONS   SAS  DIZA </t>
  </si>
  <si>
    <t>CARBONES LA ESMERALDA LEONES SAS</t>
  </si>
  <si>
    <t xml:space="preserve">AMAYA TELLEZ HERMAN </t>
  </si>
  <si>
    <t xml:space="preserve">DE MONTE ROSSO  CONJUNTO RESERVAS </t>
  </si>
  <si>
    <t>FUNDACION SISTECREDITO</t>
  </si>
  <si>
    <t>CURTI PIELES LORENA SAS</t>
  </si>
  <si>
    <t>MATEMATICAS PROFE ALEX S.A.S</t>
  </si>
  <si>
    <t>AMBISAN BOYACA SAS</t>
  </si>
  <si>
    <t>INGENERIA  MDH DESARROLLO</t>
  </si>
  <si>
    <t>CMD LIDEREMOS SOCIEDAD POR ACCIONES SIMPLIFICADA</t>
  </si>
  <si>
    <t>CONJUNTO RESIDENCIAL VILLA MERCEDES</t>
  </si>
  <si>
    <t>HOLGCOST SERVIMOS YTRANPORTAMOS SAS</t>
  </si>
  <si>
    <t>VILLA SAHARA CONJUNTO RESIDENCIAL</t>
  </si>
  <si>
    <t>CARBONES LADA S.A.S</t>
  </si>
  <si>
    <t>MINERIA WINKITA</t>
  </si>
  <si>
    <t>SAS   MINERALS</t>
  </si>
  <si>
    <t>IMPORLLANTAS COL SAS</t>
  </si>
  <si>
    <t>SABOR A TROPICO SAS</t>
  </si>
  <si>
    <t>FERTIPLANTULAS SAS</t>
  </si>
  <si>
    <t>CONSTRUSERVICIOS HORIZONTE SAS</t>
  </si>
  <si>
    <t>GRUPO LOGISTICO CENTRAL SAS</t>
  </si>
  <si>
    <t>MADECANTOS BOYACA SAS</t>
  </si>
  <si>
    <t>PROYECTOS SUMINISTROS Y SERVICIOS INTEGRALES SAS</t>
  </si>
  <si>
    <t xml:space="preserve">SAS  SURTIRIELES </t>
  </si>
  <si>
    <t>CARBONES TAURUS  S.A.S</t>
  </si>
  <si>
    <t>CARBODIAMS SAS SAS</t>
  </si>
  <si>
    <t>TRIPLE AAA SOLUCIONES</t>
  </si>
  <si>
    <t>JASCAP SAS</t>
  </si>
  <si>
    <t>MD HAIR CLINIC</t>
  </si>
  <si>
    <t>CARBOMAC SAS</t>
  </si>
  <si>
    <t>JCMPSOFWARE TECNOLOGIA DE AVANZADAS SAS</t>
  </si>
  <si>
    <t>HERTCOAL S.A.S</t>
  </si>
  <si>
    <t>UMAMI HOME BISTRO SAS</t>
  </si>
  <si>
    <t>AGRO VENTURE CAPITAL SAS</t>
  </si>
  <si>
    <t>CARPAS TAPIZADOS Y FORROS LA ESPECIAL SAS</t>
  </si>
  <si>
    <t xml:space="preserve">RODRIGUEZ SAS  CARBONES </t>
  </si>
  <si>
    <t>PORKY LAND SOCIEDAD S.A.S</t>
  </si>
  <si>
    <t>GRANJA AVICOLASAN LORENZO S.A.S</t>
  </si>
  <si>
    <t>OPERACION NACIONAL DE TRANSPORTES SAS</t>
  </si>
  <si>
    <t>EDIFICIO MULTIFAMILIAR PORTAL ALAMOS</t>
  </si>
  <si>
    <t xml:space="preserve">SAS  CONSTRUCCIONES SERVICIOS Y TRANSPORTES </t>
  </si>
  <si>
    <t>RENACEMOS Y EVOLUCIONAMOS SAS</t>
  </si>
  <si>
    <t>INVERSIONES TORRE GRANDE SAS</t>
  </si>
  <si>
    <t>VITAL BERRIES SAS</t>
  </si>
  <si>
    <t>SOLUCIONES Y SUMINISTROS TEMSO SAS</t>
  </si>
  <si>
    <t>FRUTOS DEL EDEN NJ SAS</t>
  </si>
  <si>
    <t xml:space="preserve">TIBASOSA  TISAU MATERIALS SAS </t>
  </si>
  <si>
    <t>EGOMU SAS</t>
  </si>
  <si>
    <t>IGLESIACONCILIO ASAMBLEAS DE DIOS</t>
  </si>
  <si>
    <t>AMER CONSULTORIA DE SEGUROS</t>
  </si>
  <si>
    <t>MS GROUP COL</t>
  </si>
  <si>
    <t>SEGURIDAD INDUSTRIAL ELECTRICIDAD Y CAPACITACION S.A.S</t>
  </si>
  <si>
    <t>TLMJ SANCHEZ SAS</t>
  </si>
  <si>
    <t>BIOAMBIENTE GROUP SAS</t>
  </si>
  <si>
    <t>ROSAS FLOR DE LIZ SAS</t>
  </si>
  <si>
    <t>SLALOM CONSULTATING RAZON SOCIAL</t>
  </si>
  <si>
    <t>HIDRAULICOS Y MECANIZADOS DE COLOMBIA S.A.S</t>
  </si>
  <si>
    <t xml:space="preserve">UNIDAD2  CONSORCIO </t>
  </si>
  <si>
    <t>SMART SEGURITY TECHNOLOGY SAS</t>
  </si>
  <si>
    <t>EDIFICIO TERRACOTA</t>
  </si>
  <si>
    <t>DELTA CERTIFICACIONES</t>
  </si>
  <si>
    <t>CENECOB ZOE2 SAS</t>
  </si>
  <si>
    <t>EDIFICIO TORRE MILLET</t>
  </si>
  <si>
    <t>SM MOTORS SAS</t>
  </si>
  <si>
    <t>GRANJA AGRO INDUSTRIAL DON TOMASITO SAS</t>
  </si>
  <si>
    <t>RUGANTINO DI ROMA</t>
  </si>
  <si>
    <t>COMERCIALIZADORA CARTAGENA SAS</t>
  </si>
  <si>
    <t>CARBONES Y COQUES DG</t>
  </si>
  <si>
    <t>EVEGO PRODUCCION DEEVENTOSYLOGIISTICA</t>
  </si>
  <si>
    <t>COMERCIALIZADORA AMERICANDY SAS</t>
  </si>
  <si>
    <t>ORIENTE S.A.S MAXIFRUTAS DEL</t>
  </si>
  <si>
    <t>CENTRO ARTESANAL LA MADEJA</t>
  </si>
  <si>
    <t>CAFE MANA BARUCH</t>
  </si>
  <si>
    <t>MANTENIMIENTO Y REPARACION DE TRASPORTE PESADO MTO</t>
  </si>
  <si>
    <t>MINERIA GUADALUPE SAS</t>
  </si>
  <si>
    <t>LA PLACITA JYA SAS</t>
  </si>
  <si>
    <t>SERVITIRES SIATAME SAS</t>
  </si>
  <si>
    <t>CDA CAMILO TORRES SAS</t>
  </si>
  <si>
    <t>GH MIL SAS</t>
  </si>
  <si>
    <t>GRUPO PINTUFER EMPRESARIAL S.A.S PINTUFER EMPRESARIAL S.A.S</t>
  </si>
  <si>
    <t>SOLUCIONES AGRICOLAS HEMZA SAS</t>
  </si>
  <si>
    <t>HAMBURGUESAS ZAION S.A.S</t>
  </si>
  <si>
    <t>RDR 55 S.A.S</t>
  </si>
  <si>
    <t>BIG LITTLE HOME SAS</t>
  </si>
  <si>
    <t>MARUZA</t>
  </si>
  <si>
    <t>PUNTO LIMPIO COLOMBIA S.A.S</t>
  </si>
  <si>
    <t>GOLDEN AIT STUDIO SAS</t>
  </si>
  <si>
    <t>HOTEL SERVICIOS PRESTADOS O&amp;R SAS</t>
  </si>
  <si>
    <t>VEGETABLES FROM CAMPI FRUITS</t>
  </si>
  <si>
    <t xml:space="preserve">SAS  POLIMATIX </t>
  </si>
  <si>
    <t>EDF XAVERIA 18</t>
  </si>
  <si>
    <t>MAO SAZON SAS</t>
  </si>
  <si>
    <t>OPTIMIZACION ELUPAL UNION TEMPORAL</t>
  </si>
  <si>
    <t>CONSORCIO ALIMENTACION SOGAMOSO</t>
  </si>
  <si>
    <t>COMEBACK FOODS Y DINERS SAS</t>
  </si>
  <si>
    <t>PARIS CARPAS Y EVENTO</t>
  </si>
  <si>
    <t>MEDICFAR SERVICIOS INTEGRALES</t>
  </si>
  <si>
    <t>DISTRUBUIDORA DE TRUCHA ARCO IRIS SAS</t>
  </si>
  <si>
    <t>ANGLOS PAIPA S.A.S</t>
  </si>
  <si>
    <t>D&amp;G CONSULTORIA DISE&amp;NTILDE;OS Y SUMINISTROS S.A.S</t>
  </si>
  <si>
    <t>CH CARNES PREMIUM</t>
  </si>
  <si>
    <t>HORUS INGENIERIA DISEÑO SAS</t>
  </si>
  <si>
    <t>AVICOLA EL CORRAL DE DANIELA S.A.S</t>
  </si>
  <si>
    <t>CORPORACION PARA EL DESARROLLO SOCIAL, CULTURAL,ARTISTICO,DEPORTIVO.EDUCATIVO Y ABIENTAL DEL NORORIENTE COLOMBIANP</t>
  </si>
  <si>
    <t>JBYS LOGISTICA SAS</t>
  </si>
  <si>
    <t>COMERCIALIZADORA DE CARBON EL TESORO</t>
  </si>
  <si>
    <t>SALVITA SALUDABLE SAS</t>
  </si>
  <si>
    <t>MILENA MIRANDA MANEJO NEURO</t>
  </si>
  <si>
    <t>JCG NACION RODANTE SOCIEDAD POR ACCIONES SIMPLIFICADA</t>
  </si>
  <si>
    <t>GRUPO EMPRESARIAL PEAK</t>
  </si>
  <si>
    <t>NUTRIALIMENTOS LA BODEGA S.A.S</t>
  </si>
  <si>
    <t>RPD DISTRUBUCIONES SAS</t>
  </si>
  <si>
    <t>RODATECH SOLUCIONES SAS SOLUCIONES SAS SOLUCIONES SAS</t>
  </si>
  <si>
    <t>CARNICOS FLEESCH COMPANY SAS</t>
  </si>
  <si>
    <t>MUCHACHOS DE LA HAMBURGUESA</t>
  </si>
  <si>
    <t>WYD INGENIERIA SAS</t>
  </si>
  <si>
    <t>DEKA  CONTRUCCIONES SAS</t>
  </si>
  <si>
    <t>DISTRIBUCIONES MEDICAST SAS</t>
  </si>
  <si>
    <t>CONSORCIO ADULTO 2025</t>
  </si>
  <si>
    <t>TRENZADOS BOYACA SAS</t>
  </si>
  <si>
    <t xml:space="preserve">TECNOLOGICAS SAS MEDICIONES </t>
  </si>
  <si>
    <t>BAROS CONSTRUTORA SAS</t>
  </si>
  <si>
    <t>CENTRAL DE SERVICIOS Y SUMINISTROSESPECIALIZADOS SAS</t>
  </si>
  <si>
    <t>SAN ANTONIO MINING SAS</t>
  </si>
  <si>
    <t>MPCGR SAS</t>
  </si>
  <si>
    <t>COMIDAS Y PLATOS A LA MESA S.A.S</t>
  </si>
  <si>
    <t>ALSETRA</t>
  </si>
  <si>
    <t>ETAMP SAS</t>
  </si>
  <si>
    <t>FUNDACION SOLYDAR</t>
  </si>
  <si>
    <t>CONSTRUSERVICIOSJMDECOLOMBIASAS</t>
  </si>
  <si>
    <t>MAJARQ SAS</t>
  </si>
  <si>
    <t>FUNDACION TERRA LAB</t>
  </si>
  <si>
    <t>FUNDACION CIENCIA DEL ENERGISMO</t>
  </si>
  <si>
    <t>CARBONES SIBARIA S.A.S</t>
  </si>
  <si>
    <t xml:space="preserve">DUCAN SAS GRUPO </t>
  </si>
  <si>
    <t>ENERGIAS, ELECTRICOS RINCON S.A.S</t>
  </si>
  <si>
    <t>PROMINCARBON S.A.S</t>
  </si>
  <si>
    <t>MECANIZADOS Y TRATAMIENTOS TERMICOS SAS</t>
  </si>
  <si>
    <t>GAIA CONJUNTO RESIDENCIAL</t>
  </si>
  <si>
    <t>COMPA GOURMET SAS</t>
  </si>
  <si>
    <t>UNION TEMPORAL POLPHARMA UT</t>
  </si>
  <si>
    <t>INVERSIONES SEDY S.A.S</t>
  </si>
  <si>
    <t xml:space="preserve">LOPEZ  GERALDINE </t>
  </si>
  <si>
    <t xml:space="preserve">CIFUENTES GUEVARA FELIPE </t>
  </si>
  <si>
    <t>SANTOS ALBARRACIN CARLOS DAVID</t>
  </si>
  <si>
    <t>SOLANO MEDINA SHARON ALEJANDRA</t>
  </si>
  <si>
    <t>RIZO BARBOSA ALVARO ARTURO</t>
  </si>
  <si>
    <t>NIÑO ROJAS DARLIN YULIZA</t>
  </si>
  <si>
    <t>ROMERO BONZA STEFANY ALEJANDRA</t>
  </si>
  <si>
    <t xml:space="preserve">GOMEZ DELGADILLO SOFIA </t>
  </si>
  <si>
    <t>VERGARA GUIO MARIA PAULA</t>
  </si>
  <si>
    <t>CUEVA URBINA ERIK SANTIAGO</t>
  </si>
  <si>
    <t>DIAZ BOLIVAR SANDRA JULIETH</t>
  </si>
  <si>
    <t>MENDEZ SUA LAURA STEFANNIA</t>
  </si>
  <si>
    <t>CARDENAS SANABRIA LAURA CAMILA</t>
  </si>
  <si>
    <t>ZAPATA LARGO LAURA CAMILA</t>
  </si>
  <si>
    <t>BRAVO CUEVAS JUAN CAMILO</t>
  </si>
  <si>
    <t>LEON VERGARA KAREN ALEJANDRA</t>
  </si>
  <si>
    <t>NOGUERA OCACIONES BRAYAN CAMILO</t>
  </si>
  <si>
    <t>PUENTES CANTOR JUAN ESTEBAN</t>
  </si>
  <si>
    <t>CARREÑO PEREZ LIZETH JOHANA</t>
  </si>
  <si>
    <t xml:space="preserve">CARDENAS CAMARGO MARIANA </t>
  </si>
  <si>
    <t>CARDENAS CAMARGO ELIANA SOFIA</t>
  </si>
  <si>
    <t>PINEDA MORALES JEISON DAVID</t>
  </si>
  <si>
    <t>BERNAL PARRA LIZ GABRIELA</t>
  </si>
  <si>
    <t>TOSCANO GIRATA JUAN DIEGO</t>
  </si>
  <si>
    <t>CAÑON SIERRA JOSUE MATEO</t>
  </si>
  <si>
    <t>ARBELAEZ ALZATE ARLEY DARIO</t>
  </si>
  <si>
    <t>CARBONEL VERGARA JUAN CARLOS</t>
  </si>
  <si>
    <t>TORREJANO CASTILLO TANNYA JOULIETH</t>
  </si>
  <si>
    <t>ARAQUE RIVERA LUIS ANGEL</t>
  </si>
  <si>
    <t>COLMENARES ROJAS ALFRED DIOMEDES</t>
  </si>
  <si>
    <t xml:space="preserve">BENITEZ NIÑO BERNARDA </t>
  </si>
  <si>
    <t>MONGUI OCHOA JUAN CAMILO</t>
  </si>
  <si>
    <t>RODRIGUEZ RODRIGUEZ MARIA ANGELICA</t>
  </si>
  <si>
    <t>CAMACHO LIZARAZO JAIRO ANDRES</t>
  </si>
  <si>
    <t>DANIEL RICARDO OVIEDO GARCIA</t>
  </si>
  <si>
    <t>TORRES CALVO DIRLEY JOHANA</t>
  </si>
  <si>
    <t>CARRENO RATIVA SONIA MIREYA</t>
  </si>
  <si>
    <t>RINCON BENAVIDES ANDREA VIVIANA</t>
  </si>
  <si>
    <t>HERNANDEZ PEÑALOZA LAURA CATALINA</t>
  </si>
  <si>
    <t>BRICEÑO CELY ANDREA JULIETH</t>
  </si>
  <si>
    <t xml:space="preserve">Garcia  maria </t>
  </si>
  <si>
    <t>ACUÑA LOPEZ GISELA IVON</t>
  </si>
  <si>
    <t>BAEZ RIOS KAROL VIVIANA</t>
  </si>
  <si>
    <t>MARMOL MENDEZ ROSA MARIA</t>
  </si>
  <si>
    <t xml:space="preserve">Rodriguez  Carlos </t>
  </si>
  <si>
    <t>BOLIVAR MONROY DANNA VALENTINA</t>
  </si>
  <si>
    <t>GALINDO BLANCO JULIAN CAMILO</t>
  </si>
  <si>
    <t>QUINTERO GONZALEZ MAICOL ESTIVEN</t>
  </si>
  <si>
    <t>LARGO AMADO JEISSON ALEJANDRO</t>
  </si>
  <si>
    <t>BERMUDEZ ROJAS JOSE MANUEL</t>
  </si>
  <si>
    <t>GONZALES TOVAR MARIA CAMILA</t>
  </si>
  <si>
    <t>SISA VELANDIA KAREN GISELA</t>
  </si>
  <si>
    <t>FIGUEREDO MARTIN DORIS MARIA</t>
  </si>
  <si>
    <t>CONTRERAS DURAN JUAN CAMILO</t>
  </si>
  <si>
    <t>GUEVARA ARCOS ANGIE NATALIA</t>
  </si>
  <si>
    <t>VIASUS BARRERA YURI MAGALI</t>
  </si>
  <si>
    <t>AREVALO PAEZ NICOL XIMENA</t>
  </si>
  <si>
    <t>CORTES LOZANO JUAN PABLO</t>
  </si>
  <si>
    <t xml:space="preserve">PEREZ PINEDA OMAR </t>
  </si>
  <si>
    <t>RODRIGUEZ ACOSTA BRANDON ANDRES</t>
  </si>
  <si>
    <t>MANUEL ANTONIO PINEDA CONTRERAS</t>
  </si>
  <si>
    <t>PEREZ PEREZ ANGIE LICETH</t>
  </si>
  <si>
    <t>PEREZ AFRICANO LAURA NATALIA</t>
  </si>
  <si>
    <t>MIGUEL ANGEL BECERRA PEREZ</t>
  </si>
  <si>
    <t>LOPEZ BUITRAGO ERIKA ROCIO</t>
  </si>
  <si>
    <t>MONTAÑEZ GIL EDUARD ALEJANDRO</t>
  </si>
  <si>
    <t>BECERRA ANGARITA SEBASTIAN MAURICIO</t>
  </si>
  <si>
    <t>SILVA CARDENAS JOHAN AUGUSTO</t>
  </si>
  <si>
    <t>CHINOME DIAZ DARWIN JULIAN</t>
  </si>
  <si>
    <t xml:space="preserve">CELY SILVA IVON </t>
  </si>
  <si>
    <t>DIAZ GALLO ANGELA MARIA</t>
  </si>
  <si>
    <t>DUEÑAS SANABRIA LUIS EDUARDO</t>
  </si>
  <si>
    <t>RAMIREZ RINCON OSCAR JAVIER</t>
  </si>
  <si>
    <t>MORENO CRISTANCHO ERIKA MIREYA</t>
  </si>
  <si>
    <t xml:space="preserve">TINJACA  MAYERLI </t>
  </si>
  <si>
    <t>SISA GONZALES KAREN YULYET</t>
  </si>
  <si>
    <t>CASTELL PINTO AURA ANGELICA</t>
  </si>
  <si>
    <t>CRISTANCHO AYALA NAYIBE ALEXANDRA</t>
  </si>
  <si>
    <t>SANDOVAL GIL CARLOS VIDAL</t>
  </si>
  <si>
    <t>PERICO ARAQUE AURA MARIA</t>
  </si>
  <si>
    <t>ALBERRACIN AVILA BRAYAN NICOLAS</t>
  </si>
  <si>
    <t>SANTOS VEGA JUAN PABLO</t>
  </si>
  <si>
    <t>RINCON CASTRO YEIMY ALEJANDRA</t>
  </si>
  <si>
    <t>BOLIVAR CALDERON SILVIA JULIANA</t>
  </si>
  <si>
    <t>PIRAGUA APARICIO HELEN YORANI</t>
  </si>
  <si>
    <t>REYES BONILLA LIDA VANESSA</t>
  </si>
  <si>
    <t>CELY FRACICA JUAN CAMILO</t>
  </si>
  <si>
    <t xml:space="preserve">BUITRAGO  ANGY </t>
  </si>
  <si>
    <t>CUTA GONZALEZ JORGE LEONARDO</t>
  </si>
  <si>
    <t>HERRERA JIMENEZ AIDALY YULIET</t>
  </si>
  <si>
    <t xml:space="preserve">LARA QUINTERO VALENTINA </t>
  </si>
  <si>
    <t>SOLANO FONSECA MONICA ELIANA</t>
  </si>
  <si>
    <t>BOTIA TOBOS OSCAR JULIAN</t>
  </si>
  <si>
    <t>MARTINEZ CARDENAS ELKIN RONALDO</t>
  </si>
  <si>
    <t>FONSECA CORREDOR MONICA FERNANDA</t>
  </si>
  <si>
    <t xml:space="preserve">RODRIGUEZ  LAURA </t>
  </si>
  <si>
    <t>MARTINEZ VARGAS BRAYAN ESTIBEN</t>
  </si>
  <si>
    <t>FONSECA SIERRA KAREN TATIANA</t>
  </si>
  <si>
    <t>AGUILAR CASTRO JEAN CARLOS</t>
  </si>
  <si>
    <t>PEDRAZA FRACICA ERICK LEONARDO</t>
  </si>
  <si>
    <t>ESPITIA PARRA LUIS CARLOS</t>
  </si>
  <si>
    <t>NIÑO DIAZ FREDDY GERMAN</t>
  </si>
  <si>
    <t>GUTIERREZ OJEDA BRAYAN ALEJANDRO</t>
  </si>
  <si>
    <t>TIRIA MARIÑO LAURA TATIANA</t>
  </si>
  <si>
    <t>ALVAREZ UYASAN ANGYE TATIANA</t>
  </si>
  <si>
    <t>BARRERA PEREZ ANGELA MAYERLY</t>
  </si>
  <si>
    <t>JIMENEZ DURAN CRISTIAN ALEXANDER</t>
  </si>
  <si>
    <t xml:space="preserve">LOPEZ SILVA FERNANDO </t>
  </si>
  <si>
    <t>RONDEROS BAEZ KAREN JULIETH</t>
  </si>
  <si>
    <t>SAAVEDRA RIOS MARLY DAYANNE</t>
  </si>
  <si>
    <t>ORTIZ PARADA JUAN PABLO</t>
  </si>
  <si>
    <t>FUENTES CUY EDISON CAMILO</t>
  </si>
  <si>
    <t xml:space="preserve">VALDERRAMA BAEZ NATALIA </t>
  </si>
  <si>
    <t>CARREÑO CORREA CAROL MAGALY</t>
  </si>
  <si>
    <t xml:space="preserve">OLIVARES  BRAYAN </t>
  </si>
  <si>
    <t xml:space="preserve">BEDOYA  BRAYAM </t>
  </si>
  <si>
    <t>CHAPARRO GUAYARA SARA SOFIA</t>
  </si>
  <si>
    <t>CASTELBLANCO ROMERO GLORIA ESPERANZA</t>
  </si>
  <si>
    <t>VARGAS ALARCON BRAYAN ANDRES</t>
  </si>
  <si>
    <t>HERNANDEZ HERNANDEZ MAICOL STIVEN</t>
  </si>
  <si>
    <t>MATEUS NIÑO CRISTIAN CAMILO</t>
  </si>
  <si>
    <t>ACOSTA TRIANA MARIA CONSUELO</t>
  </si>
  <si>
    <t>CORREDOR CORREDOR ANGI PAOLA</t>
  </si>
  <si>
    <t>AVENDAÑO MORENO JUANA VALENTINA</t>
  </si>
  <si>
    <t>FONSECA GARCIA TATIANA MARCELA</t>
  </si>
  <si>
    <t>GARCIA AGUDELO DANIELA ALEJANDRA</t>
  </si>
  <si>
    <t>DIAZ MORALES DAVID FELIPE</t>
  </si>
  <si>
    <t>RAMIREZ PARRA DENISS YULIANA</t>
  </si>
  <si>
    <t>MARTINEZ FUENTES ADRIANA MARCELA</t>
  </si>
  <si>
    <t>HERNANDEZ VACCA JINETH LORENA</t>
  </si>
  <si>
    <t>SOLANO PUERTO YENIFER NATALIA</t>
  </si>
  <si>
    <t>PATIÑO CERON JULIAN LEONARDO</t>
  </si>
  <si>
    <t>PINZON AVILA NICOLAS DAVID</t>
  </si>
  <si>
    <t>LARA RAMIREZ KEVIN GERARDO</t>
  </si>
  <si>
    <t>AGUILAR SALAZAR JUAN FELIPE</t>
  </si>
  <si>
    <t>CEPEDA VIVAS EDWARD STIVEN</t>
  </si>
  <si>
    <t>RIVERA RODRIGUEZ CRISTIAN ESTIVEN</t>
  </si>
  <si>
    <t>CORREDOR PAEZ MANUEL SEBASTIAN</t>
  </si>
  <si>
    <t>SILVA RIVERA ALVARO JAVIER</t>
  </si>
  <si>
    <t>MEDINA CIFUENTES SOFIA YURANY</t>
  </si>
  <si>
    <t>MONTAÑEZ ROJAS LAURA DANIELA</t>
  </si>
  <si>
    <t>RINCON LAGOS MICHAEL STIBEN</t>
  </si>
  <si>
    <t>BOLIVAR BOLIVAR JULIAN FELIPE</t>
  </si>
  <si>
    <t>GONZALEZ CABRA MARIA PAULA</t>
  </si>
  <si>
    <t>GONZALEZ GONZALEZ ANGELA JOHANA</t>
  </si>
  <si>
    <t>VIVAS MOLANO CARLOS HERNANDO</t>
  </si>
  <si>
    <t>VERDUGO ACEVEDO CRISTIAN DAVID</t>
  </si>
  <si>
    <t>SERRANO  JUAN SEBASTIAN</t>
  </si>
  <si>
    <t>NIÑO PULIDO DIEGO ALEXANDER</t>
  </si>
  <si>
    <t>NIÑO AVELLANEDA LAUR ELIZABETH</t>
  </si>
  <si>
    <t xml:space="preserve">VARGAS  ANDREA </t>
  </si>
  <si>
    <t>SALAS GONZALEZ SERGIO ANDRES</t>
  </si>
  <si>
    <t>FERNANDEZ ALVAREZ MARIA ALEJANDRA</t>
  </si>
  <si>
    <t>CAMARGO MEJIA JAIME STEVEN</t>
  </si>
  <si>
    <t>GOMEZ VEGA ORLAY FERNANDO</t>
  </si>
  <si>
    <t>GOMEZ SUAREZ NATALY ALEJANDRA</t>
  </si>
  <si>
    <t>CERINZA CORREA LAURA ALEJANDRA</t>
  </si>
  <si>
    <t>MANGUI  SARA CATALINA</t>
  </si>
  <si>
    <t>MONGUI ALCANTAR SIVIA GABRIELA</t>
  </si>
  <si>
    <t>CABEZAS BALLESTEROS DIEGO ANDRES</t>
  </si>
  <si>
    <t>ALVAREZ ANGARITA OSCAR FERNANDO</t>
  </si>
  <si>
    <t>VEGA GOMEZ KEVIN ARMANDO</t>
  </si>
  <si>
    <t>MORENO ALVAREZ ANDREA CAROLINA</t>
  </si>
  <si>
    <t>POVEDA RAMIREZ WILMAN FERNEY</t>
  </si>
  <si>
    <t>PITA PUERTO KAREN LIZETH</t>
  </si>
  <si>
    <t>ALVARADO DIAZ JESSICA JULIETH</t>
  </si>
  <si>
    <t>GARZON SALAMANCA LINA MAYERLI</t>
  </si>
  <si>
    <t>RINCON BALAGUERA DIEGO ALEJANDRO</t>
  </si>
  <si>
    <t>BECERRA  JENNYFER CRISTINA</t>
  </si>
  <si>
    <t>CORONADO ROA DIANA LUCIA</t>
  </si>
  <si>
    <t>CHIA ACOSTA KEVIN EDUARDO</t>
  </si>
  <si>
    <t>VEREDA TRINIDAD PINZON KAREN ANDREA</t>
  </si>
  <si>
    <t>RINCON BECERRA LUZ GERALDINE</t>
  </si>
  <si>
    <t>GARCIA AMAYA ANGIE LORENA</t>
  </si>
  <si>
    <t>MANRIQUE CARDENAS LAURA SOFIA</t>
  </si>
  <si>
    <t>SANDOVAL LEON KAREM ELIANA</t>
  </si>
  <si>
    <t>SENEJOA PEREZ MIGUEL ALEJANDRO</t>
  </si>
  <si>
    <t xml:space="preserve">ESLAVA BARRERA BLADIMIR </t>
  </si>
  <si>
    <t>ALBA SANDOVAL JESUS DAVID</t>
  </si>
  <si>
    <t>PINEDA TORRES MARYANNE SOFIA</t>
  </si>
  <si>
    <t>MONTAÑEZ SALAMANCA NICOLAS FRANK</t>
  </si>
  <si>
    <t xml:space="preserve">CORREA  LINA </t>
  </si>
  <si>
    <t>AMORTEGUI PEDRAZA CESAR CAMILO</t>
  </si>
  <si>
    <t>PATIÑO MARIÑO SANDRA LORENA</t>
  </si>
  <si>
    <t>ROJAS CAMARGO JONNY ESTIBEN</t>
  </si>
  <si>
    <t xml:space="preserve">RINCON CARREÑO  JUAN CAMILO </t>
  </si>
  <si>
    <t>MOLINA DOTTOR LUIS MIGUEL</t>
  </si>
  <si>
    <t>SEPULVEDA PELAYO JUAN CARLOS</t>
  </si>
  <si>
    <t xml:space="preserve">TIRIA CAMARGO ESTIVEN </t>
  </si>
  <si>
    <t xml:space="preserve">VELOZA COGARIA FELIPE </t>
  </si>
  <si>
    <t>PARRA PEREZ JEFFERSON JOHAN</t>
  </si>
  <si>
    <t>CHAPARRO MARTINEZ SANTIAGO ESTEBAN</t>
  </si>
  <si>
    <t>PEREZ ESTUPIÑAN JULIAN ESTEBAN</t>
  </si>
  <si>
    <t>DUARTE COGARIA CRISTIAN FABIAN</t>
  </si>
  <si>
    <t>FUENTES VARON ANGIE DAYANA</t>
  </si>
  <si>
    <t>CAMACHO  NELSON FERNANDO</t>
  </si>
  <si>
    <t>VIVAS GONZALEZ RAFAEL RICARDO</t>
  </si>
  <si>
    <t>Araque Solano Rodrigo Stevan</t>
  </si>
  <si>
    <t>BARRERA GRANADOS PEDRO FELIPE</t>
  </si>
  <si>
    <t>FABIAN DARIO BECERRA BECERRA</t>
  </si>
  <si>
    <t>CALDERON ESLAVA DIEGO ALEXANDER</t>
  </si>
  <si>
    <t>VARGAS CRUZ JORGE CAMILO</t>
  </si>
  <si>
    <t>SERRANO RINCON MICHAEL LEONARDO</t>
  </si>
  <si>
    <t>OVIEDO ROJAS DEISY LORENA</t>
  </si>
  <si>
    <t>RIOS LEON JHON SEBASTIAN</t>
  </si>
  <si>
    <t>ANGIE DANIELA OCHOA PATARROYO</t>
  </si>
  <si>
    <t>HERNANDEZ ALBA YESICA YERALDIN</t>
  </si>
  <si>
    <t>CRUZ HERRERA ROLAND FRANCISCO</t>
  </si>
  <si>
    <t xml:space="preserve">BALLOS MESA SEBASTIAN </t>
  </si>
  <si>
    <t>RODRIGUEZ CUBIDES MARIA CATALINA</t>
  </si>
  <si>
    <t>PEÑA ALARCON WILLMAN RICARDO</t>
  </si>
  <si>
    <t>MANRIQUE BELLO LAURA NATHALYA</t>
  </si>
  <si>
    <t>MONTOYA CORREA EMYLI YULIET</t>
  </si>
  <si>
    <t>OLIVARES MATEUS ANGELA TATIANA</t>
  </si>
  <si>
    <t>OLARTE VARGAS BRAYAN ESTIVEN</t>
  </si>
  <si>
    <t>MARTINEZ AMAYA NIDIA PAOLA</t>
  </si>
  <si>
    <t>PINEDA MUNOZ MARCOS ANTONIO</t>
  </si>
  <si>
    <t>OLIVARES NIÑO DORIS MARCELA</t>
  </si>
  <si>
    <t>FARFAN ORTIZ JORGE ALFREDO</t>
  </si>
  <si>
    <t>MARTINEZ BOHORQUEZ DANIELA ANDREA</t>
  </si>
  <si>
    <t>AMADO CASTILLO DUVAN ARLEY</t>
  </si>
  <si>
    <t>CARDENAS NIÑO DAISY YOLIMA</t>
  </si>
  <si>
    <t>RONDEROS BAEZ SILVIA CAMILA</t>
  </si>
  <si>
    <t>RINCON ROJAS DAYANA LIZETH</t>
  </si>
  <si>
    <t>VILLABON MESA KEVIN ANDRES</t>
  </si>
  <si>
    <t>SANCHEZ ZABALA CRISTIAN ESTIBEN</t>
  </si>
  <si>
    <t>RAMIREZ CASTRO ADRIANA LUCIA</t>
  </si>
  <si>
    <t>BARRERA PINEDA ANDREA CAMILA</t>
  </si>
  <si>
    <t xml:space="preserve">ROJAS  DEISY </t>
  </si>
  <si>
    <t>LAURA NATALIA TURGA MARTINEZ</t>
  </si>
  <si>
    <t>REYES VARGAS FABIAN ANDRES</t>
  </si>
  <si>
    <t>COMBARIZA PUERTO ERIKA NATALIA</t>
  </si>
  <si>
    <t>ZAMBRANO  KEVIN ELIAN</t>
  </si>
  <si>
    <t>GUTIERREZ REYES ANGIE NATALIA</t>
  </si>
  <si>
    <t>FLOREZ BLANCO JHONATAN DAVID</t>
  </si>
  <si>
    <t>BOHORQUEZ ORTIZ LUIGI FELIPE</t>
  </si>
  <si>
    <t>GUAYACUNDO ESCAMILLA ANGELA MARCELA</t>
  </si>
  <si>
    <t>GOMEZ CUEVAS NICOLL DAYANA</t>
  </si>
  <si>
    <t>SILVA ESTUPIÑAN HOLLMAN GIOVANNY</t>
  </si>
  <si>
    <t>ARGUELLO GOMEZ HAIDER MAURICIO</t>
  </si>
  <si>
    <t>MARTINEZ SANTOS LINET CAROLINA</t>
  </si>
  <si>
    <t>BERDUGO BOTIA ANDRES CAMILO</t>
  </si>
  <si>
    <t>CASTELLANOS MESA JUAN CAMILO</t>
  </si>
  <si>
    <t>HERNANDEZ VALBUENA IVAN STIVEN</t>
  </si>
  <si>
    <t>CELY ORTEGON SERGIO ESTEBAN</t>
  </si>
  <si>
    <t>BAEZ RODRIGUEZ KAREN ALEXANDRA</t>
  </si>
  <si>
    <t>MARTINEZ PEÑA OMAR YESITH</t>
  </si>
  <si>
    <t xml:space="preserve">CAMARGO  LAURA </t>
  </si>
  <si>
    <t>SEQUERA GARCIA RONALD GILDARDO</t>
  </si>
  <si>
    <t>AVILA DE LILY DANIELA</t>
  </si>
  <si>
    <t>RUIZ ABRIL DEISY JIMENA</t>
  </si>
  <si>
    <t>DIAZ CHACON MARIA ANGELICA</t>
  </si>
  <si>
    <t>ESPINOSA CORREA JULIAN DAVID</t>
  </si>
  <si>
    <t>LOPEZ MARTINEZ DANNA SOFIA</t>
  </si>
  <si>
    <t>GOZALEZ SUAREZ YUDI ALEXNDRA</t>
  </si>
  <si>
    <t xml:space="preserve">SANABRIA TORRES CATALINA </t>
  </si>
  <si>
    <t>GARCIA NIÑO DIEGO FERNANDO</t>
  </si>
  <si>
    <t>HERNANDEZ ALARCON BRAYAN DANIEL</t>
  </si>
  <si>
    <t>GOMEZ PORRAS EDWIN JULIAN</t>
  </si>
  <si>
    <t>MARTINEZ CRISTANCHO ANGELA JULEIMY</t>
  </si>
  <si>
    <t>MEDRANO  JUAN DANIEL</t>
  </si>
  <si>
    <t>SEPULVEDA VALBUENA LEANDRO DANIEL</t>
  </si>
  <si>
    <t>PEÑA MOLANO RAFAEL ANDRES</t>
  </si>
  <si>
    <t>GARCIA  MARLON ALEXIS</t>
  </si>
  <si>
    <t>Moreno MOLANO Maicol ESTIBEN</t>
  </si>
  <si>
    <t>MERCHAN OSUNA CRISTIAN RUBEN</t>
  </si>
  <si>
    <t>AVELLA SALAMANCA JEYSON HERNAN</t>
  </si>
  <si>
    <t>SISSA PITA EDGAR DUBAN</t>
  </si>
  <si>
    <t>VASQUEZ VARGAS SANTIAGO ANDRES</t>
  </si>
  <si>
    <t>CORREDOR LOPEZ LEYDI NATALIA</t>
  </si>
  <si>
    <t>CARDENAS ROJAS JULIAN DAVID</t>
  </si>
  <si>
    <t>CHAPARRO PAREDES JAVIER ALEJANDRO</t>
  </si>
  <si>
    <t>LARA BLANCO MIGUEL ALEJANDRO</t>
  </si>
  <si>
    <t>VILLAMARIN MEDINA OVIDIO ALFREDO</t>
  </si>
  <si>
    <t>BAUTISTA DUEÑAS JAIDER ANDRES</t>
  </si>
  <si>
    <t>SALAMANCA PABON CLAUDIA LUCIA</t>
  </si>
  <si>
    <t>RODRIGUEZ PERDOMO HOLMAN JOSE</t>
  </si>
  <si>
    <t>SAENZ CASTRO RAFAEL ALEJANDRO</t>
  </si>
  <si>
    <t xml:space="preserve">RINCON  IVAN </t>
  </si>
  <si>
    <t>TORRES CARDENAS YENNY FERNANDA</t>
  </si>
  <si>
    <t>PAREDES MONTAÑEZ JEFERSON STIVEN</t>
  </si>
  <si>
    <t>GALLO MALDONADO YIMI ALEJANDRO</t>
  </si>
  <si>
    <t>AFRICANO RODRIGUEZ LIZETH JOHANA</t>
  </si>
  <si>
    <t>PAEZ ENCIZO JUAN PABLO</t>
  </si>
  <si>
    <t>CORREDOR DIAZ LINA MARIA</t>
  </si>
  <si>
    <t>MORENO LEON FIDEL ANDRES</t>
  </si>
  <si>
    <t>RUIZ PATIÑO EMERSON ESNEYDER</t>
  </si>
  <si>
    <t>ROBLES AMADO SEBASTIAN CAMILO</t>
  </si>
  <si>
    <t>MEDINA  CRISTIAN DAVID</t>
  </si>
  <si>
    <t>BARON CERON KAREN JULIETH</t>
  </si>
  <si>
    <t>TRIVIÑO MORALES EDWAR YESID</t>
  </si>
  <si>
    <t>NOVA DUARTE DEISY YULIETH</t>
  </si>
  <si>
    <t>TOBAR FONSECA JHONATAN JULIAN</t>
  </si>
  <si>
    <t>ACERO RATIVA LAURA ANDREA</t>
  </si>
  <si>
    <t>SUAREZ MORENO WILLIAM ANDRES</t>
  </si>
  <si>
    <t>ORTIZ MERCHAN EDWAR JULIAN</t>
  </si>
  <si>
    <t>SOLANO  LAURA VALENTINA</t>
  </si>
  <si>
    <t xml:space="preserve">ROBLES RICO DAYANA </t>
  </si>
  <si>
    <t>GALLO COSTO ERICA DORIS</t>
  </si>
  <si>
    <t>CERON BARON GINA KATERINE</t>
  </si>
  <si>
    <t>CERON BARON SARA MELISA</t>
  </si>
  <si>
    <t>GUEVARA TIRIA EDWIN ALEJANDRO</t>
  </si>
  <si>
    <t>GUALDRON CHAPARRO LUIS FELIPE</t>
  </si>
  <si>
    <t>GALLO TRIANA JULIAN ANDRES</t>
  </si>
  <si>
    <t>CETINA  MICHAEL YESID</t>
  </si>
  <si>
    <t>CEPEDA GALVIS KEVIN SANTIAGO</t>
  </si>
  <si>
    <t>CRISTANCHO MARTINEZ DIEGO ALEJANDRO</t>
  </si>
  <si>
    <t>ROJAS RODRIGUEZ GERSSON LEONARDO</t>
  </si>
  <si>
    <t>MANRIQUE MERCHAN BRIYID LORENA</t>
  </si>
  <si>
    <t>ROMERO CORREDOR MARIA ANGELICA</t>
  </si>
  <si>
    <t>GAMBOA ANGARITA JOHAN SEBASTIAN</t>
  </si>
  <si>
    <t>TENJO MORALES YURANNY ANDREA</t>
  </si>
  <si>
    <t xml:space="preserve">GONZALEZ BRICENO SOFIA </t>
  </si>
  <si>
    <t>BLANCO MARTINEZ NICOLAS ESTEBAN</t>
  </si>
  <si>
    <t>TOBA MANRRIQUE ANGIE STHEFANIA</t>
  </si>
  <si>
    <t>CABRA SILVA BRAYAN ESTIVEN</t>
  </si>
  <si>
    <t>RIVEROS PEREZ INGRID YULIETH</t>
  </si>
  <si>
    <t>DELGADILLO PEDRAZA JUAN DAVID</t>
  </si>
  <si>
    <t>VALEZ DUARTE RAFAEL MAURICIO</t>
  </si>
  <si>
    <t>ALBARRACIN DALLOS XIMENA CONSTANZA</t>
  </si>
  <si>
    <t>CALDERON LEMUS DIANA CAROLINA</t>
  </si>
  <si>
    <t>GOMEZ SANABRIA FABER ANDRES</t>
  </si>
  <si>
    <t>ALARCON BOTIA ANGELA SOFIA</t>
  </si>
  <si>
    <t>TOBO CARDOZO LAURA SAMID</t>
  </si>
  <si>
    <t>CRUZ MACHUCA INGRID VANESSA</t>
  </si>
  <si>
    <t>BLANCO HURTADO WILSON ALBERTO</t>
  </si>
  <si>
    <t>JIMENEZ DIAZ RONALD ALEJANDRO</t>
  </si>
  <si>
    <t>CHAPARRO SILVA JOHANA KATERINE</t>
  </si>
  <si>
    <t>MALDONADO RIVERA LINA FERNANDA</t>
  </si>
  <si>
    <t>AVILA ZEA ANDRES FELIPE</t>
  </si>
  <si>
    <t>PIMIENTO PIMIENTO MARY LILIANA</t>
  </si>
  <si>
    <t>ROSAS OCHOA DIANA LORENA</t>
  </si>
  <si>
    <t>RAMIREZ DIVANTOQUE DIEGO FERNANDO</t>
  </si>
  <si>
    <t>SUICA ZEA BRAYAN FRANCISCO</t>
  </si>
  <si>
    <t>MONTAÑEZ ESPINOSA GUSTAVO ADOLFO</t>
  </si>
  <si>
    <t>FLOREZ CASTRO JUAN DAVID</t>
  </si>
  <si>
    <t>GRANADOS CARREÑO BRAYAN CAMILO</t>
  </si>
  <si>
    <t>PUERTO  FLOR ANGELA</t>
  </si>
  <si>
    <t xml:space="preserve">REYES  WILSON </t>
  </si>
  <si>
    <t>LOPEZ LARCON YULI PAOLA</t>
  </si>
  <si>
    <t>VERGARA CHIA ANGIE TATIANA</t>
  </si>
  <si>
    <t>DAZA CUEVAS VANESSA ALEXANDRA</t>
  </si>
  <si>
    <t>PEREZ GONZALEZ MAYERLY ASTRID</t>
  </si>
  <si>
    <t>SUAREZ MARQUEZ CAMILO ALEXANDER</t>
  </si>
  <si>
    <t>ROJAS TRIANA DAYANA CATHERINE</t>
  </si>
  <si>
    <t>CUEVAS GALDIS JUAN ANDRES</t>
  </si>
  <si>
    <t>ALMANZA SUAREZ NURY ESPERANZA</t>
  </si>
  <si>
    <t>UYABAN GOYENECHE DAIRO ARLEY</t>
  </si>
  <si>
    <t>VELANDIA CARVAJAL KAREN DANIELA</t>
  </si>
  <si>
    <t>RINCON SUA DIEGO ALEJADRO</t>
  </si>
  <si>
    <t>VARGAS SIEMPIRA JUAN PABLO</t>
  </si>
  <si>
    <t>GOYENECHE FERNANDEZ LISEHT MAYERLY</t>
  </si>
  <si>
    <t>ORTIZ SUA ANGIE LORENA</t>
  </si>
  <si>
    <t>BECERRA CORREDOR EDWIN FERNANDO</t>
  </si>
  <si>
    <t>CHAPARRO DAVILA KEVIN FERNEY</t>
  </si>
  <si>
    <t>MEJIA MESA ANA MARIA</t>
  </si>
  <si>
    <t>MALAGON PARRA IVAN LEONARDO</t>
  </si>
  <si>
    <t>CELY ANGEL ALBA ELIZABETH</t>
  </si>
  <si>
    <t>FONSECA NINO DANIELA ANDREA</t>
  </si>
  <si>
    <t xml:space="preserve">GALINDO CARDENAS YENIFER </t>
  </si>
  <si>
    <t>RODRIGUEZ LOPEZ HEDY YALEN</t>
  </si>
  <si>
    <t>MENESES FUENTES DAYNERY ALEJANDRA</t>
  </si>
  <si>
    <t xml:space="preserve">YEPES SERNA MATEO </t>
  </si>
  <si>
    <t>RINCON OCHOA JORGE ORLANDO</t>
  </si>
  <si>
    <t>GUTIERREZ ESPINEL OSCAR IVAN</t>
  </si>
  <si>
    <t>BOLIVAR MORENO LEIDY JOHANA</t>
  </si>
  <si>
    <t>GONZALEZ FLOREZ JULIANA VALENTINA</t>
  </si>
  <si>
    <t>FLOREZ PEREZ LINA MARCELA</t>
  </si>
  <si>
    <t>SUAREZ MARTINEZ LUIS ANTONIO</t>
  </si>
  <si>
    <t>PACHON OLARTE LUISA FERNANDA</t>
  </si>
  <si>
    <t>HOLGUIN GOMEZ DIEGO ALEXANDER</t>
  </si>
  <si>
    <t>LARA MORALES CARLOS ANDRES</t>
  </si>
  <si>
    <t>OCHOA ALVAREZ SULEIMY KATERINE</t>
  </si>
  <si>
    <t>GARCES CERON KENNAR FABIAN</t>
  </si>
  <si>
    <t>PULIDO RUIZ FABIAN ROLANDO</t>
  </si>
  <si>
    <t>GALLO COSTO RUTH ANDREA</t>
  </si>
  <si>
    <t>BENAVIDES GRANADOS ANGIE LORENA</t>
  </si>
  <si>
    <t>CADENA GONZALEZ JOSUE DAVID</t>
  </si>
  <si>
    <t>CASTRO GUTIERREZ YEISON SANTIAGO</t>
  </si>
  <si>
    <t>RODRIGUEZ   ALEX DUVAN</t>
  </si>
  <si>
    <t>TALLERO SANCHEZ CRISTIAN CAMILO</t>
  </si>
  <si>
    <t>DIAZ PALACIO WILMAN ARMANDO</t>
  </si>
  <si>
    <t xml:space="preserve">CAMARGO  DIEGO </t>
  </si>
  <si>
    <t>PEÑUELA BERMUDEZ FABIAN CAMILO</t>
  </si>
  <si>
    <t xml:space="preserve">CORREA  EDGAR </t>
  </si>
  <si>
    <t>PRIETO COBA MARIO SEBASTIAN</t>
  </si>
  <si>
    <t>ROJAS TORRES YAIRA NATALIA</t>
  </si>
  <si>
    <t>NOVA BUITRAGO YEISON GERMAN</t>
  </si>
  <si>
    <t xml:space="preserve">RODRIGUEZ  JAIME </t>
  </si>
  <si>
    <t>MARTINEZ CACERES BANESA ALEXANDRA</t>
  </si>
  <si>
    <t xml:space="preserve">VELANDIA GUEVARA SANDRA </t>
  </si>
  <si>
    <t>DAVILA CASTRO HERNAN DAVID</t>
  </si>
  <si>
    <t>CAMACHO CASTRO FABIO ALEXANDER</t>
  </si>
  <si>
    <t xml:space="preserve">SANDOVAL PAREDES DUMAR </t>
  </si>
  <si>
    <t>SICHACA BENAVIDES JOSE AGUSTIN</t>
  </si>
  <si>
    <t>ROJAS VENTURA DIANA CAROLINA</t>
  </si>
  <si>
    <t>VARGAS VARGAS LUIS ALFREDO</t>
  </si>
  <si>
    <t>FERNANDEZ GIL LAURA DANIELA</t>
  </si>
  <si>
    <t xml:space="preserve">FONSECA  CLAUDIA </t>
  </si>
  <si>
    <t>PINTO ROMERO JUAN EDUARDO</t>
  </si>
  <si>
    <t xml:space="preserve">RINCON ESTUPIÑAN NATALIA </t>
  </si>
  <si>
    <t>ASCENSIO ORTIZ YENNY JUDITH</t>
  </si>
  <si>
    <t>SANDOVAL ESPITIA BRAYAN ALFONSO</t>
  </si>
  <si>
    <t>PENA ANGEL ANDERSON FERNEY</t>
  </si>
  <si>
    <t>TORRES CARREÑO JORGE ANDRES</t>
  </si>
  <si>
    <t>RIAÑO SAENZ KAREN LORENA</t>
  </si>
  <si>
    <t>MARQUEZ  HEYMAR CAMILO</t>
  </si>
  <si>
    <t>VARGAS SALAMANCA DERLY KATERINE</t>
  </si>
  <si>
    <t>TALAIGUA VERTEL ALVARO JAVIER</t>
  </si>
  <si>
    <t>MONTERROZA  JUAN DAVID</t>
  </si>
  <si>
    <t>ALVARO JAVIER GUETE ZULUAGA</t>
  </si>
  <si>
    <t xml:space="preserve">CARDENAS BALLESTEROS DUBIER </t>
  </si>
  <si>
    <t>AREVALO MELO STEISY DAYANA</t>
  </si>
  <si>
    <t>TORRES CENCIO LISBETH TATIANA</t>
  </si>
  <si>
    <t>SALAMANCA AMAYA ANA MARIA</t>
  </si>
  <si>
    <t>URREA PINZON LISSET ELIANA</t>
  </si>
  <si>
    <t>ROCHA GARZON JAIR STIVEN</t>
  </si>
  <si>
    <t>VARGAS ESPINOSA OSCAR EDUARDO</t>
  </si>
  <si>
    <t>TELLEZ LOZANO YINA LORENA</t>
  </si>
  <si>
    <t>GONGORA JIMENEZ MARCO ALEJANDRO</t>
  </si>
  <si>
    <t>MESA RODRIGUEZ LEIDY CAMILA</t>
  </si>
  <si>
    <t>GUERRERO SANTIAGO JHONN HAROLD</t>
  </si>
  <si>
    <t xml:space="preserve">LOPEZ  YASLEIDY </t>
  </si>
  <si>
    <t>VARGAS CAMARGO ERIKA YERITZA</t>
  </si>
  <si>
    <t>MENDOZA RAMIREZ FRANCI YURANY</t>
  </si>
  <si>
    <t xml:space="preserve">GARCIA GOMEZ JENNIFER </t>
  </si>
  <si>
    <t>MESA SUAREZ OMAR NORVEY</t>
  </si>
  <si>
    <t>CEPEDA ALBARRACIN JHON SEBASTIAN</t>
  </si>
  <si>
    <t>NUÑEZ CARO ALEJANDRA VALENTINA</t>
  </si>
  <si>
    <t>CACERES  JORGE LEONARDO</t>
  </si>
  <si>
    <t xml:space="preserve">VARGAS GONZALEZ VALERIA </t>
  </si>
  <si>
    <t>PEREZ ALFONSO ANGEL EDUARDO</t>
  </si>
  <si>
    <t>CASTELLANOS MANCILLA JOSE ESTEBAN</t>
  </si>
  <si>
    <t>CARRANZA CABALLERO ANDREA TATIANA</t>
  </si>
  <si>
    <t>MARIN  VICTOR ALFONSO</t>
  </si>
  <si>
    <t xml:space="preserve">LEON  JORGE </t>
  </si>
  <si>
    <t>GARCIA ALVAREZ DEISY CAMILA</t>
  </si>
  <si>
    <t>LUISA FERNANDA OSPINA AGUILERA</t>
  </si>
  <si>
    <t>AGUILAR VIVAS EHYLI TATIANA</t>
  </si>
  <si>
    <t xml:space="preserve">SANABRIA  JENNY </t>
  </si>
  <si>
    <t>MENDEZ BARRIOS WILSON ALEJANDRO</t>
  </si>
  <si>
    <t>GIRALDO RENDON HECTOR FABIO</t>
  </si>
  <si>
    <t>CASTRILLON CASTILLA YEIMI ARELIS</t>
  </si>
  <si>
    <t>CHAPARRO NARANJO GEIDY PAOLA</t>
  </si>
  <si>
    <t>MENDOZA MUÑOZ YADNUBI JULIETH</t>
  </si>
  <si>
    <t>PARRA ANGULO ANA CRISTINA</t>
  </si>
  <si>
    <t>ACERO PEÑA SANDRA MILENA</t>
  </si>
  <si>
    <t>REYES CUBILLOS PAULA ANDREA</t>
  </si>
  <si>
    <t>HURTADO SILVA SOL ESMERALDA</t>
  </si>
  <si>
    <t>VEGA SANCHEZ JAVIER ESTIBEN</t>
  </si>
  <si>
    <t>PAPILLA BECERRA ESNIDER ALEJANDRO</t>
  </si>
  <si>
    <t>GALEANO OLIVOS MICHAEL FABIAN</t>
  </si>
  <si>
    <t>MORA MARTINEZ JAMES LEONARDO</t>
  </si>
  <si>
    <t xml:space="preserve">AVENDAÑO GUERRERO EDISON </t>
  </si>
  <si>
    <t>PUCHIGAY CARDOZO MICHAEL LEONARDO</t>
  </si>
  <si>
    <t>BEDOYA SAENZ MARIUM KATHERINE</t>
  </si>
  <si>
    <t xml:space="preserve">RIOLA MORENA DANIELA </t>
  </si>
  <si>
    <t xml:space="preserve">GRANADOS  MONICA </t>
  </si>
  <si>
    <t>GOMEZ BECERRA LUIS GABRIEL</t>
  </si>
  <si>
    <t>RINCON CASTILLO YEISON STEVEN</t>
  </si>
  <si>
    <t>TRIANA VARGAS KAREN MARIANA</t>
  </si>
  <si>
    <t>LOPEZ BAUTISTA JEISON URIEL</t>
  </si>
  <si>
    <t>MOLANO DIAZ NESTOR DUVAN</t>
  </si>
  <si>
    <t>NIÑO CASTRO GYSELA TATIANA</t>
  </si>
  <si>
    <t xml:space="preserve">HERNANDEZ  VICTORIA </t>
  </si>
  <si>
    <t>BALLEN PINZON CAMILO ALEXANDER</t>
  </si>
  <si>
    <t>ALDANA CHAPARRO MARIA FERNANDA</t>
  </si>
  <si>
    <t>CHINOME LEON ELIAN DAVID</t>
  </si>
  <si>
    <t>ACOSTA MARIÑO ERIKA TATIANA</t>
  </si>
  <si>
    <t>SANABRIA ROJAS LAURA SOFIA</t>
  </si>
  <si>
    <t>CASTRO MOLANO JUAN ESTEBAN</t>
  </si>
  <si>
    <t>SANCHEZ CAICEDO YESID ALEJANDRO</t>
  </si>
  <si>
    <t>FIGUEROA RODRIGUEZ FABIAN CAMILO</t>
  </si>
  <si>
    <t>CEPEDA DIAZ KEVIN RICARDO</t>
  </si>
  <si>
    <t>KARETH ALEJANDRA CORREA MARTINEZ</t>
  </si>
  <si>
    <t>GUECHA HERNANDEZ JOHAN SEBASTIAN</t>
  </si>
  <si>
    <t>TABARES MENDIVELSO YEFERSON DAVID</t>
  </si>
  <si>
    <t>MATEUZ AGUDELO JUAN DIEGO</t>
  </si>
  <si>
    <t>PAULA JULIANA NIÑO CELY</t>
  </si>
  <si>
    <t>MORENO AMEZQUITA LAURA DANIELA</t>
  </si>
  <si>
    <t>HIGUERA  CRISTIAN DARIO</t>
  </si>
  <si>
    <t>LOPEZ CASAS DANIEL SANTIAGO</t>
  </si>
  <si>
    <t>VARGAS CONTRERAS NORBEY ORLANDO</t>
  </si>
  <si>
    <t xml:space="preserve">DIAZ  YEFFERSON </t>
  </si>
  <si>
    <t>PEDRAZA ALVARADO MARIA FERNANDA</t>
  </si>
  <si>
    <t>RINCON CELY ANGELA MARIA</t>
  </si>
  <si>
    <t>HERRERA BECERRA MONICA YASMIN</t>
  </si>
  <si>
    <t>RINCON DUARTE MIGUEL DAVID</t>
  </si>
  <si>
    <t>GRANADOS SANABRIA MABEL DAYANA</t>
  </si>
  <si>
    <t>FAJARDO TOBO TANIA CATALINA</t>
  </si>
  <si>
    <t>ALVAREZ PITA ZHAMARA LORENA</t>
  </si>
  <si>
    <t>RAVELO HOSTOS DAYANA ALEXANDRA</t>
  </si>
  <si>
    <t>SIERRA ALVAREZ ELKIN ELIAN</t>
  </si>
  <si>
    <t xml:space="preserve">DIAZ VALDES ANDREW </t>
  </si>
  <si>
    <t>SANCHEZ CUCAITA CAMILO ANDRES</t>
  </si>
  <si>
    <t>PITA GONZALEZ LAURA MARCELA</t>
  </si>
  <si>
    <t>TAPIAS OJEDA CESAR ANDRES</t>
  </si>
  <si>
    <t>MORENO GONZALEZ ERIKA NATALIA</t>
  </si>
  <si>
    <t>BALLESTEROS CIFUENTES LAURA CISLEY</t>
  </si>
  <si>
    <t>RINCON NOY CARLOS JOEL</t>
  </si>
  <si>
    <t>MARIA LUCIA SANCHEZ VARGAS</t>
  </si>
  <si>
    <t>BARRERA ANGARITA YURIAN LORENY</t>
  </si>
  <si>
    <t>TRIANA SISA JINETH FERNANDA</t>
  </si>
  <si>
    <t>ROJAS RIAÑO MONICA LICED</t>
  </si>
  <si>
    <t>CHAPARRO MOGOLLON JHON STEVEN</t>
  </si>
  <si>
    <t>AGUDELO PLAZAS KAREN DAYANNA</t>
  </si>
  <si>
    <t>CAMARGO QUIJANO INGRID DANIELA</t>
  </si>
  <si>
    <t>PALACIOS ALBA JESELL TATIANA</t>
  </si>
  <si>
    <t>AGUIRRE BARRERA YESID ARQUIMEDES</t>
  </si>
  <si>
    <t>NIÑO CARRILLO ANNY DAYAN</t>
  </si>
  <si>
    <t xml:space="preserve">ESTEPA  OSCAR </t>
  </si>
  <si>
    <t>RODRIGUEZ FONSECA LAURA DANIELA</t>
  </si>
  <si>
    <t xml:space="preserve">MANOSALVA  DARIO </t>
  </si>
  <si>
    <t>CAMARGO FUENTES PAULA FERNANDA</t>
  </si>
  <si>
    <t>RINCON ESTUPIÑAN CAREN DAYANA DAYANA</t>
  </si>
  <si>
    <t>NIÑO VELA MARILYN JOHANA</t>
  </si>
  <si>
    <t>SALAZAR MALAVER WENDY XIOMARA</t>
  </si>
  <si>
    <t>CARDENAS  LEIDY RUBIELA</t>
  </si>
  <si>
    <t xml:space="preserve">RINCON  YENNY </t>
  </si>
  <si>
    <t>DUARTE COGARIA OSCAR JAVIER</t>
  </si>
  <si>
    <t>PETALTA CAMACHO KAREN VIVIANA</t>
  </si>
  <si>
    <t>OCHOA SILVA YEISOM HERNAN</t>
  </si>
  <si>
    <t>DIAS PATIÑO DIANA ELIZABETH</t>
  </si>
  <si>
    <t>NOVA PUERTO MARLON FELIPE</t>
  </si>
  <si>
    <t>MORENO CARDENAS FABIO ENRIQUE</t>
  </si>
  <si>
    <t>SANCHEZ CANO JULIETH ANDREA</t>
  </si>
  <si>
    <t>PEDRAZA VARGAS JORMAN ANDRES</t>
  </si>
  <si>
    <t>SALAMANCA CHAPARRO FARID FELIPE</t>
  </si>
  <si>
    <t>ALFONSO ROJAS WILSON STEVEN</t>
  </si>
  <si>
    <t>SANCHEZ MALPICA PAULA ANDREA</t>
  </si>
  <si>
    <t>RINCON ESLAVA DIEGO ENRIQUE</t>
  </si>
  <si>
    <t>HERNANDEZ  ANGIE KATERINE</t>
  </si>
  <si>
    <t>MOGOLLON MOLANO SERGIO ANDRES</t>
  </si>
  <si>
    <t>BECERRA CATIVE JERSON DAVID</t>
  </si>
  <si>
    <t>BECERRA CATIVE JUAN PABLO</t>
  </si>
  <si>
    <t>GALINDO ROJAS ANDREA VALENTINA</t>
  </si>
  <si>
    <t>ZABALA GUEVARA MAHOLY VIVIANA</t>
  </si>
  <si>
    <t>GOMEZ ROJAS ANDRES FELIPE</t>
  </si>
  <si>
    <t>NIETO CAAMANO YENDRINSO DAVID</t>
  </si>
  <si>
    <t>ZABALA RODRIGUEZ LAURA KATHERIN</t>
  </si>
  <si>
    <t>CADENA GRANADOS CRISTIAN ANDRES</t>
  </si>
  <si>
    <t>CASTRO SOLERA LUCY ANDREA</t>
  </si>
  <si>
    <t>TELLEZ ANGARITA ELIA YINED</t>
  </si>
  <si>
    <t xml:space="preserve">DUEÑAS  KAREN </t>
  </si>
  <si>
    <t>CARDOZO MELO BAYRON YAMPIERR</t>
  </si>
  <si>
    <t>MEDINA LARA JAILHER FABIAN</t>
  </si>
  <si>
    <t>TRIANA CARVAJAL SERGIO SEBASTIAN</t>
  </si>
  <si>
    <t>SILVA ROJAS EDIER GUILLERMO</t>
  </si>
  <si>
    <t>CELY ESTUPIÑAN ANGELA PATRICIA</t>
  </si>
  <si>
    <t>RODRIGUEZ MENDOZA LEIDY CAROLINA</t>
  </si>
  <si>
    <t>VARGAS SUAREZ DEIXON ARLEY</t>
  </si>
  <si>
    <t>MARQUEZ GOMEZ SANDRA LILIANA</t>
  </si>
  <si>
    <t>CORREDOR MIRANDA LAURA ALEJANDRA</t>
  </si>
  <si>
    <t>MARQUEZ FUENTES CRISTIAN MIGUEL</t>
  </si>
  <si>
    <t xml:space="preserve">ARCINIEGAS MALPICA ALEXANDRA </t>
  </si>
  <si>
    <t>GARCIA VARGAS IVETH EDNNY</t>
  </si>
  <si>
    <t>TORRES TORRES CEDIEL ANDREY</t>
  </si>
  <si>
    <t>BARRERA LIZARANO YEIMY ALEJANDRA</t>
  </si>
  <si>
    <t>TORRES TORRES YEISON ALFREDO</t>
  </si>
  <si>
    <t xml:space="preserve">MANRIQUE  MARBY </t>
  </si>
  <si>
    <t>LOZANO GARCIA MICHAEL HERNANDO</t>
  </si>
  <si>
    <t>ANGARITA OCHOA NICOLAS YAIR</t>
  </si>
  <si>
    <t>TORRES APONTE ALBERTO DAVID</t>
  </si>
  <si>
    <t xml:space="preserve">ALARCON  LEIDY </t>
  </si>
  <si>
    <t>GACHA ROCHA YESICA ALEXANDRA</t>
  </si>
  <si>
    <t>NEITA ALVAREZ CRISTIAN SEBASTIAN</t>
  </si>
  <si>
    <t>ZEA CONTRERAS JOHN ALEXANDER</t>
  </si>
  <si>
    <t xml:space="preserve">LIMAS  CATERINE </t>
  </si>
  <si>
    <t xml:space="preserve">ARIAS GONZALEZ WILMER </t>
  </si>
  <si>
    <t>FORERO CASTRO SANDRA CATALINA</t>
  </si>
  <si>
    <t xml:space="preserve">MEDINA  VANESSA </t>
  </si>
  <si>
    <t>ARDILA DIAZ LAURA VALENTINA</t>
  </si>
  <si>
    <t>DIAZ RIOS DIANA CAROLINA</t>
  </si>
  <si>
    <t xml:space="preserve">ALVAREZ ALVAREZ SERGIO </t>
  </si>
  <si>
    <t>ALBARRACIN PICO JUAN SEBASTIAN</t>
  </si>
  <si>
    <t>GOMEZ DUARTE JAVIER RICARDO</t>
  </si>
  <si>
    <t>MORALES GONZALEZ DIDIER ALEJANDRO</t>
  </si>
  <si>
    <t>GOME MARTIN LAURA SHARID</t>
  </si>
  <si>
    <t xml:space="preserve">PINZON  CRISTIAN </t>
  </si>
  <si>
    <t>TORRES BARON DIEGO ANDRES</t>
  </si>
  <si>
    <t>GUTIERREZ GIL ELIANA ZANDRIT</t>
  </si>
  <si>
    <t>GARCIA MARTINEZ LAURA ISABEL</t>
  </si>
  <si>
    <t>GARCES CATAÑO DONEY EDILSON</t>
  </si>
  <si>
    <t>GALVIS FONSECA BRAYAN JASSYR</t>
  </si>
  <si>
    <t>TORRES SOLER ALEX FERNANDO</t>
  </si>
  <si>
    <t>ROJAS SISSA CRISTIAN FERNEY</t>
  </si>
  <si>
    <t>FUQUEN NIÑO YESICA LORENA</t>
  </si>
  <si>
    <t>LEGUIZAMON SOSA FRANCISCO JULIAN</t>
  </si>
  <si>
    <t>ZORRO MONTAÑA JESSUA FELIPE</t>
  </si>
  <si>
    <t>GAITAN SUARIQUE NICOL DANIELA</t>
  </si>
  <si>
    <t>BUITRAGO BECERRA ROGER SAMIR</t>
  </si>
  <si>
    <t>PATIÑO TORRES SARA DAHIANNA</t>
  </si>
  <si>
    <t xml:space="preserve">GARCIA  JAVIER </t>
  </si>
  <si>
    <t>CORTES VASQUEZ MARIA MAGNOLIA</t>
  </si>
  <si>
    <t xml:space="preserve">MACIAS  ANDRES </t>
  </si>
  <si>
    <t>ARIAS PEDRAZA ROBERT SMITH</t>
  </si>
  <si>
    <t>MORALES GARCIA JAVIER FERNANDO</t>
  </si>
  <si>
    <t>SANTOS SANCHEZ EMILCE YOHANA</t>
  </si>
  <si>
    <t>GONZALEZ LEANDRO BAIRON LEONARDO</t>
  </si>
  <si>
    <t>PEÑARANDA PAREDES DIEGO FERNANDO</t>
  </si>
  <si>
    <t>CHAPARRO  LAURA JULIANA</t>
  </si>
  <si>
    <t>GRANADOS DELGADO RAMON OCTAVIO</t>
  </si>
  <si>
    <t>SERRANO BARRERA DANIELA CAROLINA</t>
  </si>
  <si>
    <t>MORENO VIERA YINA MARCELA</t>
  </si>
  <si>
    <t>VALENCIA GARZON ANDRES MAURICIO</t>
  </si>
  <si>
    <t>RIZO LOPEZ ILER SEBASTIAN</t>
  </si>
  <si>
    <t xml:space="preserve">CASTRO  SUSAN </t>
  </si>
  <si>
    <t xml:space="preserve">PEREZ  DUVAN </t>
  </si>
  <si>
    <t>HERNANDEZ ESPINOSA ANDREA CATALINA</t>
  </si>
  <si>
    <t>CARDONA GUTIERREZ SANDRA MILENA</t>
  </si>
  <si>
    <t>VIDAL AREVALO LEIDY CATERINE</t>
  </si>
  <si>
    <t>TINJACA TORRES LUISA FERNANDA</t>
  </si>
  <si>
    <t xml:space="preserve">MERCHAN  ANDREA </t>
  </si>
  <si>
    <t>RODRIGUEZ  JUAN FELIPE</t>
  </si>
  <si>
    <t xml:space="preserve">BARAJAS  SERGIO </t>
  </si>
  <si>
    <t xml:space="preserve">AVILA URRUTIA DANIELA </t>
  </si>
  <si>
    <t>CASAS GOMEZ ANDRES FELIPE</t>
  </si>
  <si>
    <t>XIMENA EVANNA CASTRO BENÍTEZ</t>
  </si>
  <si>
    <t xml:space="preserve">ROJAS ROJAS NATALIA </t>
  </si>
  <si>
    <t>DIAZ PAIPA JULIETH TATIANA</t>
  </si>
  <si>
    <t xml:space="preserve">AYALA  SANTIAGO </t>
  </si>
  <si>
    <t xml:space="preserve">BEJARANO RESTREPO YEFFERSON </t>
  </si>
  <si>
    <t>CARVAJAL PUENTES DEISSY ELIZABETH</t>
  </si>
  <si>
    <t>PEREZ ALMANZA JHON JAIRO</t>
  </si>
  <si>
    <t>RODRIGUEZ TELLEZ HERLVER EDUARDO</t>
  </si>
  <si>
    <t xml:space="preserve">SABOGAL MESA CATALINA </t>
  </si>
  <si>
    <t xml:space="preserve">TELLEZ  LAURA </t>
  </si>
  <si>
    <t>PULIDO PARRA YURI MARITZA</t>
  </si>
  <si>
    <t>NOSSA VARGAS MAYERLY DEYANIRA</t>
  </si>
  <si>
    <t>PUENTES JIMENEZ JEAN PIERRE</t>
  </si>
  <si>
    <t>PERILLA RINCON ALEJANDRA LORENA</t>
  </si>
  <si>
    <t>CORREDOR BUITRAGO YENNY MARITZA</t>
  </si>
  <si>
    <t xml:space="preserve">RINCON GUALTEROS SOLANGE </t>
  </si>
  <si>
    <t xml:space="preserve">SANCHEZ BAUTISTA CLAUDIA </t>
  </si>
  <si>
    <t xml:space="preserve">BLANCO  CAMILO </t>
  </si>
  <si>
    <t>RIVERA TORRES MARIA TATIANA</t>
  </si>
  <si>
    <t>VARGAS GUEZGUAN ANGIE JULIETH</t>
  </si>
  <si>
    <t xml:space="preserve">CHIA AMAYA ANSELMO </t>
  </si>
  <si>
    <t xml:space="preserve">DEL PILAR MARIA </t>
  </si>
  <si>
    <t>POVEDA RUEDA LIDIA MONICA</t>
  </si>
  <si>
    <t>BARRAGAN LOPEZ EDGAR AGUSTO</t>
  </si>
  <si>
    <t>BARRERA SILVA CLAUDIA LORENA</t>
  </si>
  <si>
    <t>VELASCO ALVAREZ JUAN CAMILO</t>
  </si>
  <si>
    <t>CAMACHO CEBALLOS PAULA NATALIA</t>
  </si>
  <si>
    <t>GOMEZ REYES MARCO ANTONIO</t>
  </si>
  <si>
    <t>AGUDELO CARDOZO MONICA TATIANA</t>
  </si>
  <si>
    <t>CASTILLO VARGAS DAVID ALEJANDRO</t>
  </si>
  <si>
    <t>ALMANZAR JOYA YEISSON CAMILO</t>
  </si>
  <si>
    <t>MICHELL EDUARDO SILVA BAUTISTA</t>
  </si>
  <si>
    <t>REYES RUANO JOHN SEBASTIAN</t>
  </si>
  <si>
    <t xml:space="preserve">VASQUES RABACE  JHOSELIN </t>
  </si>
  <si>
    <t>ACERO VALCARCEL JIMMY ORLANDO</t>
  </si>
  <si>
    <t>OCHOA VARGAS JUAN SEBASTIAN</t>
  </si>
  <si>
    <t>QUITIAN SILVA LINA MIREYA</t>
  </si>
  <si>
    <t>GUACANEME ALFONSO JHONNY STID</t>
  </si>
  <si>
    <t>BARBOSA DELGADO JUANITA VALENTINA</t>
  </si>
  <si>
    <t>ACERO CARVAJAL YULI CAROLINA</t>
  </si>
  <si>
    <t>RINCON RINCON CANDIDA ROSA</t>
  </si>
  <si>
    <t>SANDOVAL PEREZ EDWIN GUILLERMO</t>
  </si>
  <si>
    <t>ORJUELA ORTIZ DIANA MARCELA</t>
  </si>
  <si>
    <t>CARDENAS LOPEZ DIANA CAROLINA</t>
  </si>
  <si>
    <t>LEGUIZAMON RINCON CAMILO ALEJANDRO</t>
  </si>
  <si>
    <t>PEREZ RODRIGUEZ JONATAN ALEXANDER</t>
  </si>
  <si>
    <t>PARRA HIGUERA DANIEL FELIPE</t>
  </si>
  <si>
    <t>RINCON JAIMES NATALIA CAROLINA</t>
  </si>
  <si>
    <t>CAMILO ANTONIO BRAVO GONZALEZ</t>
  </si>
  <si>
    <t>MEJIA PEREZ ANGELA ADRIANA</t>
  </si>
  <si>
    <t>SANCHEZ NIÑO LUCY ESPERANZA</t>
  </si>
  <si>
    <t>BARRIOS MENDEZ KAREN PAOLA</t>
  </si>
  <si>
    <t>FAGUA CARDENAS DANIEL ANDRES</t>
  </si>
  <si>
    <t>TORRES LARA DIANA KATERINE</t>
  </si>
  <si>
    <t xml:space="preserve">FONSECA CARDERON  DIEGO </t>
  </si>
  <si>
    <t>GONZALEZ MEJIA WILLIAM RAUL</t>
  </si>
  <si>
    <t>MARTINEZ SARMIENTO SERGIO DAVID</t>
  </si>
  <si>
    <t xml:space="preserve">RUIZ FONSECA JHONATAN </t>
  </si>
  <si>
    <t xml:space="preserve">JAIME  LORENA </t>
  </si>
  <si>
    <t xml:space="preserve">ALBARRACIN PIRACHICAN JASBLEIDY </t>
  </si>
  <si>
    <t>QUIÑONEZ MARTINEZ NELSON YESID</t>
  </si>
  <si>
    <t>DUARTE  LEIDY ESTEFANIA</t>
  </si>
  <si>
    <t>ERIKA NATALIA CASTRO GALLO</t>
  </si>
  <si>
    <t xml:space="preserve">ROJAS RODRIGUEZ XIOMARA </t>
  </si>
  <si>
    <t>SANCHEZ DIAZ LIZ YISETH</t>
  </si>
  <si>
    <t>CASTILLO CATUMBA CLAUDIA JANNETH</t>
  </si>
  <si>
    <t>ROMERO SANDOVAL MAYURY ANDREA</t>
  </si>
  <si>
    <t>PEREZ ACERO YUDI LILIANA</t>
  </si>
  <si>
    <t>TELLEZ ROMERO JULIAN ANDRES</t>
  </si>
  <si>
    <t>HOLGUIN LARREA ISABEL CRISTINA</t>
  </si>
  <si>
    <t>CORDOBA ALARCON JAIME FABIAN</t>
  </si>
  <si>
    <t>CASTAÑO VANEGAS SEBASTIAN CAMILO</t>
  </si>
  <si>
    <t>CAICEDO OVIEDO JHERSON ANDRES</t>
  </si>
  <si>
    <t>ALBARRACIN BOHORQUEZ MYRIAM HIBON</t>
  </si>
  <si>
    <t>LEAL GUTIERREZ SUSAN SCARLEY</t>
  </si>
  <si>
    <t>RINCON SANTOS JUANA EDILCE</t>
  </si>
  <si>
    <t>VASQUEZ VALDERRAMA DAISSY XIMENA</t>
  </si>
  <si>
    <t xml:space="preserve">GUERRERO DIEGO OTALORA </t>
  </si>
  <si>
    <t>NORIEGA LOPEZ WILMER JOSE</t>
  </si>
  <si>
    <t>ROSAS LOPEZ MONICA FERNANDA</t>
  </si>
  <si>
    <t>MEJIA PINZON WINIS JORANNY</t>
  </si>
  <si>
    <t>SILVA NONSOCUA DUBAN ANTONIO</t>
  </si>
  <si>
    <t xml:space="preserve">DUENAS MARINO ALEJANDRA </t>
  </si>
  <si>
    <t>DIANA CAROLINA ALARCON NITOLA</t>
  </si>
  <si>
    <t>BAEZ SILVA EDWIN ALBERTO</t>
  </si>
  <si>
    <t>GARCIA VEGA LUIS FELIPE</t>
  </si>
  <si>
    <t>PARRA  JORGE ANDRES</t>
  </si>
  <si>
    <t>DE LA ROSA ORJUELA DAVID ARTURO</t>
  </si>
  <si>
    <t>JIMENEZ  ZAMIR JULIANA</t>
  </si>
  <si>
    <t>GOMEZ PITA NOHORA ALEJANDRA</t>
  </si>
  <si>
    <t>GUATIBONZA BARRERA ANA MARIA</t>
  </si>
  <si>
    <t>BECERRA RAVELO REINALDO DE JESUS</t>
  </si>
  <si>
    <t>MURILLO TABORDA MAX SEBASTIAN</t>
  </si>
  <si>
    <t>PULIDO LOPEZ ANDREA SOFIA</t>
  </si>
  <si>
    <t xml:space="preserve">ROMERO  LUZ </t>
  </si>
  <si>
    <t>PARRA PEREZ DIEGO ALEJANDRO</t>
  </si>
  <si>
    <t xml:space="preserve">MOYANO CACHOPE DANIELA </t>
  </si>
  <si>
    <t>GOMEZ MACHUCA GABRIEL HUMBERTO</t>
  </si>
  <si>
    <t>AVELLANEDA MORCOTE ZULLY KARINA</t>
  </si>
  <si>
    <t>QUINTERO  OSCAR DANIEL</t>
  </si>
  <si>
    <t>DIAZ BECERRA LINA MARIA</t>
  </si>
  <si>
    <t>SANCHEZ POSADA JOSE MANUEL</t>
  </si>
  <si>
    <t>ARIAS CHINOME YESID CAMILO</t>
  </si>
  <si>
    <t>LOPEZ BECERRA ANDREA CAROLINA</t>
  </si>
  <si>
    <t xml:space="preserve">PEREZ ACUÑA EUSEBIO </t>
  </si>
  <si>
    <t>SOTO LOPEZ SONIA EUGENIA</t>
  </si>
  <si>
    <t>AVELLANEDA MARTINEZ SANTIAGO IVAN</t>
  </si>
  <si>
    <t>ESTUPIÑAN SANCHEZ EDISSON FREDDY</t>
  </si>
  <si>
    <t>CORREA LINARES WILLIAM ALEXANDER</t>
  </si>
  <si>
    <t>RIVEROS PEDRAZA DIEGO FERNANDO</t>
  </si>
  <si>
    <t xml:space="preserve">MILENA  MAURA </t>
  </si>
  <si>
    <t>GUTIERREZ TIBADUIZA ANGELA CONSTANZA</t>
  </si>
  <si>
    <t>JIMENEZ ZAPATA LAURA MARIA</t>
  </si>
  <si>
    <t>GAMA SERRANO DENNYS ANDREA</t>
  </si>
  <si>
    <t>FONSECA MORENO MAIRETH KATHERINE</t>
  </si>
  <si>
    <t>BOLIVAR BOLIVAR LEIDY ZULEIMA</t>
  </si>
  <si>
    <t xml:space="preserve">SANCHEZ ARISMENDY MONICA </t>
  </si>
  <si>
    <t>ENGATIVA  ERIKA PATRICIA</t>
  </si>
  <si>
    <t xml:space="preserve">GRACIA RAMIREZ ESTEFANIA </t>
  </si>
  <si>
    <t>GOMEZ CASTRO PEDRO ALEXANDER</t>
  </si>
  <si>
    <t>RODRIGUEZ GOMEZ WILMAN YOVANI</t>
  </si>
  <si>
    <t>RIVERA ROA HECTOR LEONARDO</t>
  </si>
  <si>
    <t>GOMEZ CASTRO YENY ANDREA</t>
  </si>
  <si>
    <t>VERDUGO MARQUEZ JUAN SEBASTIAN</t>
  </si>
  <si>
    <t>ARIAS ARIAS WILSON ORLANDO</t>
  </si>
  <si>
    <t xml:space="preserve">ALARCON  ROSA </t>
  </si>
  <si>
    <t>MOLINA ESPITIA SANDRA LILIANA</t>
  </si>
  <si>
    <t>CARDENAS CALIXTO MIGUEL ANGEL</t>
  </si>
  <si>
    <t xml:space="preserve">SILVA  WALTER </t>
  </si>
  <si>
    <t xml:space="preserve">CASTEL  DIEGO </t>
  </si>
  <si>
    <t xml:space="preserve">SIERRA CONTRERAS FRANKY </t>
  </si>
  <si>
    <t xml:space="preserve">MESA BONILLA OSCAR </t>
  </si>
  <si>
    <t xml:space="preserve">VARGAS MUÑOZ EDUINSON </t>
  </si>
  <si>
    <t>FONSECA CALDERON CARLOS EDUARDO</t>
  </si>
  <si>
    <t>FAJARDO RODRIGUEZ JESSIKA LYA</t>
  </si>
  <si>
    <t>ASTRID ELIANA MONTAÑA ACOSTA</t>
  </si>
  <si>
    <t>HIGUERA PIEDRAHITA ROSA ISABEL</t>
  </si>
  <si>
    <t xml:space="preserve">VARGAS PINZON PAULA </t>
  </si>
  <si>
    <t>BERNAL PAEZ SONIA JULIETH</t>
  </si>
  <si>
    <t>GUTIERREZ TEJEDOR JOSE LEONARDO</t>
  </si>
  <si>
    <t>GOMEZ  DIANA ROCIO</t>
  </si>
  <si>
    <t>RAMOS  MARIA FERNANDA</t>
  </si>
  <si>
    <t>DIANA DEL SEPULVEDA CRISTANCHO</t>
  </si>
  <si>
    <t>ROJAS MURILLO LEIDY JULLIETTE</t>
  </si>
  <si>
    <t>RIZO LOPEZ ILIANA MELIZA</t>
  </si>
  <si>
    <t>DIAZ GONZALEZ LEIDY MARCELA</t>
  </si>
  <si>
    <t>ROJAS LEON ANA MARIA</t>
  </si>
  <si>
    <t>ABRIL PULIDO JUAN DAVID</t>
  </si>
  <si>
    <t>GARAVITO CHAPARRO CHRISTIAN DAVID</t>
  </si>
  <si>
    <t>SUAREZ ROMERO GUSTAVO ADOLFO</t>
  </si>
  <si>
    <t>LOPEZ BENAVIDES LAURA CAMILA</t>
  </si>
  <si>
    <t>SUAREZ NIÑO ANGIE VANESSA</t>
  </si>
  <si>
    <t>RODRIGUEZ PEDRAZA GABRIEL DAVID</t>
  </si>
  <si>
    <t>PENA VARGAS JAVIER ALEXIS</t>
  </si>
  <si>
    <t xml:space="preserve">GARCIA  LUIS </t>
  </si>
  <si>
    <t xml:space="preserve">DIAZ  VICTOR </t>
  </si>
  <si>
    <t>JONATHAN ALEJANDRO LOPEZ MOSQUERA</t>
  </si>
  <si>
    <t>SANCHEZ NEIRA ASTRID CAROLINA</t>
  </si>
  <si>
    <t>RICO MEJIA ANA MARIA</t>
  </si>
  <si>
    <t xml:space="preserve">SOTO SUA LEIDY </t>
  </si>
  <si>
    <t>ROJAS DIAZ YULI VIVIANA</t>
  </si>
  <si>
    <t>GOMEZ CEPEDA ANDRES SEBASTIAN</t>
  </si>
  <si>
    <t>NIÑO ROJAS GERSON FABIAN</t>
  </si>
  <si>
    <t>PEREZ VEGA KAREN DANIELA</t>
  </si>
  <si>
    <t>PEÑA DIAZ MARIA FERNANDA</t>
  </si>
  <si>
    <t>PEREZ PEREZ ANGEL ESTEBAN</t>
  </si>
  <si>
    <t>ACOSTA ESTUPIÑAN INGRI YOANA</t>
  </si>
  <si>
    <t xml:space="preserve">SOLER JIMENEZ GIOVANNI </t>
  </si>
  <si>
    <t>LUNA QUINTANA SILVIA MARIA</t>
  </si>
  <si>
    <t>RODRIGUEZ PATIÑO HELMER CEDIEL</t>
  </si>
  <si>
    <t>SERNA PERALTA YANINE PAOLA</t>
  </si>
  <si>
    <t>CASTELLANOS CELY HAROLD YEZID</t>
  </si>
  <si>
    <t>SAENZ RODRIGUEZ KEVIN SMITH</t>
  </si>
  <si>
    <t>TRUJILLO FIGUEREDO ANA PATRICIA</t>
  </si>
  <si>
    <t>SAMACA UCHAMOCHA JULIE VANESSA</t>
  </si>
  <si>
    <t>NUÑEZ CASTAÑEDA ANGELA MARIA</t>
  </si>
  <si>
    <t>FONSECA TOVAR JUAN CARLOS</t>
  </si>
  <si>
    <t>CORTES RIVERA JENNYFER ANDREA</t>
  </si>
  <si>
    <t>NOVOA AREVALO DANYA YESMID</t>
  </si>
  <si>
    <t>SALAZAR TORO ANGIE TATIANA</t>
  </si>
  <si>
    <t>SUA SALCEDO ANGELA PATRICIA</t>
  </si>
  <si>
    <t xml:space="preserve">MARTINES  BRYAN </t>
  </si>
  <si>
    <t>SANDOVAL LAVACUDE YEFFER LORENZO</t>
  </si>
  <si>
    <t xml:space="preserve">CELY  MARITZA </t>
  </si>
  <si>
    <t>MONTOLLA GUTIERREZ EDISSON YESID</t>
  </si>
  <si>
    <t>SANCHEZ SEPULVEDA YEIMY PAOLA</t>
  </si>
  <si>
    <t>CHAVEZ RIAÑO SARA LUCIA</t>
  </si>
  <si>
    <t>CHAPARRO CAMARGO DIEGO LEONARDO</t>
  </si>
  <si>
    <t>MURCIA  MIGUEL ANGEL</t>
  </si>
  <si>
    <t>SILVA ARENAS VIVIANA ANDREA</t>
  </si>
  <si>
    <t>RUBIANO ORTIZ JEISSON ANTONIO</t>
  </si>
  <si>
    <t>ENRIQUEZ TORRES BRAYAN SMITH</t>
  </si>
  <si>
    <t>RONCANCIO SANABRIA DAYANA ALEJANDRA</t>
  </si>
  <si>
    <t>BECERRA CORREDOR DIEGO ALONSO</t>
  </si>
  <si>
    <t>CELY CASTILLO NINZA ALEJANDRA</t>
  </si>
  <si>
    <t>TIRIA BARBOSA KAREN YULIETH</t>
  </si>
  <si>
    <t>PINEDA GUEVARA CHRISTIAN CAMILO</t>
  </si>
  <si>
    <t>GARCIA ESTUPINAN JHONATAN FERNANDO</t>
  </si>
  <si>
    <t>OLIVERAS ALVAREZ ARNOLD GERNEY</t>
  </si>
  <si>
    <t>TORRES RIAÑO fredy MIGUEL</t>
  </si>
  <si>
    <t>CELY CASTILLO LINA MARIA</t>
  </si>
  <si>
    <t xml:space="preserve">VERA LOPEZ CAROLINA </t>
  </si>
  <si>
    <t>MURILLO GOMEZ FABIOLA PATRICIA</t>
  </si>
  <si>
    <t>VASQUEZ BAUTISTA MARIA NELCY</t>
  </si>
  <si>
    <t>ACEVEDO MOYANO MARCOS GABRIEL</t>
  </si>
  <si>
    <t>RAMOS GARCIA YUDY LORENA</t>
  </si>
  <si>
    <t xml:space="preserve">VELASCO  SERGIO </t>
  </si>
  <si>
    <t>TORRES MORALES SARA MERCEDES</t>
  </si>
  <si>
    <t>DUEÑAS OJEDA MARTHA YANETH</t>
  </si>
  <si>
    <t>RODRIGUEZ DIAZ YULIETH ANDREA</t>
  </si>
  <si>
    <t>PAREDES HERNANDEZ DEISY YOHANNA</t>
  </si>
  <si>
    <t>DURAN RAMIREZ fabian ALDAIR</t>
  </si>
  <si>
    <t xml:space="preserve">Adriana  Luz </t>
  </si>
  <si>
    <t xml:space="preserve">RODRIGUEZ BUENHOMBRE JEFERSON </t>
  </si>
  <si>
    <t>PAIPA MERCHAN PABLO ALEJANDRO</t>
  </si>
  <si>
    <t>NIÑO FANDIÑO OMAR DAVID</t>
  </si>
  <si>
    <t>VILLAMIL VARGAS DAYANA ESTEFANIA</t>
  </si>
  <si>
    <t>GOMEZ SUAREZ YORBY ALEXANDER</t>
  </si>
  <si>
    <t>BARRETO PEREZ DANIEL CAMILO</t>
  </si>
  <si>
    <t>CARDENAS GALLO DAYANNA ALEJANDRA</t>
  </si>
  <si>
    <t>MOJICA GAITAN WILDER GONZALO</t>
  </si>
  <si>
    <t>LOPEZ AYALA CAMILO ALFONSO</t>
  </si>
  <si>
    <t>VANEGAS BALAGUERA YOHANA FABIOLA</t>
  </si>
  <si>
    <t xml:space="preserve">MERCHAN BAEZ FABIAN </t>
  </si>
  <si>
    <t>GUTIERREZ MARULANDA HENRY NICOLAS</t>
  </si>
  <si>
    <t>BENITEZ VELANDIA ANA DERLY</t>
  </si>
  <si>
    <t>SALAMANCA CORDOBA LAURA BEATRIZ</t>
  </si>
  <si>
    <t>ALARCON ALARCON JHON ALEJANDRO</t>
  </si>
  <si>
    <t>CONTRERAS GUIO LUIS ANTONIO</t>
  </si>
  <si>
    <t>MARTINEZ RODRIGUEZ EDWIN LEONARDO</t>
  </si>
  <si>
    <t>JULIO ANDRES ECHAVARRIA LLANOS</t>
  </si>
  <si>
    <t>CASTRO MOJICA KAREN DALLANA</t>
  </si>
  <si>
    <t>VEGA 3185119248 DANNY ARMANDO</t>
  </si>
  <si>
    <t>HERNANDEZ SALGADO DAVID CESAR</t>
  </si>
  <si>
    <t>HERNANDEZ GARZON JANNYTH SOFIA</t>
  </si>
  <si>
    <t>FARFAN CORTES BRIGGITTE KATERINE</t>
  </si>
  <si>
    <t xml:space="preserve">VARGAS QUIROGA ALBINO </t>
  </si>
  <si>
    <t>MORANTES REYES CRISTIAN DUVAN</t>
  </si>
  <si>
    <t>CRISTIANO SALCEDO KAREM YINETH</t>
  </si>
  <si>
    <t xml:space="preserve">PARDO CAMPOS DANIEL </t>
  </si>
  <si>
    <t>DIAZ IMBACHI MARCOS STEVEN</t>
  </si>
  <si>
    <t>HORTUA CARO MICHAEL STEVEN</t>
  </si>
  <si>
    <t>SILVA LEON LUDY EDIKC</t>
  </si>
  <si>
    <t xml:space="preserve">MORENO SANCHEZ SOLANGIE </t>
  </si>
  <si>
    <t>QUINTERO TOVAR DAHIANA LORENA</t>
  </si>
  <si>
    <t>BETANCUR MINOTAS JUAN CAMILO</t>
  </si>
  <si>
    <t>SOLAR HOYOS KELLY JOHANNA</t>
  </si>
  <si>
    <t xml:space="preserve">TORRES GALINDO MARISOL </t>
  </si>
  <si>
    <t>VEGA CORREDOR CRISTHIAN ARNULFO</t>
  </si>
  <si>
    <t>TORO RODRIGUEZ WILLIAM ORLANDO</t>
  </si>
  <si>
    <t>VILLAMIZAR  JULIE ALEJANDRA</t>
  </si>
  <si>
    <t xml:space="preserve">ALBEIRO  JESUS </t>
  </si>
  <si>
    <t>MARTINEZ NOVA NATALIA ALEJANDRA</t>
  </si>
  <si>
    <t>CEPEDA BARRIOS CRISTHIAN CAMILO</t>
  </si>
  <si>
    <t>FUENTES PEREZ GLORIA ROCIO</t>
  </si>
  <si>
    <t>PALACIOS ORTIZ RAUL ALFREDO</t>
  </si>
  <si>
    <t>VIVAS TORRES MONICA PATRICIA</t>
  </si>
  <si>
    <t>COMBARIZA GONZALEZ DIEGO ALEJANDRO</t>
  </si>
  <si>
    <t xml:space="preserve">GARCIA VEGA GUILLERMO </t>
  </si>
  <si>
    <t xml:space="preserve">PEREZ FUENTES SHARON </t>
  </si>
  <si>
    <t xml:space="preserve">CORTES  OSCAR </t>
  </si>
  <si>
    <t xml:space="preserve">LIEVANO PRIETO MAYERLY </t>
  </si>
  <si>
    <t>ROJAS MARINO CESAR AUGUSTO</t>
  </si>
  <si>
    <t>SANDOVAL SANDOVAL JOHN HENRY</t>
  </si>
  <si>
    <t>PUENTES ARIAS LEIDY YAMILE</t>
  </si>
  <si>
    <t xml:space="preserve">GAONA  ALEJA </t>
  </si>
  <si>
    <t>CORZO MOGOLLON FREDDY ALEXANDER</t>
  </si>
  <si>
    <t xml:space="preserve">BUSTAMANTE HUERTAS ANDRES </t>
  </si>
  <si>
    <t xml:space="preserve">PINEDA  LUIS </t>
  </si>
  <si>
    <t>ASCENCIO RAMIREZ CRISTHIAN FERNANDO</t>
  </si>
  <si>
    <t xml:space="preserve">AVILA REINA ALEJANDRO </t>
  </si>
  <si>
    <t>RECALDE VARGAS IVONNE TATIANA</t>
  </si>
  <si>
    <t>ADRIANA MARCELA TIRIA JAIMES</t>
  </si>
  <si>
    <t>SARMIENTO MORA ANDREA JUDITH</t>
  </si>
  <si>
    <t>ALFONSO CIENDUA JOSE LUIS</t>
  </si>
  <si>
    <t>VELANDIA PIEDRAHITA CAMILO ANDRES</t>
  </si>
  <si>
    <t>BAEZ OVIEDO CRISTIAM JOVANNY</t>
  </si>
  <si>
    <t>CAMARGO CHACON JOHAN DARIO</t>
  </si>
  <si>
    <t>FERNANDEZ RAVELO ANGIE JHOANNA</t>
  </si>
  <si>
    <t xml:space="preserve">AYALA  CRISTIAN </t>
  </si>
  <si>
    <t xml:space="preserve">SOFIA  ANA </t>
  </si>
  <si>
    <t>ARIZA MANOSLVA JAIR ANDRES</t>
  </si>
  <si>
    <t>HERNANDEZ PARDO VIVIANA KATHERINE</t>
  </si>
  <si>
    <t>VARGAS ORGANISTA SANDRA DANIELA</t>
  </si>
  <si>
    <t>VASCO . ERIKA TERESA</t>
  </si>
  <si>
    <t>CORCHUELO RUGE JUAN SEBASTIAN</t>
  </si>
  <si>
    <t>ERIKA ALEXANDRA RICO HERNANDEZ</t>
  </si>
  <si>
    <t>ORTIZ VARGAS JHON EDISSON</t>
  </si>
  <si>
    <t>OROZCO CLAVIJO MARCO EMILIO</t>
  </si>
  <si>
    <t>PIRA AYALA DIANA JULIETH</t>
  </si>
  <si>
    <t>BALAGUERA RINCON ANGIE TATIANA</t>
  </si>
  <si>
    <t>ROJAS AVILA KAROLAYS VALENTINA</t>
  </si>
  <si>
    <t>MUÑOZ MORALES MARIA CAMILA</t>
  </si>
  <si>
    <t>CUSBA MEJIA ANA MARIA</t>
  </si>
  <si>
    <t>PUENTES CELY MAYRA ALEJANDRA</t>
  </si>
  <si>
    <t>MESA VANEGAS JUAN CARLOS</t>
  </si>
  <si>
    <t>ZAPATA AVILA MARIA FERNANDA</t>
  </si>
  <si>
    <t>ROMERO ACOSTA GUSTAVO ENRIQUE</t>
  </si>
  <si>
    <t>PACHECO FIGUEROA JUAN MANUEL</t>
  </si>
  <si>
    <t>GIRALDO PINEDA RICARDO ANTONIO</t>
  </si>
  <si>
    <t>JIMENEZ GOMEZ ANNY BRIGIETTE</t>
  </si>
  <si>
    <t>ARAQUE ARAQUE LUZ MIREYA</t>
  </si>
  <si>
    <t>DAZA FERNANDEZ JHON ARLEY</t>
  </si>
  <si>
    <t xml:space="preserve">JOYA MANCIPE EDWINZON </t>
  </si>
  <si>
    <t>ROJAS ARAQUE LUZ MARORA</t>
  </si>
  <si>
    <t>CELY CELY LIDA ESPERANZA</t>
  </si>
  <si>
    <t>VARGAS LEON EDISON SEBASTIAN</t>
  </si>
  <si>
    <t>ACERO  ANGELA LIZETH</t>
  </si>
  <si>
    <t>VARGAS LEON CARLOS WILLINTONG</t>
  </si>
  <si>
    <t xml:space="preserve">ALFONSO  JUAN </t>
  </si>
  <si>
    <t>ARVEY FERNANDO SALAMANCA MURILLO</t>
  </si>
  <si>
    <t>COLMENARES ROJAS HILDER MILTON</t>
  </si>
  <si>
    <t>MOGOLLON MOGOLLON LINA MARIA</t>
  </si>
  <si>
    <t>ROJAS GIL GERMAN JULIAN</t>
  </si>
  <si>
    <t>VERDUGO CELY SAYDA LORENA</t>
  </si>
  <si>
    <t>SILVA ROJAS CRISTIAN FERNANDO</t>
  </si>
  <si>
    <t xml:space="preserve">CRISTANCHO SOLANO YESID </t>
  </si>
  <si>
    <t>ANGARITA ROJAS ANGIE KATHERINE</t>
  </si>
  <si>
    <t xml:space="preserve">RIOS  HUMBERTO </t>
  </si>
  <si>
    <t>SIZA SOTO NUBIA AMPARO</t>
  </si>
  <si>
    <t>SILVA GUALDRON JAIRO LIBARDO</t>
  </si>
  <si>
    <t>QUINTERO SALAZAR YUDY PAOLA</t>
  </si>
  <si>
    <t xml:space="preserve">ALARCON  NAYELY </t>
  </si>
  <si>
    <t>COGOLLO COBOS CLARA MILENA</t>
  </si>
  <si>
    <t>FUENTES CIFUENTES MARIA EUGENIA</t>
  </si>
  <si>
    <t xml:space="preserve">NINO SANDOVAL JORGE </t>
  </si>
  <si>
    <t>FUENTES CETINA JOSE DANILO</t>
  </si>
  <si>
    <t>OCHO ROJAS MONICA YANETH</t>
  </si>
  <si>
    <t xml:space="preserve">DIAZ GONZALEZ VALENTIN </t>
  </si>
  <si>
    <t xml:space="preserve">FUENTES MENDIVELSO ALEXANDER </t>
  </si>
  <si>
    <t>MARTINEZ MORA DERLY ROCIO</t>
  </si>
  <si>
    <t xml:space="preserve">TELLEZ  NEIDY </t>
  </si>
  <si>
    <t>CRISTIANO CERINZA HERNAN DARIO</t>
  </si>
  <si>
    <t>QUINTANA ENCISO JAIRO HERNAN</t>
  </si>
  <si>
    <t xml:space="preserve">ORJUELA  LUYS </t>
  </si>
  <si>
    <t>HUERTAS VARGAS NAREN DANIEL</t>
  </si>
  <si>
    <t>ROMERO RUBIANO DORA MARIA</t>
  </si>
  <si>
    <t>BUITRAGO DAZA MARIA ANGELICA</t>
  </si>
  <si>
    <t xml:space="preserve">JAIME SANCHEZ ALONSO </t>
  </si>
  <si>
    <t>CORDOBA BOLIVAR JOSE LUIS</t>
  </si>
  <si>
    <t>JOSE LUIS CORDOBA BOLIVAR</t>
  </si>
  <si>
    <t>DIAZ SANCHEZ MARTHA ISABEL</t>
  </si>
  <si>
    <t xml:space="preserve">MACIAS HECTOR JULIO </t>
  </si>
  <si>
    <t xml:space="preserve">DUARTE  EDGAR </t>
  </si>
  <si>
    <t>ROMERO PINZON ANDRES LEONARDO</t>
  </si>
  <si>
    <t>CACERES HERNANDEZ MARIA ISABEL</t>
  </si>
  <si>
    <t>BRICEÑO APONTE YEISON ARBEY</t>
  </si>
  <si>
    <t xml:space="preserve">LISSETH  OMAIRA </t>
  </si>
  <si>
    <t>FUENTES MEDINA TANIA CAROLINA</t>
  </si>
  <si>
    <t>BOTIA APONTE ROBERT YESID</t>
  </si>
  <si>
    <t xml:space="preserve">RUEDA  JULIO </t>
  </si>
  <si>
    <t>PALENCIA LIZARAZO DANA LISBETH</t>
  </si>
  <si>
    <t>MARTINEZ ARCINIEGAS GELVER HERNANDO</t>
  </si>
  <si>
    <t>LOPEZ MALDONADO CESAR LEONARDO</t>
  </si>
  <si>
    <t>CARDENAS DAZA DEYSI CAROLINA</t>
  </si>
  <si>
    <t>RODRIGUEZ BERNAL HENRY ARMANDO</t>
  </si>
  <si>
    <t>SUESCA TORRES FRANCISCO JAVIER</t>
  </si>
  <si>
    <t>CELY CRISTANCHO DINA LUZ</t>
  </si>
  <si>
    <t>MORENO CABALLERO WILSON GERARDO</t>
  </si>
  <si>
    <t>HIGUERA CASTAÑEDA ADRIAN DAVID</t>
  </si>
  <si>
    <t>CARDENAS RINCON CESAR ANDRES</t>
  </si>
  <si>
    <t>CUADRADO NUMPAQUE LUIS ENRIQUE</t>
  </si>
  <si>
    <t>NIETO BAUTISTA PAOLA JOHANA</t>
  </si>
  <si>
    <t>ADAME NINO SANDRA MAYERLI</t>
  </si>
  <si>
    <t>ROJAS SANDOVAL KARENT JULIETH</t>
  </si>
  <si>
    <t>COY MARTINEZ GINA VANESSA</t>
  </si>
  <si>
    <t>SAMACA PIRATOBA CLAUDIA PATRICIA</t>
  </si>
  <si>
    <t>ROMERO BARRETO ANGELA LILIANA</t>
  </si>
  <si>
    <t>CHIA  MARIA LUISA</t>
  </si>
  <si>
    <t>SANCHEZ MESA JENNY CAROLINA</t>
  </si>
  <si>
    <t>VIDAL CAMARGO SANDRA PATRICIA</t>
  </si>
  <si>
    <t xml:space="preserve">FUERTE  ANGELA </t>
  </si>
  <si>
    <t>JULIAN SEBASTIAN CALDERON FONSECA</t>
  </si>
  <si>
    <t>LOPEZ COY JULIETTE ALEXANDRA</t>
  </si>
  <si>
    <t>CRUZ CRUZ JULLY ANDREA</t>
  </si>
  <si>
    <t>FLOREZ ALFONSO RAFAEL ANTONIO</t>
  </si>
  <si>
    <t>DELGADO AVILA SANDRA MILENA</t>
  </si>
  <si>
    <t>CORREDOR  JORGE QUIÑONEZ</t>
  </si>
  <si>
    <t xml:space="preserve">LOPEZ  ANGELA </t>
  </si>
  <si>
    <t>ALVAREZ MANCIPE ANDRES GUILLERMO</t>
  </si>
  <si>
    <t>CRUZ GAMBOA VICKY GABRIELA</t>
  </si>
  <si>
    <t>GUERRERO ALBARRACIN EDNA YOMARA</t>
  </si>
  <si>
    <t>PINEDA LIMAS DIANA CAROLINA</t>
  </si>
  <si>
    <t>CRUZ MOYANO DIEGO FERNANDO</t>
  </si>
  <si>
    <t xml:space="preserve">ALARCON  ALEXANDRA </t>
  </si>
  <si>
    <t xml:space="preserve">BERDUGO  NESTOR </t>
  </si>
  <si>
    <t>QUINTERO TORRES RAMON FERNANDO</t>
  </si>
  <si>
    <t>MUÑOZ VELASQUEZ FABIAN ANDRES</t>
  </si>
  <si>
    <t>COLMENARES SOLANO ANDREA FABIOLA</t>
  </si>
  <si>
    <t>LARA BAEZ CARLOS ANDRES</t>
  </si>
  <si>
    <t xml:space="preserve">SALAZAR VARGAS DEISON </t>
  </si>
  <si>
    <t xml:space="preserve">PEREZ RIVERA NANCY </t>
  </si>
  <si>
    <t xml:space="preserve">TALERO SARMIENTO FERNANDO </t>
  </si>
  <si>
    <t xml:space="preserve">DIAZ . JEFFER </t>
  </si>
  <si>
    <t>MOLINA SOSA FABIAN ALEJANDRO</t>
  </si>
  <si>
    <t>PIRANEQUE AGUILAR JHON ALEXANDER</t>
  </si>
  <si>
    <t>LOPEZ SALAMANCA ANA PATRICIA</t>
  </si>
  <si>
    <t>MENDEZ NIÑO ANGELA JOHANNA</t>
  </si>
  <si>
    <t>PEDRAZA FAJARDO DIANA MARCELA</t>
  </si>
  <si>
    <t>SOSA VILLATE CINDY JOANA</t>
  </si>
  <si>
    <t>GELVEZ MARTINEZ DIANA MARCELA</t>
  </si>
  <si>
    <t>MORENO LOPEZ JHONATAN RAYN</t>
  </si>
  <si>
    <t xml:space="preserve">BUITRAGO ACUNA NICOLAS </t>
  </si>
  <si>
    <t>SUAREZ ROMERO GABRIEL FELIPE</t>
  </si>
  <si>
    <t>BETANCOUR  YEHIMY LORENA</t>
  </si>
  <si>
    <t xml:space="preserve">LUNA BARAJAS VIVIANA </t>
  </si>
  <si>
    <t>ROJAS ALVAREZ YENIFER ELESVY</t>
  </si>
  <si>
    <t>MORENO TORRES ALVARO ALEXANDER</t>
  </si>
  <si>
    <t>REYES SIERRA ANA VICTORIA</t>
  </si>
  <si>
    <t>CARDENAS ROMERO ERIKA TATIANA</t>
  </si>
  <si>
    <t>RINCON QUINTERO ALEJANDRA JARITZA</t>
  </si>
  <si>
    <t xml:space="preserve">NIÑO  DIEGO </t>
  </si>
  <si>
    <t>ALCANTAR CORREA ZULMA LIZZETH</t>
  </si>
  <si>
    <t>LOPEZ LOPEZ GISETH ALEXANDRA</t>
  </si>
  <si>
    <t>LEON WALTEROS FERNANDO ALONSO</t>
  </si>
  <si>
    <t>BECERRA RODRIGUEZ SERGIO DAVID</t>
  </si>
  <si>
    <t>GALLO GUERRERO YESMI ELIZABETH</t>
  </si>
  <si>
    <t>BERNAL RINCON YULY PAOLA</t>
  </si>
  <si>
    <t>SARMIENTO CALDERON JHON ALEXANDER</t>
  </si>
  <si>
    <t>RUBIO CUSPOCA ELIANA MARCELA</t>
  </si>
  <si>
    <t>FLOREZ ALFONSO MARIA ESPERANZA</t>
  </si>
  <si>
    <t>BLANCO CARRILLO MIGUEL LEONEL</t>
  </si>
  <si>
    <t>TORRES SAENZ PAOLA ANDREA</t>
  </si>
  <si>
    <t>JIMENEZ QUINTERO NELLY BIVIANA</t>
  </si>
  <si>
    <t xml:space="preserve">SEPULVEDA  NANCY </t>
  </si>
  <si>
    <t>PIRATOVA MESA EDWIN GEOVANNY</t>
  </si>
  <si>
    <t>ABRIL AVELLA ADRIANA LORENA</t>
  </si>
  <si>
    <t>GORDILLO MORENO JESUS DAVID</t>
  </si>
  <si>
    <t xml:space="preserve">TELLEZ MUÑOZ GLADYS </t>
  </si>
  <si>
    <t>PACHECO CARDENAS JUAN MANUEL</t>
  </si>
  <si>
    <t>BUITRAGO SAAVEDRA YESID ALFONSO</t>
  </si>
  <si>
    <t>AGUIRRE BERMUDEZ JAIME ALBERTO</t>
  </si>
  <si>
    <t>DELGADO LOPEZ HERMES JOHANN</t>
  </si>
  <si>
    <t>MONTOYA RINCON ANDERSON MANUEL</t>
  </si>
  <si>
    <t>GUACHETA TORRES JHON EDISON</t>
  </si>
  <si>
    <t>PARRA BOHORQUEZ CLARA TATIANA</t>
  </si>
  <si>
    <t>MELO BARRERA ANGELA ROCIO</t>
  </si>
  <si>
    <t>GOMEZ CORREA JUDY VANESSA</t>
  </si>
  <si>
    <t xml:space="preserve">CASTAÑEDA CASTAÑEDA RODRIGO </t>
  </si>
  <si>
    <t>LOPEZ CELY YENNY MARCELA</t>
  </si>
  <si>
    <t xml:space="preserve">CAINA  JOHNNY </t>
  </si>
  <si>
    <t xml:space="preserve">BERNAL  DIEGO </t>
  </si>
  <si>
    <t>ESTUPIÑAN MONTAÑEZ LIZETH FRANCISCA</t>
  </si>
  <si>
    <t xml:space="preserve">CORTES  XIOMARA </t>
  </si>
  <si>
    <t>SUAREZ GUERRERO WENDY LORENA</t>
  </si>
  <si>
    <t xml:space="preserve">MANCIPE LOPEZ ZENAIDA </t>
  </si>
  <si>
    <t>MONROY PARADA ANGIE TATIANA</t>
  </si>
  <si>
    <t>PIRACHICAN BUENO DIEGO ALEJANDRO</t>
  </si>
  <si>
    <t>CALDERON GALINDO ANGELICA MARIA</t>
  </si>
  <si>
    <t>CARREÑO CORDERO CLAUDIA MARCELA</t>
  </si>
  <si>
    <t>AREVALO SUAREZ NIDIA KARINA</t>
  </si>
  <si>
    <t>CIFUENTES LOPEZ JESSICA LORENA</t>
  </si>
  <si>
    <t>ACUÑA MESA WILMER ALEXANDER</t>
  </si>
  <si>
    <t>LOZANO HERNANDEZ EDGAR ANDRES</t>
  </si>
  <si>
    <t>GAITAN DIVANTOQUE ANGELA TATIANA</t>
  </si>
  <si>
    <t>AMADO QUINTERO PABLO DAVID</t>
  </si>
  <si>
    <t xml:space="preserve">ROJAS  ANDRES </t>
  </si>
  <si>
    <t xml:space="preserve">MARQUEZ PINZON OSCAR MAURICIO </t>
  </si>
  <si>
    <t>MARTINEZ LARGO NELSON JAVIER</t>
  </si>
  <si>
    <t>MONTAÑA NUMPAQUE MONICA SARIDE</t>
  </si>
  <si>
    <t>FONSECA FORERO INGRID JULIETH</t>
  </si>
  <si>
    <t>PARRA PARRA OLGA LILIANA</t>
  </si>
  <si>
    <t>PINZON CASTIBLANCO LINA ALEJANDRA</t>
  </si>
  <si>
    <t>FLOREZ DAZA YEISON ANTONIO</t>
  </si>
  <si>
    <t>MORENO ROJAS EMMA ROCIO</t>
  </si>
  <si>
    <t>GABRIEL ALBERTO ROJAS FERNANDEZ</t>
  </si>
  <si>
    <t>INFANTE ALVAREZ EDISSON LEONARDO</t>
  </si>
  <si>
    <t>CELY MONTOYA NATALIA MARIA</t>
  </si>
  <si>
    <t>CUEVAS MERCHAN YURLEY KATERINE</t>
  </si>
  <si>
    <t>VACA VILLAMIL LINA KATHERINE</t>
  </si>
  <si>
    <t>BUSTAMANTE PARADA OSCAR IVAN</t>
  </si>
  <si>
    <t>VERGARA RODRIGUEZ LORENA LICETH</t>
  </si>
  <si>
    <t>SALAMANCA LIZARAZO JUAN DAVID</t>
  </si>
  <si>
    <t xml:space="preserve">ARENAS HERNANDEZ MAURICIO </t>
  </si>
  <si>
    <t>PAIPILLA MIGUEZ CAMILO ALEJANDRO</t>
  </si>
  <si>
    <t xml:space="preserve">CASTRO GARAVITO ERICA </t>
  </si>
  <si>
    <t>CORREA HERNANDEZ YULDOR ELISEO</t>
  </si>
  <si>
    <t>SANCHEZ MAYORGA CRISTIAN CAMILO</t>
  </si>
  <si>
    <t>AMAYA JIMENEZ MAURO STEBAN</t>
  </si>
  <si>
    <t xml:space="preserve">VARGAS MEDINA KATERINET </t>
  </si>
  <si>
    <t xml:space="preserve">NAJAR  DIANA </t>
  </si>
  <si>
    <t xml:space="preserve">HERNANDEZ MARTINEZ DANIEL </t>
  </si>
  <si>
    <t>VARGAS REYES SHEILA FANORY</t>
  </si>
  <si>
    <t>SALAMANCA MARTINEZ LINA MARIA</t>
  </si>
  <si>
    <t>ALRCON GONZALES MARIA ALEJANDRA</t>
  </si>
  <si>
    <t xml:space="preserve">CARRILLO BLANCO ALBEIRO </t>
  </si>
  <si>
    <t>AVENDAÑO SOLER CRISTIAN CAMILO</t>
  </si>
  <si>
    <t>LEON CORDERO MONICA TATIANA</t>
  </si>
  <si>
    <t>PINEDA MENDIETA FABIO HERNAN</t>
  </si>
  <si>
    <t>ROJAS ALFONSO LINA PAOLA</t>
  </si>
  <si>
    <t>JOSE ALEJANDRO URIAN MARTINEZ</t>
  </si>
  <si>
    <t>RIVERA DAMIAN SAUL ARTURO</t>
  </si>
  <si>
    <t>CUERVO CRUZ ANDRES FELIPE</t>
  </si>
  <si>
    <t xml:space="preserve">PRIETO  DIANA </t>
  </si>
  <si>
    <t>NUNCIRA MANRIQUE ALVARO ANDRES</t>
  </si>
  <si>
    <t>ESPITIA BUITRAGO ANDREA JANNETH</t>
  </si>
  <si>
    <t xml:space="preserve">TAPIERO CIFUENTES HERNAN </t>
  </si>
  <si>
    <t>MORENO MORENO ANA MAYERLI</t>
  </si>
  <si>
    <t>RAVELO FERNANDEZ ANDRA MIREYA</t>
  </si>
  <si>
    <t>MORENO RAMIREZ ADRIANA CAROLINA</t>
  </si>
  <si>
    <t>HERNANDEZ  STIVEN ALEXANDER</t>
  </si>
  <si>
    <t>PEDRAZA BLANDON LAURA CRISTINA</t>
  </si>
  <si>
    <t xml:space="preserve">MARTINEZ MARTINEZ JONATHAN </t>
  </si>
  <si>
    <t>GONZALEZ BOHORQUEZ LEIDY TATIANA</t>
  </si>
  <si>
    <t>CAMARGO MONTAÑEZ BEBY YOHANA</t>
  </si>
  <si>
    <t>JIMENEZ NAJAR GRETTEL CAMILA</t>
  </si>
  <si>
    <t>CAMARGO  DIEGO JULIAN</t>
  </si>
  <si>
    <t>HURTADO BERNAL CARLOS HUMBERTO</t>
  </si>
  <si>
    <t>SALAMANCA LIZARAZO YULIED YAQUELINE</t>
  </si>
  <si>
    <t>JUAN DAVID VEGA FONSECA</t>
  </si>
  <si>
    <t>CASTRO MOLANO GABRIEL SANTIAGO</t>
  </si>
  <si>
    <t>VARGAS MEDINA HOLLMAN SANTIAGO</t>
  </si>
  <si>
    <t>PINZON 3229051692 RUTH DENIXEN</t>
  </si>
  <si>
    <t>PINEDA CADENA JEISSON DAVID</t>
  </si>
  <si>
    <t>HERNANDEZ BECERRA ANGELA CAMILA</t>
  </si>
  <si>
    <t>MEJIA MARTINEZ ERIKA JOSEFA</t>
  </si>
  <si>
    <t>HERRERA ESTUPIÑAN JULIAN CAMILO</t>
  </si>
  <si>
    <t>MORALEZ DIAZ TATIANA MARCELA</t>
  </si>
  <si>
    <t>VARGAS GALAN dannis lorena</t>
  </si>
  <si>
    <t>MENDIVELSO ESPINOSA JOHJAN DANILO</t>
  </si>
  <si>
    <t>ROJAS CARVAJAL JUAN ANDRES</t>
  </si>
  <si>
    <t>BARRETO VARGAS ERIKA ANDREA</t>
  </si>
  <si>
    <t>MALAVER LEON YULY ANDREA</t>
  </si>
  <si>
    <t>NINO MORALES OLGA LUCIA</t>
  </si>
  <si>
    <t xml:space="preserve">INFANTE  JAIME </t>
  </si>
  <si>
    <t>MUNEVAR MANRIQUE DEICY JULIANA</t>
  </si>
  <si>
    <t>CHAVES RINCON ELVER NOLBERTO</t>
  </si>
  <si>
    <t>PIÑEROS CABALLERO DIANA MILENA</t>
  </si>
  <si>
    <t xml:space="preserve">TELLEZ RONDEROS CONSTANZA </t>
  </si>
  <si>
    <t>JUAN CARLOS SANTOS CARDENAS</t>
  </si>
  <si>
    <t>OROZCO SALCEDO ANDRES FERNEY</t>
  </si>
  <si>
    <t>CALIXTO CAMARGO JHON FREDY</t>
  </si>
  <si>
    <t>RODRIGUEZ MANOSALVA EDWIN ANDRES</t>
  </si>
  <si>
    <t>MORALES MANRIQUE ANGELA PAOLA</t>
  </si>
  <si>
    <t>VEGA SANCHEZ HENRY HUMBERTO</t>
  </si>
  <si>
    <t>MORENO LEON VICTOR ALFONSO</t>
  </si>
  <si>
    <t>FONSECA ORTIZ YESID DAVID</t>
  </si>
  <si>
    <t>SANTOS MORALES DERLI YASMIN</t>
  </si>
  <si>
    <t>BALLESTEROS SALAMANCA ANGELA DE JESUS</t>
  </si>
  <si>
    <t>GARCES BALAGUERA CARLOS FRANCISCO</t>
  </si>
  <si>
    <t>RODRIGUEZ RIOS DEICY JOHANA</t>
  </si>
  <si>
    <t>TOBASIA PUENTES IVAN DARIO</t>
  </si>
  <si>
    <t>CASTANEDA PARRA LUZ MARY</t>
  </si>
  <si>
    <t>TOLEDO MARQUEZ ALVARO JAVIER</t>
  </si>
  <si>
    <t xml:space="preserve">TRIANA ADIHELA BAEZ </t>
  </si>
  <si>
    <t>CASTELLANOS BAEZ JEISON ALEJANDRO</t>
  </si>
  <si>
    <t xml:space="preserve">MARTINEZ PEREZ ANDREA </t>
  </si>
  <si>
    <t>ESTEPA VERDUGO NANCY YASMIN</t>
  </si>
  <si>
    <t>VARGAS GOYENECHE LUISA FERNANDA</t>
  </si>
  <si>
    <t>MANRIQUE CERON DEISY MARIA</t>
  </si>
  <si>
    <t xml:space="preserve">CORREDOR REYES MIGUEL </t>
  </si>
  <si>
    <t>BELTRAN  JHON SEBASTIAN</t>
  </si>
  <si>
    <t>VARGAS VILLATE DEISY LILIANA</t>
  </si>
  <si>
    <t>MESA CHAPARRO JUAN SEBASTIAN</t>
  </si>
  <si>
    <t>LLANO CAICEDO JUAN JOSE</t>
  </si>
  <si>
    <t>CRISTIANO UMAÑA SARITH DAYANA</t>
  </si>
  <si>
    <t>CRISTIANO UMAÑA NIKOL LICETH</t>
  </si>
  <si>
    <t>ARIAS LEGUIZAMON BLANCA NIEVES</t>
  </si>
  <si>
    <t>LIZARAZO SANABRIA CRISTIAN ANDRES</t>
  </si>
  <si>
    <t>CALDERON VARGAS VALERI YULIETH</t>
  </si>
  <si>
    <t xml:space="preserve">LOPEZ  AHIDA </t>
  </si>
  <si>
    <t>PEDRAZA VARGAS DEISY ESPERANZA</t>
  </si>
  <si>
    <t>SUAREZ VEGA RUBY FABIOLA</t>
  </si>
  <si>
    <t>LOPEZ LOPEZ JOSE ROBERTO</t>
  </si>
  <si>
    <t>CASTELLANOS ACOSTA CRISTIAN CAMILO</t>
  </si>
  <si>
    <t>NIÑO ROJAS ANDREA SORAYA</t>
  </si>
  <si>
    <t>BELLO ANTOLINEZ JUAN CARLOS</t>
  </si>
  <si>
    <t>RINCON BALLESTEROS OMAR OSWALDO</t>
  </si>
  <si>
    <t>ROSAS ARIZA YULI ANDREA</t>
  </si>
  <si>
    <t>MONROY SEPEDA SERGIO DIOMEDES</t>
  </si>
  <si>
    <t>LOPEZ GUTIERREZ SINDY LORENA</t>
  </si>
  <si>
    <t>CHAPARRO FONSECA HOLMAN ENRIQUE</t>
  </si>
  <si>
    <t>MARTINEZ GARCIA OSCAR JOVANY</t>
  </si>
  <si>
    <t>CRUZ MESA JAVIER ANCIZAR</t>
  </si>
  <si>
    <t>NARANJO RODRIGUEZ JULIETH CATALINA</t>
  </si>
  <si>
    <t>PINEDA RINCON DIEGO FERNANDO</t>
  </si>
  <si>
    <t>ACEVEDO CHAPARRO MONICA PATRICIA</t>
  </si>
  <si>
    <t>ALARCON PEREZ FREDY ALEXANDER</t>
  </si>
  <si>
    <t>PLAZAS AVELLA ANGELA PATRICIA</t>
  </si>
  <si>
    <t>FONSECA RAMIREZ YEIMY LORENA</t>
  </si>
  <si>
    <t>MONTAÑA MUNEVAR CAREN YOHANA</t>
  </si>
  <si>
    <t>ZULMA MARISOL SUAREZ CORREA</t>
  </si>
  <si>
    <t>QUIROZ QUIROZ MILTON IVAN</t>
  </si>
  <si>
    <t>PATIÑO MARTINEZ JOSE ANTONIO</t>
  </si>
  <si>
    <t>BARRERA JAIME FREDY LEONARDO</t>
  </si>
  <si>
    <t>MEJIA ZUNIGA JULIO ANDRES</t>
  </si>
  <si>
    <t>NIÑO BERNAL OSCAR OSWALDO</t>
  </si>
  <si>
    <t>NIÑO BERNAL JAIRO ANDRES</t>
  </si>
  <si>
    <t>BECERRA BECERRA REINALDO ALONSO</t>
  </si>
  <si>
    <t>OSCAR ALFONSO PINTO ALBARRACIN</t>
  </si>
  <si>
    <t>SEPULVEDA . GONZALO HUMBERTO</t>
  </si>
  <si>
    <t>ROMERO  JOSE ALEXANDER</t>
  </si>
  <si>
    <t>LEMUS PIRAGUA OSCAR ALEXANDER</t>
  </si>
  <si>
    <t>LEON GUERRERO LUIS FERNANDO</t>
  </si>
  <si>
    <t>ORTIZ VARON JOHAN ALEJANDRO</t>
  </si>
  <si>
    <t>PEREZ SISSA VICTOR ALFONSO</t>
  </si>
  <si>
    <t>SOLERA RIVERA JUDY PAOLA</t>
  </si>
  <si>
    <t>PARAMO TRIANA CARLOS ROBERTO</t>
  </si>
  <si>
    <t>SANDOVAL INFANTE SERGIO GABRIEL</t>
  </si>
  <si>
    <t>FIGUEROA TORRES LUIS CARLOS</t>
  </si>
  <si>
    <t>CASTAÑEDA VELAZCO DIANA MERCEDES</t>
  </si>
  <si>
    <t>ABELLA AVELLA JENNY PATRICIA</t>
  </si>
  <si>
    <t xml:space="preserve">DANILO  ALEX </t>
  </si>
  <si>
    <t>PALENCIA ZABALA JORGE EDUARDO</t>
  </si>
  <si>
    <t>RONDEROS CORDOBA DIANA PAOLA</t>
  </si>
  <si>
    <t>RODRIGUEZ VARGAS LIDA PATRICIA</t>
  </si>
  <si>
    <t>SANCHEZ ARDILA EDGAR IGNACIO</t>
  </si>
  <si>
    <t>SUAREZ RUBIO SANDRA ROCIO</t>
  </si>
  <si>
    <t>MUÑOS CONTRERAS CARLOS JOSE</t>
  </si>
  <si>
    <t>LOPEZ BUITRAGO ANGELA PATRICIA</t>
  </si>
  <si>
    <t>ACEVEDO CRUZ RUBEN DARIO</t>
  </si>
  <si>
    <t>CELY CELY CARLOS ARTURO</t>
  </si>
  <si>
    <t>RINCON  CARLOS ARMANDO</t>
  </si>
  <si>
    <t>ROJAS NOCUA ELSA MARLENY</t>
  </si>
  <si>
    <t>TORRES ROJAS SULMA ANDREA</t>
  </si>
  <si>
    <t>SISSA BENAVIDES JAWIN RENE</t>
  </si>
  <si>
    <t>NANCY MIREYA SOLANO VARGAS</t>
  </si>
  <si>
    <t xml:space="preserve">CRISTANCHO SALAMANCA HEINY </t>
  </si>
  <si>
    <t>CARDENAS VRGAS FLOR ELENA</t>
  </si>
  <si>
    <t>SOLER ALVAREZ MIGUEL ANGEL</t>
  </si>
  <si>
    <t>CELY CELY ENYI GRACIELA</t>
  </si>
  <si>
    <t>RODRIGUEZ GUARIN YEISSON ANDRES</t>
  </si>
  <si>
    <t>SILVA VARGAS JUAN PABLO</t>
  </si>
  <si>
    <t>MARTINEZ CELY JONATHAN CAMILO</t>
  </si>
  <si>
    <t>MARTINEZ PEREZ MARIA PAULA</t>
  </si>
  <si>
    <t>HOLGUIN ANGARITA YEFERSSON YESID</t>
  </si>
  <si>
    <t>HIGUERA SILVA KAREN XIOMARA</t>
  </si>
  <si>
    <t>GARAY TORO WENDI VANESA</t>
  </si>
  <si>
    <t>MACHUCA SAAVEDRA NANCY CAROLINA</t>
  </si>
  <si>
    <t xml:space="preserve">GOMEZ PARRA TIODOR </t>
  </si>
  <si>
    <t xml:space="preserve">SISA PEREZ CARMENZA </t>
  </si>
  <si>
    <t>FERNANDEZ GUERRERO ANDERSON FERNEY</t>
  </si>
  <si>
    <t xml:space="preserve">CASTRO PINEDA OMAR </t>
  </si>
  <si>
    <t>WILLIAM GIOVANY LOPEZ VEGA</t>
  </si>
  <si>
    <t>CORDOBA CORREDOR SARA CORDOBA</t>
  </si>
  <si>
    <t>ZARATE RINCON NANCY PAOLA</t>
  </si>
  <si>
    <t xml:space="preserve">INFANTE GRANADOS HERMELIAS </t>
  </si>
  <si>
    <t xml:space="preserve">GONZALEZ GALLO HENRRY </t>
  </si>
  <si>
    <t>CASTRO GOMEZ JOSE YAMID</t>
  </si>
  <si>
    <t>CARREÑO PINEDA CLARA MABEL</t>
  </si>
  <si>
    <t>RINCON PEÑARANDA WILFRAN SAURYTH</t>
  </si>
  <si>
    <t xml:space="preserve">CORDOBA CONTRERAS NATALY </t>
  </si>
  <si>
    <t>PORRAS BALAGUERA JOSE CAMILO</t>
  </si>
  <si>
    <t>CEPEDA BAEZ MARTHA ROCIO</t>
  </si>
  <si>
    <t xml:space="preserve">CRUZ  YOANA </t>
  </si>
  <si>
    <t>VARGAS MOJICA CLAIRE ASTRITH</t>
  </si>
  <si>
    <t>HERNANDEZ DUARTE RUBIEL FERNANDO</t>
  </si>
  <si>
    <t>DIAZ LOPEZ LUZ ANGELA</t>
  </si>
  <si>
    <t xml:space="preserve">CASTRO PINEDA  WILMER MAURICIO </t>
  </si>
  <si>
    <t>MARTINEZ CASTRO LUIS ALEJANDRO</t>
  </si>
  <si>
    <t>BALAGUERA CRISTANCHO EDWIN IVAN</t>
  </si>
  <si>
    <t>TRIANA PATARROYO JUAN ANTONIO</t>
  </si>
  <si>
    <t xml:space="preserve">VARGAS BOADA ELISABETH </t>
  </si>
  <si>
    <t>GUERRERO TRIANA CARLOS ANDRES</t>
  </si>
  <si>
    <t xml:space="preserve">SILVA LOPEZ JOSUE </t>
  </si>
  <si>
    <t xml:space="preserve">PEREZ DIAZ ELIZABETH </t>
  </si>
  <si>
    <t>PARRA SILVA FABIO ANDRES</t>
  </si>
  <si>
    <t>PEREA LARA CARLOS ANDRES</t>
  </si>
  <si>
    <t>DIAZ GARCIA HEIVAR MIGUEL</t>
  </si>
  <si>
    <t>MORENO SISA CAMILO ANDRES</t>
  </si>
  <si>
    <t>OROZCO CASTRO OSCAR ANDRES</t>
  </si>
  <si>
    <t>FUENTES DULCEY FABIO ISMAEL</t>
  </si>
  <si>
    <t xml:space="preserve">SISSA SISSA ELMER </t>
  </si>
  <si>
    <t>ANGARITA VARGAS HELY JOHANA</t>
  </si>
  <si>
    <t>GONZALEZ GONZALEZ SONIA ESPERANZA</t>
  </si>
  <si>
    <t xml:space="preserve">BALAGUERA  LEIDY </t>
  </si>
  <si>
    <t xml:space="preserve">DIAZ FUENTES MARISOL </t>
  </si>
  <si>
    <t xml:space="preserve">PEREZ RIVERA OLIVERIO </t>
  </si>
  <si>
    <t xml:space="preserve">ANGARITA CASTRO LUCIO </t>
  </si>
  <si>
    <t xml:space="preserve">AGREDO GARCIA NYDIA </t>
  </si>
  <si>
    <t>SAAVEDRA BARRERA MARIA GLADYS</t>
  </si>
  <si>
    <t xml:space="preserve">PEREZ GOMEZ VIVIANA </t>
  </si>
  <si>
    <t>DUEÑEZ PINEDA NINI MILENA</t>
  </si>
  <si>
    <t>CHIQUILLO RINCON DIEGO FABIAN</t>
  </si>
  <si>
    <t>VARGAS BOADA MONICA LIZETH</t>
  </si>
  <si>
    <t>CRISTANCHO CUCAITA CARLOS EDUARDO</t>
  </si>
  <si>
    <t>RINCON OJEDA LUIS EDUARDO</t>
  </si>
  <si>
    <t>RODRIGUEZ FERNANDEZ JOHN ARLEY</t>
  </si>
  <si>
    <t>BALAGUERA ALARCON FABIO ENRIQUE</t>
  </si>
  <si>
    <t>CELY . NELSON JAVIER</t>
  </si>
  <si>
    <t>PINZON RINCON JOHANA MARCELA</t>
  </si>
  <si>
    <t xml:space="preserve">SOLANO OLARTE HENRRY </t>
  </si>
  <si>
    <t>BAUTISTA ALBARRACIN LUIS JAVIER</t>
  </si>
  <si>
    <t>FUENTES MORENO ELIANA MARCELA</t>
  </si>
  <si>
    <t>GIL ARAQUE HECTOR JOSE</t>
  </si>
  <si>
    <t xml:space="preserve">BAEZ POLICARPO GALLO </t>
  </si>
  <si>
    <t>MORENO ALBARRACIN JULIANA ISABEL</t>
  </si>
  <si>
    <t>VARGAS ARAQUE YEISON FARIDT</t>
  </si>
  <si>
    <t>DIAS MENDOZA JESSICA PAOLA</t>
  </si>
  <si>
    <t>CASTRO AYALA DEYBIS JULIAN</t>
  </si>
  <si>
    <t>BALAGUERA ALARCON EDILMA ALEXANDRA</t>
  </si>
  <si>
    <t>MEJIA LOPEZ JORGE ANDRES</t>
  </si>
  <si>
    <t>TRIANA GUTIERREZ DIANA LICETH</t>
  </si>
  <si>
    <t>PACHON CARDENAS RUBEN DARIO</t>
  </si>
  <si>
    <t>VACA MARTINEZ WILMAR ERNESTO</t>
  </si>
  <si>
    <t xml:space="preserve">CASTRO  DIEGO </t>
  </si>
  <si>
    <t>CASTRO GONZALEZ LILIANA ROCIO</t>
  </si>
  <si>
    <t>CRISTANCHO CUCAITA LEIDY YORELY</t>
  </si>
  <si>
    <t>OLARTE CEPEDA ANGELA PATRICIA</t>
  </si>
  <si>
    <t>CASTRO AYALA RUSBEL ALBERTO</t>
  </si>
  <si>
    <t>GALLO FUENTES JOSE ALBEIRO</t>
  </si>
  <si>
    <t>GUERRERO CARDENAS PAULA ANDREA</t>
  </si>
  <si>
    <t>RAMIREZ RINCON RAFAEL RICARDO</t>
  </si>
  <si>
    <t>MOLINA CARDENAS FLORALBA LICETH</t>
  </si>
  <si>
    <t xml:space="preserve">GOMEZ GOMEZ ESNEIDER </t>
  </si>
  <si>
    <t>CASTRO OLARTE HENRY ERNESTO</t>
  </si>
  <si>
    <t>PEREA ESLAVA SEBASTIAN FERNANDO</t>
  </si>
  <si>
    <t xml:space="preserve">MAYORGA  ALFONSO </t>
  </si>
  <si>
    <t xml:space="preserve">OROZCO MERIDA JHON </t>
  </si>
  <si>
    <t>SILVA RAVELO KAREN EDITH</t>
  </si>
  <si>
    <t>BOADA NIÑO ANGELICA VIVIANA</t>
  </si>
  <si>
    <t>CAICEDO ACEVEDO CLAUDIA ASTRID</t>
  </si>
  <si>
    <t>DIAZ CASTRO MARIA DORAINE</t>
  </si>
  <si>
    <t>VARGAS  LEIDY MARCELA</t>
  </si>
  <si>
    <t>CARDENAS BAEZ JAIRO HUMBERTO</t>
  </si>
  <si>
    <t>CASTRO PEREZ LUIS ALBERTO</t>
  </si>
  <si>
    <t xml:space="preserve">PIÑEROS GALLO ALEJANDRA </t>
  </si>
  <si>
    <t>ALARCON JIMENEZ JHON JAIME</t>
  </si>
  <si>
    <t>VARGAS ARAQUE LUIS FRANCISCO</t>
  </si>
  <si>
    <t>SIERRA RODRIGUEZ NATALIA ANGELICA</t>
  </si>
  <si>
    <t xml:space="preserve">SANTOS  ANDRES </t>
  </si>
  <si>
    <t>VEGA MARQUEZ JOSE SEBASTIAN</t>
  </si>
  <si>
    <t>TRIANA REYES CRISTIAN FABIAN</t>
  </si>
  <si>
    <t xml:space="preserve">ROJAS PEREZ XIOMARA </t>
  </si>
  <si>
    <t>RIVERA ROJAS DEICY VIVIANA</t>
  </si>
  <si>
    <t xml:space="preserve">CASTRO GONZALEZ MONICA </t>
  </si>
  <si>
    <t>GALLO GONZALEZ OSCAR DARIO</t>
  </si>
  <si>
    <t>DIAZ VARGAS MAYER IVAN</t>
  </si>
  <si>
    <t>CHIA CHIA JOSE LUIS</t>
  </si>
  <si>
    <t>POVEDA PINILLA IRMA VIVIANA</t>
  </si>
  <si>
    <t xml:space="preserve">CESPEDES PENALOZA CATERINE </t>
  </si>
  <si>
    <t>CETINA PEREZ EDISON FABIAN</t>
  </si>
  <si>
    <t>MARTINEZ ROJAS HEYDI CAROLINA</t>
  </si>
  <si>
    <t>RINCON RODRIGUEZ LEIDY JOHANA</t>
  </si>
  <si>
    <t>PARADA RINCON OMAR DARIO</t>
  </si>
  <si>
    <t>CHAPARRO NITOLA SERGIO ALEXANDER</t>
  </si>
  <si>
    <t>GONZALEZ JOYA NANCY MAYERLY</t>
  </si>
  <si>
    <t>BAUTISTA ALVAREZ ANA FABIOLA</t>
  </si>
  <si>
    <t xml:space="preserve">CHAPARRO ROJAS OMAIRA </t>
  </si>
  <si>
    <t>AMAYA CRUZ JHON HENRRY</t>
  </si>
  <si>
    <t>BARRERA BOTIA LUZ DEL CARMEN</t>
  </si>
  <si>
    <t>MARTINEZ NIÑO GUILLERMO ANDRES</t>
  </si>
  <si>
    <t>ANGARITA MARGARITA DANIELA ALEJANDRA</t>
  </si>
  <si>
    <t xml:space="preserve">DIAZ BERNAL EDUARDO </t>
  </si>
  <si>
    <t>FLECHAS MENDOZA FABIAN OSWALDO</t>
  </si>
  <si>
    <t>HERNANDEZ MORALES MANUEL ALIRIO</t>
  </si>
  <si>
    <t>MEGIA PEÑA JENNY MAGNOLIA</t>
  </si>
  <si>
    <t>YARURO MUÑOZ BRANDOM FELIPE</t>
  </si>
  <si>
    <t>ZULUAGA NITOLA KATERIN YULIETH</t>
  </si>
  <si>
    <t>CUSPOCA RINCON JOHN HENRY</t>
  </si>
  <si>
    <t xml:space="preserve">ROJAS CADENA YAZMIN </t>
  </si>
  <si>
    <t xml:space="preserve">MELO MALAVER MAURICIO </t>
  </si>
  <si>
    <t>ALFONSO PEREZ JULY MARCELA</t>
  </si>
  <si>
    <t>MANUEL ALEXANDER JEJEN VARGAS</t>
  </si>
  <si>
    <t>JUAN SEBASTIAN RUBIO ROJAS</t>
  </si>
  <si>
    <t>LARA CASTANEDA JAVIER MAURICIO</t>
  </si>
  <si>
    <t>RINCON HUEZA JOHN JAIRO</t>
  </si>
  <si>
    <t>PEDRAZA CARDENAS NURY SULIETH</t>
  </si>
  <si>
    <t>MORENO PEREZ VIVIANA MARCELA</t>
  </si>
  <si>
    <t>DALLOS RINCON CARLOS FERNANDO</t>
  </si>
  <si>
    <t xml:space="preserve">ANDRES  FREDY </t>
  </si>
  <si>
    <t>VARGAS NIÑO LUCY MASNEY</t>
  </si>
  <si>
    <t>CHAPARRO SUAREZ DEISY MILENA</t>
  </si>
  <si>
    <t>VARGAS MONROY SERGIO ANDRES</t>
  </si>
  <si>
    <t>SEPULBEDA BLANCO MARIA LUISA</t>
  </si>
  <si>
    <t>AGUILAR JARRO ZULMA PATRICIA</t>
  </si>
  <si>
    <t>GAITAN GRIMALDOS JULIAN DAVID</t>
  </si>
  <si>
    <t>NIÑO  JORGE ARMANDO</t>
  </si>
  <si>
    <t>CAMACHO ZAFRA OSCAR DARIO</t>
  </si>
  <si>
    <t>GONZALEZ SILVA SANDRA MILENA</t>
  </si>
  <si>
    <t>MARTINEZ FLOREZ SANDRA MILENA</t>
  </si>
  <si>
    <t>MEDINA OCHOA JOHN FERNANDO</t>
  </si>
  <si>
    <t>RUIZ TORRES JESUS DE</t>
  </si>
  <si>
    <t>GOMEZ BARRERA JUSTO ALEXANDER</t>
  </si>
  <si>
    <t>REYES BECERRA DIANA JULITA</t>
  </si>
  <si>
    <t>MESA TAMAYO ADRIANA MARCELA</t>
  </si>
  <si>
    <t>SUAREZ JIMENEZ YENY ROCIO</t>
  </si>
  <si>
    <t>JIMENEZ PINZON MARIA ALEJANDRA</t>
  </si>
  <si>
    <t>TORRES . FERNANDO ALONSO</t>
  </si>
  <si>
    <t>GLORIA EDITH MARTINEZ GOMEZ</t>
  </si>
  <si>
    <t>GONZALEZ ALVAREZ YINA SNITH</t>
  </si>
  <si>
    <t>PERALTA TORRES VICTOR ALFONSO</t>
  </si>
  <si>
    <t>DG 18 19 36 BECERRA DIANA PATRICIA</t>
  </si>
  <si>
    <t>ROCHA CORREDOR DIANA CAROLINA</t>
  </si>
  <si>
    <t>DIAZ CHAVEZ JENNY PAOLA</t>
  </si>
  <si>
    <t>FONSECA CHINOME JOSE RAUL</t>
  </si>
  <si>
    <t xml:space="preserve">JULIAN  YEFERSON </t>
  </si>
  <si>
    <t>PINZON MORENO JUAN CARLOS</t>
  </si>
  <si>
    <t>MOLINA DOTTOR CARLOS ANTONIO</t>
  </si>
  <si>
    <t>NORE VEGA YEIMY NATALY</t>
  </si>
  <si>
    <t xml:space="preserve">TORRES BLANCO YONGI </t>
  </si>
  <si>
    <t>CAMARGO LIZARAZO ELIANA ANDREA</t>
  </si>
  <si>
    <t>SANCHEZ TIBAMOSO SANDRA CAROLINA</t>
  </si>
  <si>
    <t>ACUNA CORONADO JOHANA PATRICIA</t>
  </si>
  <si>
    <t>ACERO CORTES JORGE ALIRIO</t>
  </si>
  <si>
    <t>ESPINDOLA  LINA MARCELA</t>
  </si>
  <si>
    <t>BELLO GARCIA JHON EDISON</t>
  </si>
  <si>
    <t>BARON SANDOVAL CARMEN DEL</t>
  </si>
  <si>
    <t>GALLO RODRIGUEZ JHON ALEXANDER</t>
  </si>
  <si>
    <t xml:space="preserve">MURILLO RODRIGUEZ  IADER JHONATTAN </t>
  </si>
  <si>
    <t>MORENO GOMEZ DEISSY JOHANA</t>
  </si>
  <si>
    <t>CHAPARRO GUAYARA LAURA XIMENA</t>
  </si>
  <si>
    <t>LEON BOLIVAR LILIANA PATRICIA</t>
  </si>
  <si>
    <t>ARAQUE DUCON WILMER HERNANDO</t>
  </si>
  <si>
    <t xml:space="preserve">GUTIERREZ MERCHAN WILMAR </t>
  </si>
  <si>
    <t>FAJARDO VARGAS DAVID ALONSO</t>
  </si>
  <si>
    <t xml:space="preserve">ELIZABETH  ADRIANA </t>
  </si>
  <si>
    <t>GONZALEZ DUARTE HECTOR ALIRIO</t>
  </si>
  <si>
    <t>RINCON ADAME ANDREA CAROLINA</t>
  </si>
  <si>
    <t>FLOREZ BECERRA DAYANA ALEXANDRA</t>
  </si>
  <si>
    <t>CHAPARRO BONILLA DEISSY PAOLA</t>
  </si>
  <si>
    <t>GIL RINCON SANDRA MILENA</t>
  </si>
  <si>
    <t>CEPEDA HERNANDEZ ANA MARIA</t>
  </si>
  <si>
    <t xml:space="preserve">VELANDIA MATEUS FERNEY </t>
  </si>
  <si>
    <t>PEDRAZA FAJARDO HAWIN ENRIQUE</t>
  </si>
  <si>
    <t>FUENTES MATEUS LUIS FERNANDO</t>
  </si>
  <si>
    <t>FLECHAS GARCIA LOREN JEANETH</t>
  </si>
  <si>
    <t>DUEÑAS TORRES SONIA ESPERANZA</t>
  </si>
  <si>
    <t>LAURA DANIELA PERALTA ORDUZ</t>
  </si>
  <si>
    <t>ZABALA GUEVARA ANYELA MARCELA</t>
  </si>
  <si>
    <t>CARRERO  JORGE LUIS</t>
  </si>
  <si>
    <t>REYES PEDRAZA DEISY LILIANA</t>
  </si>
  <si>
    <t xml:space="preserve">GIOVANNY  VICTOR </t>
  </si>
  <si>
    <t>OCHOA AVENDAÑO LEIDY JOHANNA</t>
  </si>
  <si>
    <t>QUIROZ GUERRERO ALVARO ANDRES</t>
  </si>
  <si>
    <t xml:space="preserve">CHAPARRO GONZALEZ LISDELY </t>
  </si>
  <si>
    <t>MARTINEZ MORALES VICTOR ALFONSO</t>
  </si>
  <si>
    <t>TRASLAVINA MAHECHA JULI FARLEY</t>
  </si>
  <si>
    <t>BONZA CAMARGO RONAL ANTONIO</t>
  </si>
  <si>
    <t>ORTIZ VARGAS WILSON JESUS</t>
  </si>
  <si>
    <t>AVILA CHAPARRO DERLY KATERINE</t>
  </si>
  <si>
    <t>PEDRAZA FRACICA SANDRA PATRICIA</t>
  </si>
  <si>
    <t>MORA ACOSTA LUZ GERALDINE</t>
  </si>
  <si>
    <t>VIVIANA PEDRAZA LUDI VIVIANA</t>
  </si>
  <si>
    <t>BUITRAGO MONTAÑEZ LUCIA FERNANDA</t>
  </si>
  <si>
    <t>SUAREZ DIAZ BRAULIO ERNESTO</t>
  </si>
  <si>
    <t xml:space="preserve">ZABALA  SILVIA </t>
  </si>
  <si>
    <t>CORREA RINCON CARMEN YOLANDA</t>
  </si>
  <si>
    <t>PICO TELLEZ VICTOR ALFONSO</t>
  </si>
  <si>
    <t xml:space="preserve">RODRIGUEZ  LINA </t>
  </si>
  <si>
    <t>BOADA MILLAN MARGARITA DEL PILAR</t>
  </si>
  <si>
    <t>ESPITIA QUIJANO ANGELA TATIANA</t>
  </si>
  <si>
    <t>MALAVER ALFONSO DIANA NATALY</t>
  </si>
  <si>
    <t>ALVAREZ CARACAS OSCAR JAVIER</t>
  </si>
  <si>
    <t>GOYENECHE VERA FABIAN ALFONSO</t>
  </si>
  <si>
    <t>DEISY CAROLINA GALINDO PALACIOS</t>
  </si>
  <si>
    <t xml:space="preserve">CICERI NINO  MAGNOLIA ANDREA </t>
  </si>
  <si>
    <t>SILVA BRICEÑO CLARA IBETH</t>
  </si>
  <si>
    <t xml:space="preserve">VELASQUEZ SILVA YELITHZA </t>
  </si>
  <si>
    <t>BECERRA CASTRO LUZ ADRIANA</t>
  </si>
  <si>
    <t>WILMAR JAVIER PEREZ CASTILLO</t>
  </si>
  <si>
    <t>PINEDA PINEDA FREDY ALEXANDER</t>
  </si>
  <si>
    <t>SANABRIA AMAYA LUZ NEIDY</t>
  </si>
  <si>
    <t>CAMARGO CORREA RUBIELA BERNARDA</t>
  </si>
  <si>
    <t>DIEGO ARMANDO GONZALEZ GONZALEZ</t>
  </si>
  <si>
    <t xml:space="preserve">PAOLA  LADY </t>
  </si>
  <si>
    <t>ABRIL DURAN ANGEL YECID</t>
  </si>
  <si>
    <t>MARTINEZ MONTANA DIANA CAROLINA</t>
  </si>
  <si>
    <t>NITOLA ARAQUE DIEGO ERICSON</t>
  </si>
  <si>
    <t>SALAMANCA PULIDO LEIDY ALEXANDRA</t>
  </si>
  <si>
    <t xml:space="preserve">TORRES  JESUS </t>
  </si>
  <si>
    <t>BECERRA VALDERRAMA MIGUEL ANGEL</t>
  </si>
  <si>
    <t>CHINOME CELIS NANCY CARMENZA</t>
  </si>
  <si>
    <t>CELY NOVA ANGELICA PATRICIA</t>
  </si>
  <si>
    <t>ORJUELA MENDOZA CARLOS JAVIER</t>
  </si>
  <si>
    <t xml:space="preserve">CONDE .  IOGGAN </t>
  </si>
  <si>
    <t>CHAPARRO AMAYA DIVA ALEXANDRA</t>
  </si>
  <si>
    <t>CARDENAS LEON JOHAN GERARDO</t>
  </si>
  <si>
    <t>CAMARGO ESPEJO DIANA ROCIO</t>
  </si>
  <si>
    <t>CHAVEZ CHAVEZ JOHN FREDY</t>
  </si>
  <si>
    <t>GUIO CARDOZO EDITH YASMIN</t>
  </si>
  <si>
    <t>CORREDOR TORRES ANGELA PATRICIA</t>
  </si>
  <si>
    <t>NINI JOHANA PESCA CABRERA</t>
  </si>
  <si>
    <t>PARRA  OSCAR FERNANDO</t>
  </si>
  <si>
    <t>NIÑO RINCON DIANA MAGALY</t>
  </si>
  <si>
    <t>DORIS PATRICIA PAMPLONA CAMARGO</t>
  </si>
  <si>
    <t>BAEZ CORREDOR LILI JOHANA</t>
  </si>
  <si>
    <t>RODRIGUEZ OROZCO VIVIANA LISETH</t>
  </si>
  <si>
    <t>VARGAS CAMARGO FREDY ALEXANDER</t>
  </si>
  <si>
    <t xml:space="preserve">FONSECA JOYA FERNANDO </t>
  </si>
  <si>
    <t>FRACICA FRACICA JOAN ALEXANDER</t>
  </si>
  <si>
    <t>SANCHEZ  LAURA CAMILA</t>
  </si>
  <si>
    <t>RINCON GRIMALDOS YULY ANDREA</t>
  </si>
  <si>
    <t>NUÑEZ ROMERO LIZ KAREN</t>
  </si>
  <si>
    <t>GUEVARA ENCISO DAYANNA CAROLINA</t>
  </si>
  <si>
    <t>GUEVARA BECERRA ANDREA PAOLA</t>
  </si>
  <si>
    <t>LARA OBREGON JORGE YONATHAN</t>
  </si>
  <si>
    <t>GROSSO TURGA JONATAN DAVID</t>
  </si>
  <si>
    <t>GONZALEZ GONZALEZ SAUL RICARDO</t>
  </si>
  <si>
    <t>CRISTIANO JACOME EDWARD ALEXANDER</t>
  </si>
  <si>
    <t xml:space="preserve">MARROQUIN SALCEDO OSCAR </t>
  </si>
  <si>
    <t>HIGUERA NARANJO CLAUDIA YAZMIN</t>
  </si>
  <si>
    <t>GALINDO VARGAS CARLOS ANDRES</t>
  </si>
  <si>
    <t>BOHORQUEZ TORRES MIGUEL LEONARDO</t>
  </si>
  <si>
    <t>YEIMY LIZET RINCON CHACON</t>
  </si>
  <si>
    <t>TRUJILLO GARCIA LEONARDO ANDRES</t>
  </si>
  <si>
    <t xml:space="preserve">LOPEZ INFANTE  LIDA MILENA </t>
  </si>
  <si>
    <t>BECERRA  MONICA JOHANA</t>
  </si>
  <si>
    <t>SOSA GONZALEZ NANCY FABIOLA</t>
  </si>
  <si>
    <t>CORONADO MATEUS DEISY MARICELA</t>
  </si>
  <si>
    <t xml:space="preserve">RODRIGUEZ  NIDIA </t>
  </si>
  <si>
    <t>REYES MARTINEZ HENRY ALEXANDER</t>
  </si>
  <si>
    <t>TRIANA ESTEPA CRISTHIAN RICARDO</t>
  </si>
  <si>
    <t xml:space="preserve">HERRERA  LIDEN </t>
  </si>
  <si>
    <t>PIRAJON SOLER NEIRY YOLIMA</t>
  </si>
  <si>
    <t xml:space="preserve">MARTINEZ VARGAS  FRANCISCO HUMBERTO </t>
  </si>
  <si>
    <t xml:space="preserve">RIVERA  YESICA </t>
  </si>
  <si>
    <t>CARVAJAL RINCON STELLA CAROLINA</t>
  </si>
  <si>
    <t>TENJO RAMIREZ LINA MARCELA</t>
  </si>
  <si>
    <t xml:space="preserve">NITOLA BALAGUERA  ANGELA BEATRIZ </t>
  </si>
  <si>
    <t>FONSECA RODRIGUEZ WILMER ERNESTO</t>
  </si>
  <si>
    <t>ESTEPA MANRIQUE DEISSI DILENI</t>
  </si>
  <si>
    <t xml:space="preserve">SALAZAR CARDENAS ALEXANDRA </t>
  </si>
  <si>
    <t>SALCEDO LEON EDWIN ROLANDO</t>
  </si>
  <si>
    <t>PARADA ANDRADE ASTRID JOHANNA</t>
  </si>
  <si>
    <t>QUIROZ ZARAZA IVONNE LORENA</t>
  </si>
  <si>
    <t>GOMEZ BECERRA ANDREA DEL PILAR</t>
  </si>
  <si>
    <t>CAMARGO CHAPARRO CRISTIAN LEONARDO</t>
  </si>
  <si>
    <t>LOPEZ HURTADO LADY CAROLINA</t>
  </si>
  <si>
    <t xml:space="preserve">AMAYA RIVERA LEIDY </t>
  </si>
  <si>
    <t xml:space="preserve"> CAMACHO JOHANNA ROCIO </t>
  </si>
  <si>
    <t xml:space="preserve">GOMEZ RINCON CAROLINA </t>
  </si>
  <si>
    <t>FAJARDO LOPEZ JENNY VIVIAN</t>
  </si>
  <si>
    <t>PEREZ TAITA ADRIANA CAROLINA</t>
  </si>
  <si>
    <t>COMBITA FARIAS EDITH YOLANDA</t>
  </si>
  <si>
    <t>MARTINEZ PINTO DIANA CAROLINA</t>
  </si>
  <si>
    <t>MOJICA FERNANDEZ FABIAN ARBEY</t>
  </si>
  <si>
    <t>SOLEDAD SIZA LUIS EDUARDO</t>
  </si>
  <si>
    <t>ARAQUE PUERTO ANGELA VIVIANA</t>
  </si>
  <si>
    <t>RAMIREZ CUSPOCA KAROL GINNET</t>
  </si>
  <si>
    <t>CAMACHO GALLO JHON ALEXANDER</t>
  </si>
  <si>
    <t>LUGO CELIS DIANA ADELAIDA</t>
  </si>
  <si>
    <t>BERNAL NIÑO ANGELIN LUCIA</t>
  </si>
  <si>
    <t>GONZALES TEQUIA MAYRA PILAR</t>
  </si>
  <si>
    <t>CANO HERNADEZ HUGO ALBERTO</t>
  </si>
  <si>
    <t>ROBLES SANCHEZ SERGIO ANDRES</t>
  </si>
  <si>
    <t>BARRERA SOLANO DERLY MARCELA</t>
  </si>
  <si>
    <t>CHISINO MANOSALVA DORIS YANETH</t>
  </si>
  <si>
    <t>NEITA GARZON CAMILO ESTEBAN</t>
  </si>
  <si>
    <t>LOPEZ ZARTA FABIAN ARCADIO</t>
  </si>
  <si>
    <t>SEPULVEDA MANRIQUE CARMEN LILIANA</t>
  </si>
  <si>
    <t>CHACON RAMOS EDGAR NORBEY</t>
  </si>
  <si>
    <t>QUIÑONES TRIANA DIANA MARCELA</t>
  </si>
  <si>
    <t xml:space="preserve">ANGEL LIZARAZO MIGUEL </t>
  </si>
  <si>
    <t>BUSTACARA DIAZ MAYERLY ANDREA</t>
  </si>
  <si>
    <t>TAMARA CARDENAS SONIA ALEJANDRA</t>
  </si>
  <si>
    <t>SOLER GARCIA MANUEL ALBERTO</t>
  </si>
  <si>
    <t>MACIAS MORALES SANDRA LILIANA</t>
  </si>
  <si>
    <t>VALDERRAMA ROCHA MAGDA YULIANA</t>
  </si>
  <si>
    <t>SALAZAR CORREA JAIR GIOVANNI</t>
  </si>
  <si>
    <t>CHACON DIAZ IVAN DARIO</t>
  </si>
  <si>
    <t>PATIÑO GIL FABIO ANDRES</t>
  </si>
  <si>
    <t>GUIO ANGARITA ENDRY CAROLINA</t>
  </si>
  <si>
    <t>DIAZ GARZON YESICA TATIANA</t>
  </si>
  <si>
    <t>VARGAS BECERRA BLANCA CECILIA</t>
  </si>
  <si>
    <t>NIÑO CORREDOR FLOR ALICIA</t>
  </si>
  <si>
    <t>LEON LEON YENNY ROCIO</t>
  </si>
  <si>
    <t xml:space="preserve">CLEMENCIA  LINA </t>
  </si>
  <si>
    <t xml:space="preserve">NIÑO RINCON CAROLINA </t>
  </si>
  <si>
    <t>VARGAS SANDOVAL CARMEN DEL</t>
  </si>
  <si>
    <t>MORA ARISMENDI MARIA DEL CARMEN</t>
  </si>
  <si>
    <t>FONSECA MONROY LUDWING JAIR</t>
  </si>
  <si>
    <t>PANQUEVA LOPEZ JUAN CARLOS</t>
  </si>
  <si>
    <t>ARISMENDY RODRIGUEZ ANGELA PAOLA</t>
  </si>
  <si>
    <t>CELY ROJAS ZULMA LILIANA</t>
  </si>
  <si>
    <t>MORENO HUERTAS JOHANA MERLINE</t>
  </si>
  <si>
    <t>COGARIA GOMEZ WILMAR GIOVANNI</t>
  </si>
  <si>
    <t>DIAZ BOLIVAR PAOLA CAROLINA</t>
  </si>
  <si>
    <t>VELANDIA NIÑO SANDRA ROCIO</t>
  </si>
  <si>
    <t>TORRES GALINDO DAWIN JAVIER</t>
  </si>
  <si>
    <t>SIACHOQUE PEDRAZA YULDER HONORIO</t>
  </si>
  <si>
    <t>PEREZ RODRIGUEZ ADYLE CATHERINE</t>
  </si>
  <si>
    <t>GUECHA HERNANDEZ VICTOR ALFONSO</t>
  </si>
  <si>
    <t>NUNCIRA CORREDOR GIOVANY FERNANDO</t>
  </si>
  <si>
    <t xml:space="preserve">ALFONSO ALVAREZ EDGAR </t>
  </si>
  <si>
    <t xml:space="preserve">MORALES SOLANO FAUSTO </t>
  </si>
  <si>
    <t>AVENDAÑO RODRIGUEZ VICTOR JULIO</t>
  </si>
  <si>
    <t>BAEZ QUINTERO ANA HELDA</t>
  </si>
  <si>
    <t>MAZO HIGUERA MARLI YANETH</t>
  </si>
  <si>
    <t xml:space="preserve">AGUDELO CARDOZO CAROLINA </t>
  </si>
  <si>
    <t>GUARIN GUEVARA JHON EDGAR</t>
  </si>
  <si>
    <t>HOSTOS  LAURA LILIANA</t>
  </si>
  <si>
    <t>CORREA CORREDOR JOVANY ANTONIO</t>
  </si>
  <si>
    <t xml:space="preserve">HERNANDEZ DALLOS  DIANA MARCELA </t>
  </si>
  <si>
    <t>ABRIL LEON JHONATHAN ANDRES</t>
  </si>
  <si>
    <t xml:space="preserve">MENDIVELSO 3118226041 JORGE </t>
  </si>
  <si>
    <t>VELANDIA  JOSE JOAQUIN</t>
  </si>
  <si>
    <t>BLANCO CAMARGO DAVID ALFONSO</t>
  </si>
  <si>
    <t>CABRERA BECERRA DIEGO ARMANDO</t>
  </si>
  <si>
    <t>SANDOVAL LOPEZ JOHN HENRY</t>
  </si>
  <si>
    <t>SALAZAR DIAZ ERIK ANDERZON</t>
  </si>
  <si>
    <t>BLANCO CORREDOR JULIETH ANDREA</t>
  </si>
  <si>
    <t xml:space="preserve">DIAZ  ALEXANDER </t>
  </si>
  <si>
    <t>HIGUERA DUARTE DAVID FERNANDO</t>
  </si>
  <si>
    <t>PINEDA ZARABANDA EDGAR RICARDO</t>
  </si>
  <si>
    <t>SANDOVAL CEPEDA DIEGO LEONARDO</t>
  </si>
  <si>
    <t xml:space="preserve">AVELLANEDA SALAZAR MAURICIO </t>
  </si>
  <si>
    <t>CARDENAS PALACIO VICTOR ALONSO</t>
  </si>
  <si>
    <t>CAMARGO VALENCIA FREDY GIOVANNY</t>
  </si>
  <si>
    <t>MARQUEZ PARADA MAGDA YARLEY</t>
  </si>
  <si>
    <t>VALCARCEL DATIVA CARMEN YESSENIA</t>
  </si>
  <si>
    <t>QUINTERO ROJAS MARIA FERNANDA</t>
  </si>
  <si>
    <t>ROJAS RODRIGUEZ MARLY DALLANA</t>
  </si>
  <si>
    <t>MORENO SUAREZ FERNANDO AUGUSTO</t>
  </si>
  <si>
    <t>SAAVEDRA RIOS ZULMA MILENA</t>
  </si>
  <si>
    <t>PISA PRIETO WILMAR LEANDRO</t>
  </si>
  <si>
    <t>AVELLA LOPEZ GERMAN ALBERTO</t>
  </si>
  <si>
    <t xml:space="preserve">RINCON ALFONSO NORA </t>
  </si>
  <si>
    <t>FERRUCHO ALVAREZ DIEGO HERNANDO</t>
  </si>
  <si>
    <t>CUADROS TORRES MARY NELSIN</t>
  </si>
  <si>
    <t>LACHE COMBARIZA MARY LUZ</t>
  </si>
  <si>
    <t xml:space="preserve">ENGATIVA TOLEDO JACOB </t>
  </si>
  <si>
    <t>HIGUERA MARTINEZ DIANA MIREYA</t>
  </si>
  <si>
    <t>PUERTO ROJAS JOHN DIEGO</t>
  </si>
  <si>
    <t>CEPEDA PEREZ JESSICA JOHANA</t>
  </si>
  <si>
    <t>CARDOZO  JUDITH JOHANA</t>
  </si>
  <si>
    <t>GUEVARA GAMBOA DIEGO ELISEO</t>
  </si>
  <si>
    <t>VARGAS CARO MARIA CELMIRA</t>
  </si>
  <si>
    <t xml:space="preserve">ARIZA  VIVIANA </t>
  </si>
  <si>
    <t>NITOLA TORRES LEDY YOLIMA</t>
  </si>
  <si>
    <t>FLOREZ LOPEZ MONICA YAMILE</t>
  </si>
  <si>
    <t>AMEZQUITA BECERRA HENRY EDUARDO</t>
  </si>
  <si>
    <t>PUENTES CORREDOR CARLOS ANDRES</t>
  </si>
  <si>
    <t>GARCIA FONSECA JENIFER PAOLA</t>
  </si>
  <si>
    <t>FAURA ESTUPINAN EIDY CAROLINA</t>
  </si>
  <si>
    <t>VIVAS ERRENO ERIKA VIVIANA</t>
  </si>
  <si>
    <t>MARQUEZ VARGAS CESAR AUGUSTO</t>
  </si>
  <si>
    <t>ACOSTA VARGAS NURY JAZMIN</t>
  </si>
  <si>
    <t xml:space="preserve">CARDENAS CARDENAS  WILLIAM </t>
  </si>
  <si>
    <t>GONZALEZ VARGAS WILSON RICARDO</t>
  </si>
  <si>
    <t>FORERO AVELLANADA MARTHA CECILIA</t>
  </si>
  <si>
    <t>CELY RAMIREZ JUAN PABLO</t>
  </si>
  <si>
    <t>PRIETO CARDENAS MONICA LILIANA</t>
  </si>
  <si>
    <t>MORENO DIAZ JOEL SANTIAGO</t>
  </si>
  <si>
    <t>CORREDOR GONZALEZ LUZ MARINA</t>
  </si>
  <si>
    <t xml:space="preserve">OCHOA PEREZ OSCAR </t>
  </si>
  <si>
    <t xml:space="preserve">CAMARGO GUTIERREZ LUCERO </t>
  </si>
  <si>
    <t>MALAGON QUIROGA ANA AILEEN</t>
  </si>
  <si>
    <t>PITA PEDRAZA MIGUEL MAURICIO</t>
  </si>
  <si>
    <t>GUEVARA VILLAMIL PEDRO ERNESTO</t>
  </si>
  <si>
    <t>CORREDOR SOLER CAMILO ANDRES</t>
  </si>
  <si>
    <t>CUY BARON WILLIAN ALEXANDER</t>
  </si>
  <si>
    <t>PUERTO MORENO ROSMARY ANDREA</t>
  </si>
  <si>
    <t>INFANTE VACCA MONICA ANDREA</t>
  </si>
  <si>
    <t>RODRIGUEZ GONZALEZ HECTOR ANDRES</t>
  </si>
  <si>
    <t>MANRIQUE CORDERO MARIA TERESA</t>
  </si>
  <si>
    <t>AVILA LARA YEICY MARCELA</t>
  </si>
  <si>
    <t>CACERES ABRIL DEISSY CAROLINA</t>
  </si>
  <si>
    <t>JOYA ROJAS ANGELA NOHEMY</t>
  </si>
  <si>
    <t>GONZALEZ TRIANA JUAN MANUEL</t>
  </si>
  <si>
    <t>CUSPOCA LOPEZ ERIKA MARCELA</t>
  </si>
  <si>
    <t>CUTA TIBADUIZA YULIET MAYERLY</t>
  </si>
  <si>
    <t>CARRERO MONROY LIGIA YOLIMA</t>
  </si>
  <si>
    <t>GONZALEZ GARZON LEIDY GISELLE</t>
  </si>
  <si>
    <t>SOSA JIMENEZ CRISTIAN CAMILO</t>
  </si>
  <si>
    <t>LOPEZ PEREZ YARLEY MILENA</t>
  </si>
  <si>
    <t>OLIVEROS GOMEZ JUAN CARLOS</t>
  </si>
  <si>
    <t>TORRES FONSECA WILSON FERNEY</t>
  </si>
  <si>
    <t>VASQUEZ OSORIO JOHN HENRY</t>
  </si>
  <si>
    <t>RINCON TIRIA JOSE ALEJANDRO</t>
  </si>
  <si>
    <t>HAROLD FERNANDO ESQUIVEL RICO</t>
  </si>
  <si>
    <t>DUQUE LARA ANDREA YADIRA</t>
  </si>
  <si>
    <t>SAAVEDRA RIOS YENNY FABIOLA</t>
  </si>
  <si>
    <t>GALVIS  LUZ ANGELA</t>
  </si>
  <si>
    <t>GUARIN HERNANDEZ ALBA LUCIA</t>
  </si>
  <si>
    <t>GOMEZ PORRAS YUDY JUDITH</t>
  </si>
  <si>
    <t>CABRA ABRIL YEFERSON JAVIER</t>
  </si>
  <si>
    <t xml:space="preserve">NORE VEGA WILMAR </t>
  </si>
  <si>
    <t>LOPEZ MARQUEZ EDWIN DARIO</t>
  </si>
  <si>
    <t>VELANDIA PALACIOS LEIDY YOHANA</t>
  </si>
  <si>
    <t xml:space="preserve">BARRERA MESA YAMILE </t>
  </si>
  <si>
    <t>HERNANDEZ CELY MIGUEL ANGEL</t>
  </si>
  <si>
    <t>MERCHAN OSUNA DAVID LEONARDO</t>
  </si>
  <si>
    <t>MOJICA PIRAGAUTA ANGELA PATRICIA</t>
  </si>
  <si>
    <t>RIVERA MORALES LINA PAOLA</t>
  </si>
  <si>
    <t>ALVAREZ RINCON CARMEN MORAIMA</t>
  </si>
  <si>
    <t>TIRIA TORRES LUZ ANDREA</t>
  </si>
  <si>
    <t>PEREZ GALLO MARY LUZ</t>
  </si>
  <si>
    <t>PIRATOBA GIL RUTH PAOLA</t>
  </si>
  <si>
    <t>ZAPATA ZABALA HAMES RICARDO</t>
  </si>
  <si>
    <t>FONSECA MORALES DIANA BELSAY</t>
  </si>
  <si>
    <t>BOTIA FORERO YENNY REINALDA</t>
  </si>
  <si>
    <t>SEAS AVILA LEIDY YOANA</t>
  </si>
  <si>
    <t>CASTIBLANCO ORTIZ DIEGO FELIPE</t>
  </si>
  <si>
    <t>COLMENARES COLMENARE JOHAN FERNANDO</t>
  </si>
  <si>
    <t>RINCON  SONIA PATRICIA</t>
  </si>
  <si>
    <t>MORENO NIÑO DEISY JOHANNA</t>
  </si>
  <si>
    <t xml:space="preserve">FLOREZ SUAREZ  NYDIA JANNETH </t>
  </si>
  <si>
    <t xml:space="preserve">MEDINA  RAFAEL </t>
  </si>
  <si>
    <t xml:space="preserve">FERNANDO  MIGUEL </t>
  </si>
  <si>
    <t>DAZA VARGAS MICHAEL ALEXANDER</t>
  </si>
  <si>
    <t xml:space="preserve">BARRERA  CAMILO </t>
  </si>
  <si>
    <t>MORENO PEREZ ANGELA YULIANA</t>
  </si>
  <si>
    <t xml:space="preserve">CHACON  ANDRE </t>
  </si>
  <si>
    <t>LOZANO BERDUGO ANA BERTILDE</t>
  </si>
  <si>
    <t>TIBADUIZA CASTRO ANGELA PATRICIA</t>
  </si>
  <si>
    <t>SOSA ZEA WILMER FABIAN</t>
  </si>
  <si>
    <t>BERDUGO DUEÑAS DIANA MERCEDES</t>
  </si>
  <si>
    <t>CASTAÑEDA SANABRIA DIANA CRISTINA</t>
  </si>
  <si>
    <t>PULGAR FONSECA LILIA ISABEL</t>
  </si>
  <si>
    <t>TUNAROZA DURAN DIEGO ARMANDO</t>
  </si>
  <si>
    <t>LARA OBREGON YULY ANDREA</t>
  </si>
  <si>
    <t>PINTO JAIME RONALD FERNEY</t>
  </si>
  <si>
    <t xml:space="preserve">LOPEZ ESTUPIÑAN LAURA </t>
  </si>
  <si>
    <t>PEREZ PINEDA YULIETH VIVIANA</t>
  </si>
  <si>
    <t>CHAPARRO VARGAS YENNY PAOLA</t>
  </si>
  <si>
    <t>VARGAS FLOREZ SANDRA MIREYA</t>
  </si>
  <si>
    <t>OCHOA ACERO LINA PAOLA</t>
  </si>
  <si>
    <t>PACHECO VASQUEZ JUAN CARLOS</t>
  </si>
  <si>
    <t>PRIETO HERNANDEZ DIANA PATRICIA</t>
  </si>
  <si>
    <t>VARGAS MENDOZA LAURA DANIELA</t>
  </si>
  <si>
    <t>VARGAS MENDOZA ANGIE NATALIA</t>
  </si>
  <si>
    <t>REYES BARRERA NANCY CAROLINA</t>
  </si>
  <si>
    <t>HERNANDEZ BARRERA FRANCISCO ADOLFO</t>
  </si>
  <si>
    <t>PEDRAZA NOCUA DORA MILENA</t>
  </si>
  <si>
    <t>HERRERA CAMARGO WILMER FERNEY</t>
  </si>
  <si>
    <t>LEMUS VERGARA ANDREA YAELT</t>
  </si>
  <si>
    <t>SALAMANCA  JUAN PABLO</t>
  </si>
  <si>
    <t>ASCENCIO HERNANDEZ DIANA CATHERINE</t>
  </si>
  <si>
    <t>ZANABRIA TORRES MANUEL ROBERTO</t>
  </si>
  <si>
    <t>GONZALEZ DAZA SHARITH LIZETH</t>
  </si>
  <si>
    <t xml:space="preserve">SACHICA VARGAS MAURICIO </t>
  </si>
  <si>
    <t>CASTRO FUQUEN CARLOS LEANDRO</t>
  </si>
  <si>
    <t>RONDEROS CORDOBA ANA MIREYA</t>
  </si>
  <si>
    <t>VILLATE CHAPARRO ANGELA JANETH</t>
  </si>
  <si>
    <t>SANABRIA ACEVEDO DIEGO JULIAN</t>
  </si>
  <si>
    <t>FONSECA BECERRA JUDY ANDREA</t>
  </si>
  <si>
    <t>MEDINA MATALLANA JEIMY ALEJANDRA</t>
  </si>
  <si>
    <t xml:space="preserve">CELY  JOHANA </t>
  </si>
  <si>
    <t>GUEVARA TIBADUIZA GLORIA MARITZA</t>
  </si>
  <si>
    <t>TAPIAS  MARTHA ISABEL</t>
  </si>
  <si>
    <t>VARGAS SILVA OMAR JAHIR</t>
  </si>
  <si>
    <t>GONZALEZ TAMAYO WILFREDY ANTONIO</t>
  </si>
  <si>
    <t>RODRIGUEZ LOPEZ LESSLI JACQUELINE</t>
  </si>
  <si>
    <t>MARTINEZ CORREDOR LEYDY CAROLINA</t>
  </si>
  <si>
    <t>GARCIA LARA CAMILO ANDRES</t>
  </si>
  <si>
    <t xml:space="preserve">SEPULVEDA LOPEZ ADRIANA </t>
  </si>
  <si>
    <t>ANGARITA PEREZ OSCAR LEONARDO</t>
  </si>
  <si>
    <t>MATEUS  PAULA ANDREA</t>
  </si>
  <si>
    <t>ROJAS PUERTO WILLIAM ALEXANDER</t>
  </si>
  <si>
    <t>DUARTE . MAYULI ALEXANDRA</t>
  </si>
  <si>
    <t xml:space="preserve">VALENZUELA  PEDRO ANDRES </t>
  </si>
  <si>
    <t>CAMARGO VALDERRAMA YENI ROCIO</t>
  </si>
  <si>
    <t>CORREDOR CORREA SAMUEL EDILBERTO</t>
  </si>
  <si>
    <t>CRISTANCHO CARVAJAL LIGIA YADIRA</t>
  </si>
  <si>
    <t>LOMBANA MONROY EDGAR JULIAN</t>
  </si>
  <si>
    <t>SALMANCA ESPEJO EDGAR RICARDO</t>
  </si>
  <si>
    <t>ORJUELA MENDOZA DIANA CAROLINA</t>
  </si>
  <si>
    <t>HERNANDEZ ESPEJO YULY PAOLA</t>
  </si>
  <si>
    <t>FERRUCHO CASTRO DEYSI PAOLA</t>
  </si>
  <si>
    <t>MENDOZA LARGO CLAUDIA JANNETH</t>
  </si>
  <si>
    <t>QUIROZ SOCHA YESICA YURANI</t>
  </si>
  <si>
    <t>AYALA PICON ZOLAY PATRICIA</t>
  </si>
  <si>
    <t>NINO NINO JHON FREDY</t>
  </si>
  <si>
    <t>QUEMBA  NELSON ALEXANDER</t>
  </si>
  <si>
    <t>LIZARAZO SEQUERA LYDA MARCELA</t>
  </si>
  <si>
    <t>RIAÑO CORREA YENNY VIVIANA</t>
  </si>
  <si>
    <t>ZABALA GUEVARA YEIMY ANDREA</t>
  </si>
  <si>
    <t>PEREZ TAITA JULIA ANDREA</t>
  </si>
  <si>
    <t>GONZALEZ BARRERA SINDY GIOMARA</t>
  </si>
  <si>
    <t>RAMIREZ PARRA SANDRA YAMILE</t>
  </si>
  <si>
    <t>MANRIQUE PINTO PILAR DEL</t>
  </si>
  <si>
    <t>VEGA RAMIREZ YEIMI LORENA</t>
  </si>
  <si>
    <t>ORJUELA VALENTIN CLAUDIA HELENA</t>
  </si>
  <si>
    <t xml:space="preserve">CARVAJAL CARVAJAL RAUL </t>
  </si>
  <si>
    <t>ALVARADO REYES NIDIA GIOVANNA GIOVANNA</t>
  </si>
  <si>
    <t>CHAPARRO NORE ANDREA MARICE</t>
  </si>
  <si>
    <t>GUEVARA MEDINA LAURA CONSTANZA</t>
  </si>
  <si>
    <t>DIAZ LEON YOHANA ANDREA</t>
  </si>
  <si>
    <t>ALVAREZ ALVAREZ JORGE ELIECER</t>
  </si>
  <si>
    <t>DIAZ BECERRA ANDREA PAOLA</t>
  </si>
  <si>
    <t xml:space="preserve">MONTAÑEZ  DIANA </t>
  </si>
  <si>
    <t>PRIETO BARAJAS SERGIO ANDRES</t>
  </si>
  <si>
    <t>SANCHEZ SANCHEZ DIANA CAROLINA</t>
  </si>
  <si>
    <t>TARAZONA SOLOZA CARLOS LEONARDO</t>
  </si>
  <si>
    <t>MESA MIRANDA HILLER YESID</t>
  </si>
  <si>
    <t>MESA GUAUQUE JHON JAIRO</t>
  </si>
  <si>
    <t>JAIME FUENTES RICARDO ANDRES</t>
  </si>
  <si>
    <t>CHACON RAMOS LAURA MAYERLY</t>
  </si>
  <si>
    <t>PESCA MORENO YUVER ALEXANDER</t>
  </si>
  <si>
    <t>OCHOA SIMBAQUEVA CARLOS YESID</t>
  </si>
  <si>
    <t>RODRIGUEZ OVALLE YULY JASBLEIBY</t>
  </si>
  <si>
    <t>COLMENARES VERDUGO JHON ALEXANDER</t>
  </si>
  <si>
    <t>MARQUEZ FANDINO JUAN ARLEY</t>
  </si>
  <si>
    <t>PUERTO MORALES VIVIANA CONSUELO</t>
  </si>
  <si>
    <t>NINO MEDINA ELIANA MARCELA</t>
  </si>
  <si>
    <t>ALBARRACIN  ZULMA ROCIO</t>
  </si>
  <si>
    <t>COMBITA FARIAS JORGE LUIS</t>
  </si>
  <si>
    <t>VIVAS JIMENEZ FERNANDO ANDRES</t>
  </si>
  <si>
    <t>GONZALEZ MORALES GLORIA CONSTANZA</t>
  </si>
  <si>
    <t>JIMENEZ SUANCHA SONIA CONSTANZA</t>
  </si>
  <si>
    <t>CUCUNUBA SUA JORGE ORLANDO</t>
  </si>
  <si>
    <t>RIOS PEREZ WILLIAN ALBEIRO</t>
  </si>
  <si>
    <t>VARGAS ALVAREZ CATHERINE DEL PILAR</t>
  </si>
  <si>
    <t>SANTANA SANCHEZ NEIDY LILIANA</t>
  </si>
  <si>
    <t>RUIZ SALAMANCA ALBY LIZETH</t>
  </si>
  <si>
    <t>BARRERA  JAIME ANDRES</t>
  </si>
  <si>
    <t>ARIAS SUAREZ DIANA CAROLINA</t>
  </si>
  <si>
    <t>CALDERON MUÑOZ JORGE ELIECER</t>
  </si>
  <si>
    <t xml:space="preserve">SANCHEZ AVILA FERNANDO </t>
  </si>
  <si>
    <t>MARTINEZ MARTINEZ JENNY MARCELA</t>
  </si>
  <si>
    <t>SENEJOA PEREZ CLAUDIA YANETH</t>
  </si>
  <si>
    <t>TANGUA NUÑEZ ANGELA JULIETH</t>
  </si>
  <si>
    <t>CASTRO MONTAÑA JOHN ALEXANDER</t>
  </si>
  <si>
    <t>PAREDES PATINO NYDIA FABIOLA</t>
  </si>
  <si>
    <t>CIPAGAUTA NIÑO LEYDY CAROLINA</t>
  </si>
  <si>
    <t>LARA TIBADUIZA YIRLY JOHANA</t>
  </si>
  <si>
    <t>BOADA BONILLA LILIANA ANDREA</t>
  </si>
  <si>
    <t>LESMES VELASCO DARIO ANDRES</t>
  </si>
  <si>
    <t>PINEDA GONZALEZ ANA MILENA</t>
  </si>
  <si>
    <t>BARRERA BARRAGAN JOSE YOVANNY</t>
  </si>
  <si>
    <t>CARVAJAL  YENNIFFER ALEXANDRA</t>
  </si>
  <si>
    <t>ALVAREZ NINO SEBASTIAN GABRIEL</t>
  </si>
  <si>
    <t>HERNANDEZ CORREA JENNY ALEXANDRA</t>
  </si>
  <si>
    <t xml:space="preserve">SANTOS  JHON </t>
  </si>
  <si>
    <t>NINO RIVERA VICTOR JULIO</t>
  </si>
  <si>
    <t>CRISTANCHO REYES KEVIN SANTIAGO</t>
  </si>
  <si>
    <t>GONZALEZ COMBARIZA CLAUDIA VIVIANA</t>
  </si>
  <si>
    <t xml:space="preserve">CRISTANCHO MENDOZA EULICER </t>
  </si>
  <si>
    <t>HOLGUIN GOMEZ LILIANA ALEXANDRA</t>
  </si>
  <si>
    <t xml:space="preserve">PEREZ GALLO HERNANDO </t>
  </si>
  <si>
    <t>HERNANDEZ CARDENAS JORGE FABIAN</t>
  </si>
  <si>
    <t>ESTUPIÑAN VEGA DIANA MARCELLA</t>
  </si>
  <si>
    <t>SANCHEZ AVELLA EDSON MAY</t>
  </si>
  <si>
    <t>MARTINEZ ARIAS LEIDY LAURA</t>
  </si>
  <si>
    <t>ABRIL GOMEZ LILIANA PATRICIA</t>
  </si>
  <si>
    <t>PAVA PARRA GABRIEL RICARDO</t>
  </si>
  <si>
    <t xml:space="preserve">RINCON TORRES LUIS ALFONSO </t>
  </si>
  <si>
    <t>SANDOBAL JOYA FANNY ROCIO</t>
  </si>
  <si>
    <t>PUERTO FERRUCHO NELCY DAYANA</t>
  </si>
  <si>
    <t>GOMEZ ACOSTA ANGELA MARIANA</t>
  </si>
  <si>
    <t>CORREALES ROJAS FREDY ORLANDO</t>
  </si>
  <si>
    <t>GUAJE MALPICA ZULMA YANETH</t>
  </si>
  <si>
    <t>CAMARGO TIBOCHA MARCO ANTONIO</t>
  </si>
  <si>
    <t>MARTINEZ ANGARITA BLANCA ZENAIDA</t>
  </si>
  <si>
    <t>PARADA BAEZ JONATHAN ELBERT</t>
  </si>
  <si>
    <t>ALVAREZ ESTUPIÑAN JULY CAROLINA</t>
  </si>
  <si>
    <t xml:space="preserve">MANRIQUE NOVA ORLANDO </t>
  </si>
  <si>
    <t>GRANADOS LEON ANGELA ANDREA</t>
  </si>
  <si>
    <t>SANCHEZ MORENO CLAUDIA CONSTANZA</t>
  </si>
  <si>
    <t>BARRERA HURTADO KAREN YULIED</t>
  </si>
  <si>
    <t xml:space="preserve">FONSECA  CAMILO </t>
  </si>
  <si>
    <t>RODRIGUEZ  JULIE LILIANA</t>
  </si>
  <si>
    <t>VIVAS HERNANDEZ NANCY CATHERINE</t>
  </si>
  <si>
    <t xml:space="preserve">CHIA . MAURICIO </t>
  </si>
  <si>
    <t>PORRAS CORDOBA MARIA CAROLINA</t>
  </si>
  <si>
    <t>QUIROGA SIERRA CESAR YESID</t>
  </si>
  <si>
    <t xml:space="preserve">SANABRIA  SANDRA MILENA </t>
  </si>
  <si>
    <t>ESTUPIÑAN DIAZ INGRID JOHANA</t>
  </si>
  <si>
    <t>SALAMANCA GUEVARA CARLOS JAVIER</t>
  </si>
  <si>
    <t>LEON BOLIVAR CARLOS WILLIAM</t>
  </si>
  <si>
    <t>QUINTERO RIVERA LINA SORAYA</t>
  </si>
  <si>
    <t>CRISTANCHO SANCHEZ HUGO FABIAN</t>
  </si>
  <si>
    <t>PEREZ GUEVARA SELMA ELIANA</t>
  </si>
  <si>
    <t>SOLER AMORTEGUI SONIA JOHANNA</t>
  </si>
  <si>
    <t xml:space="preserve">BRAVO PEDRAZA ALEJANDRO </t>
  </si>
  <si>
    <t xml:space="preserve">DURAN  EDISON </t>
  </si>
  <si>
    <t>PACHECO COLMENARES MONICA ELIANA</t>
  </si>
  <si>
    <t>DIAZ CAMARGO JORGE ALBERTO</t>
  </si>
  <si>
    <t>CARVAJAL  EDWIN LEONARDO</t>
  </si>
  <si>
    <t>GOMEZ SISSA YENNY MARISELA</t>
  </si>
  <si>
    <t>MEDINA PINZON JUAN GUILLERMO</t>
  </si>
  <si>
    <t>REYES LARA CESAR AUGUSTO</t>
  </si>
  <si>
    <t>PEDROZA PEREZ ERLADY ANDREA</t>
  </si>
  <si>
    <t>CARVAJAL RODRIGUEZ JAIME HERNANDO</t>
  </si>
  <si>
    <t>CANO CORREDOR JENNY CAROLINA</t>
  </si>
  <si>
    <t>BRICENO FERNANDEZ EDISON WILFREDO</t>
  </si>
  <si>
    <t>MORENO ALFONSO ZULMA NAHIR</t>
  </si>
  <si>
    <t>SOLER DURAN JOSE DANIEL</t>
  </si>
  <si>
    <t>GUTIERREZ VARGAS YEIMY ELIANA</t>
  </si>
  <si>
    <t>TAMARA QUIROGA CLAUDIA PATRICIA</t>
  </si>
  <si>
    <t>LARA BAUTISTA LAURA ALEJANDRA</t>
  </si>
  <si>
    <t xml:space="preserve">CIFUENTES SILVA  ANDREA NATALY </t>
  </si>
  <si>
    <t>GOMEZ LOPEZ JULIANA NATALIA</t>
  </si>
  <si>
    <t>PEREZ MORENO JENNY ALEJANDRA</t>
  </si>
  <si>
    <t>MARQUEZ DIAZ JHON FREDY</t>
  </si>
  <si>
    <t>TORRES MEDINA LYLLAN MARCELA</t>
  </si>
  <si>
    <t>SANDOVAL SANDOVAL SANDRA MILENA</t>
  </si>
  <si>
    <t>HERNANDEZ MANOSALVA JOSE ANDRES</t>
  </si>
  <si>
    <t>GARCIA CUSPOCA MIGUEL ANGEL</t>
  </si>
  <si>
    <t>MARQUEZ CARVAJAL PEDRO IGNACIO</t>
  </si>
  <si>
    <t>ROJAS HIGUERA CLAUIDIA MARCELA</t>
  </si>
  <si>
    <t>AVELLA RODRIGUEZ DIEGO JULIAN</t>
  </si>
  <si>
    <t>MENDIVELSO LIZARAZO JOSE MANUEL</t>
  </si>
  <si>
    <t>BECERRA GUEVARA OLGA PATRICIA</t>
  </si>
  <si>
    <t>BONZA CAMARGO IVON MAYERLY</t>
  </si>
  <si>
    <t>HENAO JIMENEZ ANA YESENIA</t>
  </si>
  <si>
    <t>DIAZ AVILA DUBIEL RICARDO</t>
  </si>
  <si>
    <t>GUTIERREZ GARCIA SONIA ANDREA</t>
  </si>
  <si>
    <t>GUTIERREZ MALDONADO EDISON ANDRES</t>
  </si>
  <si>
    <t xml:space="preserve">RODRIGUEZ CUADRADO RICARDO </t>
  </si>
  <si>
    <t>ZAMUDIO MOJICA YENNY KATERINE</t>
  </si>
  <si>
    <t>BECERRA PICO JHONY LEONARDO</t>
  </si>
  <si>
    <t>SAAVEDRA PEREZ NANCY MILENA</t>
  </si>
  <si>
    <t>PEÑA FLOREZ ANGELA VIVIANA</t>
  </si>
  <si>
    <t>INFANTE MORALES JOSE TOBIAS</t>
  </si>
  <si>
    <t>LILIANA SUAREZ DORIS LILIANA</t>
  </si>
  <si>
    <t>BRICENO CELY GERMAN ESTEBAN</t>
  </si>
  <si>
    <t>PRIETO CAMARGO JOHN OSWALDO</t>
  </si>
  <si>
    <t>GOMEZ PEÑA YUBER ANSELMO</t>
  </si>
  <si>
    <t>CUEVAS PINEDA JERSON DANILO</t>
  </si>
  <si>
    <t>GALVIS ROMERO YEISON FABIAN</t>
  </si>
  <si>
    <t>MANOSALVA GOMEZ JOHANA MAYERLY</t>
  </si>
  <si>
    <t>LARA PEREZ WILLIAN ANDRES</t>
  </si>
  <si>
    <t>AVELLA TAPIAS KAREN TATIANA</t>
  </si>
  <si>
    <t>SANDOVAL BERNAL CARLOS EDUARDO</t>
  </si>
  <si>
    <t>LEAL GARCIA CLAUDIA LILIANA</t>
  </si>
  <si>
    <t>PESCA ZABALA WILSON JOAN</t>
  </si>
  <si>
    <t>PINEDA CABRA JORGE ANDRES</t>
  </si>
  <si>
    <t>MENDIVELSO DIAZ AURA MARSELLA</t>
  </si>
  <si>
    <t xml:space="preserve">BALAGUERA SOLANO NESTOR </t>
  </si>
  <si>
    <t>FONSECA GUEVARA JONATHAN ALEXANDER</t>
  </si>
  <si>
    <t>VALDERRAMA PEÑA JOHANA ALEXIS</t>
  </si>
  <si>
    <t xml:space="preserve">BARRERA MESA MAURICIO </t>
  </si>
  <si>
    <t>APONTE OJEDA JOAN EDUARDO</t>
  </si>
  <si>
    <t xml:space="preserve">ARISMENDY SALAMANCA FABIAN </t>
  </si>
  <si>
    <t xml:space="preserve">MUNEVAR SARMIENTO SANDRA </t>
  </si>
  <si>
    <t>VARGAS HIGUERA GINNA ASTRID</t>
  </si>
  <si>
    <t>RODRIGUEZ PLAZAS JULIAN CAMILO</t>
  </si>
  <si>
    <t>RODRIGUEZ HERRERA JORGE LUIS</t>
  </si>
  <si>
    <t>MEJIA GARCIA WILMAR IVAN</t>
  </si>
  <si>
    <t xml:space="preserve">OCHOA  OMAR </t>
  </si>
  <si>
    <t>PARRA GRANADOS JENNIFER PAOLA</t>
  </si>
  <si>
    <t>ACERO CORTES ALBA YANNETH</t>
  </si>
  <si>
    <t>REYES TORRES JOAQUIN ALEXANDER</t>
  </si>
  <si>
    <t>GARCIA PRIETO FREDY ALBEIRO</t>
  </si>
  <si>
    <t xml:space="preserve"> VARGAS HELBER JAVIER</t>
  </si>
  <si>
    <t>RIVEROS LOPEZ MARY LUZ</t>
  </si>
  <si>
    <t>SANCHEZ GALLO ANDREA ALEXANDRA</t>
  </si>
  <si>
    <t>PINZON  ANDREA PATRICIA</t>
  </si>
  <si>
    <t>SILVA CASTRO JUAN CARLOS</t>
  </si>
  <si>
    <t>RINCON BOADA WILSON ALECXIS</t>
  </si>
  <si>
    <t xml:space="preserve">NUÑEZ  HOLMAN </t>
  </si>
  <si>
    <t xml:space="preserve">HIGUERA  OMAIRA </t>
  </si>
  <si>
    <t>DURAN ORTIZ LEIDY YULIETH</t>
  </si>
  <si>
    <t>GONZALEZ COSTO LEIDY MILENA</t>
  </si>
  <si>
    <t>BECERRA CASTRO CARLOS ANDRES</t>
  </si>
  <si>
    <t>ARENAS CALDERON CRISTIAN ALEXANDER</t>
  </si>
  <si>
    <t>SALAMANCA SANCHEZ VIVIANA ANDREA</t>
  </si>
  <si>
    <t>GOMEZ BENITEZ SANDRA MILENA</t>
  </si>
  <si>
    <t>RAMIREZ SALCEDO JIMY ALEXANDER</t>
  </si>
  <si>
    <t>SANCHEZ LOPEZ LEIDY TATIANA</t>
  </si>
  <si>
    <t xml:space="preserve">GOMES  EDWIN </t>
  </si>
  <si>
    <t xml:space="preserve">MORENO HOSTOS  ANA JOHANA </t>
  </si>
  <si>
    <t>OCHOA CAMARGO CLAUDIA PATRICIA</t>
  </si>
  <si>
    <t>CELY SEPULVEDA YUDY ANDREA</t>
  </si>
  <si>
    <t xml:space="preserve">MOGOLLON MACHUCA JASLEIDI </t>
  </si>
  <si>
    <t>CELY ROJAS LINA ROCIO</t>
  </si>
  <si>
    <t>CAMARGO DIAZ HOLMAN GUILLERMO</t>
  </si>
  <si>
    <t>BELTRAN PEREZ DIANA MARCELA</t>
  </si>
  <si>
    <t>SISSA ARAQUE JOSE ALIRIO</t>
  </si>
  <si>
    <t>GONZALEZ CAMACHO YULI ALEXANDRA</t>
  </si>
  <si>
    <t>SOTO TORRES JUAN CARLOS</t>
  </si>
  <si>
    <t xml:space="preserve">ALEJANDRO  MANUEL </t>
  </si>
  <si>
    <t xml:space="preserve">CASTILLO ACEVEDO  LUZ ANGELA </t>
  </si>
  <si>
    <t>MARTINEZ NINO IVAN DARIO</t>
  </si>
  <si>
    <t>CALDERON GALINDO NELSON GABRIEL</t>
  </si>
  <si>
    <t xml:space="preserve">CAICEDO ZARABANDA STEFANY </t>
  </si>
  <si>
    <t>VALDERRAMA HERNANDEZ JULIETH ALEXANDRA</t>
  </si>
  <si>
    <t xml:space="preserve">LILIANA  NIDIA </t>
  </si>
  <si>
    <t>NIÑO  CAMILO ANDRES</t>
  </si>
  <si>
    <t xml:space="preserve">RIVERA ROJAS  WILSON </t>
  </si>
  <si>
    <t xml:space="preserve">CASTILLO GONZALEZ RUTH </t>
  </si>
  <si>
    <t>BELLO GONZALEZ LEIDY YOHANA</t>
  </si>
  <si>
    <t xml:space="preserve">DIAZ  HELMAN </t>
  </si>
  <si>
    <t>PITA OJEDA JORGE LEONARDO</t>
  </si>
  <si>
    <t>SALCEDO PERALTA JONATHAN YESID</t>
  </si>
  <si>
    <t>CHAPARRO GUAYARA ANA MARIA</t>
  </si>
  <si>
    <t xml:space="preserve">ARIAS PATIÑO ELIZABETH </t>
  </si>
  <si>
    <t>FIGUEREDO LOPEZ GERMAN EDUARDO</t>
  </si>
  <si>
    <t>GOMEZ HERRERA YULY YINETTE</t>
  </si>
  <si>
    <t>CRISTANCHO VEGA MONICA KATERINE</t>
  </si>
  <si>
    <t>ACERO MEDINA DERLY CATALINA</t>
  </si>
  <si>
    <t>ALVAREZ TORRES SANDRA MILENA</t>
  </si>
  <si>
    <t>ARAQUE DUCON DEISSY VIVIANA</t>
  </si>
  <si>
    <t>BECERRA BALAGUERA MALORY TATIANA</t>
  </si>
  <si>
    <t>LOPEZ HURTADO WALTER CAMILO</t>
  </si>
  <si>
    <t>GOMEZ PORRAS GELMAN ANDRES</t>
  </si>
  <si>
    <t>PITA NIÑO OSCAR GIOVANNY</t>
  </si>
  <si>
    <t>DIAZ MATEUS SARA LUZ</t>
  </si>
  <si>
    <t>FERNANDEZ MURILLO LUZ ANDREA</t>
  </si>
  <si>
    <t xml:space="preserve">CORREDOR DALLOS CESAR </t>
  </si>
  <si>
    <t>MEDINA HERNANDEZ LUZ DARY</t>
  </si>
  <si>
    <t>MELO RAMIREZ LEIDY MARINA</t>
  </si>
  <si>
    <t>GONZALES VALDERRAMA DIANA MILENA</t>
  </si>
  <si>
    <t>SANCHEZ GOMEZ YULY MAYERLI</t>
  </si>
  <si>
    <t>PENA ORTIZ CESAR YAMID</t>
  </si>
  <si>
    <t>AMAYA ROJAS JENNIFER ALEXANDRA</t>
  </si>
  <si>
    <t>GUIO GARCIA JUAN CARLOS</t>
  </si>
  <si>
    <t>AVELLANEDA  DEICY CAROLINA</t>
  </si>
  <si>
    <t>Sanabria Cely Idanyela Astrid</t>
  </si>
  <si>
    <t>CASTIBLANCO RODRIGUE PEDRO ALEXANDER</t>
  </si>
  <si>
    <t>VARGAS NINO LUZ ANDREA</t>
  </si>
  <si>
    <t>ROJAS FONSECA DIANA MARIA</t>
  </si>
  <si>
    <t xml:space="preserve">SACHICA VARGAS GUILLERMO </t>
  </si>
  <si>
    <t>SALAZAR GOMEZ NELSON ENRIQUE</t>
  </si>
  <si>
    <t>MALUCHE  JOSE HERMES</t>
  </si>
  <si>
    <t>CELY VILLAMIZAR DIANA PAOLA</t>
  </si>
  <si>
    <t>MONTAÑA RUIZ ZULMA LUCERO</t>
  </si>
  <si>
    <t>CRUZ TRIANA ROSA MARIA</t>
  </si>
  <si>
    <t>PINTO HERRERA DALLANA ASTRID</t>
  </si>
  <si>
    <t>LEON GONZALEZ FABIAN YESID</t>
  </si>
  <si>
    <t>RINCON ALVAREZ SANDRA LILIANA</t>
  </si>
  <si>
    <t xml:space="preserve">ESLAVA ESPITIA RODRIGO </t>
  </si>
  <si>
    <t>QUINTANA ROJAS LEIDY YAMILE</t>
  </si>
  <si>
    <t>TARAZONA PEREZ HELLEN SOFIA</t>
  </si>
  <si>
    <t xml:space="preserve">CORREDOR  LEIDY </t>
  </si>
  <si>
    <t>CASTRO GALLO KARIN JOHA</t>
  </si>
  <si>
    <t>ZEA BALLESTEROS DAIRA TATIANA</t>
  </si>
  <si>
    <t>GONZALEZ MORA ANA MARIA</t>
  </si>
  <si>
    <t xml:space="preserve">CEPEDA ZARATE NELSON </t>
  </si>
  <si>
    <t xml:space="preserve">RODRIGUEZ PRIETO YAQUELINE </t>
  </si>
  <si>
    <t>HERRERA TAMAYO OSCAR ANDRES</t>
  </si>
  <si>
    <t>PINZON RUIZ MARIA LUCIA</t>
  </si>
  <si>
    <t>GARZON FONSECA NELSON ERASMO</t>
  </si>
  <si>
    <t>ROJAS LOPEZ DARIO ROLANDO</t>
  </si>
  <si>
    <t>GOMEZ GOMEZ XIMENA ALEXANDRA</t>
  </si>
  <si>
    <t>MARTINEZ MARTINEZ JEESIKA AILIN</t>
  </si>
  <si>
    <t>ESTUPIÑAN ESTUPIÑAN JEISSON ALBEIRO</t>
  </si>
  <si>
    <t xml:space="preserve">RODRIGUEZ FONSECA VIVIANA </t>
  </si>
  <si>
    <t xml:space="preserve">DIAZ SANDOVAL  VICTOR WILMER </t>
  </si>
  <si>
    <t>VARGAS ROJAS FRANK RENE</t>
  </si>
  <si>
    <t>CARREÑO CORREA VIVIANA MARCELA</t>
  </si>
  <si>
    <t>ROJAS SUAREZ CAMILO ANDRES</t>
  </si>
  <si>
    <t>MORALES CHINOME CARLOS ANDRES</t>
  </si>
  <si>
    <t>GOMEZ MARTINEZ DIEGO FABIAN</t>
  </si>
  <si>
    <t>DIAZ IBAÑEZ ANA ESMERALDA</t>
  </si>
  <si>
    <t xml:space="preserve">SUAREZ MANOSALVA MILENA </t>
  </si>
  <si>
    <t>MORANTES PORRAS KARENT PAOLA</t>
  </si>
  <si>
    <t>AMADO MELO ELIANA ESPERANZA</t>
  </si>
  <si>
    <t>ROJAS GONZALEZ EDNA VIVIANA</t>
  </si>
  <si>
    <t xml:space="preserve">GOMEZ FONSECA MARIANA </t>
  </si>
  <si>
    <t>PEDRAZA MORANTES NUBIA ROCIO</t>
  </si>
  <si>
    <t>LOPEZ PACHECO EDWARD STEVENS</t>
  </si>
  <si>
    <t xml:space="preserve">VARGAS  ELITZABETH </t>
  </si>
  <si>
    <t>RINCON MONTAÑEZ LEADY MARSELLA</t>
  </si>
  <si>
    <t>LIZARAZO PRECIADO FREDY LEONARDO</t>
  </si>
  <si>
    <t>ESTUPINAN GOMEZ ANDERSON JAVIER</t>
  </si>
  <si>
    <t>PEREZ RINCON CARLOS ANDRES</t>
  </si>
  <si>
    <t>POSADA BECERRA DARIO FERNANDO</t>
  </si>
  <si>
    <t xml:space="preserve">OTERO  ANDREA </t>
  </si>
  <si>
    <t>PLAZAS OCHOA JAVIER HUMBERTO</t>
  </si>
  <si>
    <t>GUEVARA GUEVARA DIEGO ARMANDO</t>
  </si>
  <si>
    <t>GUIO MOYANO LUZ MARINA</t>
  </si>
  <si>
    <t>FRAILE PINTO ANGELA JOHANA</t>
  </si>
  <si>
    <t>DIAZ GONZALEZ ASTRID YESENIA</t>
  </si>
  <si>
    <t xml:space="preserve">PORRAS LOPEZ STEFANNY </t>
  </si>
  <si>
    <t>MERCHAN SANTOS LUIS ALFREDO</t>
  </si>
  <si>
    <t>RODRIGUEZ PEREZ ANGELA LUCIA</t>
  </si>
  <si>
    <t>DIAZ GONZAEZ ASTRID YESENIA</t>
  </si>
  <si>
    <t>CONTRERAS CAMILO JUAN CAMILO</t>
  </si>
  <si>
    <t>SOLER SANDOVAL LUISA FERNANDA</t>
  </si>
  <si>
    <t>GONZALEZ VELANDIA CESAR EDUARDO</t>
  </si>
  <si>
    <t>MORALES JIMENEZ JOHN FREDY</t>
  </si>
  <si>
    <t>FLECHAS PRIETO CARLOS RUBEN</t>
  </si>
  <si>
    <t>FONSECA BECERRA JHON FREDY</t>
  </si>
  <si>
    <t>PRIETO AVILA CINDY YULIETH</t>
  </si>
  <si>
    <t>LEIDY LORENA BARRERA GOYENECHE</t>
  </si>
  <si>
    <t>MORALES NUÑEZ SONIA MARCELA</t>
  </si>
  <si>
    <t xml:space="preserve">SALAMANCA RODRIGUEZ ELIZABETH </t>
  </si>
  <si>
    <t xml:space="preserve">SIERRA  DANILO </t>
  </si>
  <si>
    <t>GOMEZ MORENO FABIAN ANDRES</t>
  </si>
  <si>
    <t>DUEÑAS JIMENEZ LEIDY PATRICIA</t>
  </si>
  <si>
    <t>TRIANA RODRIGUEZ MONICA CRISTINA</t>
  </si>
  <si>
    <t>SUAREZ GALVIS ANGELA MILENA</t>
  </si>
  <si>
    <t xml:space="preserve">VIVAS  LUIS </t>
  </si>
  <si>
    <t>SUAREZ SEPULVEDA WILLIAM LEONARDO</t>
  </si>
  <si>
    <t>ARGUELLO  OSCAR FERNANDO</t>
  </si>
  <si>
    <t>ARAQUE PIRE MAIRA NATALIA</t>
  </si>
  <si>
    <t xml:space="preserve">ALCANTAR DURAN ALEJANDRA </t>
  </si>
  <si>
    <t>VELANDIA CASAS MIRYAM JOHANNA</t>
  </si>
  <si>
    <t>SANDOVAL SANCHEZ DALIA MARCELA</t>
  </si>
  <si>
    <t>PINEDA ZARABANDA FLOR MARCELA</t>
  </si>
  <si>
    <t>ROJAS SALAZAR LORENA JULIETH</t>
  </si>
  <si>
    <t>SOCHE VANEGAS YECIKA JOHANNA</t>
  </si>
  <si>
    <t>MERCHAN OSUNA  LILIAN DANIELA</t>
  </si>
  <si>
    <t>LOZANO CELY SANDY YURLEY</t>
  </si>
  <si>
    <t>GALINDO PUERTO JORGE LEONARDO</t>
  </si>
  <si>
    <t>JOYA CASTRO LUIS EDUARDO</t>
  </si>
  <si>
    <t>MALAVER SALAMANCA GERMAN DARIO</t>
  </si>
  <si>
    <t>GOMEZ SANCHEZ PILAR DEL</t>
  </si>
  <si>
    <t xml:space="preserve">GREGORIO  JOSE </t>
  </si>
  <si>
    <t>OSORIO TOVAR DEISY MARCELA</t>
  </si>
  <si>
    <t>RODRIGUEZ AVILA RICARDO ANDRES</t>
  </si>
  <si>
    <t>PINEDA  DIANA PAOLA</t>
  </si>
  <si>
    <t>GARCIA GUALTEROS WILLIAM ALBERTO</t>
  </si>
  <si>
    <t>PUERTO MORENO OLGA CATALINA</t>
  </si>
  <si>
    <t xml:space="preserve">RODRIGUEZ FLOREZ ELIZABETH </t>
  </si>
  <si>
    <t>GUTIERREZ MORENO ELIANA ALEXANDRA</t>
  </si>
  <si>
    <t>HERNANDEZ PEREZ MABEL SOLANGE</t>
  </si>
  <si>
    <t>VALDERRAMA AVENDAÑO CARLOS ANDRES</t>
  </si>
  <si>
    <t>RODRIGUEZ ARISMENDI YUBER ALEXANDER</t>
  </si>
  <si>
    <t>CRUZ MARIÑO EDISON FERNANDO</t>
  </si>
  <si>
    <t>ORTEGA CORREDOR OSCAR ORLANDO</t>
  </si>
  <si>
    <t xml:space="preserve">RIVEROS  JENNY </t>
  </si>
  <si>
    <t>TIRIA  JORGE ALEXANDER</t>
  </si>
  <si>
    <t>CAMARGO NIÑO JEISON STEVEN</t>
  </si>
  <si>
    <t>BLANCO BRICEÑO MARIA CAMILA</t>
  </si>
  <si>
    <t>PINEDA  HENRY ANGEL</t>
  </si>
  <si>
    <t xml:space="preserve">ESCOBAR HERNANDEZ  CAMILA ALEXANDRA </t>
  </si>
  <si>
    <t>ROJAS CRUZ ADRIANA MARCELA</t>
  </si>
  <si>
    <t xml:space="preserve">LEONARDO  DAVID </t>
  </si>
  <si>
    <t>ROJAS ROJAS LEONARDO ALEXANDER</t>
  </si>
  <si>
    <t>MENDOZA PLAZAS XIOMARA YESENIA</t>
  </si>
  <si>
    <t>PEREZ BELLO EDUAR FERNEY</t>
  </si>
  <si>
    <t>MANRIQUE CARDENA SAYDA JAZMIN</t>
  </si>
  <si>
    <t>AMEZQUITA CARVAJAL ANGIE JOHANA</t>
  </si>
  <si>
    <t>TOCA HERNANDEZ EDIXON GIOVANNY</t>
  </si>
  <si>
    <t>HERNANDEZ GALVIS ANGELA MAYERLY</t>
  </si>
  <si>
    <t>PINEDA PINEDA ANGEL MARCELO</t>
  </si>
  <si>
    <t>MORENO  ANDREA CATALINA</t>
  </si>
  <si>
    <t>BOHORQUEZ BETANCUR FREDY LEONARDO</t>
  </si>
  <si>
    <t xml:space="preserve">TUNDAMA  SIYAKIEV </t>
  </si>
  <si>
    <t>MEDINA BOTIA SONIA CAROLINA</t>
  </si>
  <si>
    <t>GUERRERO MORENO ERVIN RICARDO</t>
  </si>
  <si>
    <t xml:space="preserve">OVIEDO ROJAS YASMITH </t>
  </si>
  <si>
    <t>REYES PARRA PAOLA ANDREA</t>
  </si>
  <si>
    <t>PINEDA RODRIGUEZ FREDY ANDRES</t>
  </si>
  <si>
    <t>BOHORQUEZ SANCHEZ ANDRES RICARDO</t>
  </si>
  <si>
    <t xml:space="preserve">ANGARITA TELLEZ ALIRIO </t>
  </si>
  <si>
    <t>GONZALEZ TOBO WILLIAM FERNANDO</t>
  </si>
  <si>
    <t xml:space="preserve">BAUTISTA CARDENAS MARISOL </t>
  </si>
  <si>
    <t>BECERRA DIAZ LUIS ALBEIRO</t>
  </si>
  <si>
    <t>ANA MARIA SANCHEZ BECERRA</t>
  </si>
  <si>
    <t>GERENA BRICENO DIANA MARCELA</t>
  </si>
  <si>
    <t>BONILLA VALBUENA JORGE LEONARDO</t>
  </si>
  <si>
    <t>AGUILAR BARON EDWIN SAMIR</t>
  </si>
  <si>
    <t>OLIVEROS SANDOVAL JORGE MAURICIO</t>
  </si>
  <si>
    <t>DIAZ GONZALEZ GLORIA MARCELA</t>
  </si>
  <si>
    <t>BARRERA GOMEZ MONICA VIVIANA</t>
  </si>
  <si>
    <t>ALBA  MARY JHONANA</t>
  </si>
  <si>
    <t>ZAMBRANO GOMEZ JENNIFER ADRIANA</t>
  </si>
  <si>
    <t>CUTA ROJAS LEIDY LORENA</t>
  </si>
  <si>
    <t>CONTRERAS SALCEDO YENNY FERNANDA</t>
  </si>
  <si>
    <t>MARTINEZ BECERRA LUIS ALEXANDER</t>
  </si>
  <si>
    <t>HERNANDEZ MONCADA HECTOR ENRIQUE</t>
  </si>
  <si>
    <t>LOPEZ HERNANDEZ VELQUIS YULEIDA</t>
  </si>
  <si>
    <t xml:space="preserve">GOMEZ  WILMER </t>
  </si>
  <si>
    <t>LUNA BECERRA RAFAEL ANTONIO</t>
  </si>
  <si>
    <t>BOTIA PEÑA ANGELA MARIA</t>
  </si>
  <si>
    <t>TORRES TORRES NESTOR GIOVANNY</t>
  </si>
  <si>
    <t>SANTOS CARDENAS LEONARDO ALFREDO</t>
  </si>
  <si>
    <t>JAIME CORREA MYRIAM ANDREA</t>
  </si>
  <si>
    <t xml:space="preserve">ANDREA  YUDI </t>
  </si>
  <si>
    <t>YESENIA LUCIA SERRANO HERNANDEZ</t>
  </si>
  <si>
    <t>ALVAREZ SOSA ANDREA AYLIN</t>
  </si>
  <si>
    <t>CARO CORREDOR RAUL ARMANDO</t>
  </si>
  <si>
    <t>GOMEZ CELY LAURA MARITZA</t>
  </si>
  <si>
    <t>CORREDOR SILVA EDVIN DARIO</t>
  </si>
  <si>
    <t xml:space="preserve">GUECHA  ERIKA </t>
  </si>
  <si>
    <t>NOCUA TINJACA JOHN ALEXANDER</t>
  </si>
  <si>
    <t xml:space="preserve">CARRERO RICO  OSCAR JAVIER </t>
  </si>
  <si>
    <t>RINCON GRIMALDOS EDWIN DOMINGO</t>
  </si>
  <si>
    <t xml:space="preserve">PASACHOA  KAREN </t>
  </si>
  <si>
    <t xml:space="preserve">ANDREA GONZALEZ  CENTRO DE ESTETICA </t>
  </si>
  <si>
    <t>MARTINEZ SANCHEZ AURA NAYIBE</t>
  </si>
  <si>
    <t>HERNANDEZ GOMEZ LAURA CATALINA</t>
  </si>
  <si>
    <t>DUITAMA CARDENAS DEISY CAROLINA</t>
  </si>
  <si>
    <t>RINCON GRANADOS MANUEL HERNANDO</t>
  </si>
  <si>
    <t>SAVEDRA RIOS EDINSON HERNANDO</t>
  </si>
  <si>
    <t>BARBOSA  YENY ALEXANDRA</t>
  </si>
  <si>
    <t xml:space="preserve">CARDENAS BALAGUERA ANGELA </t>
  </si>
  <si>
    <t>BLANCO SUAREZ JULLIET JOHANNA</t>
  </si>
  <si>
    <t>GUEVARA GAMBOA NILSA FABIOLA</t>
  </si>
  <si>
    <t>BAEZ SANABRIA EDITH CONSUELO</t>
  </si>
  <si>
    <t>GARCIA VILLAMARIN ANA LUCIA</t>
  </si>
  <si>
    <t>PARRA VARGAS LEIDY CONSTANZA</t>
  </si>
  <si>
    <t>TAVERA CUERVO ANDREA PAOLA</t>
  </si>
  <si>
    <t>NIÑO  CARLOS EDUARDO</t>
  </si>
  <si>
    <t>GUERRERO RAVELO DIEGO FERNANDO</t>
  </si>
  <si>
    <t xml:space="preserve">GOMEZ VEGA MIREYA </t>
  </si>
  <si>
    <t>HIGUERA ROMERO EDGAR DUVAN</t>
  </si>
  <si>
    <t>SANCHEZ PATIÑO JOSE LUIS</t>
  </si>
  <si>
    <t>SUAREZ CASTRO BARBARA YANETH</t>
  </si>
  <si>
    <t>LIZARAZO VELANDIA ANDREA LUCIA</t>
  </si>
  <si>
    <t xml:space="preserve">GUEVARA  VIVIANA </t>
  </si>
  <si>
    <t>ORJUELA CRISTANCHO DORA ANGELA</t>
  </si>
  <si>
    <t>MARIÑO CUSBA HOLMAN FERNEY</t>
  </si>
  <si>
    <t>MORALES DIAZ DARWIN ANTONIO</t>
  </si>
  <si>
    <t>GONZALEZ  ANGELA YORLEY</t>
  </si>
  <si>
    <t xml:space="preserve">RUIZ ANA ISABEL </t>
  </si>
  <si>
    <t>CELY MEDINA MIRYAM JANNETH</t>
  </si>
  <si>
    <t>TENJO MARTINEZ NYDIA JOHANNA</t>
  </si>
  <si>
    <t xml:space="preserve">BUITRAGO  CESAR </t>
  </si>
  <si>
    <t>DIAZ MARTINEZ MAYRA JULANY</t>
  </si>
  <si>
    <t>VELANDIA RINCON LAURA0 JOHANA</t>
  </si>
  <si>
    <t>FERNANDEZ CORREA MORELBA ROCIO</t>
  </si>
  <si>
    <t>CR 20 20 A15 MONRROY ANGELICA VIVIANA</t>
  </si>
  <si>
    <t>MERCHAN VERGARA RAUL DARIO</t>
  </si>
  <si>
    <t xml:space="preserve">SANCHEZ  NATALY </t>
  </si>
  <si>
    <t>CAMARGO BARRERA JESSICA TATIANA</t>
  </si>
  <si>
    <t>CHAPARRO PATARROYO ELENA PATRICIA</t>
  </si>
  <si>
    <t>LEMUS PIRAGAUTA PAOLA ANDREA</t>
  </si>
  <si>
    <t>GONZALEZ SOLANO EDWARD ANDRES</t>
  </si>
  <si>
    <t>PULIDO CARMAGO GILBERTH LEONARDO</t>
  </si>
  <si>
    <t xml:space="preserve">BECERRA MATEUS ERIKA </t>
  </si>
  <si>
    <t xml:space="preserve">PITA  EDWIN </t>
  </si>
  <si>
    <t>PUENTES PLAZAS YENNY PAOLA</t>
  </si>
  <si>
    <t>COY CABRA LESLY YESENIA</t>
  </si>
  <si>
    <t>MONROY ALFONSO DILSA EDILMA</t>
  </si>
  <si>
    <t>PINZON SUAREZ MARYI TATIANA</t>
  </si>
  <si>
    <t>PEREZ GUARIN MYRIAM MARCELA</t>
  </si>
  <si>
    <t>ESTUPIÑAN PARDO GUSTAVO ADOLFO</t>
  </si>
  <si>
    <t>OROZCO GRANADOS JAZMIN LIZETH</t>
  </si>
  <si>
    <t>MARTINEZ FONSECA WILLIAM FABIAN</t>
  </si>
  <si>
    <t>LOPEZ NIÑO LISETH NATALY</t>
  </si>
  <si>
    <t>RUIZ DIAZ ANDREA CAROLINA</t>
  </si>
  <si>
    <t>LOPEZ ACEVEDO JULIO ENRIQUE</t>
  </si>
  <si>
    <t xml:space="preserve">DUARTE OLIVEROS  PEDRO HERNAN </t>
  </si>
  <si>
    <t>ACERO SILVA JOSE LEONARDO</t>
  </si>
  <si>
    <t>SUAREZ MOLANO DIANA INES</t>
  </si>
  <si>
    <t>SANABRIA VIVAS NELSON RICARDO</t>
  </si>
  <si>
    <t xml:space="preserve">SILVA  JHON </t>
  </si>
  <si>
    <t>MONTERO GOMEZ KEILY DAYANA</t>
  </si>
  <si>
    <t xml:space="preserve">ELIZABETH  MARIA </t>
  </si>
  <si>
    <t>TORRES ESLAVA HOLLMAN GIOVANNI</t>
  </si>
  <si>
    <t>NIÑO MENDIVELSO DANIEL FERNANDO</t>
  </si>
  <si>
    <t>DURAN SUAREZ YINETH SOFIA</t>
  </si>
  <si>
    <t xml:space="preserve">BARON GOMEZ  JAIR AUGUSTO </t>
  </si>
  <si>
    <t>SANCHEZ CUCUNUBA HAROLD ANDRES</t>
  </si>
  <si>
    <t>TRISTANCHO PLAZAS YEIMY CAROLINA</t>
  </si>
  <si>
    <t>TORRES PEREZ LUZ DARY</t>
  </si>
  <si>
    <t>SANCHEZ CUSPOCA ERIKA TATIANA</t>
  </si>
  <si>
    <t xml:space="preserve">BOLIVAR MOLANO EDUAR </t>
  </si>
  <si>
    <t>SUAREZ GONZALEZ LEIDY VIVIANA</t>
  </si>
  <si>
    <t xml:space="preserve">JHON JARRISON LOPEZ </t>
  </si>
  <si>
    <t>KARENT DAYANA SALAZAR BELTRAN</t>
  </si>
  <si>
    <t>GUIDO FERNANDO ZUÑIGA MOJICA</t>
  </si>
  <si>
    <t>TENJO SUAREZ SILVIA PATRICIA</t>
  </si>
  <si>
    <t>CAUSA 3212215676 DANIEL ARMANDO</t>
  </si>
  <si>
    <t>ESPINOSA ESTUPIÑAN CRISTHIAN STIVEEN</t>
  </si>
  <si>
    <t>ROJAS CARDENAS DIANA MARCELA</t>
  </si>
  <si>
    <t>MARIA CLAUDIA TORRES PEDREROS</t>
  </si>
  <si>
    <t>ASCENCIO LOPEZ IVONE ADRIANA</t>
  </si>
  <si>
    <t>PEÑA ANGARITA DIANA IBETH</t>
  </si>
  <si>
    <t>FRANCO LOAIZA JORGE LUIS</t>
  </si>
  <si>
    <t>SILVA SILVA JENNY ROCIO</t>
  </si>
  <si>
    <t>BARRERA HIGUERA DIEGO LEONARDO</t>
  </si>
  <si>
    <t>SATIVA MARTINEZ JUAN CAMILO</t>
  </si>
  <si>
    <t>LIZARAZO ROJAS JENNIFER GIOVANNA</t>
  </si>
  <si>
    <t>VIVAS BECERRA MAGDA ERIKA</t>
  </si>
  <si>
    <t>ROJAS CALDERON JONATHAN FABIAN</t>
  </si>
  <si>
    <t>GUTIERREZ GARCIA LAURA ALEJANDRA</t>
  </si>
  <si>
    <t>GALLO  DIEGO FERNANDO</t>
  </si>
  <si>
    <t>ROSAS VARGAS LINA JOHANNA</t>
  </si>
  <si>
    <t>SOLANO SANA CARLOS JULIO</t>
  </si>
  <si>
    <t>SOLANO MARTINEZ NIXON FABIAN</t>
  </si>
  <si>
    <t>MOLANO  NATHANIA MERCEDES</t>
  </si>
  <si>
    <t>ARCHILA FONSECA ERIKA MARCELA</t>
  </si>
  <si>
    <t>RODRIGUEZ LEON LINA MARCELA</t>
  </si>
  <si>
    <t>BELTRAN PEREZ CARLOS ALFREDO</t>
  </si>
  <si>
    <t>GOMEZ CAMARGO DAYAN PAOLA</t>
  </si>
  <si>
    <t>JOYA CASTRO NELSON MAURICIO</t>
  </si>
  <si>
    <t>HIGUERA NINO MARLON GILBERTO</t>
  </si>
  <si>
    <t>GONZALEZ ESTUPIÑAN ERIKA LIZETH</t>
  </si>
  <si>
    <t>OCHOA PEREZ AURA CRISTINA</t>
  </si>
  <si>
    <t>ESTEPA LOPEZ GLORIA ESPERANZA</t>
  </si>
  <si>
    <t>SUAREZ BUITRAGO MYRIAM PATRICIA</t>
  </si>
  <si>
    <t xml:space="preserve">ALBARRACIN  JESSICA </t>
  </si>
  <si>
    <t>GUEVARA  JULIE MARIA</t>
  </si>
  <si>
    <t>GOMEZ  HOLLMAN ANDRES</t>
  </si>
  <si>
    <t>LOPEZ NIÑO FREDY ALEXANDER</t>
  </si>
  <si>
    <t>AGUILLON NIÑO JHON JAIRO</t>
  </si>
  <si>
    <t>HERNANDEZ GOMEZ MARCO ANTONIO</t>
  </si>
  <si>
    <t xml:space="preserve">CARRILLO  DIANA </t>
  </si>
  <si>
    <t>BALLESTEROS DUARTE YURY JOHANNA</t>
  </si>
  <si>
    <t>ZAFRA TORRES EDGAR RICARDO</t>
  </si>
  <si>
    <t>MARTINEZ CORREDOR PAOLA ANDREA</t>
  </si>
  <si>
    <t>TORRES VALDERRAMA CESAR MAURICIO</t>
  </si>
  <si>
    <t>MANOSALVA ANGARITA DEISY YOLANI</t>
  </si>
  <si>
    <t>ALBARRACIN PICO VICTOR JULIO</t>
  </si>
  <si>
    <t>NIÑO TORRES YESIKA ALEJANDRA</t>
  </si>
  <si>
    <t>CUTA CASTRO WILLIAM RICARDO</t>
  </si>
  <si>
    <t>CARVAJAL VELANDIA HELBERT GERSAIN</t>
  </si>
  <si>
    <t>SAENZ PORRAS DIANA CAROLINA</t>
  </si>
  <si>
    <t>BERNAL ANGARITA MILENA MARIA</t>
  </si>
  <si>
    <t>COY GUIO MARITZA JURLEY</t>
  </si>
  <si>
    <t>PAEZ NUITRAGO YEIMY LILIANA</t>
  </si>
  <si>
    <t>MESA CAMARGO KEVIN ANDRES</t>
  </si>
  <si>
    <t>FLOREZ CHIVATA RUDIN EMILCE</t>
  </si>
  <si>
    <t>ANDRADE GONZALEZ FABIAN GUILLERMO</t>
  </si>
  <si>
    <t>ZABALA GUEVARA LEIDY YOHANA</t>
  </si>
  <si>
    <t>EDWER ARIEL GONZALEZ LOPEZ</t>
  </si>
  <si>
    <t>MEJIA ALFONSO HERNANDO ALBERTO</t>
  </si>
  <si>
    <t>MUNEVAR ESPINEL JUAN PABLO</t>
  </si>
  <si>
    <t>AVENDAÑO RODRIGUEZ CARLOS ALBERTO</t>
  </si>
  <si>
    <t>CRA172259 CAMARGO WILLIAM ARIEL</t>
  </si>
  <si>
    <t xml:space="preserve">BAUTISTA MORALES MARISELA </t>
  </si>
  <si>
    <t>SIACHOQUE VARGAS SYNDY LISETHE</t>
  </si>
  <si>
    <t>FONSECA VARGAS EDNA ROCIO</t>
  </si>
  <si>
    <t>PALENCIA CAMARGO JOHANNA CATALINA</t>
  </si>
  <si>
    <t>ORJUELA RODRIGUEZ CRISTIAN CAMILO</t>
  </si>
  <si>
    <t>SANDRA MILENA RIVERA ROMERO</t>
  </si>
  <si>
    <t>JIMENEZ GUEVARA GUEVARA LIBETH MARCELA MARCELA</t>
  </si>
  <si>
    <t>ACERO ACERO NACIM YANINE</t>
  </si>
  <si>
    <t>GONZALEZ GOMEZ MARCIA YAZMIN</t>
  </si>
  <si>
    <t>GALLO LAGOS LEIDY JULIETH</t>
  </si>
  <si>
    <t xml:space="preserve">RODRIGUEZ SOLANO MALFY </t>
  </si>
  <si>
    <t>PEREZ RINCON CLAUDIA CENETH</t>
  </si>
  <si>
    <t xml:space="preserve">PATRICIA  JOHANA </t>
  </si>
  <si>
    <t>BECERRA PEDRAZA EDGAR ANDRES</t>
  </si>
  <si>
    <t>SANCHEZ FUQUEN JESSICA LIZETH</t>
  </si>
  <si>
    <t>SUAREZ ROSAS DANIELA ALEJANDRA</t>
  </si>
  <si>
    <t>REYES RINCON LAURA YULIETH</t>
  </si>
  <si>
    <t xml:space="preserve">SANCHES CASTRO MAYERLY </t>
  </si>
  <si>
    <t>JOYA PINZON ANGELA PATRICIA</t>
  </si>
  <si>
    <t>GOMEZ COLMENARES GINNA PAOLA</t>
  </si>
  <si>
    <t>BECERRA ABRIL LEIDY YOHANNA</t>
  </si>
  <si>
    <t xml:space="preserve">RAMIREZ  LOBSANG </t>
  </si>
  <si>
    <t>CARDENAS NARANJO LILIANA YAZMIN</t>
  </si>
  <si>
    <t>GRANADOS PATARROYO MANUEL ESVEN</t>
  </si>
  <si>
    <t xml:space="preserve">PINTO  CARLOS </t>
  </si>
  <si>
    <t>RODRIGUEZ HERRERA EDGAR ALBERTO</t>
  </si>
  <si>
    <t>MALDONADO CASTRO MARIA ALEJANDRA</t>
  </si>
  <si>
    <t xml:space="preserve">CACERES  JHONNY </t>
  </si>
  <si>
    <t>MATEUS MORALES FRANCY MIREYA</t>
  </si>
  <si>
    <t>CAMARGO ADAME MAGDA LUCERO</t>
  </si>
  <si>
    <t>BARRERA BONILLA LUCIA MARIA</t>
  </si>
  <si>
    <t>TORRES ABRIL LEIDI JOHANA</t>
  </si>
  <si>
    <t>PINTO  DEISY LISBETH</t>
  </si>
  <si>
    <t xml:space="preserve">AVELLA  CRISTIAN </t>
  </si>
  <si>
    <t>VARGAS GALLO DANIEL ALONSO</t>
  </si>
  <si>
    <t xml:space="preserve">JULIETH  ERIKA </t>
  </si>
  <si>
    <t>CASTRO GAMBOA JOHN JAIRO</t>
  </si>
  <si>
    <t>GONZALEZ HOSTOS BRAYAN JOSE</t>
  </si>
  <si>
    <t>CEPEDA RAMIREZ VERONICA JANNETH</t>
  </si>
  <si>
    <t xml:space="preserve">TORRES  CAMILA </t>
  </si>
  <si>
    <t>NITOLA SUAREZ WILMAR YAMIT</t>
  </si>
  <si>
    <t>FONSECA CAMARGO CARLOS ANDRES</t>
  </si>
  <si>
    <t>LUIS ANDRES AVENDAÑO GALLO</t>
  </si>
  <si>
    <t>GALVIS SANCHEZ DAISSY ANDREA</t>
  </si>
  <si>
    <t>ESPEJO SALSEDO LEONEL RICARDO</t>
  </si>
  <si>
    <t>JIMENEZ BECERRA LEONARDO EFREN</t>
  </si>
  <si>
    <t>CARILLO ARIAS EDWIN ALONSO</t>
  </si>
  <si>
    <t>DIAZ CAMARGO ADRIANA MARCELA</t>
  </si>
  <si>
    <t>ZABALA FLOREZ ANYI CAROLINA</t>
  </si>
  <si>
    <t>BECERRA SANDOVAL MIGUEL ANGEL</t>
  </si>
  <si>
    <t>GUIO LATORRE OSCAR DANILO</t>
  </si>
  <si>
    <t xml:space="preserve">VARGAS SALCEDO MARIONEL </t>
  </si>
  <si>
    <t>CORREALES ROJAS DIANA CAROLINA</t>
  </si>
  <si>
    <t>HOLGUIN BARRERA MANUEL FERNANDO</t>
  </si>
  <si>
    <t xml:space="preserve">PAIPILLA AVELLANEDA ISRAEL </t>
  </si>
  <si>
    <t>REYES BARRERA DIANA MARCELA</t>
  </si>
  <si>
    <t>PIRAJON ACOSTA ANDREA CAROLINA</t>
  </si>
  <si>
    <t>CAMARGO GARCIA CRISTIAN HERNANDO</t>
  </si>
  <si>
    <t>BLANCO FLECHAS JUAN SEBASTIAN</t>
  </si>
  <si>
    <t>CUSPOCA CORREDOR JOSE DANIEL</t>
  </si>
  <si>
    <t>JIMENEZ MERCHAN LUZ DAYAN</t>
  </si>
  <si>
    <t xml:space="preserve">SERRANO  JOHNY </t>
  </si>
  <si>
    <t>REYES GUARIN YULY ANDREA</t>
  </si>
  <si>
    <t>BALLEESTEROS HERNANDEZ JORGE ALBERTO</t>
  </si>
  <si>
    <t>VELANDIA MUÑOZ EDWIN FERNEY</t>
  </si>
  <si>
    <t>BONILLA BERNAL JULIO ARNOLDO</t>
  </si>
  <si>
    <t>GOMEZ BLANCO RUBY ASTRID</t>
  </si>
  <si>
    <t>CANO RAMIREZ ANGGIE MELISSA</t>
  </si>
  <si>
    <t xml:space="preserve">INFANTE  DERLY </t>
  </si>
  <si>
    <t>MOLANO MESA CARLOS ALBERTO</t>
  </si>
  <si>
    <t>PARADA PARADA DANIEL FERNANDO</t>
  </si>
  <si>
    <t>CUCHIA DIAZ LIZETH VANESSA</t>
  </si>
  <si>
    <t>LOPEZ CASTANEDA KAREN PAOLA</t>
  </si>
  <si>
    <t xml:space="preserve">ACOSTA  NEICY </t>
  </si>
  <si>
    <t>MONTAÑA BECERRA MONICA MAYERLY</t>
  </si>
  <si>
    <t>MANRIQUE PINZON JOSE RICARDO</t>
  </si>
  <si>
    <t>RINCON BOADA CESAR OSWALDO</t>
  </si>
  <si>
    <t xml:space="preserve">JOHN JAIRO OSORIO </t>
  </si>
  <si>
    <t>GOMEZ BUSTACARA DIANA LORENA</t>
  </si>
  <si>
    <t>OSUNA FONSECA ADRIANA MARIBEL</t>
  </si>
  <si>
    <t>CRUZ  JUAN CARLOS</t>
  </si>
  <si>
    <t>CAMACHO ALFONSO LIZETH PAOLA</t>
  </si>
  <si>
    <t>FERNANDEZ RODRIGUEZ JONATHAN IOMAR</t>
  </si>
  <si>
    <t>BAUTISTA MACIAS ANDRES CAMILO</t>
  </si>
  <si>
    <t>HIGUERA OSTOS YERSON ALEIXANDRE</t>
  </si>
  <si>
    <t>BARAJAS OSTOS YEYMY LIZETH</t>
  </si>
  <si>
    <t>AMEZQUITA BECERRA NEIDY CAROLINA</t>
  </si>
  <si>
    <t>ESTUPIÑAN  HENRY ALBEIRO</t>
  </si>
  <si>
    <t xml:space="preserve">ORLAY  WILBER </t>
  </si>
  <si>
    <t>CAMARGO CAMARGO LEIDY KATHERINE</t>
  </si>
  <si>
    <t xml:space="preserve">MARCELA  LAURA </t>
  </si>
  <si>
    <t>LOPEZ LOPEZ ERIKA CATERINE</t>
  </si>
  <si>
    <t xml:space="preserve">GUERRERO  LAURA </t>
  </si>
  <si>
    <t>HUESO HERNANDEZ HERICA EDILSA</t>
  </si>
  <si>
    <t>CORREDOR TAMARA JOHANN SNEYDER</t>
  </si>
  <si>
    <t>MENDIVELSO GOMEZ FANY EDITH</t>
  </si>
  <si>
    <t>ACERO CHAPETON JIMMY JOANNY</t>
  </si>
  <si>
    <t>CHAPARRO  ERICA YERALDIN</t>
  </si>
  <si>
    <t>CHAPARRO ROJAS ASTRID PAOLA</t>
  </si>
  <si>
    <t>PUERTO ALVAREZ YUDI LUCERO</t>
  </si>
  <si>
    <t>GONZALEZ BETANCOURT FABIO LEONARDO</t>
  </si>
  <si>
    <t xml:space="preserve">CAMARGO  JOSE </t>
  </si>
  <si>
    <t xml:space="preserve">AMAYA CASAS  NOHORA YAZMIN </t>
  </si>
  <si>
    <t>CASTILLO ACEVEDO JOSE ALBERTO</t>
  </si>
  <si>
    <t>AVELLANEDA   QUINTERO  FLOR  YASMIN</t>
  </si>
  <si>
    <t>CARRILLO CASTILLO JUAN SEBASTIAN</t>
  </si>
  <si>
    <t>GONZALEZ CUSPOCA MIGUEL ANGEL</t>
  </si>
  <si>
    <t>CARDENAS MONTANEZ DORA LILIANA</t>
  </si>
  <si>
    <t>CAMARGO LEON LADY JOHANA</t>
  </si>
  <si>
    <t xml:space="preserve">MORALES GIRALDO ESMERALDA </t>
  </si>
  <si>
    <t xml:space="preserve">PINEDA OVALLE YEIMY CATALINA </t>
  </si>
  <si>
    <t>GONZALEZ PINZON MIGUEL FERNANDO</t>
  </si>
  <si>
    <t>FERNANDEZ MORENO ERIKA JOHANNA</t>
  </si>
  <si>
    <t>FUQUEN PEDRAZA ANGELA VIVIANA</t>
  </si>
  <si>
    <t>PITA PIZA MYRIAM ALEJANDRA</t>
  </si>
  <si>
    <t>PEREZ GARCIA JEFFER EDILSON</t>
  </si>
  <si>
    <t>CAMACHO FUENTES KARENT DEL PILAR</t>
  </si>
  <si>
    <t>ESLAVA ESPITIA LYDA ESPERANZA</t>
  </si>
  <si>
    <t>RODRIGUEZ GIL YODY MARCELA</t>
  </si>
  <si>
    <t>BLANCO ALARCON LEIDY JOHANNA</t>
  </si>
  <si>
    <t xml:space="preserve">MAURICIO  EDGAR </t>
  </si>
  <si>
    <t xml:space="preserve">MARQUEZ CAMARGO  MILENA </t>
  </si>
  <si>
    <t>CHAPARRO  LEIDY JOHANNA</t>
  </si>
  <si>
    <t xml:space="preserve">SALAMANCA VALDERRAMA  JUAN CARLOS </t>
  </si>
  <si>
    <t>SUAREZ BALAGUERA DIEGO ALEJANDRO</t>
  </si>
  <si>
    <t>MARTINEZ GOMEZ LILIANA CONSUELO</t>
  </si>
  <si>
    <t>GRIMALDOS MARTINEZ EDGAR REINALDO</t>
  </si>
  <si>
    <t>MORA TRISTANCHO DIEGO LEANDRO</t>
  </si>
  <si>
    <t>RIAÑO JIMENEZ INGRID ELISA</t>
  </si>
  <si>
    <t>CELY ROJAS FREDY ESTEBAN</t>
  </si>
  <si>
    <t xml:space="preserve">PINEDA MUNOZ CARLOS </t>
  </si>
  <si>
    <t>PAIPA 3203460654 ANDRES LEONARDO</t>
  </si>
  <si>
    <t>SILVA MENDIVELSON OSCAR ANDRES</t>
  </si>
  <si>
    <t xml:space="preserve">PULIDO OCHOA LORENA </t>
  </si>
  <si>
    <t>PARRA BAEZ ERIKA ANDREA</t>
  </si>
  <si>
    <t xml:space="preserve">HIGUERA 3225982817 XIOMARA </t>
  </si>
  <si>
    <t>RODRIGUEZ CARDENAS ERIKA CAROLINA</t>
  </si>
  <si>
    <t>RAMIREZ ARAQUE LYAAM JAZLYN</t>
  </si>
  <si>
    <t>VARGAS SOTO DAVID LEONARDO</t>
  </si>
  <si>
    <t>PAEZ GONZALEZ DIEGO FERNANDO</t>
  </si>
  <si>
    <t>MARIÑO RINCON ARIS EMIRO</t>
  </si>
  <si>
    <t>MORANTES MEDINA DIEGO HERNANDO</t>
  </si>
  <si>
    <t>GRANADOS TORRES TATIANA ALEJANDRA</t>
  </si>
  <si>
    <t>CARDOZO GUARNIZO CESAR AGUSTO</t>
  </si>
  <si>
    <t xml:space="preserve">PEREZ RODRIGUEZ YERALDIN </t>
  </si>
  <si>
    <t>GONZALEZ CAMARGO RICHARD LEONARDO</t>
  </si>
  <si>
    <t>MALDONADO MALDONADO CARLOS FELIPE</t>
  </si>
  <si>
    <t>SANABRIA PATINO JUAN FELIPE</t>
  </si>
  <si>
    <t>TRIANA RODRIGUEZ LEIDY CAROLINA</t>
  </si>
  <si>
    <t xml:space="preserve">CASTRO RICAURTE YIRA </t>
  </si>
  <si>
    <t>GARZON BONILLA DIEGO ARMANDO</t>
  </si>
  <si>
    <t>MANRIQUE MANRIQUE JUANITA MELISSA</t>
  </si>
  <si>
    <t>CUADROS OLIVEROS FRANCY MARISOL</t>
  </si>
  <si>
    <t>ARTURO AMEZQUITA JOHANA ALEXANDRA</t>
  </si>
  <si>
    <t>BARRERA FRACICA YUDY PAOLA</t>
  </si>
  <si>
    <t xml:space="preserve">YANETH  ANGELA </t>
  </si>
  <si>
    <t xml:space="preserve">RUIZ BAUTISTA HUGO </t>
  </si>
  <si>
    <t>OTALORA DUARTE MARCELA KARINA</t>
  </si>
  <si>
    <t>CARDENAS CASTAÑEDA DIANA MARCELA</t>
  </si>
  <si>
    <t>CELY CRISTANCHO LARRI FABRICIO</t>
  </si>
  <si>
    <t>FONSECA EYES JULIETH PAOLA</t>
  </si>
  <si>
    <t xml:space="preserve">CHINOME  SOFIA </t>
  </si>
  <si>
    <t>GONZALES NIÑO LEYDY XIOMARA</t>
  </si>
  <si>
    <t>ROMERO BENITEZ JORGE ALEXANDER</t>
  </si>
  <si>
    <t>SILVA BLANCO LIDY CAMILA</t>
  </si>
  <si>
    <t>ESTUPIÑAN MONTAÑEZ LIDA ROCIO</t>
  </si>
  <si>
    <t>SUAREZ DIAZ JUAN PABLO</t>
  </si>
  <si>
    <t>FLOREZ CARDENAS LILIANA MARIA</t>
  </si>
  <si>
    <t>ASCENCIO SILVA JONATHAN RICARDO</t>
  </si>
  <si>
    <t>MERCHAN GONZALEZ ANDRES FELIPE</t>
  </si>
  <si>
    <t>TIBADUIZA ROJAS JORGE ALEXANDER</t>
  </si>
  <si>
    <t>MEDINA ZAPATA LOREN JULIETH</t>
  </si>
  <si>
    <t>LEON CRISTANCHO GUSTAVO ANDRES</t>
  </si>
  <si>
    <t>PRIETO HERNANDEZ JOSE ALBERTO</t>
  </si>
  <si>
    <t>BLANCO BENAVIDES JHON JAIRO</t>
  </si>
  <si>
    <t xml:space="preserve">SILVA MARTINEZ  GABRIEL ALEXANDER </t>
  </si>
  <si>
    <t>AGUDELO RODRIGUEZ JAIME IVAN</t>
  </si>
  <si>
    <t>CARVAJAL LOPEZ PAOLA CAROLINA</t>
  </si>
  <si>
    <t>ZEIN GONZALEZ ANDREA CAROLINA</t>
  </si>
  <si>
    <t>SALAS SALAS MONICA LILIANA</t>
  </si>
  <si>
    <t>RIVERA ROJAS ANA PAOLA</t>
  </si>
  <si>
    <t>ESTUPIÑAN ORTIZ HILDER YECID</t>
  </si>
  <si>
    <t>FUENTES TAMAYO XIOMARA ALEXANDRA</t>
  </si>
  <si>
    <t>NOCUA BAEZ LAURA CRISTINA</t>
  </si>
  <si>
    <t xml:space="preserve">CRISTANCHO CARDENAS ISABELINA </t>
  </si>
  <si>
    <t xml:space="preserve">ESTEFANIA  IRMA </t>
  </si>
  <si>
    <t>MORENO CASTRO NURY FABIOLA</t>
  </si>
  <si>
    <t>RINCON RODRIGUEZ YEIMY ANDREA</t>
  </si>
  <si>
    <t xml:space="preserve">STIVEN CASTRO ERIK </t>
  </si>
  <si>
    <t xml:space="preserve">RINCON  LUIS </t>
  </si>
  <si>
    <t>FAJARDO SIATOBA GEOVANA LINNETH</t>
  </si>
  <si>
    <t>BECERRA CHAPARRO DIEGO CAMILO</t>
  </si>
  <si>
    <t>GALVIS ROBALLO VLADIMIR ELIECER</t>
  </si>
  <si>
    <t>FIGUEREDO CLAROS JAIME ANDRES</t>
  </si>
  <si>
    <t>MORENO MURCIA JAHIR EDUARDO</t>
  </si>
  <si>
    <t>RODRIGUEZ DELGADO CARLOS GIOVANNI</t>
  </si>
  <si>
    <t>VIASUS BECERRA FREDDY LORENZO</t>
  </si>
  <si>
    <t xml:space="preserve">MORA ROJAS CAROLINA </t>
  </si>
  <si>
    <t>SOLER TRIANA MABEL XIOMARA</t>
  </si>
  <si>
    <t>RINCON VALDERRAMA LIZETH TATIANA</t>
  </si>
  <si>
    <t>CELY CASTILLO DAVID ALFONSO</t>
  </si>
  <si>
    <t>MEDINA HIGUERA SERGIO ANDRES</t>
  </si>
  <si>
    <t>GOMEZ ESTUPIÑAN VIVIAN MELISSA</t>
  </si>
  <si>
    <t>VEGA PINEDA JUAN FERNANDO</t>
  </si>
  <si>
    <t xml:space="preserve">RINCON MONTAÑEZ NIDIA </t>
  </si>
  <si>
    <t>RAMIREZ PEÑA FABIAN JESUS</t>
  </si>
  <si>
    <t>VARGAS LOPEZ CESAR ANDRES</t>
  </si>
  <si>
    <t>CUEVAS PENA YESICA SULEIMA</t>
  </si>
  <si>
    <t>AVENDAÑO  JHON JAIRO</t>
  </si>
  <si>
    <t>PEREZ MELO RAUL LEONARDO</t>
  </si>
  <si>
    <t>ANTOLINEZ CEPEDA ASTRID JOHANA</t>
  </si>
  <si>
    <t xml:space="preserve">RIVERO FUENTES JIMMY </t>
  </si>
  <si>
    <t>TAMARA QUIROGA YEIMMY YAMILE</t>
  </si>
  <si>
    <t>AVILA PITA JAVIER DARIO</t>
  </si>
  <si>
    <t>GUAJE GOMEZ SANDRA LORENA</t>
  </si>
  <si>
    <t xml:space="preserve">WALTEROS PENA  LUZ ADRIANA </t>
  </si>
  <si>
    <t>AMEZQUITA PINEDA JOSE LUIS</t>
  </si>
  <si>
    <t>NIÑO PEREZ JEIMMY ANDREA</t>
  </si>
  <si>
    <t>AGUILAR ACERO CARLOS EDUARDO</t>
  </si>
  <si>
    <t>CONTRERAS MIRANDA LUIS DANIEL</t>
  </si>
  <si>
    <t>VARGAS COLMENARES DIANA MARCELA</t>
  </si>
  <si>
    <t>JOAQUI TOCA KELY JOHANA</t>
  </si>
  <si>
    <t>BECERRA RAVELO ASTRID ADRIANA</t>
  </si>
  <si>
    <t>RODRIGUEZ PINEDA CRISTIAN CAMILO</t>
  </si>
  <si>
    <t>FAJARDO MARQUEZ EDDY ANGELICA</t>
  </si>
  <si>
    <t>GRIMALDOS PUERTO LUIS SEBASTIAN</t>
  </si>
  <si>
    <t>MUNOZ ROJAS DIANA ALEJANDRA</t>
  </si>
  <si>
    <t>MONTERO GOMEZ JULIAN DAVID</t>
  </si>
  <si>
    <t>CARDENAS RODRIGUEZ JENNY LORENA</t>
  </si>
  <si>
    <t>ALBARRACIN NIÑO ERIKA PATRICIA</t>
  </si>
  <si>
    <t xml:space="preserve">MEDINA HERNANDEZ WILMAR </t>
  </si>
  <si>
    <t>DUQUE SANCHEZ DAIAN JERALDINNE</t>
  </si>
  <si>
    <t>BENAVIDES MORALES OSCAR EBETH</t>
  </si>
  <si>
    <t>RUIZ RIVEROS ZULMA LINIBETH</t>
  </si>
  <si>
    <t xml:space="preserve">NUÑEZ LOZANO KATHERINE </t>
  </si>
  <si>
    <t>ALARCON RAVELO LEIDY CAROLINA</t>
  </si>
  <si>
    <t>MARTINEZ PERALTA LIZETH JOHANA</t>
  </si>
  <si>
    <t xml:space="preserve">DALLANA  KELLER </t>
  </si>
  <si>
    <t>MEJIA MEJIA YEIMY CAROLINA</t>
  </si>
  <si>
    <t>VILLATE MANRIQUE DIANA JIMENA</t>
  </si>
  <si>
    <t>CASTELLANOS BAEZ LEIDY PAOLA</t>
  </si>
  <si>
    <t>PITA MORENO YULY XIOMARA</t>
  </si>
  <si>
    <t>FONSECA VELANDIA FABIO ALEXANDER</t>
  </si>
  <si>
    <t>BECERRA MENDIVELSO LUZ HELENA</t>
  </si>
  <si>
    <t xml:space="preserve">GUERRERO BARRERA LIBARDO </t>
  </si>
  <si>
    <t>APONTE COLMENARES PEDRO LUIS</t>
  </si>
  <si>
    <t xml:space="preserve">BARRIOS  JUAN </t>
  </si>
  <si>
    <t xml:space="preserve">MIREYA  ISLENI </t>
  </si>
  <si>
    <t xml:space="preserve">HIGUERA NITOLA ADRIANA </t>
  </si>
  <si>
    <t>ACERO VARGAS YEISSON FABIAN</t>
  </si>
  <si>
    <t>REYES POVEDA JINNY PAOLA</t>
  </si>
  <si>
    <t>CATELLANOS VELANDIA JOHANA DANIELA</t>
  </si>
  <si>
    <t>CELY CASTRO LEIDY BOLENA</t>
  </si>
  <si>
    <t>CACERES MARTINEZ EDILSON JAVIER</t>
  </si>
  <si>
    <t>DELGADO SALAZAR CARLOS YEBRAIL</t>
  </si>
  <si>
    <t xml:space="preserve">LIZARAZO GARCIA SORAIDA </t>
  </si>
  <si>
    <t>JIMENEZ SORIANO DIANA PATRICIA</t>
  </si>
  <si>
    <t>GONZALEZ CELY YENNY MARCELA</t>
  </si>
  <si>
    <t>VARGAS BAEZ EDWAR RICARDO</t>
  </si>
  <si>
    <t>CARDENAS PINZON ERIKA LORENA</t>
  </si>
  <si>
    <t>GOMEZ SALAZAR ANGELA PATRICIA</t>
  </si>
  <si>
    <t xml:space="preserve">PINEDA  DERLY </t>
  </si>
  <si>
    <t>MESA RUEDA DERLY KATHERIN</t>
  </si>
  <si>
    <t>BECERRA DELGADO ANGELICA MARIA</t>
  </si>
  <si>
    <t>MERIDA BOLIVAR PAOLA CAMILA</t>
  </si>
  <si>
    <t>ALBARRACIN LOPEZ MARCELA ELIZABETH</t>
  </si>
  <si>
    <t xml:space="preserve">WILCHES  FARUK </t>
  </si>
  <si>
    <t>PARRA SUAREZ DIANA CAROLINA</t>
  </si>
  <si>
    <t>FERRUCHO JOYA DANIEL EDUARDO</t>
  </si>
  <si>
    <t>JAIME REYES DANIEL FELIPE</t>
  </si>
  <si>
    <t xml:space="preserve">JAIME  RUBEN </t>
  </si>
  <si>
    <t>BOHORQUEZ LOPEZ YERISON ANDRES</t>
  </si>
  <si>
    <t>RAMIREZ CONTRERAS RAFAEL RICARDO</t>
  </si>
  <si>
    <t>CARREÑO BERNAL JOSE LISANDRO</t>
  </si>
  <si>
    <t xml:space="preserve">MERCHAN FUENTES GERARDO </t>
  </si>
  <si>
    <t>BECERRA PEREZ ELKIN EDUARDO</t>
  </si>
  <si>
    <t>PALACIOS VERA MARIA ANGELICA</t>
  </si>
  <si>
    <t>OROSCO  GUSTAVO EDUARDO</t>
  </si>
  <si>
    <t xml:space="preserve">VILLAMOR REYES  EDNA LIZETH </t>
  </si>
  <si>
    <t>TRIANA DIAZ ANYI ZULIMA</t>
  </si>
  <si>
    <t>BONILLA BUITRAGO DIANA PAOLA</t>
  </si>
  <si>
    <t>PINZON JIMENEZ MIGUEL ANGEL</t>
  </si>
  <si>
    <t>VIVAS HERNANDEZ SINDY YECETH</t>
  </si>
  <si>
    <t>MARTINEZ GONZALEZ JESSICA VIVIAN</t>
  </si>
  <si>
    <t xml:space="preserve">MERCHAN CANO YEFERSON </t>
  </si>
  <si>
    <t>SANDOVAL LOPEZ SANDRA JANETH</t>
  </si>
  <si>
    <t>SARMIENTO RAVELO JAIRO HUMBERTO</t>
  </si>
  <si>
    <t>INFANTE MORALES DIEGO ALEXANDER</t>
  </si>
  <si>
    <t xml:space="preserve">FLECHAS PRIETO ERIKA </t>
  </si>
  <si>
    <t>GONZALEZ GARCIA ZULMA CONSTANZA</t>
  </si>
  <si>
    <t>AGUILLON NOCUA MARIO ANTONIO</t>
  </si>
  <si>
    <t>CARVAJAL RIVERA BRAYAN JAVIER</t>
  </si>
  <si>
    <t>CRISTANCHO GUZMAN HECTOR FABIAN</t>
  </si>
  <si>
    <t>SANCHEZ DURAN DIANA LUCIA</t>
  </si>
  <si>
    <t>FERNANDEZ ACOSTA EDWIN FERNEY</t>
  </si>
  <si>
    <t>OROZCO GOMEZ YENNY YOHANNA</t>
  </si>
  <si>
    <t>GARCIA CONTADOR JOSE RODULFO</t>
  </si>
  <si>
    <t>DIAZ AMAYA EDUARDO JOSE</t>
  </si>
  <si>
    <t>ROMERO VARGAS LINA ROCIO</t>
  </si>
  <si>
    <t>PUERTO DIAZ  ENIT</t>
  </si>
  <si>
    <t>ZORRO AYALA JULIETH ANDREA</t>
  </si>
  <si>
    <t>FLOREZ MARTINEZ YINA PAOLA</t>
  </si>
  <si>
    <t>VARGAS SANDOVAL LIBIA MARIA</t>
  </si>
  <si>
    <t>SILVA HERNANDEZ JHON EDINSON</t>
  </si>
  <si>
    <t>PINTO LEON JONATHAN ANDRES</t>
  </si>
  <si>
    <t>GRANADOS PELAEZ DIANA CAROLINA</t>
  </si>
  <si>
    <t>COY CASTIBLANCO OSCAR HUMBERTO</t>
  </si>
  <si>
    <t>MOLINA GARCIA DEISSY ENITH</t>
  </si>
  <si>
    <t>JESSICA MARCELA ZEA BALLESTEROS</t>
  </si>
  <si>
    <t>RINCON SILVA ANDREA KARINA</t>
  </si>
  <si>
    <t xml:space="preserve">JIMENEZ CASTRO ZANDY </t>
  </si>
  <si>
    <t>BECERRA RAMIREZ YURI LORENA</t>
  </si>
  <si>
    <t>ALVAREZ ORDOÑEZ DIANA KATHERINE</t>
  </si>
  <si>
    <t xml:space="preserve">HIGUERA CORTES MILENA </t>
  </si>
  <si>
    <t>DURAN RIAÑO WILLIAM GILBERTO</t>
  </si>
  <si>
    <t>GARCIA COLMENARES SEBASTIAN ALEJANDRO</t>
  </si>
  <si>
    <t>FONSECA MACIAS YEISSON FERNEY</t>
  </si>
  <si>
    <t>DIAZ CASTRO JUAN CAMILO</t>
  </si>
  <si>
    <t xml:space="preserve">CORREA ALVAREZ WILLINGTON </t>
  </si>
  <si>
    <t>TOLOZA NUÑEZ JULIAN RICARDO</t>
  </si>
  <si>
    <t>SUAREZ SUAREZ YENY ALEJANDRA</t>
  </si>
  <si>
    <t>VALDERRAMA  EDNA ROCIO</t>
  </si>
  <si>
    <t xml:space="preserve">RAMIREZ  NATALY </t>
  </si>
  <si>
    <t>CARDENAS CELY JEFFERSON JAVIER</t>
  </si>
  <si>
    <t>HURTADO ANGARITA DIANA CAROLINA</t>
  </si>
  <si>
    <t>DIAZ MEDINA EDWIN ROLANDO</t>
  </si>
  <si>
    <t>GUIO SALAMANCA FLOR ANGELA</t>
  </si>
  <si>
    <t>MORENO HERNANDEZ WILMAN ALEXANDER</t>
  </si>
  <si>
    <t>FUENTES MONTOYA JULIAN DAVID</t>
  </si>
  <si>
    <t>CONDE BARRERA FERNANDA YULEIMY</t>
  </si>
  <si>
    <t xml:space="preserve">CANO  BRAYAN </t>
  </si>
  <si>
    <t>GOMEZ SANCHEZ ANDRES AUGUSTO</t>
  </si>
  <si>
    <t>BAEZ CIFUENTES MARCO NICOLAS</t>
  </si>
  <si>
    <t>PINZON TORRES DIANA PAOLA</t>
  </si>
  <si>
    <t>GOMEZ CASTRO JUAN DAVID</t>
  </si>
  <si>
    <t>QUINTANA PEDRAZA DEISY VIVIANA</t>
  </si>
  <si>
    <t>PIZA RUIZ DIEGO FERNANDO</t>
  </si>
  <si>
    <t>VILLAMARIN BECERRA ANGELA VIVIANA</t>
  </si>
  <si>
    <t>PAEZ BUITRAGO WILLIAM LEONARDO</t>
  </si>
  <si>
    <t>BECERRA TORO IVAN ALFREDO</t>
  </si>
  <si>
    <t xml:space="preserve">SUAREZ BONILLA  OLGA ROCIO </t>
  </si>
  <si>
    <t>NOY ABRIL JESICA PAOLA</t>
  </si>
  <si>
    <t>VALDERRAMA RATIVA ANGELA LIZETH</t>
  </si>
  <si>
    <t>GONZALEZ BARRERA VIVIANA LIZETH</t>
  </si>
  <si>
    <t>VELOZA CUSPOCA SANDRA MILENA</t>
  </si>
  <si>
    <t>ALARCON FLECHAS EDWIN ARMANDO</t>
  </si>
  <si>
    <t xml:space="preserve">BOTIA LIZARAZO STELLA </t>
  </si>
  <si>
    <t>VALDERRAMA SILVA CAMILO ANDRES</t>
  </si>
  <si>
    <t xml:space="preserve">CARDENAS BAEZ CRISTOBAL </t>
  </si>
  <si>
    <t xml:space="preserve">MILLAN PEREZ  JUAN GABRIEL </t>
  </si>
  <si>
    <t>AVELLA PAIPA AURA LORENA</t>
  </si>
  <si>
    <t>GOMEZ FONSECA MARIA CLARA</t>
  </si>
  <si>
    <t>TORRES TAMAYO SANDRA JHOANA</t>
  </si>
  <si>
    <t>SANCHEZ ALBA JUAN DARIO</t>
  </si>
  <si>
    <t>BECERRA ZABALA JOE ESTEBAN</t>
  </si>
  <si>
    <t>REYES GUARIN LEIDY JOHANNA</t>
  </si>
  <si>
    <t>CARO CORREDOR FLOR ANGELA</t>
  </si>
  <si>
    <t>BENITEZ ESPEJO DARIO HERNANDO</t>
  </si>
  <si>
    <t>PITA MURCIA SEGUNDO LEONARDO</t>
  </si>
  <si>
    <t>CORREDOR JIMENEZ JULIAN CAMILO</t>
  </si>
  <si>
    <t>CABRA GOMEZ SANDRA MILENA</t>
  </si>
  <si>
    <t>GOMEZ PORRAS DIANA MARCELA</t>
  </si>
  <si>
    <t>PINEDA BOHORQUEZ ADRIANA DEL PILAR</t>
  </si>
  <si>
    <t>SANABRIA AMAYA VIVIANA MARITZA</t>
  </si>
  <si>
    <t>BOHORQUEZ PARRA KAREN ESTEFANIA</t>
  </si>
  <si>
    <t>ROSAS SUAREZ BREINER ADAN</t>
  </si>
  <si>
    <t>ACERO LARA DIANA ESTEFANIA</t>
  </si>
  <si>
    <t xml:space="preserve">CUEVAS CRISTANCHO HERNANDO </t>
  </si>
  <si>
    <t>CELY VILLAMISAR BRAYAN FERNANDO</t>
  </si>
  <si>
    <t>PALACIOS SILVA GUILLERMO ESTEBAN</t>
  </si>
  <si>
    <t xml:space="preserve">MARTINEZ GOMEZ FERNANDO </t>
  </si>
  <si>
    <t>CAMACHO ESTUPIÑAN LILIANA NAYDU</t>
  </si>
  <si>
    <t>BARRERA ROJAS YEISON JAVIER</t>
  </si>
  <si>
    <t xml:space="preserve">FABIAN  OSCAR </t>
  </si>
  <si>
    <t xml:space="preserve">MARQUEZ VARGAS  LINA MARIA </t>
  </si>
  <si>
    <t xml:space="preserve">SERRANO PADILLA ANGELO </t>
  </si>
  <si>
    <t>DIAZ SERRANO YENNY FERNANDA</t>
  </si>
  <si>
    <t>CORREA SANCHEZ LEIDY NATALY</t>
  </si>
  <si>
    <t>PINEDA GONSALEZ OSCAR YESID</t>
  </si>
  <si>
    <t xml:space="preserve">ACEVEDO  LIZETH </t>
  </si>
  <si>
    <t>LAGOS PERALTA ZULEIMA YULIETH</t>
  </si>
  <si>
    <t>VARGAS GARCIA MIGUEL ANGEL</t>
  </si>
  <si>
    <t>AZA AZA EDWIN FERNANDO</t>
  </si>
  <si>
    <t>CARREÑO CORREA EDER MANUEL</t>
  </si>
  <si>
    <t>VELANDIA RINCON SANDRA LORENA</t>
  </si>
  <si>
    <t xml:space="preserve">CALLEJAS  ANGELICA </t>
  </si>
  <si>
    <t xml:space="preserve">INFANTE MOLANO YESID </t>
  </si>
  <si>
    <t>LORENA HERNANDEZ DAYANA BARON</t>
  </si>
  <si>
    <t>RANGEL RAMIREZ CESAR DARIO</t>
  </si>
  <si>
    <t>PEREZ HERNANDEZ LINA MARCELA</t>
  </si>
  <si>
    <t>REYES  IVAN DARIO</t>
  </si>
  <si>
    <t>GOMEZ ESPINILLA JESUS FERNANDO</t>
  </si>
  <si>
    <t>CARO RUIZ OTTO MAURICIO</t>
  </si>
  <si>
    <t>BECERRA BECERRA LISSI JOHANNA</t>
  </si>
  <si>
    <t>RODRIGUEZ ABRIL MARURY DEYANIT</t>
  </si>
  <si>
    <t>CUBIDES RINCON INGRID MARISOL</t>
  </si>
  <si>
    <t>GOMEZ VERDUGO LEIDY JOHANA</t>
  </si>
  <si>
    <t>CORREA MARIN MAYRA ALEJANDRA</t>
  </si>
  <si>
    <t xml:space="preserve">CARREÑO ROJAS ANDRES </t>
  </si>
  <si>
    <t xml:space="preserve">LILIANA  ANDREA </t>
  </si>
  <si>
    <t xml:space="preserve">HERNANDEZ  SEBASTIAN </t>
  </si>
  <si>
    <t>AZA NIÑO WILLIAM JHOLEYDER</t>
  </si>
  <si>
    <t>SANDOVAL ANGARITA FLOR MARCELA</t>
  </si>
  <si>
    <t>CAMARGO PINEDA LIDA LUCIA</t>
  </si>
  <si>
    <t xml:space="preserve">MARTINEZ PEREZ RODRIGO </t>
  </si>
  <si>
    <t>SUAREZ DIAZ LAURA MELISA</t>
  </si>
  <si>
    <t>PEREZ TAMARA ELIANA IBETH</t>
  </si>
  <si>
    <t>LOPEZ LOZANO LUISA FERNANDA</t>
  </si>
  <si>
    <t xml:space="preserve">ANGEL  MIGUEL </t>
  </si>
  <si>
    <t>FONSECA ALARCON ELIANA MARITZA</t>
  </si>
  <si>
    <t>SALINAS CASTELLANOS LUIS DAVID</t>
  </si>
  <si>
    <t>HERNANDEZ QUIROGA JORGE ANDRES</t>
  </si>
  <si>
    <t xml:space="preserve">GUILLERMO BERNAL DAVID </t>
  </si>
  <si>
    <t>ROJAS  ELIANA ROCIO</t>
  </si>
  <si>
    <t>MEJIA PITA MARY NELCY</t>
  </si>
  <si>
    <t xml:space="preserve">FIGUEREDO  JOHANA </t>
  </si>
  <si>
    <t>ARIZA MEDINA DIEGO ALEJANDRO</t>
  </si>
  <si>
    <t>CARRERO MONROY DAVID FERNANDO</t>
  </si>
  <si>
    <t>GRIMALDOS VELANDIA EDGAR ANTONIO</t>
  </si>
  <si>
    <t>RODRIGUEZ CHAPARRO VIVIANA PAOLA</t>
  </si>
  <si>
    <t>ALVAREZ NIÑO YESSICA PAOLA</t>
  </si>
  <si>
    <t xml:space="preserve">HOLGUIN BARRERA JEISON </t>
  </si>
  <si>
    <t>MESA GUTIERREZ OSCAR MANUEL</t>
  </si>
  <si>
    <t>VELASCO  MARILIN DAYANA</t>
  </si>
  <si>
    <t>MONTANEZ JOYA LILIANA PAOLA</t>
  </si>
  <si>
    <t xml:space="preserve">ARIAS  LEIDY VIVIANA </t>
  </si>
  <si>
    <t>CORREDOR CORONADO DEIVID ALEJANDRO</t>
  </si>
  <si>
    <t>RODRIGUEZ PLAZAS DEYSY ANDREA</t>
  </si>
  <si>
    <t>MATEUS JIMENEZ IVAN ROMEL</t>
  </si>
  <si>
    <t>BECERRA ESPINOSA ANDREA LEONOR</t>
  </si>
  <si>
    <t>MORENO GAMBOA EDWIN YESID</t>
  </si>
  <si>
    <t>CASAS RAMIREZ DUVAN GUILERMO</t>
  </si>
  <si>
    <t xml:space="preserve">GEUVARA  EDISON </t>
  </si>
  <si>
    <t>CARDOZO GRANADOS DIANA MILENA</t>
  </si>
  <si>
    <t>VALDERRAMA GARCIA JESSICA LUCIA</t>
  </si>
  <si>
    <t>DUEÑAS LOPEZ LEIDY TATIANA</t>
  </si>
  <si>
    <t>BECERRA GUECHA YEIMI LORENA</t>
  </si>
  <si>
    <t xml:space="preserve">ZEIN GONZALEZ  YERIBET </t>
  </si>
  <si>
    <t>VARGAS ESPEJO NURY MARCELA</t>
  </si>
  <si>
    <t>BECERRA MELO NINI JOHANNA</t>
  </si>
  <si>
    <t>CARDENAS NARANJO FERNEY URIEL</t>
  </si>
  <si>
    <t>RINCON MARTINEZ DIANA CAROLINA</t>
  </si>
  <si>
    <t>ROMERO BARRERO LIZETH MAYERLY</t>
  </si>
  <si>
    <t>GARCES VARGAS LADY VIVIANA</t>
  </si>
  <si>
    <t>ACEVEDO RIVERA NELCY JOHANA</t>
  </si>
  <si>
    <t>LARA MANRIQUE ERIKA PAOLA</t>
  </si>
  <si>
    <t>PINZON CORREDOR RAFAEL ANTONIO</t>
  </si>
  <si>
    <t>DAZA CUY CRISTIAN HORACIO</t>
  </si>
  <si>
    <t>CORREDOR ROMERO FRUTO FERNANDO</t>
  </si>
  <si>
    <t>AGUDELO NUNCIRA MAIRA ALEJANDRA</t>
  </si>
  <si>
    <t>BECERRA HERNANDEZ DIEGO ANDRES</t>
  </si>
  <si>
    <t>SALAZAR MARTINEZ EDUIN EFREN</t>
  </si>
  <si>
    <t>CARDOZO DUARTE JHALYN MILENA</t>
  </si>
  <si>
    <t>RUIZ CAMARGO LINA PAOLA</t>
  </si>
  <si>
    <t xml:space="preserve">PINZON COY LORENA </t>
  </si>
  <si>
    <t>PEREZ MORALES MAUREN ELIANA</t>
  </si>
  <si>
    <t>VARGAS MARTINEZ LINA MARIA</t>
  </si>
  <si>
    <t>QUINTERO SANCHEZ DIRLEY JOHANNA</t>
  </si>
  <si>
    <t>BECERRA ANGARITA YESICA PAOLA</t>
  </si>
  <si>
    <t>MARTINEZ GONZALEZ MONICA ASTRID</t>
  </si>
  <si>
    <t>GONZALEZ SEPULVEDA ZORAIDA VIRGINIA</t>
  </si>
  <si>
    <t>HERNANDEZ PINEDA MANUEL YESID</t>
  </si>
  <si>
    <t>SOTO BECERRA MISAEL ALONSO</t>
  </si>
  <si>
    <t>CHAPARRO AVENDAÑO FRANK EDUARDO</t>
  </si>
  <si>
    <t>SANDOVAL ALFONSO MARTHA LIZETH</t>
  </si>
  <si>
    <t>POLANIA . MARTIN ANDRES</t>
  </si>
  <si>
    <t>SANCHEZ VARGAS WILLMAR ALEJANDRO</t>
  </si>
  <si>
    <t>MEJIA BLANCO WILSON DAGOBERTO</t>
  </si>
  <si>
    <t>FLOREZ  ELVIA ROCIO</t>
  </si>
  <si>
    <t>ESPITIA LEMUS WILMER ANDRES</t>
  </si>
  <si>
    <t xml:space="preserve">CARDENAS BALAGUERA MIGUEL </t>
  </si>
  <si>
    <t>RODRIGUEZ  DIANA STEFANIE</t>
  </si>
  <si>
    <t>PARADA PORRAS NESTOR IVAN</t>
  </si>
  <si>
    <t>TORRES CRISTANCHO MONICA ANDREA</t>
  </si>
  <si>
    <t>RIVERA SAAVEDRA DAISY ALEXANDRA</t>
  </si>
  <si>
    <t>CARDENAS CAMACHO DENNIS YINELI</t>
  </si>
  <si>
    <t>GONZALEZ VELANDIA alix mayerly</t>
  </si>
  <si>
    <t>CAMACHO FUENTES JULIETH XIMENA</t>
  </si>
  <si>
    <t>AGREDO OTAVO LINA MARCELA</t>
  </si>
  <si>
    <t>CASTRO GOMEZ INGRY PAOLA</t>
  </si>
  <si>
    <t>OLARTE VARGAS JHON JAIRO</t>
  </si>
  <si>
    <t>SANTOS ZUTA JOSE JULIAN</t>
  </si>
  <si>
    <t>HERRERA NIÑO DAIRON FERNANDO</t>
  </si>
  <si>
    <t>NOVA DUARTE WILMAR ANTONIO</t>
  </si>
  <si>
    <t xml:space="preserve">TORRES PEDREROS JACKELINE </t>
  </si>
  <si>
    <t>NINO MOJICA DEISY ANDREA</t>
  </si>
  <si>
    <t>CABRA CORTES MANUEL SANTIAGO</t>
  </si>
  <si>
    <t>SANCHEZ CUCUNUBA DIANA MARCELA</t>
  </si>
  <si>
    <t>ROOKE AMADO JENIFER JULIETH</t>
  </si>
  <si>
    <t>CAMARGO MEJIA LUIS ADRIAN</t>
  </si>
  <si>
    <t>RIVERA PARADA JAIME ANDRES</t>
  </si>
  <si>
    <t>MORA BOTIA DANID MERCEDES</t>
  </si>
  <si>
    <t>ALFONSO MORALES ADRIANA MARIA</t>
  </si>
  <si>
    <t>JIMENEZ GUEVARA IVAN RICARDO</t>
  </si>
  <si>
    <t>NARDA KATHERINE ORTIZ HIGUERA</t>
  </si>
  <si>
    <t xml:space="preserve">ARIAS VALENCIA CRISTINA </t>
  </si>
  <si>
    <t>VARGAS GOMEZ OSCAR LEONARDO</t>
  </si>
  <si>
    <t>MARTINEZ DELGADILLO LEIDY CAROLINA</t>
  </si>
  <si>
    <t>DIAZ ALBARRACIN EDNA JUDITH</t>
  </si>
  <si>
    <t>MARTINEZ DIAZ JUAN DAVID</t>
  </si>
  <si>
    <t>HERNANDEZ GOMEZ YUBER ALEXANDER</t>
  </si>
  <si>
    <t>RUIZ FIGUEREDO JEFFERSON DAVID</t>
  </si>
  <si>
    <t>TELLEZ SOLANO DIANA LIZET</t>
  </si>
  <si>
    <t>CASTELLANOS MORENO DIEGO FERNANDO</t>
  </si>
  <si>
    <t>NITOLA CHAPARRO LIZETH ALEJANDRA</t>
  </si>
  <si>
    <t xml:space="preserve">MENDOZA  HEYBER </t>
  </si>
  <si>
    <t>MELO AGUILAR YEISSON ERNESTO</t>
  </si>
  <si>
    <t>PUENTES SANCHES CESAR GIOVANNY</t>
  </si>
  <si>
    <t>SALAZAR CARDENAS ALVARO ALEXANDER</t>
  </si>
  <si>
    <t xml:space="preserve">ASTRID  LEIDY </t>
  </si>
  <si>
    <t xml:space="preserve">ABRIL  JHANDERSON </t>
  </si>
  <si>
    <t>PAOLA ANDREA CARO PUENTES</t>
  </si>
  <si>
    <t>SANCHEZ AVELLA ERIKA YESENIA</t>
  </si>
  <si>
    <t>GOMEZ GERENA DIEGO ALEJANDRO</t>
  </si>
  <si>
    <t>REYES FONSECA MIGUEL ANGEL</t>
  </si>
  <si>
    <t>ALARCON BENAVIDES YENNY PAOLA</t>
  </si>
  <si>
    <t>SALAMANCA BONILLA KELLER ALEXANDRA</t>
  </si>
  <si>
    <t>VALCARCEL DIAZ FRANYER EDUARDO</t>
  </si>
  <si>
    <t xml:space="preserve">ACERO CRISTANCHO  JOSE LUIS </t>
  </si>
  <si>
    <t xml:space="preserve">CONGUTA OCHOA  MARISOL </t>
  </si>
  <si>
    <t>CELY CRISTANCHO VICTORIA GERALDINE</t>
  </si>
  <si>
    <t xml:space="preserve">FONSECA AGUDELO MARISOL </t>
  </si>
  <si>
    <t>CARDENAS USCATEGUI NELCY MARIBEL</t>
  </si>
  <si>
    <t>PEREZ VARGAS LUIS FERNANDO</t>
  </si>
  <si>
    <t>CUERVO BENAVIDES ERIKA PAOLA</t>
  </si>
  <si>
    <t>SANTOS NIÑO HEGNA XIOMARA</t>
  </si>
  <si>
    <t xml:space="preserve">TRIANA SISA YEFERSON </t>
  </si>
  <si>
    <t>GOMEZ GAITAN LEIDY ANDREA</t>
  </si>
  <si>
    <t>CARVAJAL SANDOVAL LUZ ADRIANA</t>
  </si>
  <si>
    <t>CARVAJAL SANDOVAL LINA MARIA</t>
  </si>
  <si>
    <t>VALERO VANEGAS JESUS DARIO</t>
  </si>
  <si>
    <t>ALVAREZ RODRIGUEZ WILLIAM GONZALO</t>
  </si>
  <si>
    <t>MARTINEZ FLECHAS MIGUEL ANGEL</t>
  </si>
  <si>
    <t>MEDINA VILLOTA ENEYDA JOHANA</t>
  </si>
  <si>
    <t>CHAPARRO PEREZ LUZ ADRIANA</t>
  </si>
  <si>
    <t>RODRIGUEZ HERRERA VICTOR ALFONSO</t>
  </si>
  <si>
    <t>QUIROGA AMAYA ARLEY STEVEN</t>
  </si>
  <si>
    <t>OROZCO BRAVO LEIDY TATIANA</t>
  </si>
  <si>
    <t>PUENTES MORALES MARIA CAMILA</t>
  </si>
  <si>
    <t>SANCHEZ CARVAJAL DUVER ERNESTO</t>
  </si>
  <si>
    <t>CORDOBA BAUTISTA OSCAR ARMANDO</t>
  </si>
  <si>
    <t>GUEVARA SOLANO HEIDY JOHANNA</t>
  </si>
  <si>
    <t>MORENO ABRIL YEIMER GIOVANNY</t>
  </si>
  <si>
    <t>GONZALEZ  JUAN CAMILO</t>
  </si>
  <si>
    <t>LEON MOLANO DIANA MILEYVI</t>
  </si>
  <si>
    <t>PEREZ ROJAS DEIMER DUVAN</t>
  </si>
  <si>
    <t>RODRIGUEZ SOSA MARIA FERNANDA</t>
  </si>
  <si>
    <t>ARAQUE CASTRO EDISON CAMILO</t>
  </si>
  <si>
    <t>FERNANDEZ ROJAS JUAN DIEGO</t>
  </si>
  <si>
    <t xml:space="preserve">MONROY BECERRA NATALY </t>
  </si>
  <si>
    <t>RODRIGUEZ VALDERRAMA MARIA FERNANDA</t>
  </si>
  <si>
    <t>PARDO  NELSON FABIAN</t>
  </si>
  <si>
    <t>LEAL GARCIA LEIDY MARCELA</t>
  </si>
  <si>
    <t>CASTRO PEREZ FABIO RICARDO</t>
  </si>
  <si>
    <t>VEGA ORTIZ BRADY MILEM</t>
  </si>
  <si>
    <t>GOMEZ MUÑOZ JUAN CAMILO</t>
  </si>
  <si>
    <t>MESA MOLANO LEIDY ESPERANZA</t>
  </si>
  <si>
    <t>VERDUGO MARQUEZ YESID JAVIER</t>
  </si>
  <si>
    <t xml:space="preserve">TUMAY  LIZETH </t>
  </si>
  <si>
    <t>HERNANDEZ GONZALEZ LINDA KATHERINE</t>
  </si>
  <si>
    <t>OSUNA FONSECA GUSTAVO ADOLFO</t>
  </si>
  <si>
    <t>LIMAS BECERRA RAFEL ANDRES</t>
  </si>
  <si>
    <t>TAMAYO ACEVEDO LAURA YINNETH</t>
  </si>
  <si>
    <t xml:space="preserve">ARCHILA MARTINEZ  SANDY FABIOLA </t>
  </si>
  <si>
    <t>PEREZ RINCON ANA YULIETH</t>
  </si>
  <si>
    <t>LEON LEON JENNY ALEJANDRA</t>
  </si>
  <si>
    <t xml:space="preserve">TIRIA RAMIREZ NATALY </t>
  </si>
  <si>
    <t>MURILLO ALVAREZ LINA MARGARITA</t>
  </si>
  <si>
    <t xml:space="preserve">CARVAJAL PEREZ DAYULAY </t>
  </si>
  <si>
    <t>MONTAÑA PARADA JONATHAN DANIEL</t>
  </si>
  <si>
    <t>AMAYA ZARATE MILLER ELIANA</t>
  </si>
  <si>
    <t>LARA TIBADUIZA LILIANA CAROLINA</t>
  </si>
  <si>
    <t>ALVARADO ALVARADO ANGIEE LUCIA</t>
  </si>
  <si>
    <t>GONZALEZ DELGADO MILTON OLIVERIO</t>
  </si>
  <si>
    <t>MARTINEZ VARGAS MARIA CAMILA</t>
  </si>
  <si>
    <t>PUENTES CARVAJAL JERSON JAIR</t>
  </si>
  <si>
    <t>CARDENAS MARTINEZ CRISTHIAN EDUARDO</t>
  </si>
  <si>
    <t xml:space="preserve">LOPEZ CELY JEIMY CAROLINA </t>
  </si>
  <si>
    <t>GUECHA MATEUS ANYI DORELLY</t>
  </si>
  <si>
    <t>CAMARGO MORENO LORENA PATRICIA</t>
  </si>
  <si>
    <t>TORRES SILVA YEISON ANDRES</t>
  </si>
  <si>
    <t>BECERRA BECERRA JUAN ALONSO</t>
  </si>
  <si>
    <t>ACEVEDO MEDINA ANGIE MEDINA</t>
  </si>
  <si>
    <t>MONTAÑEZ OJEDA DAVID EDUARDO</t>
  </si>
  <si>
    <t>LIZARAZO BECERRA LINA MARIA</t>
  </si>
  <si>
    <t xml:space="preserve">BETANCUR BECERRA ZULMAYARITH </t>
  </si>
  <si>
    <t>NUNCIRA  DILAN MAGDIEL</t>
  </si>
  <si>
    <t>SOTO CHAPARRO YENNEDY PAOLA</t>
  </si>
  <si>
    <t>PEREZ GARAVITO IVAN ALEJANDRO</t>
  </si>
  <si>
    <t>GONZALEZ LOPEZ CAMILO ANDRES</t>
  </si>
  <si>
    <t>OCHOA MUNAR JUAN CARLOS</t>
  </si>
  <si>
    <t>BECERRA GUZMAN HENRY GIOVANNY</t>
  </si>
  <si>
    <t>TORRES BECERRA ERIKA YOLIMA</t>
  </si>
  <si>
    <t>SANCHEZ ROJAS EMILCEN ELIZABETH</t>
  </si>
  <si>
    <t>GOMEZ CASTRO JUAN EDILBERTO</t>
  </si>
  <si>
    <t>CARVAJAL FERNANDEZ JESUS RAMIRO</t>
  </si>
  <si>
    <t>BENITEZ NIÑO LUZ MILA</t>
  </si>
  <si>
    <t>GOMEZ CASTRO CARLOS EDUARDO</t>
  </si>
  <si>
    <t>CORREDOR BAEZ JONH EDISON</t>
  </si>
  <si>
    <t>MONTAÑES BOTIA EDUWIN FERNANDO</t>
  </si>
  <si>
    <t>CASTILLO CHIVATA LUIS GUILLERMO</t>
  </si>
  <si>
    <t>DIAZ HERNANDEZ EDGAR HERNAN</t>
  </si>
  <si>
    <t>JIMENEZ HERRERA ADRIANA ISABEL</t>
  </si>
  <si>
    <t>VARGAS VELANDIA ANGIE LIZETH</t>
  </si>
  <si>
    <t>FLORES PEREZ LAURA LIZETH</t>
  </si>
  <si>
    <t>SANCHEZ RODRIGUEZ YEIMY NATALIA</t>
  </si>
  <si>
    <t>SERRANO SANCHEZ CRISTIAN LEONARDO</t>
  </si>
  <si>
    <t xml:space="preserve">CASTRO  CRISTHIAN </t>
  </si>
  <si>
    <t xml:space="preserve">TAMARA VELANDIA  JESSICA JOHANA </t>
  </si>
  <si>
    <t xml:space="preserve">BECERRA ALBA  JORGE GIOVANNY </t>
  </si>
  <si>
    <t>VERDUGO SIBO YENCY MILENA</t>
  </si>
  <si>
    <t xml:space="preserve">RODRIGUEZ  DIANA </t>
  </si>
  <si>
    <t>GOMEZ GONZALEZ EDISON DAVID</t>
  </si>
  <si>
    <t xml:space="preserve">FERNANDA  MIRIAM </t>
  </si>
  <si>
    <t>TOLOSA NUÑEZ LAURA ANDREA</t>
  </si>
  <si>
    <t>GUALTEROS DIAZ FREDY ALEJANDRO</t>
  </si>
  <si>
    <t>GUIO CHAPARRO NATALIA KATHERINE</t>
  </si>
  <si>
    <t xml:space="preserve">VALDERRAMA  IVAN </t>
  </si>
  <si>
    <t>AGUILAR SORACA YAMILE ANDREA</t>
  </si>
  <si>
    <t>PANQUEVA 3222547144 VICTOR ALBEIRO</t>
  </si>
  <si>
    <t xml:space="preserve">MOGOLLON SANCHEZ YONATHAN </t>
  </si>
  <si>
    <t>DURAN BECERRA GERALDINE ANDREA</t>
  </si>
  <si>
    <t>FUENTES BLANCO ANDRES CAMILO</t>
  </si>
  <si>
    <t>GOMEZ MARTINEZ DIEGO ERNESTO</t>
  </si>
  <si>
    <t>ESLAVA   FERNEY</t>
  </si>
  <si>
    <t>RANGEL  ERIKA ALEJANDRA</t>
  </si>
  <si>
    <t>SOLANO PEREZ JUAN SEBSTIAN</t>
  </si>
  <si>
    <t>OLIVARES ARAQUE LEIDY CAROLINA</t>
  </si>
  <si>
    <t>AMARILLO CORDOBA DIEGO IVAN</t>
  </si>
  <si>
    <t>MORENO SALCEDO PAOLA ANDREA</t>
  </si>
  <si>
    <t>CABRA BULLA JEISON JR</t>
  </si>
  <si>
    <t>RINCON RINCON PAOLA ANDREA</t>
  </si>
  <si>
    <t>GUIO NITOLA LEIDY ANDREA</t>
  </si>
  <si>
    <t>GALVIS CADENA JHONATAN DAVID</t>
  </si>
  <si>
    <t>VARGAS JIMENEZ DANIEL ALEJANDRO</t>
  </si>
  <si>
    <t>TELLEZ SILVA WILSON FABIAN</t>
  </si>
  <si>
    <t>ARANGUREN BERNAL DIANA MARCELA</t>
  </si>
  <si>
    <t>GARCIA ALFONSO YULDEN YESID</t>
  </si>
  <si>
    <t>FONSECA HIGUERA YENNY PAOLA</t>
  </si>
  <si>
    <t>TRISTANCHO ORDUZ MONICA JULIETH</t>
  </si>
  <si>
    <t>ROLDAN GALLO JHON EDISON</t>
  </si>
  <si>
    <t>JIMENEZ JIMENEZ ANDRES CAMILO</t>
  </si>
  <si>
    <t>DALLOS MESA PAOLA CECILIA</t>
  </si>
  <si>
    <t>TOBO PIÑA KRISTIN LORENA</t>
  </si>
  <si>
    <t>MARTINEZ LEON JAIRO ENRIQUE</t>
  </si>
  <si>
    <t>BECERRA BECERRA JHELBER FABIAN</t>
  </si>
  <si>
    <t>CL 16 19 09 MEJIA ANA MARIA</t>
  </si>
  <si>
    <t>GRIMALDOS VELANDIA CRISTIAN CAMILO</t>
  </si>
  <si>
    <t>GUEVARA GUEVARA ERIKA PATRICIA</t>
  </si>
  <si>
    <t xml:space="preserve">SALAMANCA  LEANDRO </t>
  </si>
  <si>
    <t>CARO CASTILLO DIANA MILENA</t>
  </si>
  <si>
    <t xml:space="preserve">ROJAS BURGOS  JESUS ALBEIRO </t>
  </si>
  <si>
    <t xml:space="preserve">VARGAS ARIAS DANIEL </t>
  </si>
  <si>
    <t>PINEDA VARGAS MARIA MERCEDES</t>
  </si>
  <si>
    <t>VALENZUELA PINZON ADRIANA CRISTINA</t>
  </si>
  <si>
    <t>VARON MORENO ELSA TATIANA</t>
  </si>
  <si>
    <t>ANGIE LORENA MESA SUAREZ</t>
  </si>
  <si>
    <t>MALAVER PRIETO DEISY ALEJANDRA</t>
  </si>
  <si>
    <t>LEON CABEZAS DAVID ALEXANDER</t>
  </si>
  <si>
    <t>VALCARCEL GARCIA SANDRA CAROLINA</t>
  </si>
  <si>
    <t>TRUJILLO GARCIA CHIRISTIAN CAMILO</t>
  </si>
  <si>
    <t>RODRIGUEZ ARISMENDI JHONATAN SNEIDER</t>
  </si>
  <si>
    <t>BAEZ PINTO DEISSY PAOLA</t>
  </si>
  <si>
    <t>SILVA MENDIVELSO EDWIN FLAMINIO</t>
  </si>
  <si>
    <t>GARCIA SALAMANCA JOSE LUIS</t>
  </si>
  <si>
    <t>GOYENECHE ACOSTA LINA XIOMARA</t>
  </si>
  <si>
    <t>BONILLA BERNAL JUAN PABLO</t>
  </si>
  <si>
    <t xml:space="preserve">GUTIERREZ  JHON </t>
  </si>
  <si>
    <t>PEDRAZA LADINO DIANA DEL PILAR</t>
  </si>
  <si>
    <t>BELLO GONZALEZ LAURA ANDREA</t>
  </si>
  <si>
    <t xml:space="preserve">CAMACHO LOPEZ CAMILO </t>
  </si>
  <si>
    <t>BARRERA BARRAGAN DANIEL FERNANDO</t>
  </si>
  <si>
    <t>OJEDA MARGFOY OSCAR EDUARDO</t>
  </si>
  <si>
    <t>REYES BONILLA CINDY LORENA</t>
  </si>
  <si>
    <t>MOLANO GONZALEZ LISYS PEDRO</t>
  </si>
  <si>
    <t>TORRES ZABALA EDDY FERNANDO</t>
  </si>
  <si>
    <t>VALDERRAMA FORERO DEISY VIVIANA</t>
  </si>
  <si>
    <t>BECERRA  DANIEL ROJAS</t>
  </si>
  <si>
    <t>LOZANO FLECHAS LUIS CARLOS</t>
  </si>
  <si>
    <t>SOLANO BOADA FABIAN ENRIQUE</t>
  </si>
  <si>
    <t>SERRANO LOPEZ DEISY LORENA</t>
  </si>
  <si>
    <t>ALFONSO RAMIREZ GINA LISETH</t>
  </si>
  <si>
    <t>ESTUPINAN RANGEL LUIS GABRIEL</t>
  </si>
  <si>
    <t xml:space="preserve">CASTELLANOS  LISED </t>
  </si>
  <si>
    <t>MOLANO BOLIVAR JONATHAN ANDRES</t>
  </si>
  <si>
    <t>SANCHEZ MUÑOZ JENNY ALEXANDRA</t>
  </si>
  <si>
    <t>MARTINEZ ROMERO CAMILO ANDRES</t>
  </si>
  <si>
    <t>DAZA MOJICA PABLO EMMANUEL</t>
  </si>
  <si>
    <t xml:space="preserve">RODRIGUEZ  DIEGO </t>
  </si>
  <si>
    <t>PALOMINO PEREZ IVAN RENE</t>
  </si>
  <si>
    <t>AVILA CHAPARRO HEIDY MAYERLY</t>
  </si>
  <si>
    <t>ALARCON GIL LEIDY PAOLA</t>
  </si>
  <si>
    <t>GALLO DIAZ LUZ MAYERLY</t>
  </si>
  <si>
    <t>LOPEZ SANDOVAL DIEGO LORENZO</t>
  </si>
  <si>
    <t>FIGUEREDO BARINAS DIEGO FERNANDO</t>
  </si>
  <si>
    <t>JOYA CASTRO LUIS GERARDO</t>
  </si>
  <si>
    <t>BECERRA HERNANDEZ SANDRA YANNETH</t>
  </si>
  <si>
    <t>GONZALEZ MORALES CARLOS LEONARDO</t>
  </si>
  <si>
    <t>VARGAS SANCHEZ MIRYAM ROCIO</t>
  </si>
  <si>
    <t>CASTILLO PEDRAZA MIGUEL ANGEL</t>
  </si>
  <si>
    <t>AGUDELO MORALES JORGE HERNANDO</t>
  </si>
  <si>
    <t>COMBARIZA MARQUEZ SONIA YISSED</t>
  </si>
  <si>
    <t>GAMBOA MENDIVELSO LEIDY YOHANA</t>
  </si>
  <si>
    <t>DUARTE BARRERA YESICA ANDREA</t>
  </si>
  <si>
    <t>RINCON PINEDA EDISON LEONARDO</t>
  </si>
  <si>
    <t xml:space="preserve">VILLATE  ERIKA </t>
  </si>
  <si>
    <t>VICTOR ANGEL CANARIA SANCHEZ</t>
  </si>
  <si>
    <t>GUACHETA MARTINEZ EDWIN HERNANDO</t>
  </si>
  <si>
    <t>MARTINEZ MARTINEZ JAIRO ERNESTO</t>
  </si>
  <si>
    <t>MATEUS INFANTE JAIR ALEJANDRO</t>
  </si>
  <si>
    <t>VARGAS BARRETO LAURA YINETH</t>
  </si>
  <si>
    <t>VEGA AYALA CARLOS FELIPE</t>
  </si>
  <si>
    <t>MARTINEZ ESTUPIÑAN LAURA ANGELICA</t>
  </si>
  <si>
    <t xml:space="preserve">JOHANA CAMARGO DEISY </t>
  </si>
  <si>
    <t>MENDOZA GONZALEZ BAYRON SEBASTIAN</t>
  </si>
  <si>
    <t>BECERRA BECERRA DIANA CAROLINA</t>
  </si>
  <si>
    <t>GONZALEZ JOYA LAURA MILENA</t>
  </si>
  <si>
    <t>HIGUERA LEAL ANGIE PAOLA</t>
  </si>
  <si>
    <t xml:space="preserve">DAVID  JULIAN </t>
  </si>
  <si>
    <t>CALIXTO TORRES PAOLA ANDREA</t>
  </si>
  <si>
    <t>SILVA ESLAVA BRAYAN ALBERTO</t>
  </si>
  <si>
    <t>MORENO DIAZ GUSTAVO ARMANDO</t>
  </si>
  <si>
    <t xml:space="preserve">GAMBOA  LUIS </t>
  </si>
  <si>
    <t>CAMARGO SALANUEVA ERIKA YAZMIN</t>
  </si>
  <si>
    <t>DURAN SUAREZ MARY EUGENIA</t>
  </si>
  <si>
    <t>FABRA CIFUENTES FABRICIO REINALDO</t>
  </si>
  <si>
    <t>BECERRA CHAVES ELLUZ KATHERINE</t>
  </si>
  <si>
    <t>MATEUS NIÑO WILSON FERNANDO</t>
  </si>
  <si>
    <t>HERNANDEZ PINZON IVAN HELY</t>
  </si>
  <si>
    <t>MALDONADO LOPEZ MIGUEL ANGEL</t>
  </si>
  <si>
    <t>RINCON JOYA DIANA CAROLINA</t>
  </si>
  <si>
    <t>RODRIGUEZ RICO CAMILO ANDRES</t>
  </si>
  <si>
    <t>DUEÑAS BARRERO ANDRES FELIPE</t>
  </si>
  <si>
    <t>LOPEZ FUENTES MAYRA ALEJANDRA</t>
  </si>
  <si>
    <t>LEON  WILMAR EDUARDO</t>
  </si>
  <si>
    <t>NELLY CATALINA ORTEGA GOMEZ</t>
  </si>
  <si>
    <t xml:space="preserve">REOZO SALAMANCA TANIA </t>
  </si>
  <si>
    <t>FLOREZ AVILA JENNY MARCELA</t>
  </si>
  <si>
    <t>MORENO CUEVAS OSCAR LEONARDO</t>
  </si>
  <si>
    <t>TOBAR CUCANCHON ANA MAYERLY</t>
  </si>
  <si>
    <t>BARRERA TAMAYO LIBIA ALEJANDRA</t>
  </si>
  <si>
    <t>VARGAS SALAMANCA CRISTIAN FERNANDO</t>
  </si>
  <si>
    <t>MOLANO FONSECA JAVIER ALEJANDRO</t>
  </si>
  <si>
    <t>NOSSA VALENCIA JHONATAN ESTIVEN</t>
  </si>
  <si>
    <t>PINEDA ALVARADO HECTOR ELI</t>
  </si>
  <si>
    <t>ESTUPIÑAN CASTRO DIANA CAROLINA</t>
  </si>
  <si>
    <t>CAYACHOA GARCIA HEINER ANTONIO</t>
  </si>
  <si>
    <t>ESPITIA  MANUEL GIOVANNI</t>
  </si>
  <si>
    <t>MENDIVELSO LIZARAZO SARA PATRICIA</t>
  </si>
  <si>
    <t>HERNANDEZ LIZARAZO DIANA CAROLINA</t>
  </si>
  <si>
    <t>MORENO CASTIBLANCO GERSON SNEIDER</t>
  </si>
  <si>
    <t>MERCHAN QUINTERO YENNY CAROLINA</t>
  </si>
  <si>
    <t>NIETO CABRA YEISON ARTURO</t>
  </si>
  <si>
    <t>BOLIVAR NEIRA JUAN DAVID</t>
  </si>
  <si>
    <t>BAEZ ZARABANDA ALBERTH YESID</t>
  </si>
  <si>
    <t>NAUSA GOMEZ JONH FREDDY</t>
  </si>
  <si>
    <t xml:space="preserve">FAJARDO RODRIGUEZ  EDWARD ALEXANDER </t>
  </si>
  <si>
    <t>SUAREZ CASTRO DIEGO ARMANDO</t>
  </si>
  <si>
    <t>SANCHEZ LOPEZ LISETTE MELISSA</t>
  </si>
  <si>
    <t>NOVA VELASCO JULIAN RICARDO</t>
  </si>
  <si>
    <t>CELY PATARIA BRAHIAN YAIR</t>
  </si>
  <si>
    <t>MANRIQUE 3174624213 DIEGO HERNAN</t>
  </si>
  <si>
    <t>NUNCIRA VARGAS HERALDIN LIZETH</t>
  </si>
  <si>
    <t>MANCIPE MORENO YULI ANDREA</t>
  </si>
  <si>
    <t>ROSAS ESPITIA GUSTAVO ALEJANDRO</t>
  </si>
  <si>
    <t>VERA BALAGUERA DANY BOLENA</t>
  </si>
  <si>
    <t>ESTUPIÑAN CORDOBA YINA PAOLA</t>
  </si>
  <si>
    <t>OJEDA SOLANO DIEGO FERNANDO</t>
  </si>
  <si>
    <t>VARGAS ESLAVA MONICA LILIANA</t>
  </si>
  <si>
    <t>QUIJANO CACERES JOSE DANIEL</t>
  </si>
  <si>
    <t>MOLANO SANABRIA KAREN DAYANA</t>
  </si>
  <si>
    <t>GARCIA JIMENEZ IVAN CAMILO</t>
  </si>
  <si>
    <t>AZA NINO LAURA MARCELA</t>
  </si>
  <si>
    <t>ACEVEDO GONZALEZ ADRIANA MARCELA</t>
  </si>
  <si>
    <t>AYALA PEREZ DEISY LORENA</t>
  </si>
  <si>
    <t>LEON CARDENAS MARIA ALEJANDRA</t>
  </si>
  <si>
    <t xml:space="preserve">DAVID  FREY </t>
  </si>
  <si>
    <t>PRIETO MENDIVELSO MARTHA PATRICIA</t>
  </si>
  <si>
    <t>VALDERRAMA MEDINA JEFERSON ALDEMAR</t>
  </si>
  <si>
    <t>CAMACHO MANRIQUE LAURA NATALY</t>
  </si>
  <si>
    <t>ABAUNZA CACERES DEINY CHEYENNE</t>
  </si>
  <si>
    <t xml:space="preserve">JANETH GIRAL LEIDY </t>
  </si>
  <si>
    <t>GARCIA CAMARGO JOSE LUIS</t>
  </si>
  <si>
    <t>CUBIDES VARGAS LUZ ALEJANDRA</t>
  </si>
  <si>
    <t>PINDEDA PINEDA LAURA VIVIANA</t>
  </si>
  <si>
    <t>CASTRO  ADRIANA CATALINA</t>
  </si>
  <si>
    <t>DURAN DURAN LAURA ESPERANZA</t>
  </si>
  <si>
    <t>LEONARDO MORA FABIAN SANABRIA</t>
  </si>
  <si>
    <t xml:space="preserve">MARINO QUESADA  DAIRON FABIAN </t>
  </si>
  <si>
    <t>CUSPOCA CUSPOCA HOLMAN YESID</t>
  </si>
  <si>
    <t>MORALES ALBARAN JULIO CESAR</t>
  </si>
  <si>
    <t>PEREZ GARCIA SEIDY YORELY</t>
  </si>
  <si>
    <t>NUNEZ MENDIVELSO DANIEL CAMILO</t>
  </si>
  <si>
    <t>ZABALA GUEVARA CRISTIAN LEONARDO</t>
  </si>
  <si>
    <t>CORREA SANCHEZ JULIET PAOLA</t>
  </si>
  <si>
    <t xml:space="preserve">CASTRO  YENY </t>
  </si>
  <si>
    <t>BECERRA TORRES MICHAEL ARMANDO</t>
  </si>
  <si>
    <t>NIÑO VALDERRAMA ANGELA XIOMARA</t>
  </si>
  <si>
    <t>VALDERRAMA DIAZ YINA MARIANA</t>
  </si>
  <si>
    <t>MORENO RIVERA FREIMAN ANTONIO</t>
  </si>
  <si>
    <t xml:space="preserve">CELY  JESICA </t>
  </si>
  <si>
    <t>RODRIGUEZ VALDERRAMA JOSE LUIS</t>
  </si>
  <si>
    <t>CARVAJAL SANTOS ELIESER EMILIO</t>
  </si>
  <si>
    <t>GORDO FLORIDO YARITZA ELIANA</t>
  </si>
  <si>
    <t xml:space="preserve">JOHANNA  KAREN </t>
  </si>
  <si>
    <t>MESA ESPINEL DIANA MARCELA</t>
  </si>
  <si>
    <t>CHAPARRO ESPEJO JEFFER ARLEY</t>
  </si>
  <si>
    <t>BARRIOS FIGUEROA YEIMY TATIANA</t>
  </si>
  <si>
    <t>JUEZ AVELLA YHURY CAROLINA</t>
  </si>
  <si>
    <t>RODRIGUEZ SIERRA JOHANA MARCELA</t>
  </si>
  <si>
    <t>BOSA MORALES JOHN SEBASTIAN</t>
  </si>
  <si>
    <t>SANCHEZ RUBIO WILMER EDUARDO</t>
  </si>
  <si>
    <t>CASTIBLANCO  DIANA MARCELA</t>
  </si>
  <si>
    <t>CRISTANCHO VARGAS ANA ISABEL</t>
  </si>
  <si>
    <t>RODRIGUEZ PATIÑO LEIDY CAROLINA</t>
  </si>
  <si>
    <t>LEON ACERO JOHANA ROCIO</t>
  </si>
  <si>
    <t>PEDRAZA TORRES JHON ALIRIO</t>
  </si>
  <si>
    <t>PITA RINCON DIANA MARCELA</t>
  </si>
  <si>
    <t>SALAZAR  JEFERSON LEONARDO</t>
  </si>
  <si>
    <t>SANCHEZ ESTEBAN PAOLA VALENTINA</t>
  </si>
  <si>
    <t xml:space="preserve">ALONZO  JOHANNA </t>
  </si>
  <si>
    <t>MERCHAN MOGOLLON JUAN CARLOS</t>
  </si>
  <si>
    <t>GOMEZ TAMARA ANA CAROLINA</t>
  </si>
  <si>
    <t>RODRIGUEZ QUITIAN SANDY YILENY</t>
  </si>
  <si>
    <t>ROJAS GALLO JOSE ANDRES</t>
  </si>
  <si>
    <t>SUAREZ SILVA JONATHAN ASDRUBAL</t>
  </si>
  <si>
    <t>ALBARRACIN GUZMAN JORGE ANDRES</t>
  </si>
  <si>
    <t>VANEGAS CARVAJAL CRISTHIAN ALEXANDER</t>
  </si>
  <si>
    <t>CORREDOR COMBITA ANGIE KATHERINE</t>
  </si>
  <si>
    <t>MORALES RIVERA JINETH ALEJANDRA</t>
  </si>
  <si>
    <t>MANRIQUE TRIANA JUAN SEBASTIAN</t>
  </si>
  <si>
    <t>ZABALA GRANADOS RUBEN DARIO</t>
  </si>
  <si>
    <t>PERALTA  JONNY ESTEBAN</t>
  </si>
  <si>
    <t>BECERRA MARTINEZ MEGAN JULIANA</t>
  </si>
  <si>
    <t>CASTRO JIMENEZ ANGELA PATRICIA</t>
  </si>
  <si>
    <t xml:space="preserve">CARDOZO CELY MARCELA </t>
  </si>
  <si>
    <t>ARAQUE HENAO DERLEY VIVIANA</t>
  </si>
  <si>
    <t>DALLOS NUÑEZ JAVIER FELIPE</t>
  </si>
  <si>
    <t>PEREZ DURAN YANINE SOLANYI</t>
  </si>
  <si>
    <t>ESTUPIÑAN CARRERA LIZETH ANDREA</t>
  </si>
  <si>
    <t xml:space="preserve">GARCIA  HELMER </t>
  </si>
  <si>
    <t>GIL CUSPOCA WILLIAN ANTONIO</t>
  </si>
  <si>
    <t>REYES AVELLA NATHALIA MARCELA</t>
  </si>
  <si>
    <t>GUEVARA CESPEDES JOSE MIGUEL</t>
  </si>
  <si>
    <t>VERDUGO LOZANO EDISON JAVIER</t>
  </si>
  <si>
    <t>DUARTE MANCHEGO PAULA ANDREA</t>
  </si>
  <si>
    <t>GARAVITO VALDERRAMA ANGELA GERALDIN</t>
  </si>
  <si>
    <t>CARO VILLAMARIN LUZ ANGELICA</t>
  </si>
  <si>
    <t>ALVAREZ FLORIDO DAYANA MARCELA</t>
  </si>
  <si>
    <t>BARRERA ESCOBAR DIANA DULEY</t>
  </si>
  <si>
    <t>PUERTO CRISTIANO LEIDY YAMILE</t>
  </si>
  <si>
    <t>ESTUPIÑAN GALLO JAIR SEBASTIAN</t>
  </si>
  <si>
    <t>AVILA ACERO MIGUEL ANGEL</t>
  </si>
  <si>
    <t>LEON RIVERA JENIFER ELENA</t>
  </si>
  <si>
    <t>CLAVIJO RODRIGUEZ ANDRES FELIPE</t>
  </si>
  <si>
    <t>FLOREZ HERNADEZ NICOLAS GRACIANO</t>
  </si>
  <si>
    <t>PALACIOS VARGAS JUAN DIEGO</t>
  </si>
  <si>
    <t>TRIANA LAGOS BRAYAN JULIAN</t>
  </si>
  <si>
    <t>NIÑO SANCHEZ YINNETH HARLEY</t>
  </si>
  <si>
    <t>RIVAS RINCON FRANCY DNIELA</t>
  </si>
  <si>
    <t xml:space="preserve">GOMEZ  NICOLLE </t>
  </si>
  <si>
    <t>MURILLO CAMARGO ERIKA PAOLA</t>
  </si>
  <si>
    <t>MONROY CUCUNUBA LAURA JULIANA</t>
  </si>
  <si>
    <t>MONTOYA CERINZA LEYDI TATIANA</t>
  </si>
  <si>
    <t>GARCIA FUENTES JULIAN CAMILO</t>
  </si>
  <si>
    <t>MOLANO BECERRA BAYRON JAVIER</t>
  </si>
  <si>
    <t>HERNANDEZ PUERTO YOLIMA ANDREA</t>
  </si>
  <si>
    <t>BOLIVAR VILLAMARIN JORGE EDILBERTO</t>
  </si>
  <si>
    <t>PEDRAZA GONZALEZ ERIKA LORENA</t>
  </si>
  <si>
    <t>MOJICA ESPAÑA LINA MARCELA</t>
  </si>
  <si>
    <t>SANTOS PENA ESTEBAN NICOLAS</t>
  </si>
  <si>
    <t xml:space="preserve">CAMACHO  ALEJANDRA </t>
  </si>
  <si>
    <t>CHAPARRO CAMACHO JULIANA ANDREA</t>
  </si>
  <si>
    <t xml:space="preserve">ROMERO  MARCELA </t>
  </si>
  <si>
    <t>MEDINA HIGUERA ASTRID XIMENA</t>
  </si>
  <si>
    <t>ANGARITA PITA LINA KATHERINE</t>
  </si>
  <si>
    <t>CR 17 B 181 45 CHAPARRO JINETH MILENA ALEXANDRA</t>
  </si>
  <si>
    <t>MARTINEZ ROJAS CRISTIAN CAMILO</t>
  </si>
  <si>
    <t xml:space="preserve">NOVA  FREDY </t>
  </si>
  <si>
    <t>RIAÑO BARRERA ANGIE VICTORIA</t>
  </si>
  <si>
    <t>GOMEZ GAITAN SANDY PAOLA</t>
  </si>
  <si>
    <t>GOMEZ QUIROGA JUAN SEBASTIAN</t>
  </si>
  <si>
    <t>TELLEZ GUEVARA DIANA PAOLA</t>
  </si>
  <si>
    <t>HERNANDEZ PEREZ LAURA VANESSA</t>
  </si>
  <si>
    <t>CELY TRISTANCHO JEFFERSON CAMILO</t>
  </si>
  <si>
    <t>GARCIA SUAREZ ANGIE VANESSA</t>
  </si>
  <si>
    <t>RAMIREZ CONTRERAS ELKIN ROSEMBERG</t>
  </si>
  <si>
    <t>MOGOLLON  JHONY ARLEY</t>
  </si>
  <si>
    <t>PINZON PEÑA MIGUEL ANGEL</t>
  </si>
  <si>
    <t>DUITAMA HERNANDEZ DANIEL FELIPE</t>
  </si>
  <si>
    <t>RODRIGUEZ SANCHEZ YEIMY TATIANA</t>
  </si>
  <si>
    <t>CRISTIANO  DIANA PAOLA</t>
  </si>
  <si>
    <t>PEREZ PEREZ BELSY MAYERLY</t>
  </si>
  <si>
    <t>SALINAS GONZALEZ MAYRA ALEJANDRA</t>
  </si>
  <si>
    <t>CARDENAS CARDENAS JUAN SEBASTIAN</t>
  </si>
  <si>
    <t>RODRIGUEZ RINCON CATHERINE DAYANNA</t>
  </si>
  <si>
    <t>BLANCO PEREZ JUAN FELIPE</t>
  </si>
  <si>
    <t>GUTIERREZ FUENTES YURY VIVIANA</t>
  </si>
  <si>
    <t>VILLAMIZAR RAMOS JULIAN DAVID</t>
  </si>
  <si>
    <t>GARCIA ANDRADE YESICA PAOLA</t>
  </si>
  <si>
    <t>AYALA  LEIDY CATALINA</t>
  </si>
  <si>
    <t>GUARIN MESA CARLOS ANDRES</t>
  </si>
  <si>
    <t>MORALES CASTRO LAURA DANIELA</t>
  </si>
  <si>
    <t>DIAZ TELLEZ YENNY PAOLA</t>
  </si>
  <si>
    <t>ANGARITA BEDOYA ANGELICA TATIANA</t>
  </si>
  <si>
    <t>CORDOBA SANDOVAL DANIEL SEBASTIAN</t>
  </si>
  <si>
    <t>MARTINEZ FONSECA JUAN CAMILO</t>
  </si>
  <si>
    <t>ESPINDOLA RUBIO LINDA TATHIANA</t>
  </si>
  <si>
    <t>PITA AYALA ANA MARIA</t>
  </si>
  <si>
    <t>ORDUZ SANABRIA NUBIA ESPERANZA</t>
  </si>
  <si>
    <t>MERCHAN PEREZ YURY MARCELA</t>
  </si>
  <si>
    <t>SEPULVEDA LOPEZ GERMAN ANDRES</t>
  </si>
  <si>
    <t>ESLAVA CALDERON LINA FERNANDA</t>
  </si>
  <si>
    <t>ROJAS BURGOS LIDA VIVIANA</t>
  </si>
  <si>
    <t>ROMERO MALAVER ANGIE YULIETH</t>
  </si>
  <si>
    <t>GUEVARA SOLANO IVAN DARIO</t>
  </si>
  <si>
    <t>CAMARGO RODRIGUEZ DAHYANA MELYZA</t>
  </si>
  <si>
    <t>SEPULVEDA TIRIA DENIS TATIANA</t>
  </si>
  <si>
    <t>DUARTE SEPULVEDA DIEGO ALEXANDER</t>
  </si>
  <si>
    <t>ZAFRA RODRIGUEZ PAOLA ANDREA</t>
  </si>
  <si>
    <t>HIGUERA PIEDRAHITA PEDRO ALBERTO</t>
  </si>
  <si>
    <t>ANDREA DEL NITOLA ALVAREZ</t>
  </si>
  <si>
    <t>CHAPARRO NINO LIDA JOHANNA</t>
  </si>
  <si>
    <t>DAZA CHAPARRO LAURA DANIELA</t>
  </si>
  <si>
    <t>FLECHAS ORDOÑEZ RICARDO YECID</t>
  </si>
  <si>
    <t xml:space="preserve">LOPEZ PORTILLA YERALDI </t>
  </si>
  <si>
    <t>SIACHOQUE PEDRAZA MARTHA ISABEL</t>
  </si>
  <si>
    <t>OLARTE VARGAS BEIMER ALFONSO</t>
  </si>
  <si>
    <t>RINCON ROJAS LURY EDYD</t>
  </si>
  <si>
    <t>GOMEZ SALAZAR WILMER YADIR</t>
  </si>
  <si>
    <t>GONZALEZ AGUILAR JENNY ANDREA</t>
  </si>
  <si>
    <t xml:space="preserve">PAEZ  JORGE </t>
  </si>
  <si>
    <t>HUERTAAS HERNANDEZ LEIDY MAIRIN</t>
  </si>
  <si>
    <t xml:space="preserve">VELANDIA  JUAN </t>
  </si>
  <si>
    <t>PEÑA SOLANO JULIAN DAVID</t>
  </si>
  <si>
    <t>PINTO GELVES LAURA MARCELA</t>
  </si>
  <si>
    <t>LOPEZ MEDRANO LUIS CARLOS</t>
  </si>
  <si>
    <t>BOHORQUEZ CELY FABIAN HELI</t>
  </si>
  <si>
    <t>SALINAS GOMEZ YODY ZULAY</t>
  </si>
  <si>
    <t xml:space="preserve">GRANADOS  CRISTIAN </t>
  </si>
  <si>
    <t>CAMARGO SANABRIA CRISTIAN LEONARDO</t>
  </si>
  <si>
    <t>MALAVER NIÑO ORDY ARLEY</t>
  </si>
  <si>
    <t>DIAZ DIAZ ELIANA ANDREA</t>
  </si>
  <si>
    <t>RODRIGUEZ NIÑO DANILO ANDRES</t>
  </si>
  <si>
    <t>SOLANO TORRES STEVEN ANDERSON</t>
  </si>
  <si>
    <t>MACHUCA ROJAS LYDA YICED</t>
  </si>
  <si>
    <t>ACERO CORTES YOVANI ALEXANDER</t>
  </si>
  <si>
    <t>RAMOS CORREDOR LEIDY LUCERO</t>
  </si>
  <si>
    <t>ARAQUE RIVERA MIGUEL ANGEL</t>
  </si>
  <si>
    <t>LOPEZ LEMUS CRISTIAN DAMAR</t>
  </si>
  <si>
    <t xml:space="preserve">MARTINEZ  GERALDINE </t>
  </si>
  <si>
    <t xml:space="preserve">CORREDOR  SERGIO </t>
  </si>
  <si>
    <t>MESA HEREDIA DIANA CAROLINA</t>
  </si>
  <si>
    <t>MARTINEZ BARRERA SONIA YAKELINE</t>
  </si>
  <si>
    <t>TIRIA MESA LEIDY VIVIANA</t>
  </si>
  <si>
    <t>AMAYA PERDOMO ANGIE TATIANA</t>
  </si>
  <si>
    <t>TRIANA BARRERA DIEGO ANDRES</t>
  </si>
  <si>
    <t xml:space="preserve">CARDENAS  DERLY </t>
  </si>
  <si>
    <t>VARGAS CRISTANCHO OSCAR MAURICIO</t>
  </si>
  <si>
    <t>GOMEZ BOTIA BRAYAN MAURICIO</t>
  </si>
  <si>
    <t>PITA TORRES CRISTIAN LEANDRO</t>
  </si>
  <si>
    <t>COLMENARES CUSPOCA MAYRA DENIELA</t>
  </si>
  <si>
    <t xml:space="preserve">MACHUCA  SANTIAGO </t>
  </si>
  <si>
    <t>AVENDAÑO RODRIGUEZ GEOVANNY ANDRES</t>
  </si>
  <si>
    <t>MARTINEZ GRIMALDOS JEISON GEOVANI</t>
  </si>
  <si>
    <t>TORRES GALEANO BRAYAN ARMANDO</t>
  </si>
  <si>
    <t>GALVIS HERNANDEZ HENRY YESID</t>
  </si>
  <si>
    <t>MENDIVELSO MANRIQUE DERLY TATIANA</t>
  </si>
  <si>
    <t>NIÑO TORRES ERIKA LILIANA</t>
  </si>
  <si>
    <t>MEJIA MEJIA ANGELICA JOHANNA</t>
  </si>
  <si>
    <t>VELASQUEZ MANRIQUE DANIEL ESTEBAN</t>
  </si>
  <si>
    <t>VELILLA SALCEDO ANYI KATERINE</t>
  </si>
  <si>
    <t>ROJAS QUIJANO JOIMAR ALEXIS</t>
  </si>
  <si>
    <t>SIERRA CAMARGO ANGIE CAROLINA</t>
  </si>
  <si>
    <t>NIÑO RIVERA ASTRID JOHANA</t>
  </si>
  <si>
    <t>GUTIERREZ  YESIKA LORENA</t>
  </si>
  <si>
    <t>GALLARDO ERASO JAIRO GIOVANY</t>
  </si>
  <si>
    <t>JIMENEZ RICAURTE TANIA ESPERANZA</t>
  </si>
  <si>
    <t>ESTUPIÑAN ALVAREZ LUZ EDDY</t>
  </si>
  <si>
    <t>GONZALEZ VARGAS JUAN CAMILO</t>
  </si>
  <si>
    <t>TORRES CANON LEIDY ROSANA</t>
  </si>
  <si>
    <t>ROJAS MATEUS EDWARD YECID</t>
  </si>
  <si>
    <t>DIAZ VELANDIA YERSON MAURICIO</t>
  </si>
  <si>
    <t xml:space="preserve">PORRAS VEGA MANUEL ALEJANDRO </t>
  </si>
  <si>
    <t>OCHOA BECERRA LEIDY JOHANA</t>
  </si>
  <si>
    <t>ACUÑA CORONADO LUISA JULIANA</t>
  </si>
  <si>
    <t>CARREÑO DAZA EDINSON CARREÑO</t>
  </si>
  <si>
    <t>HERRERA VALDERRAMA JORGE ANDRES</t>
  </si>
  <si>
    <t xml:space="preserve">VERONICA  ANGELA </t>
  </si>
  <si>
    <t>CHAUTA SOLANO YEIMY LORENA</t>
  </si>
  <si>
    <t>PINZON TAMAYO ELIANA PAOLA</t>
  </si>
  <si>
    <t>GONZALEZ PIRAJON PAOLA JINETH</t>
  </si>
  <si>
    <t>BOTIA GALINDO JEISON GUILLERMO</t>
  </si>
  <si>
    <t xml:space="preserve">MARTINEZ ROSAS NANCY </t>
  </si>
  <si>
    <t>ROJAS GALLO JEISON LEANDRO</t>
  </si>
  <si>
    <t xml:space="preserve">LARA  JENNIFER </t>
  </si>
  <si>
    <t>BLANCO TORRES JENIFFER JULIANA</t>
  </si>
  <si>
    <t>BECERRA ALDANA ELKIN ANDRES</t>
  </si>
  <si>
    <t>VALDERRAMA FORERO ROBINSON ARLEY</t>
  </si>
  <si>
    <t>NITOLA TORRES LEIDY NATALY</t>
  </si>
  <si>
    <t>SOLANO APARICIO YESICA PAOLA</t>
  </si>
  <si>
    <t>MEJIA SEPULVEDA PAOLA ANDREA</t>
  </si>
  <si>
    <t>PRIETO  JUAN PABLO</t>
  </si>
  <si>
    <t>PARADA ESPINDOLA MONICA ALEXANDRA</t>
  </si>
  <si>
    <t>LOPEZ VALDERRAMA VANESSA YURLEY</t>
  </si>
  <si>
    <t>VELASQUEZ BERMUDEZ KIMBERLY GINETH</t>
  </si>
  <si>
    <t>PULIDO VELANDIA TATIANA KATHERIN</t>
  </si>
  <si>
    <t>PUERTO SOTTO DANIEL ALONSO</t>
  </si>
  <si>
    <t>ACEVEDO AMEZQUITA DIEGO ANDRES</t>
  </si>
  <si>
    <t>ARAQUE ROSALES DAYANA CAMILA</t>
  </si>
  <si>
    <t>CARDENAS BARRERA ZAIRA FERNANDA</t>
  </si>
  <si>
    <t>TIBADUIZA RINCON WILSON GEOVANNY</t>
  </si>
  <si>
    <t xml:space="preserve">TIBADUIZA  DANIEL </t>
  </si>
  <si>
    <t>MENDIVELSO GOMEZ LUIS DAVID</t>
  </si>
  <si>
    <t xml:space="preserve">HERNANDEZ CHAPARRO YOWLIN </t>
  </si>
  <si>
    <t>ARAQUE CASTRO LEIDY GISELA</t>
  </si>
  <si>
    <t>GOMEZ MENDIVELSO YENNY TATIANA</t>
  </si>
  <si>
    <t>SANCHEZ SANCHEZ ANGY LORENA</t>
  </si>
  <si>
    <t xml:space="preserve">VILLADA ALVAREZ VALENTINA </t>
  </si>
  <si>
    <t>BONILLA  YOLANDA PATRICIA</t>
  </si>
  <si>
    <t>CONTRERAS SISA JOSE DAVID</t>
  </si>
  <si>
    <t>GUAUQUE RODRIGUEZ JOHAN SEBASTIAN</t>
  </si>
  <si>
    <t>NIÑO PARRA FABIO MIGUEL ANGEL</t>
  </si>
  <si>
    <t>CUERVO ESPINOSA JHON SEBASTIAN</t>
  </si>
  <si>
    <t>BOHORQUEZ PARRA FREDY ALEXANDER</t>
  </si>
  <si>
    <t>ALVARO JAVIER DAZA COTAMO</t>
  </si>
  <si>
    <t>BERNAL JIMENEZ NELSON ALEJANDRO</t>
  </si>
  <si>
    <t>CASTILLO SILVA MARIA ANDREA</t>
  </si>
  <si>
    <t>GALAN VARGAS ASTRID LORENA</t>
  </si>
  <si>
    <t>GALINDO GOMEZ LESLY XIOMARA</t>
  </si>
  <si>
    <t>SILVA AVELLA DAVID ALFREDO</t>
  </si>
  <si>
    <t>BAEZ CORREDOR CRISTIAN ALEJANDRO</t>
  </si>
  <si>
    <t>FIGUEREDO PEREZ LAURA YARITZA</t>
  </si>
  <si>
    <t>MEDINA HIGUERA MONICA ANDREA</t>
  </si>
  <si>
    <t>BALAGUERA GARCIA KAREN ESTEFANIA</t>
  </si>
  <si>
    <t>REATIAGA HERNANDEZ SANDRA JUDITH</t>
  </si>
  <si>
    <t>MONROY RUIZ EDUARD DAVID</t>
  </si>
  <si>
    <t>FUENTES PAREDES ANGY MELIZA</t>
  </si>
  <si>
    <t>ABRIL MORALES CARMEN LORENA</t>
  </si>
  <si>
    <t>AVENDAÑO VALDERRAMA MIGUEL ANGEL</t>
  </si>
  <si>
    <t>ROSAS CHAPARRO MARIA FERNANDA</t>
  </si>
  <si>
    <t>CHAPARRO GUTIERREZ LEIDY CAROLINA</t>
  </si>
  <si>
    <t>ACOSTA VERGARA RICARDO DAVID</t>
  </si>
  <si>
    <t>ZAMBRANO ALVARADO JUAN CARLOS</t>
  </si>
  <si>
    <t>FUENTES NIÑO DEISY JOHANA</t>
  </si>
  <si>
    <t>PAREDES MATEUS LUISA FERNANDA</t>
  </si>
  <si>
    <t>LOPEZ MARQUEZ ANGIE LORENA</t>
  </si>
  <si>
    <t>CUBIDES VARGAS ADRIANA KATHERINE</t>
  </si>
  <si>
    <t>RODRIGUEZ AMEZQUITA ANGELICA NATALIA</t>
  </si>
  <si>
    <t>BOTIA GALVIS LEIDY KATHERINE</t>
  </si>
  <si>
    <t xml:space="preserve">FUENTES CETINA  JOSE ALMINCAR </t>
  </si>
  <si>
    <t>VARGAS GARCIA ANA YASMIN</t>
  </si>
  <si>
    <t>BECERRA NORE NIXON JAVIER</t>
  </si>
  <si>
    <t>GUARIN TORRES ANGIE LORENA</t>
  </si>
  <si>
    <t>ROSAS BAEZ JULY PATRICIA</t>
  </si>
  <si>
    <t>CARO CASTILLO DIEGO ALFONSO</t>
  </si>
  <si>
    <t>CORREDOR ALVAREZ BRAYAN LEONARDO</t>
  </si>
  <si>
    <t>PEDRAZA FUQUEN JULIAN ANDRES</t>
  </si>
  <si>
    <t>CORREDOR  WILSON ANDRES</t>
  </si>
  <si>
    <t>YULIETH LORENA LOPEZ MEDINA</t>
  </si>
  <si>
    <t>MARTINEZ VARGAS HARLEY BRAYAN</t>
  </si>
  <si>
    <t>BUITRAGO GIL EDGAR DUVAN</t>
  </si>
  <si>
    <t xml:space="preserve">RODRIGUEZ GOMEZ ANDREA </t>
  </si>
  <si>
    <t>HUERFANO ULCUE KAREN PATRICIA</t>
  </si>
  <si>
    <t>GOMEZ GOMEZ NICOLAS FELIPE</t>
  </si>
  <si>
    <t>BECERRAMUÑOZ  LAURA MARCELA</t>
  </si>
  <si>
    <t>TIRIA TAMARA ERIKA XIMENA</t>
  </si>
  <si>
    <t>NOCUA PEÑA XIOMARA ALEJANDRA</t>
  </si>
  <si>
    <t>RIOS DIAZ DIANA LIZETH</t>
  </si>
  <si>
    <t>ALVARADO CACERES MARIA ANGELICA</t>
  </si>
  <si>
    <t>ESPEJO TORRES ERIKA DAYANNA</t>
  </si>
  <si>
    <t xml:space="preserve">DUARTE OLIVEROS  LUZ MARY </t>
  </si>
  <si>
    <t>CAMARGO GARCIA LAURA MIREYA</t>
  </si>
  <si>
    <t>VALERO VEGA JEIMMY LILIANA</t>
  </si>
  <si>
    <t>CHAPARRO MOLANO DAYAN SLENDY</t>
  </si>
  <si>
    <t>CARRILLO BECERRA LUIS EDUARDO</t>
  </si>
  <si>
    <t>CACERES SALAMANCA ANDERSON JULIAN</t>
  </si>
  <si>
    <t xml:space="preserve">SANCHEZ SEPULVEDA ESTEFANIA </t>
  </si>
  <si>
    <t>VEGA RAMIREZ LUISA FERNANDA</t>
  </si>
  <si>
    <t>BECERRA GONZALEZ LAURA VIVIANA</t>
  </si>
  <si>
    <t>MOLANO FONSECA LEIDY JOHANNA</t>
  </si>
  <si>
    <t>PERALTA BALAGUERA LEIDY JOHANNA</t>
  </si>
  <si>
    <t>ARCHILA CHIVATA JORGE ESTEVAN</t>
  </si>
  <si>
    <t>PUENTES ALBARRACIN CRISTIAN ALBEIRO</t>
  </si>
  <si>
    <t>CORREA ROJAS WILMER IVAN</t>
  </si>
  <si>
    <t>MANUELA GARCIA LEIDY BOTIA</t>
  </si>
  <si>
    <t>SOLANO HOLGUIN ANDRES ANTONIO</t>
  </si>
  <si>
    <t>GUAYACUNDO ESCAMILLA EDISON LEONARDO</t>
  </si>
  <si>
    <t>DIAZ HERNANDEZ ERIKA MAYERLY</t>
  </si>
  <si>
    <t xml:space="preserve">RAMON ROA YESENIA </t>
  </si>
  <si>
    <t>SOLANO CORREA JOSE EDISON</t>
  </si>
  <si>
    <t>TUTA MORA LAURA MILENA</t>
  </si>
  <si>
    <t>SALAZAR MONSALVE DIANA MARCELA</t>
  </si>
  <si>
    <t xml:space="preserve">ALVAREZ NIÑO CAMILO </t>
  </si>
  <si>
    <t>SALCEDO RODRIGUEZ ANGIE DANIELA</t>
  </si>
  <si>
    <t>ARAQUE FUENTES ANDRES FELIPE</t>
  </si>
  <si>
    <t>CABRA SANTOS DAVID LEONARDO</t>
  </si>
  <si>
    <t>FIGUEREDO CLAROS ANGIE PAOLA</t>
  </si>
  <si>
    <t>VALDERRAMA GONZALES LINA FERNANDA</t>
  </si>
  <si>
    <t>MADRID SIMBAQUEVA DIANA CAROLINA</t>
  </si>
  <si>
    <t>DIAZ ALARCON EDGAR FABIAN</t>
  </si>
  <si>
    <t>QUINTERO FLOREZ MARIA DEL PILAR</t>
  </si>
  <si>
    <t>PAMPLONA VARGAS ANDREA DEL PILAR</t>
  </si>
  <si>
    <t>GARZON SALAMANCA JORGE EDUARDO</t>
  </si>
  <si>
    <t>GOMEZ TAMARA NOHORA CECILIA</t>
  </si>
  <si>
    <t>BONILLA ORTIZ JOSE DAVID</t>
  </si>
  <si>
    <t>GIL AMEZQUITA DAYANA FABIOLA</t>
  </si>
  <si>
    <t>DUEÑAS BARRERO MARIA VICTORIA</t>
  </si>
  <si>
    <t>BENITEZ QUIÑONEZ MARIA ALEXANDRA</t>
  </si>
  <si>
    <t>ALVAREZ PINEROS JEFFERSON GABRIEL</t>
  </si>
  <si>
    <t>JOYA CORREDOR ANGELA ANDREA</t>
  </si>
  <si>
    <t>CARDENAS ACUÑA LIZETH MAYERLY</t>
  </si>
  <si>
    <t>MORALES ESPINDOLA IVAN RENE</t>
  </si>
  <si>
    <t>PUERTO PEÑA MARIA ELIZABETH</t>
  </si>
  <si>
    <t>CARDENAS PEREZ OSCAR ALEJANDRO</t>
  </si>
  <si>
    <t>ESTEPA VERDUGO LUZ ANGELA</t>
  </si>
  <si>
    <t>GRANADOS RABELO JENNY MILENA</t>
  </si>
  <si>
    <t>GONZALEZ PEDRAZA OSCAR DANIEL</t>
  </si>
  <si>
    <t>SALAMANCA GIL WILSON JAVIER</t>
  </si>
  <si>
    <t>VARGAS CASTRO JUAN SEBASTIAN</t>
  </si>
  <si>
    <t>DAZA CASTILLO JULIAN FELIPE</t>
  </si>
  <si>
    <t>GOMEZ CHIA LEIDY MILENA</t>
  </si>
  <si>
    <t>GRANADOS OVIEDO KAREN MARIANA</t>
  </si>
  <si>
    <t>MAHECHA PERILLA FLOR NIDIA</t>
  </si>
  <si>
    <t>CASTRO CAMARGO JUAN GABRIEL</t>
  </si>
  <si>
    <t>SUAREZ LOPEZ LINA NATALY</t>
  </si>
  <si>
    <t>BARRERA HURTADO EDWIN DAVID</t>
  </si>
  <si>
    <t xml:space="preserve">HIGUERA SOLER  ERIKA </t>
  </si>
  <si>
    <t xml:space="preserve">NUÑEZ  SANDRA </t>
  </si>
  <si>
    <t>OROZCO SALCEDO DIEGO ALEJANDRO</t>
  </si>
  <si>
    <t xml:space="preserve">LEON PEDRAZA JAVIERLEONARDO </t>
  </si>
  <si>
    <t xml:space="preserve">ROJAS  YERMAN </t>
  </si>
  <si>
    <t>GARCES RODRIGUEZ JHON SEBASTIAN</t>
  </si>
  <si>
    <t>MONSALVE GARCIA CRISTIAN DAVID</t>
  </si>
  <si>
    <t>CHAPARRO NITOLA ANGIE GERALDINE</t>
  </si>
  <si>
    <t xml:space="preserve">PARRA PEREA CAMILO </t>
  </si>
  <si>
    <t>LEMUS RUIZ CHAROL CORAIMA</t>
  </si>
  <si>
    <t>CAMARGO QUIJANO JINETH ALEJANDRA</t>
  </si>
  <si>
    <t>MARTINEZ GOMEZ HECTOR EDUARDO</t>
  </si>
  <si>
    <t>TANGUA NUÑEZ MARIA TERESA</t>
  </si>
  <si>
    <t>PITA RUEDA ANGELICA MARIA</t>
  </si>
  <si>
    <t>GOMEZ VARGAS JUAN SEBASTIAN</t>
  </si>
  <si>
    <t>FONSECA AGUDELO LINDA MAYERLY</t>
  </si>
  <si>
    <t>MEDINA TAMAYO LAURA PATRICIA</t>
  </si>
  <si>
    <t>MARTINEZ CELY EDWIN FABIAN</t>
  </si>
  <si>
    <t>ORTEGA PUERTO MARIA CAMILA</t>
  </si>
  <si>
    <t>SUSSAN GABRIELA MORALES RINCON</t>
  </si>
  <si>
    <t xml:space="preserve">SALCEDO  MIGUEL </t>
  </si>
  <si>
    <t>BECERRA CASTRO ERIKA JOHANNA</t>
  </si>
  <si>
    <t>BOLIVAR BOLIVAR ANDRES FELIPE</t>
  </si>
  <si>
    <t>GONZALEZ PITA PAULA MARGARITA</t>
  </si>
  <si>
    <t>VERGARA CASTILLO LAURA CRISTINA</t>
  </si>
  <si>
    <t>TENJO SUAREZ LAURA LISETH</t>
  </si>
  <si>
    <t>PORRAS LOPEZ BEBSY CAROLINA</t>
  </si>
  <si>
    <t>MESA ACEVEDO OSCAR ALEXANDER</t>
  </si>
  <si>
    <t>FERNANDEZ LOPEZ JHON SEBASTIAN</t>
  </si>
  <si>
    <t>MORALES TORRES LUIS ALFONSO</t>
  </si>
  <si>
    <t xml:space="preserve">VEGA AYALA NICOLAS </t>
  </si>
  <si>
    <t>PEREZ REYES JOHAN ANDERSON</t>
  </si>
  <si>
    <t>CHIRIBI SICHACA LEIDY ANDREA</t>
  </si>
  <si>
    <t>ALVAREZ MENDIVELSO YEISON CAMILO</t>
  </si>
  <si>
    <t>DUARTE MESA LEIDY JOHANNA</t>
  </si>
  <si>
    <t>GONZALEZ PINEDA CARLOS ANDRES</t>
  </si>
  <si>
    <t>CASTRO AVENDAÑO YESICA PAOLA</t>
  </si>
  <si>
    <t>PUERTO GARCIA JUAN DAVID</t>
  </si>
  <si>
    <t>SANCHEZ CASTELLANOS HOLMAN JAVIER</t>
  </si>
  <si>
    <t>AVENDAÑO ARERO MARIA PAULA</t>
  </si>
  <si>
    <t>MORENO BENAVIDEZ DIEGO FERNANDO</t>
  </si>
  <si>
    <t>PUERTO FIGUEREDO JAVIER GIOVANY</t>
  </si>
  <si>
    <t>SOLANO HERNANDEZ DIEGO ALEJANDRO</t>
  </si>
  <si>
    <t>VARGAS RINCON JORGE ALEJANDRO</t>
  </si>
  <si>
    <t>BECERRA CUEVAS YIDEGAR ANDREY</t>
  </si>
  <si>
    <t>TRIANA CACERES LINA JENNIFER</t>
  </si>
  <si>
    <t>ESCALA RIVERA JONNYER ALEXANDER</t>
  </si>
  <si>
    <t>CASTRO NUVAN ANA MARIA</t>
  </si>
  <si>
    <t>CORREDOR CAMACHO WILMER ARLEY</t>
  </si>
  <si>
    <t>SILVA SILVA ANDRES FABIAN</t>
  </si>
  <si>
    <t xml:space="preserve">OVIEDO PEREZ JEISSON </t>
  </si>
  <si>
    <t>RUGE PANQUEVA MIGUEL ANGEL</t>
  </si>
  <si>
    <t>CAMPOS ANAYA NEYLA YOLANDA</t>
  </si>
  <si>
    <t>ESPINDOLA PULIDO HECTOR EDUARDO</t>
  </si>
  <si>
    <t>SEPULVEDA GUEVARA ERIKA ANDREA</t>
  </si>
  <si>
    <t>NONTOA LEGUIZAMON MARIA FERNANDA</t>
  </si>
  <si>
    <t>ROBLES RODRIGUEZ CRISTIAN CAMILO</t>
  </si>
  <si>
    <t>LOPEZ SANDOVAL TANIA BRIGITTE</t>
  </si>
  <si>
    <t>PARADA ARCHILA PABLO ALEXANDER</t>
  </si>
  <si>
    <t>CUSPOCA VERDUGO ADRIANA YAZMIN</t>
  </si>
  <si>
    <t>HIGUERA HERNANDEZ MAYRA ALEJANDRA</t>
  </si>
  <si>
    <t>VELANDIA JIMENEZ JULIETH NAYIBE</t>
  </si>
  <si>
    <t>CELY FONTECHA KEVIN GIOVANY</t>
  </si>
  <si>
    <t>VASQUEZ UYAZAN KAREN JOHANA</t>
  </si>
  <si>
    <t>CASTIBLANCO CARVAJAL LILIANA ALEXANDRA</t>
  </si>
  <si>
    <t>PINZON GIMENEZ JOHN SEBASTIAN</t>
  </si>
  <si>
    <t>GALVIS PAREDES LIZETH FERNANDA</t>
  </si>
  <si>
    <t xml:space="preserve">MIRANDA LANCHEROS LIDDI </t>
  </si>
  <si>
    <t>CORREDOR ESTUPIÑA ALISON JULIETH</t>
  </si>
  <si>
    <t>ARIAS DUEÑAS LEIDY ALEJANDRA</t>
  </si>
  <si>
    <t>CIFUENTES TOBO CLAUDIA KATHERINE</t>
  </si>
  <si>
    <t>NIÑO ARIAS KAREN VIVIANA</t>
  </si>
  <si>
    <t>AGUILLON CUEVAS VICTOR MANUEL</t>
  </si>
  <si>
    <t>NARANJO CELY CRISTIAN ANDRES</t>
  </si>
  <si>
    <t>GOMEZ RODRIGUEZ DANA FERNANDA</t>
  </si>
  <si>
    <t>CUADROS MORALES PABLO ANTONIO</t>
  </si>
  <si>
    <t>BECERRA SALANUEVA ANGELA PATRICIA</t>
  </si>
  <si>
    <t>CAMARGO ZABALA YEIMY KATHERIN</t>
  </si>
  <si>
    <t>MESA GALLO CRISTIAN ARLEY</t>
  </si>
  <si>
    <t>GARCIA PEREZ LAURA DANIELA</t>
  </si>
  <si>
    <t>LUGO CADENA ANDREA CATHERIN</t>
  </si>
  <si>
    <t>MEJIA ESTUPIÑAN ANGIE PAOLA</t>
  </si>
  <si>
    <t xml:space="preserve">SANTIAGO  EDUARDO </t>
  </si>
  <si>
    <t>FAJARDO VARGAS SANDRA PATRICIA</t>
  </si>
  <si>
    <t>RODRIGUEZ BAUTISTA YERITZA CAROLINA</t>
  </si>
  <si>
    <t xml:space="preserve">CAMARGO  RAFAEL </t>
  </si>
  <si>
    <t>NIÑO VIVAS LEIDY NATALY</t>
  </si>
  <si>
    <t>ALFONSO CASTRO LINA VANESA</t>
  </si>
  <si>
    <t>DUARTE BAEZ LEIDY YULIETH</t>
  </si>
  <si>
    <t>TORRES CUTA ANDRES FELIPE</t>
  </si>
  <si>
    <t>PORRAS ACOSTA LUISA FERNANDA</t>
  </si>
  <si>
    <t>SANCHEZ TORRES DERLY JULIETH</t>
  </si>
  <si>
    <t>VEGA PENALOSA MONICA NATALIA</t>
  </si>
  <si>
    <t>SALCEDO CHAVEZ JUAN MANUEL</t>
  </si>
  <si>
    <t>MONTAÑA SAENZ NIXON JAVIER</t>
  </si>
  <si>
    <t>CARVAJAL RODRIGUEZ EDNA TATIANA</t>
  </si>
  <si>
    <t>OCHOA BAEZ YENI PAOLA</t>
  </si>
  <si>
    <t>LOPEZ CRISTANCHO YULI JOHANA</t>
  </si>
  <si>
    <t>MATEUS . SERGIO DAVID</t>
  </si>
  <si>
    <t>MURILLO CAMARGO CRISTIAN DAVID</t>
  </si>
  <si>
    <t>AVELLA CORREDOR MARTHA LILIANA</t>
  </si>
  <si>
    <t>CORREDOR VALDERRAMA LAURA NATALIA</t>
  </si>
  <si>
    <t>VARGAS DAZA RAUL FERNANDO</t>
  </si>
  <si>
    <t>FONSECA DIAZ JUAN CARLOS</t>
  </si>
  <si>
    <t>NARVAEZ LOZANO CRISTIAN DAVID</t>
  </si>
  <si>
    <t>VARGAS VARGAS JEISSON CAMILO</t>
  </si>
  <si>
    <t>FONSECA REYES ANGELA VIVIANA</t>
  </si>
  <si>
    <t>PEDRAZA PALACIOS CESAR LEONARDO</t>
  </si>
  <si>
    <t>CORREA BECERRA CARLOS IGNACIO</t>
  </si>
  <si>
    <t>STEFANY JULIETH SAENZ CASTRO</t>
  </si>
  <si>
    <t>RINCON BALAGUERA MONICA PAOLA</t>
  </si>
  <si>
    <t>CELY GARCIA HELBERT OSWALDO</t>
  </si>
  <si>
    <t xml:space="preserve">LOPEZ PUENTES MARIA </t>
  </si>
  <si>
    <t>CASTAÑEDA ARAQUE ANGIE TATIANA</t>
  </si>
  <si>
    <t>ALVAREZ HIGUERA WANDA STEFANY</t>
  </si>
  <si>
    <t>SERRANO CUEVAS MARIA FERNANDA</t>
  </si>
  <si>
    <t>CARVAJAL BARINAS YENY FERNANDA</t>
  </si>
  <si>
    <t>HERRERA GRANADOS DIANA FERNANDA</t>
  </si>
  <si>
    <t>ROSAS DUITAMA YENNY TATIANA</t>
  </si>
  <si>
    <t>CASTIBLANCO CUSPOCA MARIA PAULA</t>
  </si>
  <si>
    <t>GUERRERO POLANIA WILMER FABER</t>
  </si>
  <si>
    <t>CHAPARRO GUTIERREZ DIANA MILENA</t>
  </si>
  <si>
    <t>SALCEDO OCHOA WILSON MIGUEL</t>
  </si>
  <si>
    <t>OCHOA MARTINEZ LAURA VICTORIA</t>
  </si>
  <si>
    <t>TAMARA QUIROGA MILENA ANDREA</t>
  </si>
  <si>
    <t>HOLGUIN PINEDA FREDY DAVID</t>
  </si>
  <si>
    <t>CARRILLO SOLANO MARIA ALEJANDRA</t>
  </si>
  <si>
    <t xml:space="preserve">CELY  EISON </t>
  </si>
  <si>
    <t>ZAIRA YERALDIN MENDOZA OROZCO</t>
  </si>
  <si>
    <t>POVEDA PUENTES PAULA LORENA</t>
  </si>
  <si>
    <t>BECERRA BECERRA ANYI DAHIANA</t>
  </si>
  <si>
    <t>CORREDOR TOBO YESID FERNANDO</t>
  </si>
  <si>
    <t>AGUDELO FONSECA MARIA PAULA</t>
  </si>
  <si>
    <t xml:space="preserve">SALCEDO  ANGELA </t>
  </si>
  <si>
    <t xml:space="preserve">GARCIA  MORELIA </t>
  </si>
  <si>
    <t>BELTRAN POSADA OMAR HIANCARLO</t>
  </si>
  <si>
    <t>GARCIA CACERES LAURA TATIANA</t>
  </si>
  <si>
    <t>TAMAYO PINEDA PAULA ANDREA</t>
  </si>
  <si>
    <t>PINEDA ABRIL MAYERLY ALEXANDRA</t>
  </si>
  <si>
    <t>RIAÑO TIBADUIZA CLAUDIA ANGELICA</t>
  </si>
  <si>
    <t>SANABRIA PULIDO CLAUDIA PATRICIA</t>
  </si>
  <si>
    <t>RIVERA CORREDOR ANGIE LORENA</t>
  </si>
  <si>
    <t xml:space="preserve">MUÑOZ  IVAN </t>
  </si>
  <si>
    <t>DUEÑAS HERRERA ANGELICA ROCIO</t>
  </si>
  <si>
    <t>ROJAS MACHUCA PAULA NATALIA</t>
  </si>
  <si>
    <t>VILLATE CORREDOR LUISA FERNANDA</t>
  </si>
  <si>
    <t>CETINA MOGOLLON JHONATAN ANDRES</t>
  </si>
  <si>
    <t>ACOSTA ROJAS ADRIANA KATERINE</t>
  </si>
  <si>
    <t>RINCON DIAZ DIEGO ARMANDO</t>
  </si>
  <si>
    <t>BARON SOLER MELIZA ALEXANDRA</t>
  </si>
  <si>
    <t>MENDOZA HERNANDEZ MARLON FREDERICK</t>
  </si>
  <si>
    <t>VALCARCEL CASTRO LAURA MARIA DEL PILAR</t>
  </si>
  <si>
    <t>REYES LARGO LEIDI VIVIANA</t>
  </si>
  <si>
    <t xml:space="preserve">HIGUERA  ERIK </t>
  </si>
  <si>
    <t>AMADO TAMAYO NURY ZULAY</t>
  </si>
  <si>
    <t>DIAZ MORENO LUZ AYDE</t>
  </si>
  <si>
    <t>LARA BECERRA ADRIANA ALEJANDRA</t>
  </si>
  <si>
    <t>CAMARGO CAMARGO PAOLA FERNANDA</t>
  </si>
  <si>
    <t xml:space="preserve">PAMPLONA VARGAS CAROLINA </t>
  </si>
  <si>
    <t xml:space="preserve">BONILLA VARGAS ALEJANDRA </t>
  </si>
  <si>
    <t>NIÑO RINCON ANDERSON MAURICIO</t>
  </si>
  <si>
    <t>REYES TORRES LILIANA MARCELA</t>
  </si>
  <si>
    <t>PINEDA BECERRA MONICA LORENA</t>
  </si>
  <si>
    <t>FIQUITIVA RICAURTE JAHIR FABIAN</t>
  </si>
  <si>
    <t xml:space="preserve">HERNANDES  JUAN DIEGO </t>
  </si>
  <si>
    <t>PEREZ MOLINA ERIKA YOLIMA</t>
  </si>
  <si>
    <t>AGUIRRE GUTIERREZ BRIAN LEONARDO</t>
  </si>
  <si>
    <t>ARAQUE LEON FERNANDO ALEXIS</t>
  </si>
  <si>
    <t>PUERTO BECERRA CAMILO ANDRES</t>
  </si>
  <si>
    <t>QUIROZ ORTIZ CESAR DAVID</t>
  </si>
  <si>
    <t>NIÑO RODRIGUEZ JUAN CARLOS</t>
  </si>
  <si>
    <t>PINZON ROJAS HOVER DUVAN</t>
  </si>
  <si>
    <t>MARTINEZ DE AVILA MICHELLE MARIA</t>
  </si>
  <si>
    <t>VEGA RAMIREZ JHON MARIO</t>
  </si>
  <si>
    <t>ESTUPIÑAN MALDONADO DEISY PAOLA</t>
  </si>
  <si>
    <t>ANGARITA LIZARAZO JESUS RAFAEL</t>
  </si>
  <si>
    <t>COLMENARES COLMENARE YEISON ANDRES</t>
  </si>
  <si>
    <t>AVENDAÑO GOMEZ JESSICA MARIANA</t>
  </si>
  <si>
    <t>FIGUEREDO CARDENAS MAURA VANESSA</t>
  </si>
  <si>
    <t>CHINOME CARRILLO JOSE ANDRES</t>
  </si>
  <si>
    <t>PAEZ GONZALEZ ANDREA CAROLINA</t>
  </si>
  <si>
    <t>TORRES RINCON EDISSON DUVAN</t>
  </si>
  <si>
    <t>SUAREZ PEREZ MIGUEL ANGEL</t>
  </si>
  <si>
    <t>GALINDO SUAREZ JUAN SEBASTIAN</t>
  </si>
  <si>
    <t xml:space="preserve">BORDA ROA MANUELA </t>
  </si>
  <si>
    <t>BECERRA PRIETO BRIAN LEONARDO</t>
  </si>
  <si>
    <t>COLMENARES GOYENECHE VIVIANA PATRICIA</t>
  </si>
  <si>
    <t xml:space="preserve">PANQUEVA PAREDES LAURA </t>
  </si>
  <si>
    <t>CHINOME GUTIERREZ LYDA ROCIO</t>
  </si>
  <si>
    <t>ROJAS HIGUERA DANIEL FELIPE</t>
  </si>
  <si>
    <t>NIÑO VIVAS JULIAN LEONARDO</t>
  </si>
  <si>
    <t>SUAREZ FIGUEROA IVAN CAMILO</t>
  </si>
  <si>
    <t>LOPEZ SANDOVAL JOSE DANIEL</t>
  </si>
  <si>
    <t>MOLANO MARINO YEISON ALBERTO</t>
  </si>
  <si>
    <t>HINCAPIE ESTEPA LINA MARIA</t>
  </si>
  <si>
    <t>GONZALEZ CUSPOCA DIEGO ANDRES</t>
  </si>
  <si>
    <t>BAUTISTA PUERTO JULIAN FABRICIO</t>
  </si>
  <si>
    <t>MORENO VIVAS YESICA PAOLA</t>
  </si>
  <si>
    <t>GONZALEZ CABANZO JOHN ALEXANDER</t>
  </si>
  <si>
    <t>VALDERRAMA BECERRA KAREN XIOMARA</t>
  </si>
  <si>
    <t>GUTIERREZ TORRES HECTOR ALFONSO</t>
  </si>
  <si>
    <t>SILVA CORDOBA CRISTIAN IVAN</t>
  </si>
  <si>
    <t>CUEVAS CABRA KATHERINE YANIRA</t>
  </si>
  <si>
    <t>CELY RINCON CAMILO ANTONIO</t>
  </si>
  <si>
    <t xml:space="preserve">MARTINEZ  MYRIAM </t>
  </si>
  <si>
    <t>USCATEGUI RIVEROS MIGUEL ORLANDO</t>
  </si>
  <si>
    <t>FABIAN SANTIAGO MARTINEZ CACERES</t>
  </si>
  <si>
    <t>MEDINA CORREA NANCY CAMILA</t>
  </si>
  <si>
    <t>CHINOME VARGAS BRAYAN FELIPE</t>
  </si>
  <si>
    <t>CUERVO BENAVIDES CRISTHIAN SNEIDER</t>
  </si>
  <si>
    <t>AVILA TRUJILLO MAGDA JULIANA</t>
  </si>
  <si>
    <t>GALVIS MEDINA EDISSON FERNANDO</t>
  </si>
  <si>
    <t>CONTRERAS MIRANDA MARIA ANGELICA</t>
  </si>
  <si>
    <t xml:space="preserve">BELLO ANTOLINEZ  EDISON DUVAN </t>
  </si>
  <si>
    <t>GOMEZ PEREZ LAURA NATALIA</t>
  </si>
  <si>
    <t>JAIME USCATEGUI DANIEL FERNANDO</t>
  </si>
  <si>
    <t>CANO CAMARGO EDITH CAROLINA</t>
  </si>
  <si>
    <t xml:space="preserve">GIL RODRIGUEZ  BRAYAN VIANEY </t>
  </si>
  <si>
    <t>MORENO GOMEZ ERIKA PAOLA</t>
  </si>
  <si>
    <t>CARDOZO SIERRA ANDREA KATERINE</t>
  </si>
  <si>
    <t>BERNAL MARTINEZ ANYI PAOLA</t>
  </si>
  <si>
    <t>CABRA GOMEZ ANDRES CAMILO</t>
  </si>
  <si>
    <t>TORRES GONZALEZ YENLY MARIANA</t>
  </si>
  <si>
    <t>PAEZ MORENO SEBASTIAN DAVID</t>
  </si>
  <si>
    <t>MESA SILVA JOHANA MARCELA</t>
  </si>
  <si>
    <t>GUEVARA SUAREZ HEIDY ELIZABETH</t>
  </si>
  <si>
    <t>SALAMANCA AMAYA BRIGITTE ANDREA</t>
  </si>
  <si>
    <t xml:space="preserve">ESLAVA BARRERA YEISON </t>
  </si>
  <si>
    <t>COMBARIZA FORERO CAMILO ANDRES</t>
  </si>
  <si>
    <t>VARGAS NIÑO NELLY KATHERINE</t>
  </si>
  <si>
    <t>PALACIOS BOTHIA EDWARD JOSE</t>
  </si>
  <si>
    <t>VILLATE SALAMANCA JOSE LEONARDO</t>
  </si>
  <si>
    <t>PINTO HERRERA SOFIA ALEJANDRA</t>
  </si>
  <si>
    <t>CASTRO PEDRAZA ZULMA YISETH</t>
  </si>
  <si>
    <t>REYES CALDERON YULY ANDREA</t>
  </si>
  <si>
    <t>OCHOA BECERRA YULY NATALY</t>
  </si>
  <si>
    <t>DIAZ RINCON YULI TATIANA</t>
  </si>
  <si>
    <t>GARZON RAVELO BRAYAN ADOLFO</t>
  </si>
  <si>
    <t>BONILLA SANABRIA JEISSON CAMILO</t>
  </si>
  <si>
    <t>ARIAS VALDERRAMA JAVIER ALEJANDRO</t>
  </si>
  <si>
    <t>RODRIGUEZ PUENTES YESID ALEJANDRO</t>
  </si>
  <si>
    <t>SUAREZ ROJAS YESSIKA GISELA</t>
  </si>
  <si>
    <t>BARON HUERTAS JONATAN STEVEN</t>
  </si>
  <si>
    <t>MONTOA CAMARGO CAMILO ALEJANDRO</t>
  </si>
  <si>
    <t xml:space="preserve">LAGOS PERALTA ANGIE </t>
  </si>
  <si>
    <t>BOTIA CAMARGO FABIAN ANDRES</t>
  </si>
  <si>
    <t>GAITAN GONZALEZ CRISTIAN CAMILO</t>
  </si>
  <si>
    <t>GARZON VARGAS DIANA MARIA</t>
  </si>
  <si>
    <t>DIAZ BECERRA ADRIANA CAROLINA</t>
  </si>
  <si>
    <t>ALARCON PARRA EDGAR SEBASTIAN</t>
  </si>
  <si>
    <t>HIGUERA BLANCO JUAN PABLO</t>
  </si>
  <si>
    <t>ESPAÑOL SORACA LEIDY CAROLINA</t>
  </si>
  <si>
    <t>GOMEZ ABRIL CRISTIAN CAMILO</t>
  </si>
  <si>
    <t>GOMEZ ESLAVA DANNA MANUELA</t>
  </si>
  <si>
    <t>MEDINA CAMARGO DUMAR HERNANDO</t>
  </si>
  <si>
    <t>TORRES VARGAS DAWRIN ANDERSON</t>
  </si>
  <si>
    <t>VILLAMIL MEDINA GLADYS ANDREA</t>
  </si>
  <si>
    <t>NAUSA VILLATE JENNIFER GERALDINE</t>
  </si>
  <si>
    <t>PEDRAZA HERNANDEZ LAURA CATALINA</t>
  </si>
  <si>
    <t>MOLANO NINO ANYI PAOLA</t>
  </si>
  <si>
    <t>WIEST ZEA HANS KURT</t>
  </si>
  <si>
    <t>PITA CAMARGO ANGGIE TATIANA</t>
  </si>
  <si>
    <t>CAMACHO DUEÑAS MARIA ALEJANDRA</t>
  </si>
  <si>
    <t>ROJAS HIGUERA MARIAN DANIELA</t>
  </si>
  <si>
    <t>AGUILAR SORACA LEYDI MARCELA</t>
  </si>
  <si>
    <t>BARRERA SANA MARIA CAMILA</t>
  </si>
  <si>
    <t>JIMENEZ MESA RAFAEL ESTEBAN</t>
  </si>
  <si>
    <t>TORRES AREVALO JULIETH NATALIA</t>
  </si>
  <si>
    <t>TIBADUIZA COLMENARES MILLER ESTEFAN</t>
  </si>
  <si>
    <t>HERNANDEZ QUIROGA DIANA CAROLINA</t>
  </si>
  <si>
    <t>TORRES GOMEZ DANIEL FERNANDO</t>
  </si>
  <si>
    <t>PEREZ LOPEZ EDGAR FABIAN</t>
  </si>
  <si>
    <t>MESA MARTIN BRAYAN STEVEN</t>
  </si>
  <si>
    <t>PINZON VARGAS DUVAN ALIRIO</t>
  </si>
  <si>
    <t xml:space="preserve">GUERRERO  LICETH </t>
  </si>
  <si>
    <t>TORRES ABRIL LINA MARIA</t>
  </si>
  <si>
    <t>RODRIGUEZ MANOSALVA DIANA PAOLA</t>
  </si>
  <si>
    <t>FIGUEROA ROJAS JOHAN SEBASTIAN</t>
  </si>
  <si>
    <t xml:space="preserve">CRISTANCHO HERNANDEZ GERMAN </t>
  </si>
  <si>
    <t>TORRES GOMEZ CAMILA ANDREA</t>
  </si>
  <si>
    <t>CASTRO TAPIAS CAMILO ESTEBAN</t>
  </si>
  <si>
    <t>GARCIA PARADA JHON EDISON</t>
  </si>
  <si>
    <t>TAMARA MARTINEZ JONATAN JULIO</t>
  </si>
  <si>
    <t xml:space="preserve">ORJUELA  PAOLA </t>
  </si>
  <si>
    <t>NIÑO DIOS JESSICA DAYANA</t>
  </si>
  <si>
    <t>MEDINA DELGADO JUAN DAVID</t>
  </si>
  <si>
    <t>PUERTO TAVERA ANGY NATALIA</t>
  </si>
  <si>
    <t>PEDRAZA AGUILAR VICTOR ERNESTO</t>
  </si>
  <si>
    <t>BOTIA TOBOS DIEGO FERNANDO</t>
  </si>
  <si>
    <t>CRISTANCHO AGUDELO DAVID SANTIAGO</t>
  </si>
  <si>
    <t xml:space="preserve">RODRIGUEZ  XIOMARA </t>
  </si>
  <si>
    <t>SILVA AVELLA CLAUIA JUDITH</t>
  </si>
  <si>
    <t>ESPITIA AVELLANEDA JUAN SEBASTIAN</t>
  </si>
  <si>
    <t>LESMES CORREA JEHIMY DANIELA</t>
  </si>
  <si>
    <t>SALAMANCA REYES JULIAN RICARDO</t>
  </si>
  <si>
    <t>MANRIQUE PEREZ ANDREA MAYERLY</t>
  </si>
  <si>
    <t>LEON VERDUGO CAMILA ANDREA</t>
  </si>
  <si>
    <t>BECERRA CUCUNUBA FREDI ALEXANDER</t>
  </si>
  <si>
    <t>RINCON TORRES CRISTIAN ANDRES</t>
  </si>
  <si>
    <t>PEDROZA MONTAÑA JONNATHAN JAVIER</t>
  </si>
  <si>
    <t>VARGAS  LEIDY TATIANA</t>
  </si>
  <si>
    <t>AMAYA MESA YAN CARLOS</t>
  </si>
  <si>
    <t>CORREA RODRIGUEZ MONICA TATIANA</t>
  </si>
  <si>
    <t>MARIA PAULA GRIMALDOS PUERTO</t>
  </si>
  <si>
    <t>REYES PINTO KAROL STEFFANY</t>
  </si>
  <si>
    <t xml:space="preserve">RAMIREZ  DIEGO </t>
  </si>
  <si>
    <t>ESPEJO CARDOZO MAYRA JOHANNA</t>
  </si>
  <si>
    <t>HOLGUIN PINEDA ANGELA PAOLA</t>
  </si>
  <si>
    <t>AVENDAÑO ARERO CARLOS ANDRES</t>
  </si>
  <si>
    <t>CASTILLO VELANDIA DAVID FELIPE</t>
  </si>
  <si>
    <t>DIAZ MORALES LAURA MELIZA</t>
  </si>
  <si>
    <t>TRIANA LOPEZ YURY NATALY</t>
  </si>
  <si>
    <t>GARCIA GARCIA JESSICA YADIRA</t>
  </si>
  <si>
    <t>ESPINDOLA CRISTANCHO JAHIR RONALDO</t>
  </si>
  <si>
    <t>RINCON CASTIBLANCO CRISTIAN MATEO</t>
  </si>
  <si>
    <t xml:space="preserve">BALLESTEROS  MIGUEL </t>
  </si>
  <si>
    <t>PINZON SANDOVAL ANDRES DAVID</t>
  </si>
  <si>
    <t>ORTIZ VARGAS JULIAN JOSE</t>
  </si>
  <si>
    <t>CUSPOCA VERDUGO DANIEL CAMILO</t>
  </si>
  <si>
    <t xml:space="preserve">GIRALDO BARRERA MIGUEL </t>
  </si>
  <si>
    <t>FARFAN ORTIZ WILLIAM JAVIER</t>
  </si>
  <si>
    <t>ZAMBRANO MORENO BRAYAN WILFREDO</t>
  </si>
  <si>
    <t>PESCA VIVAS VICTOR DAVID</t>
  </si>
  <si>
    <t>GONZALEZ GARZON CRISTIAN DANIEL</t>
  </si>
  <si>
    <t xml:space="preserve">MACANO GUEVARA DANIELA </t>
  </si>
  <si>
    <t>BECERRA MANRIQUE ANA MARIA</t>
  </si>
  <si>
    <t>TELLEZ RINCON JULIETH YOHANA</t>
  </si>
  <si>
    <t>Rincon Quiroga Laura Alejandra</t>
  </si>
  <si>
    <t>GALLO PUENTES CRISTIAN ALEJANDRO</t>
  </si>
  <si>
    <t>ALFONSO OCHOA DAYANA LIZETH</t>
  </si>
  <si>
    <t>HURTADO INFANTE BRANDOL RENE</t>
  </si>
  <si>
    <t>TORRES GARAVITO ELKIN JHOVANNY</t>
  </si>
  <si>
    <t>CORREA APONTE JAIRO ALONSO</t>
  </si>
  <si>
    <t>CIPAGAUTA RODRIGUEZ MARIA CAMILA</t>
  </si>
  <si>
    <t>SUAREZ RUEDA FERMIN JAIR</t>
  </si>
  <si>
    <t xml:space="preserve">MEDINA  NELSON </t>
  </si>
  <si>
    <t>PEREZ DURAN KAREN DAYANA</t>
  </si>
  <si>
    <t>ALBARRACIN ESTUPIÑAN YANITZA XIMENA</t>
  </si>
  <si>
    <t>GONZALEZ MORALES JUAN SEBASTIAN</t>
  </si>
  <si>
    <t>PEDRAZA MENDIVELSO LEIDY JAZMIN</t>
  </si>
  <si>
    <t>MEJIA APONTE LUIS CAMILO</t>
  </si>
  <si>
    <t>VEGA AYALA ANGELA MARIA</t>
  </si>
  <si>
    <t>RATIVA DIMINGO ANGIE LORENA</t>
  </si>
  <si>
    <t>CALDERON HERRERA FRANCISCO JAVIER</t>
  </si>
  <si>
    <t>OCHOA BECERRA SERGIO IVAN</t>
  </si>
  <si>
    <t>CELY AGUDELO CRISTIAN OSWALDO</t>
  </si>
  <si>
    <t>HERNANDEZ RUIZ INGRID LICETH</t>
  </si>
  <si>
    <t>BECERRA LOPEZ JONATHAN ALEJANDRO</t>
  </si>
  <si>
    <t>FAJARDO VARGAS ANDRES FELIPE</t>
  </si>
  <si>
    <t>BUITRAGO BUITRAGO DIANA MARCELA</t>
  </si>
  <si>
    <t>CASTRO CASTRO ZULMA YINETH</t>
  </si>
  <si>
    <t>BAUTISTA NOVA OSCAR LIBARDO</t>
  </si>
  <si>
    <t>NIÑO CAICEDO MARIA NANCY</t>
  </si>
  <si>
    <t>CORREDOR PATIÑO DUVAN ALFONSO</t>
  </si>
  <si>
    <t>LEGUIZAMON RINCON YENIFFER XIOMARA</t>
  </si>
  <si>
    <t>MALDONADO CRISTANCHO CRYSTIAN ANTONIO</t>
  </si>
  <si>
    <t>ROMERO GAMBOA MAYRA DAYANA</t>
  </si>
  <si>
    <t>HIGUERA CORREDOR JUAN SEBASTIAN</t>
  </si>
  <si>
    <t>GONZALEZ AMAYA CLAUDIA MARCELA</t>
  </si>
  <si>
    <t>LOPEZ NIÑO VICTOR FERNANDO</t>
  </si>
  <si>
    <t>GONZALEZ ZARABANDA ADRIANA YANETH</t>
  </si>
  <si>
    <t xml:space="preserve">TIRIA  LILIANA </t>
  </si>
  <si>
    <t>GUERRERO AREVALO LIZETH JOHANA</t>
  </si>
  <si>
    <t>CEPEDA NIÑO JUAN MANUEL</t>
  </si>
  <si>
    <t>ROBLES ROMERO WILLIAM ANDRES</t>
  </si>
  <si>
    <t>CARDENAL JIMENEZ IVAN ANDRES</t>
  </si>
  <si>
    <t>CASTIBLANCO CARVAJAL MARIA FERNANDA</t>
  </si>
  <si>
    <t>CORREA MENDOZA AYDA MARCELA</t>
  </si>
  <si>
    <t>CORREDOR RISCANEO MARIA ALEXANDRA</t>
  </si>
  <si>
    <t>ALVAREZ MOJICA IVAN ESTEBAN</t>
  </si>
  <si>
    <t>GARCIA NIÑO BRAYAN RICARDO</t>
  </si>
  <si>
    <t>RODRIGUEZ NIÑO MARIA CAMILA</t>
  </si>
  <si>
    <t>GONZALEZ VELANDIA JEFERSON FERNANDO</t>
  </si>
  <si>
    <t>NIÑO MOJICA CARLOS GUSTAVO</t>
  </si>
  <si>
    <t>CELY  DIANA CATHERINE</t>
  </si>
  <si>
    <t>ALFONSO CIENDUA DIANA MARCELA</t>
  </si>
  <si>
    <t>VARGAS CRISTANCHO MICHAEL ANDRES</t>
  </si>
  <si>
    <t>CORREDOR VARGAS LEIDY MANUELA</t>
  </si>
  <si>
    <t xml:space="preserve">ROJAS VELANDIA MARIANA </t>
  </si>
  <si>
    <t>TIRANO  CRISTIAN CAMILO</t>
  </si>
  <si>
    <t>COMBARIZA PUERTO LINA PAOLA</t>
  </si>
  <si>
    <t>ACEVEDO CUERVO JUAN CAMILO</t>
  </si>
  <si>
    <t>SILVA CHIA SANDRA YENIT</t>
  </si>
  <si>
    <t>BARRERA BALAGUERA JORGE ESTEBAN</t>
  </si>
  <si>
    <t xml:space="preserve">BARBOSA SANTOS MARIANA </t>
  </si>
  <si>
    <t>NUVAN VIVAS PAULA ANDREA</t>
  </si>
  <si>
    <t>VARGAS CRISTANCHO YURY VIVIANA</t>
  </si>
  <si>
    <t>CELY REYES KAREN JULIANA</t>
  </si>
  <si>
    <t>REYES PERILLA ANDRES FELIPE</t>
  </si>
  <si>
    <t>VIVAS VARGAS DANIELA ALEJANDRA</t>
  </si>
  <si>
    <t>PEDRAZA FAJARDO CRISTIAN ESTEBAN</t>
  </si>
  <si>
    <t>LEON MACANAZ JUAN SEBASTIAN</t>
  </si>
  <si>
    <t>MUÑOZ GOMEZ DUVAN FELIPE</t>
  </si>
  <si>
    <t>ROJAS RINCON KEVIN LEONARDO</t>
  </si>
  <si>
    <t>TRUJILLO OCHOA CESAR ANDRES</t>
  </si>
  <si>
    <t>BALAGUERA CARDENAS LEIDY MARCELA</t>
  </si>
  <si>
    <t xml:space="preserve">RAMIREZ  LAURENTH </t>
  </si>
  <si>
    <t>TAMARA SALAMANCA ERIKA YULIANA</t>
  </si>
  <si>
    <t>ALARCON GOMEZ LUZ YANETH</t>
  </si>
  <si>
    <t>CAMARGO ADAME JOSE AGUSTIN</t>
  </si>
  <si>
    <t>NIÑO RIVEROS JESIKA ANDREA</t>
  </si>
  <si>
    <t>BARRERA GARCIA JONATHAN CAMILO</t>
  </si>
  <si>
    <t>COTAMO BALLEN LUIS EDUARDO</t>
  </si>
  <si>
    <t>CASTELLANOS VARGAS INGRID CAMILA</t>
  </si>
  <si>
    <t>AVILA NITOLA PAULA SOFIA</t>
  </si>
  <si>
    <t>MORANTES FLECHAS LEIDY TATIANA</t>
  </si>
  <si>
    <t>LARA PEREZ CRISTIAN CAMILO</t>
  </si>
  <si>
    <t>FONSECA CHACON BRAYAN STIVEN</t>
  </si>
  <si>
    <t>LOPEZ TENJO LEIDY DAYANNA</t>
  </si>
  <si>
    <t>NUNCIRA ARAQUE FABIAN RICARDO</t>
  </si>
  <si>
    <t>MORALES EUSCATEGUI KAREN ALEXANDRA</t>
  </si>
  <si>
    <t>QUINTERO LEMUS KAREN XIOMARA</t>
  </si>
  <si>
    <t>CELY MORALES JONATHAN STIVEN</t>
  </si>
  <si>
    <t xml:space="preserve">PINZON BARRERA JIMENA </t>
  </si>
  <si>
    <t>CHIQUILLO SALAMANCA SHAREN JULIETH</t>
  </si>
  <si>
    <t>ROJAS CASTILLO ANDREA LIZETH</t>
  </si>
  <si>
    <t>CARDENAS CARDENAS MADELIN NATALIA</t>
  </si>
  <si>
    <t>MURCIA RIVERA LUIS EDUARDO</t>
  </si>
  <si>
    <t>LIZARAZO MONTOYA YESICA DANIELA</t>
  </si>
  <si>
    <t>BARRERA MONTOYA JUAN SEBASTIAN</t>
  </si>
  <si>
    <t>CAMARGO HERNANDEZ JOSE LUIS</t>
  </si>
  <si>
    <t xml:space="preserve">SUAREZ  LEIDY </t>
  </si>
  <si>
    <t>PERALTA ESTUPIÑAN LEIDER ANDRES</t>
  </si>
  <si>
    <t>COLMENARES GOYENECHE DIANA YAMILE</t>
  </si>
  <si>
    <t>LOPEZ AMAYA DARWIN YAMID</t>
  </si>
  <si>
    <t>DUARTE SANABRIA CARLOS ANTONIO</t>
  </si>
  <si>
    <t>FUENTES ROJAS LUIS FERNANDO</t>
  </si>
  <si>
    <t>REYES MEDINA LAURA YINETH</t>
  </si>
  <si>
    <t>GONZALEZ VEGA PAULA ANDREA</t>
  </si>
  <si>
    <t>BECERRA GARCIA LUISA MARIA</t>
  </si>
  <si>
    <t>PEÑALOSA PUERTO ANDRES YOVANNY</t>
  </si>
  <si>
    <t>FERNANDEZ QUIROGA BRANDON DANIEL</t>
  </si>
  <si>
    <t>CASTRO  CESAR EDUARDO</t>
  </si>
  <si>
    <t>OCHOA ALDANA ANDREA XIMENA</t>
  </si>
  <si>
    <t>SALAZAR GONZALES ANYI VIVIANA</t>
  </si>
  <si>
    <t>LEON LEON NICOLAS STIVEN</t>
  </si>
  <si>
    <t>LOPEZ ANGARITA ANGIE LORENA</t>
  </si>
  <si>
    <t>ESCOBAR MORENO ANGELICA TATIANA</t>
  </si>
  <si>
    <t>LOPEZ PEREZ MILDRED ALEJANDRA</t>
  </si>
  <si>
    <t>LARA RAMIREZ WILLIAM LEONARDO</t>
  </si>
  <si>
    <t>CELY PUENTES DIEGO FERNANDO</t>
  </si>
  <si>
    <t>MERCHAN CHAPARRO DIANA MARCELA</t>
  </si>
  <si>
    <t xml:space="preserve">AVELLA  BIANETH </t>
  </si>
  <si>
    <t>LARA TIRIA KATERIN JULIETH</t>
  </si>
  <si>
    <t>FERNANDEZ LEON ERIKA YOHANA</t>
  </si>
  <si>
    <t>GOMEZ JOYA JOHN HENRY</t>
  </si>
  <si>
    <t>OCHOA SILVA LEIDY PAOLA</t>
  </si>
  <si>
    <t>SUAREZ VEGA MARIA FERNANDA</t>
  </si>
  <si>
    <t>DAYAN STEVEN PARRA RODRIGUEZ</t>
  </si>
  <si>
    <t>MORENO RAMIREZ LISBETH DANIELA</t>
  </si>
  <si>
    <t>SUAREZ BUITRAGO TATIANA KATHERIN</t>
  </si>
  <si>
    <t>VARGAS TAMAYO OSCAR DAVID</t>
  </si>
  <si>
    <t>PINEDA CASTRO YUBER FABIAN</t>
  </si>
  <si>
    <t>MESA ESPINEL CARLOS ALBERTO</t>
  </si>
  <si>
    <t>RODRIGUEZ MOLINA CRISTIAN RICARDO</t>
  </si>
  <si>
    <t>MORENO DURAN ANGIE PAOLA</t>
  </si>
  <si>
    <t>DIAZ DUENAS CARLOS SEBASTIAN</t>
  </si>
  <si>
    <t>FAJARDO LOZANO OMAR ANDRES</t>
  </si>
  <si>
    <t>VARGAS MARTINEZ YESID ALEJANDRO</t>
  </si>
  <si>
    <t>GARCIA MORALES ELIAS OSWALDO</t>
  </si>
  <si>
    <t>RINCON SUAREZ KAREN GISEL</t>
  </si>
  <si>
    <t>OLAYA BUITRAGO JUAN CAMILO</t>
  </si>
  <si>
    <t>BALAGUERA GUEVARA DANIEL ALEJANDRO</t>
  </si>
  <si>
    <t>SEGURA MANRIQUE LIZETH XIOMARA</t>
  </si>
  <si>
    <t>SOLANO MARTINEZ MARCOS DUVAN</t>
  </si>
  <si>
    <t>CORTES MESA NELSON FERNEY</t>
  </si>
  <si>
    <t>ALBARRACIN DIAZ ANDREA LIZETH</t>
  </si>
  <si>
    <t>VIVAS RINCON DAVID STEVEN</t>
  </si>
  <si>
    <t>OCHOA AVELLA YOHANA MILENA</t>
  </si>
  <si>
    <t>CARRILLO BRAVO LEIDY YESENIA</t>
  </si>
  <si>
    <t>SILVA VARGAS JUAN NICOLAS</t>
  </si>
  <si>
    <t>PITA LAVERDE SANTIAGO ANDRES</t>
  </si>
  <si>
    <t>BURGOS QUESADA KAREN SOFIA</t>
  </si>
  <si>
    <t>RAMIREZ GONZALEZ ELKIN DANIEL</t>
  </si>
  <si>
    <t>BASTIDAS LÓPEZ ANGELA LUCIA</t>
  </si>
  <si>
    <t>CELY VARGAS MONICA LILIANA</t>
  </si>
  <si>
    <t>DIAZ RIOS MAYRA ALEJANDRA</t>
  </si>
  <si>
    <t>BECERRA CHACON WILLIAM DAVID</t>
  </si>
  <si>
    <t>MOJICA VALDERRAMA KEVIN SEBASTIAN</t>
  </si>
  <si>
    <t xml:space="preserve">DURAN RODRIGUEZ NATLIA </t>
  </si>
  <si>
    <t>CAMARGO RIVERA MIGUEL ANGEL</t>
  </si>
  <si>
    <t>PLAZAS VERDUGO NURY ALEJANDRA</t>
  </si>
  <si>
    <t>PAREDES MONTAÑEZ RONALD JAVIER</t>
  </si>
  <si>
    <t>HIGUERA ARAQUE NIDIA LIZETH</t>
  </si>
  <si>
    <t>FRACICA GONZALEZ YEHIMY CAMILA</t>
  </si>
  <si>
    <t>SUAREZ SOGAMOSO YESICA DANIELA</t>
  </si>
  <si>
    <t>BARRERA RODRIGUEZ LAURA KATERINE</t>
  </si>
  <si>
    <t>CHAPARRO SOSA YEXON DAVID</t>
  </si>
  <si>
    <t>COLMENARES CHAPARRO IVAN DANILO</t>
  </si>
  <si>
    <t>DUARTE BAEZ WILIAM YESID</t>
  </si>
  <si>
    <t>TIBADUIZA RODRIGUEZ LEIDY ENERIETH</t>
  </si>
  <si>
    <t>PULIDO VELANDIA NATALY ADRIANA</t>
  </si>
  <si>
    <t>CAMARGO RODRIGUEZ JOHANNA MARISOL</t>
  </si>
  <si>
    <t>CORREDOR ROJAS DIEGO ALEJANDRO</t>
  </si>
  <si>
    <t>FONSECA  NICOLAS ENRIQUE</t>
  </si>
  <si>
    <t>GOMEZ ACERO JUAN PABLO</t>
  </si>
  <si>
    <t>VARGAS ROMERO ANGIE PAOLA</t>
  </si>
  <si>
    <t>ROJAS MARTINEZ ALVARO YECID</t>
  </si>
  <si>
    <t>MARTINEZ CASTRO JESSICA MAYLEEN</t>
  </si>
  <si>
    <t>MALPICA PINTO MARIA ALEJANDRA</t>
  </si>
  <si>
    <t xml:space="preserve">MARTINEZ ARCINIEGAS ALCIRA </t>
  </si>
  <si>
    <t>GOYENECHE GARCIA INGRID YERALDIN</t>
  </si>
  <si>
    <t>GIL AMEZQUITA PAOLA ANDREA</t>
  </si>
  <si>
    <t>AYALA ORTIZ YESSICA MARID</t>
  </si>
  <si>
    <t>MARTINEZ CUADROS MAYRA ALEJANDRA</t>
  </si>
  <si>
    <t>LOPEZ TAMAYO JHEFERSON LEONARDO</t>
  </si>
  <si>
    <t>ROJAS RINCON KAREN NATALIA</t>
  </si>
  <si>
    <t>PINZON ORTIZ DEISY XIOMARA</t>
  </si>
  <si>
    <t>ORTIZ SIEMPIRA SANDY NATALY</t>
  </si>
  <si>
    <t>DAZA CASTRO CARLOS DAVID</t>
  </si>
  <si>
    <t>CELI ROMERO NIXON ORLANDO</t>
  </si>
  <si>
    <t>GOMEZ RODRIGUEZ ZULMA JAZMIN</t>
  </si>
  <si>
    <t>DAZA RODRIGUEZ CESAR ALBERTO</t>
  </si>
  <si>
    <t>CANON LOPEZ MELISSA ALEJANDRA</t>
  </si>
  <si>
    <t>ROJAS SACHICA LINA MARCELA</t>
  </si>
  <si>
    <t>BLANCO FLOREZ ANDRES FERNEY</t>
  </si>
  <si>
    <t>BOTIA ROMERO CRISTIAN JOAQUIN</t>
  </si>
  <si>
    <t>PATINO RODRIGUEZ EDWIN ORLANDO</t>
  </si>
  <si>
    <t>CL 17 1D 34 ARAQUE KAREN ALEXANDRA</t>
  </si>
  <si>
    <t>VASQUEZ RODRIGUEZ LUISA FERNANDA</t>
  </si>
  <si>
    <t>FUENTES  IVAN ANDRES</t>
  </si>
  <si>
    <t>BENITEZ NITOLA DIANA CAROLINA</t>
  </si>
  <si>
    <t>NIÑO COCUNUBA YANETH CONSTANZA</t>
  </si>
  <si>
    <t>PINEDA  JHOAN SEBASTIAN</t>
  </si>
  <si>
    <t>LARA CENDALES MANUEL SANTIAGO</t>
  </si>
  <si>
    <t xml:space="preserve">CAMARGO GONZALEZ ESTEFANIA </t>
  </si>
  <si>
    <t>PUERTO VELANDIA JOHANA ANGELICA</t>
  </si>
  <si>
    <t>PARRA GONZALEZ SERGIO ALEXANDER</t>
  </si>
  <si>
    <t>AMEZQUITA MANOSALVA EMILCEN YERALDIN</t>
  </si>
  <si>
    <t xml:space="preserve">NEITA  LAURA </t>
  </si>
  <si>
    <t>QUINTANA VARGAS SERGIO ALEJANDRO</t>
  </si>
  <si>
    <t>GONZALEZ PUERTO DIEGO ANDRES</t>
  </si>
  <si>
    <t>PUERTO GOMEZ JULIAN ANDRES</t>
  </si>
  <si>
    <t>TIBADUIZA CASTRO JEISON SEBASTIAN</t>
  </si>
  <si>
    <t>CR 20 30 73 SUAREZ DEISY ALEJANDRA</t>
  </si>
  <si>
    <t>MEDINA PINZON SONIA CAROLINA</t>
  </si>
  <si>
    <t>ROJAS HURTADO ASHLE JULIANA</t>
  </si>
  <si>
    <t>FLORES MENDOZA KARLA NAYIBE</t>
  </si>
  <si>
    <t>ANGARITA OROZCO KAREN YISHET</t>
  </si>
  <si>
    <t>SANDOVAL  ANGIE CAROLINA</t>
  </si>
  <si>
    <t>GALINDO ROJAS CARLOS ALBERTO</t>
  </si>
  <si>
    <t>NIÑO MANCHEGO ARIADNA GISET</t>
  </si>
  <si>
    <t>NUÑEZ LIZARAZO OMAR YESID</t>
  </si>
  <si>
    <t>CAMARGO LOPEZ LAURA JOHEL</t>
  </si>
  <si>
    <t>ORTIZ WALTEROS LUZ ADRIANA</t>
  </si>
  <si>
    <t>MARTINEZ PEREZ HERNAN DARIO</t>
  </si>
  <si>
    <t>CAMARGO CAMARGO LUIS DIEGO</t>
  </si>
  <si>
    <t>VIVIANA KATHERINE MERCHAN GONZALEZ</t>
  </si>
  <si>
    <t>LEON LEON ELBER FERNANDO</t>
  </si>
  <si>
    <t>CHAPARRO NITOLA GIZETH CATALINA</t>
  </si>
  <si>
    <t>FARFAN BALAGUERA DIANA CAROLINA</t>
  </si>
  <si>
    <t>PAEZ GONZALEZ SANDRA VALENTINA</t>
  </si>
  <si>
    <t xml:space="preserve">BOTIA OLIVEROS DIANA </t>
  </si>
  <si>
    <t>MORENO NITOLA JEAN CARY</t>
  </si>
  <si>
    <t>VEGA  LISETH FERNANDA</t>
  </si>
  <si>
    <t>BECERRA PAIPA JESSICA PAOLA</t>
  </si>
  <si>
    <t>MATALLANA RODRIGUEZ DIJIBATH VALENTINA</t>
  </si>
  <si>
    <t xml:space="preserve">PEDRAZA  ESTEBAN </t>
  </si>
  <si>
    <t>ROMERO PINZON LAURA TATIANA</t>
  </si>
  <si>
    <t>VIVAS TORRES FREDDY LEONARDO</t>
  </si>
  <si>
    <t>VIVAS BECERRA RAFAEL ALFONSO</t>
  </si>
  <si>
    <t>MORENO MORALES JADED CALED</t>
  </si>
  <si>
    <t>NITOLA DIAZ SERGIO NICOLAS</t>
  </si>
  <si>
    <t>PICO ROSAS BRAYAN ALEXANDER</t>
  </si>
  <si>
    <t>TIRIA BAEZ IAN ANDERSSON</t>
  </si>
  <si>
    <t>CRISTANCHO RUIZ CARLOS ESTEBAN</t>
  </si>
  <si>
    <t>BONILLA BERNAL NESTOR EDUARDO</t>
  </si>
  <si>
    <t>JOYA TORRES HELIO JOSE</t>
  </si>
  <si>
    <t xml:space="preserve">ESPEJO TORRES  PAULA MELISSA </t>
  </si>
  <si>
    <t>PEREZ RODRIGUEZ LAURA XIMENA</t>
  </si>
  <si>
    <t>BLANCO MARTINEZ CRISTIAN FELIPE</t>
  </si>
  <si>
    <t>CORREA MARIN NANCY JOHANA</t>
  </si>
  <si>
    <t>NITOLA TORRES KATERIN JOHANA</t>
  </si>
  <si>
    <t>SANCHEZ ALBARRACIN EDWIN LEONARDO</t>
  </si>
  <si>
    <t>GONZALEZ SUAREZ ADRIANA LUCIA</t>
  </si>
  <si>
    <t>APONTE COLMENARES ANGELA PATRICIA</t>
  </si>
  <si>
    <t>ESLAVA CHAPARRO CRISTIAN CAMILO</t>
  </si>
  <si>
    <t>CUY GONZALEZ LEYDI VIVIANA</t>
  </si>
  <si>
    <t>GARCIA AGATON FRANK ESTIVEL</t>
  </si>
  <si>
    <t>LARROTA LEGUIZAMON ANGIE TATIANA</t>
  </si>
  <si>
    <t xml:space="preserve">GALINDO  ANGELA </t>
  </si>
  <si>
    <t>GONZALEZ ESTUPIÑAN SHEMAIRA LUCIA</t>
  </si>
  <si>
    <t>ARIAS RODRIGUEZ LAURA NATALY</t>
  </si>
  <si>
    <t>BOLIVAR BOLIVAR JHONATHAN CAMILO</t>
  </si>
  <si>
    <t xml:space="preserve">GONZALEZ AGUIRRE SEBASTIAN </t>
  </si>
  <si>
    <t>CRUZ TRIANA LAURA ANDREA</t>
  </si>
  <si>
    <t>TRUJILLO PINTO MARIA CRISTINA</t>
  </si>
  <si>
    <t xml:space="preserve">PRIETO REYES STEFANY </t>
  </si>
  <si>
    <t>RIVERA NURCIA PAOLA DANIELA</t>
  </si>
  <si>
    <t>RINCON CORREA ANGIE YULIETH</t>
  </si>
  <si>
    <t>MANRIQUE ESTUPIÑAN YINETH ZULAY</t>
  </si>
  <si>
    <t>RAMIREZ PAIPA ZULAY TATIANA</t>
  </si>
  <si>
    <t>PORRAS ACOSTA INGRID TATIANA</t>
  </si>
  <si>
    <t>GIRALDO CHAPARRO BRAYAN FERNANDO</t>
  </si>
  <si>
    <t>MILLAN LEON PAULA KATERIN</t>
  </si>
  <si>
    <t>PEREZ JOYA YOAN ALEJANDRO</t>
  </si>
  <si>
    <t>DELGADO  JULIAN DAVID</t>
  </si>
  <si>
    <t>PACHECO SALAMANCA DAVID ESTEBAN</t>
  </si>
  <si>
    <t>LARA ESTUPIÑAN JHOJAN ESNEYDER</t>
  </si>
  <si>
    <t>DANIEL FELIPE SUAREZ SEPULVEDA</t>
  </si>
  <si>
    <t>GALINDO SUAREZ CRISTIAN CAMILO</t>
  </si>
  <si>
    <t>SUAREZ CORREDOR KAREN DAYANA</t>
  </si>
  <si>
    <t>GONZALEZ DIAZ ANDREA CATHERINE</t>
  </si>
  <si>
    <t>SILVA CRISTANCHO YERSON ARBEY</t>
  </si>
  <si>
    <t>ROJAS  ERIKA MARCELA MARCELA</t>
  </si>
  <si>
    <t>GOMEZ LEON JUAN CAMILO</t>
  </si>
  <si>
    <t>ROA GONZALEZ JHONATAN EDUARDO</t>
  </si>
  <si>
    <t>CLAROS CAMARGO MIGUEL ANGEL</t>
  </si>
  <si>
    <t>GARCIA PUERTO MARLON ESTEBAN</t>
  </si>
  <si>
    <t>DAZA ACERO PAULA ALEJANDRA</t>
  </si>
  <si>
    <t>TARAZONA CRISTANCHO HECTOR ELIAS</t>
  </si>
  <si>
    <t>RODRIGUEZ CORREDOR ANDRES CAMILO</t>
  </si>
  <si>
    <t>JULIETH PATRICIA CHACON CARREÑO</t>
  </si>
  <si>
    <t>QUINTERO MARIÑO ANGELA MIREYA</t>
  </si>
  <si>
    <t>SANCHEZ VARGAS DEIVID ARMANDO</t>
  </si>
  <si>
    <t>PARRA VARGAS DEISY CATHERINE</t>
  </si>
  <si>
    <t xml:space="preserve">QUIJANO  YENY </t>
  </si>
  <si>
    <t>RODRIGUEZ RIAÑO ANGIE VIVIANA</t>
  </si>
  <si>
    <t>CELY AYALA SERGIO ANDRES</t>
  </si>
  <si>
    <t>BAEZ PACO JHERSON MAURICIO</t>
  </si>
  <si>
    <t>BECERRA VEGA KAREN AMALIA</t>
  </si>
  <si>
    <t>CENDALES DIAZ TATIANA YULIETH</t>
  </si>
  <si>
    <t>OCHOA BAEZ JHONATAN CAMILO</t>
  </si>
  <si>
    <t xml:space="preserve">CUCUNUBA RUIZ RONALDO </t>
  </si>
  <si>
    <t>MARTINEZ NIÑO NATALY LORENA</t>
  </si>
  <si>
    <t>DIAZ GOMEZ YEISON DAVID</t>
  </si>
  <si>
    <t>INFANTE CASTRO CRISTIAN ARLEY</t>
  </si>
  <si>
    <t>JOYA ESCAMILLA YESICA NATALIA</t>
  </si>
  <si>
    <t>crra 23 21 14 PULIDO CARLOS EDUARDO</t>
  </si>
  <si>
    <t>SERRANO  CARLOS EDUARDO</t>
  </si>
  <si>
    <t>MONTERO GOMEZ SEBASTIAN FELIPE</t>
  </si>
  <si>
    <t xml:space="preserve">CRUZ GIL AURORA </t>
  </si>
  <si>
    <t>VIVAS MENDOZA JOSE RUBEN VIVAS MENDOZA RUBEN</t>
  </si>
  <si>
    <t>HIGUERA BLANCO DIEGO ARMANDO</t>
  </si>
  <si>
    <t>USCATEGUI TOBO DIANA VALENTINA</t>
  </si>
  <si>
    <t>GONZALEZ ARCHILA LUIS FELIPE</t>
  </si>
  <si>
    <t>OLAYA BUITRAGO JESUS ALBERTO</t>
  </si>
  <si>
    <t xml:space="preserve">RODRIGUEZ  HARBERTH </t>
  </si>
  <si>
    <t>ACEVEDO VALERO ELISA ESTHER</t>
  </si>
  <si>
    <t>ACEVEDO VALERO CHARLES ALBERTO</t>
  </si>
  <si>
    <t>VEJAR  JORGE LUIS</t>
  </si>
  <si>
    <t>CORREDOR PATIÑO CRISTIAN ESTEBAN</t>
  </si>
  <si>
    <t>GONZALEZ ALBARRACIN RICHARD GABRIEL</t>
  </si>
  <si>
    <t>ROJAS BAUTISTA LAURA STEFANIA</t>
  </si>
  <si>
    <t>BRAVO CASTANEDA MARTHA EFIGENIA</t>
  </si>
  <si>
    <t>ALARCON SANDOVAL JOSE ALFREDO</t>
  </si>
  <si>
    <t xml:space="preserve">MENDOZA TORRES ADRIANA </t>
  </si>
  <si>
    <t>PIRAMANRIQUE CACERES FABER ORLANDO</t>
  </si>
  <si>
    <t>DAZA CASTAÑEDA VILMA FELICIA</t>
  </si>
  <si>
    <t>CAMARGO MOLANO LINA MARIA</t>
  </si>
  <si>
    <t>CUIDA PLAZAS JUAN ANDRES</t>
  </si>
  <si>
    <t>FONSECA MANRIQUE ERVIN YESID</t>
  </si>
  <si>
    <t>CARDOZO TIRIA ERIKA VALENTINA</t>
  </si>
  <si>
    <t xml:space="preserve">VALDERRAMA  NICOLAS </t>
  </si>
  <si>
    <t>QUINTERO TRISTANCHO JUAN FRANCISCO</t>
  </si>
  <si>
    <t>DUEÑAS BARRERO ISMAEL ALEJANDRO</t>
  </si>
  <si>
    <t>CELY ROJAS TATIANA CAMILA</t>
  </si>
  <si>
    <t>VANEGAS ARISMENDI DAVID FELIPE</t>
  </si>
  <si>
    <t>VILLATE CHAPARRO CARLOS ALBERTO</t>
  </si>
  <si>
    <t>RUIZ ABRIL PAULA KATERINE</t>
  </si>
  <si>
    <t>BAEZ BECERRA HELLEN LORENA</t>
  </si>
  <si>
    <t>CARVAJAL SEPULVEDA DUVAN SANTIAGO</t>
  </si>
  <si>
    <t>FAJARDO VELOZA WILLIAM FABIAN</t>
  </si>
  <si>
    <t>MOLINA MATEUS DAVID ANDRES</t>
  </si>
  <si>
    <t>BARAJAS AMAYA JENIFER TATIANA</t>
  </si>
  <si>
    <t>SOLANO MARINO LEIDY JOHANA</t>
  </si>
  <si>
    <t>RIVERA CANO CAMILO ANDRES</t>
  </si>
  <si>
    <t>PIRABAGEN AVELLA DANIEL ENRIQUE</t>
  </si>
  <si>
    <t>RODRIGUEZ MOJICA JOHAN ALEXANDER</t>
  </si>
  <si>
    <t>VARGAS VILLATE LAURA LICED</t>
  </si>
  <si>
    <t>TORRES CARDENAS DANIEL FELIPE</t>
  </si>
  <si>
    <t>DAZA CUEVAS DIANA CAROLINA</t>
  </si>
  <si>
    <t>PEDRAZA MANRIQUE NICOOL XIOMARA</t>
  </si>
  <si>
    <t>RIAÑO VARGAS CARLOS DAVID</t>
  </si>
  <si>
    <t>BAUTISTA CEPEDA JULIAN DAVID</t>
  </si>
  <si>
    <t>BECERRA GARCIA ERIKA TATIANA</t>
  </si>
  <si>
    <t>RINCON GUAMAN EDUARDO ALFONSO</t>
  </si>
  <si>
    <t>RINCON BLANCO JEISSON STEVEN</t>
  </si>
  <si>
    <t xml:space="preserve">SIMBAQUEBA DURAN MARIA </t>
  </si>
  <si>
    <t>CUEVAS JIMENEZ JAVIER STEVEN</t>
  </si>
  <si>
    <t>AGUILAR ROJAS DARLIN VANESA</t>
  </si>
  <si>
    <t>SAAVEDRA CUSPOCA CAMILO ANDRES</t>
  </si>
  <si>
    <t>RODRIGUEZ MANRIQUE NICOLE SHARIK</t>
  </si>
  <si>
    <t>BRICEÑO MONGUI DIANA CAROLINA</t>
  </si>
  <si>
    <t>PITA PUERTO ANGIE LORENA</t>
  </si>
  <si>
    <t>ARAQUE LEON SHELZY JOELYS</t>
  </si>
  <si>
    <t>CAIPA CARVAJAL ANGIE CATALINA</t>
  </si>
  <si>
    <t xml:space="preserve">RODRIGUEZ NUMPAQUE ANGEL </t>
  </si>
  <si>
    <t>MEDRANO GONZALEZ JUAN SEBASTIAN</t>
  </si>
  <si>
    <t>ESTUPINAN BUITRAGO KATHERINE ALEXANDRA</t>
  </si>
  <si>
    <t>CANTOR MARTINEZ DEISY YELANY</t>
  </si>
  <si>
    <t>SERRANO MORENO JULIAN DAVID</t>
  </si>
  <si>
    <t xml:space="preserve">MORALES VANEGAS ROCIO DEL CARMEN </t>
  </si>
  <si>
    <t>AGUDELO RICAURTE JUDY PATRICIA</t>
  </si>
  <si>
    <t>MARTINEZ CELY LUZ MAGALY</t>
  </si>
  <si>
    <t>ROJAS CARDENAS WILSON FERNANDO</t>
  </si>
  <si>
    <t>ALVAREZ NIÑO CARLOS ALBERTO</t>
  </si>
  <si>
    <t>GOMEZ RODRIGUEZ ERIKA YULEIMA</t>
  </si>
  <si>
    <t xml:space="preserve">BARRERA FRACICA MARIBELL </t>
  </si>
  <si>
    <t>PEREZ LOPEZ YOLIMA ANDREA</t>
  </si>
  <si>
    <t>CELY CELY ELY JOHANA</t>
  </si>
  <si>
    <t>CARO TORRES MERCY ALEJANDRA</t>
  </si>
  <si>
    <t>SUPANTEVE TORRES NANCY YOHANA</t>
  </si>
  <si>
    <t>ALBAÑIL LOPEZ YUDY CAROLINA</t>
  </si>
  <si>
    <t>SANCHEZ CASAS ANA MARIA</t>
  </si>
  <si>
    <t>NUÑEZ CASTILLO NUBIA LUCERO</t>
  </si>
  <si>
    <t xml:space="preserve">MATIZ GARCIA EDIMER </t>
  </si>
  <si>
    <t>SILVA VEGA ANDRES EDUARDO</t>
  </si>
  <si>
    <t>ANZOLA PACHON YALIP YOLEYMY</t>
  </si>
  <si>
    <t>CANON LOPEZ DIEGO FERNEY</t>
  </si>
  <si>
    <t>ARTUNDUAGA SUAREZ JUAN ANDRES</t>
  </si>
  <si>
    <t>ROZO ROZO ANA LUZ</t>
  </si>
  <si>
    <t>PERILLA PEÑA LEIDY JOHANNA</t>
  </si>
  <si>
    <t>CUERVO DELGADO LAURA CAMILA</t>
  </si>
  <si>
    <t xml:space="preserve">ALARCON HERNANDEZ ZAMIR </t>
  </si>
  <si>
    <t xml:space="preserve">KATHERINE  BRIYITH </t>
  </si>
  <si>
    <t>GUERRERO BURGOS SONIA YULIETH</t>
  </si>
  <si>
    <t>HIGUERA DURAN CAMILO ANDRES</t>
  </si>
  <si>
    <t>TRIANA PINEDA JOHAN SEBASTIAN</t>
  </si>
  <si>
    <t>ROJAS PEREZ MARIA CAMILA</t>
  </si>
  <si>
    <t>ANGARITA OROZCO WILMER ALFONSO</t>
  </si>
  <si>
    <t>ROJAS GALLO TATIANA TATIANA</t>
  </si>
  <si>
    <t>ROJAS ROJAS JAHIR ESTEVAN</t>
  </si>
  <si>
    <t>MANRIQUE OCHOA CESAR JAVIER</t>
  </si>
  <si>
    <t>NAVAS  MELANY SOFIA</t>
  </si>
  <si>
    <t>BALAGUERA ALARCON PAULA VALENTINA</t>
  </si>
  <si>
    <t>MATEUS FUQUEN TATIANA ALEJANDRA</t>
  </si>
  <si>
    <t>HECTOR SANTIAGO NIÑO MARQUEZ</t>
  </si>
  <si>
    <t>BOLIVAR MOLANO YESICA LORENA</t>
  </si>
  <si>
    <t>CORREDOR TOBO KAREN VIVIANA</t>
  </si>
  <si>
    <t xml:space="preserve">OBREGON  LAURA </t>
  </si>
  <si>
    <t>HOLGUIN PORRAS DIANA CAROLINA</t>
  </si>
  <si>
    <t>ESPEJO CASTIBLANCO LAURA VANESA</t>
  </si>
  <si>
    <t>CUADROS TIRIA ANA MARIA</t>
  </si>
  <si>
    <t>ZABALA GUIO ANGIE LORENA</t>
  </si>
  <si>
    <t>OLARTE CAMACHO JUAN SEBASTIAN</t>
  </si>
  <si>
    <t xml:space="preserve">MONROY  JULIAN </t>
  </si>
  <si>
    <t>CHIA VALDERRAMA ANGIE NICOLE</t>
  </si>
  <si>
    <t>VELANDIA LOZADA ANGY CAROLINA</t>
  </si>
  <si>
    <t>NITOLA ESTUPINAN YENNIFER ALEJANDRA</t>
  </si>
  <si>
    <t>ARCINIEGAS GOMEZ EDUAR SANTIAGO</t>
  </si>
  <si>
    <t>VELANDIA MARTINEZ ANYIE MARIANA</t>
  </si>
  <si>
    <t>ROJAS UYAZAN CRISTIAN DAVID</t>
  </si>
  <si>
    <t>PUERTO VEGA NICOL ALEXANDRA</t>
  </si>
  <si>
    <t>CAMARGO NIÑO LAURA NICOL</t>
  </si>
  <si>
    <t xml:space="preserve">PERICO  ADRIAN </t>
  </si>
  <si>
    <t>VARGAS COMBITA ANGELA LILIANA</t>
  </si>
  <si>
    <t>HERNANDEZ PEREZ MARTHA YOVANA</t>
  </si>
  <si>
    <t>PRECIADO FERRUCHO ALVARO JAVIER</t>
  </si>
  <si>
    <t xml:space="preserve">CUBIDES ROJAS CATALINA </t>
  </si>
  <si>
    <t>VEGA PATIÑO GERMAN EDUARDO</t>
  </si>
  <si>
    <t>CHAPARRO CRUZ ANGELA MARIA</t>
  </si>
  <si>
    <t>ARIAS GUERRERO DIANA MARCELA</t>
  </si>
  <si>
    <t>CAMARGO CARDOZO MONICA ALEJANDRA</t>
  </si>
  <si>
    <t xml:space="preserve">HECTOR  LOPEZ </t>
  </si>
  <si>
    <t>CORREA FAJARDO CARLOS DANIEL</t>
  </si>
  <si>
    <t>TOPIA BOADA DEYSI NORALBA</t>
  </si>
  <si>
    <t>RIOS CRUZ JUAN PABLO</t>
  </si>
  <si>
    <t>NIÑO SOCHA MARIA DEL PILAR</t>
  </si>
  <si>
    <t>AGUILAR TOPIA LEIDY MARIANA</t>
  </si>
  <si>
    <t>HERNANDEZ RINCON OSCAR LEONARDO</t>
  </si>
  <si>
    <t>ROJAS MURILLO EDGAR MAURICIO</t>
  </si>
  <si>
    <t>MONTANA MONTANA JAIRO ORLANDO</t>
  </si>
  <si>
    <t>SUAREZ ROTTA JORGE ANDRES</t>
  </si>
  <si>
    <t>ARAQUE  LUDI ADRIANA</t>
  </si>
  <si>
    <t>LEMUS AYALA ANA VICTORIA</t>
  </si>
  <si>
    <t>ALARCON JARRO IVAN ENRIQUE</t>
  </si>
  <si>
    <t>TOBO BOADA LEYDI EMILSE</t>
  </si>
  <si>
    <t xml:space="preserve">MOSCOSO  DARWIN </t>
  </si>
  <si>
    <t>SIACHOQUE GUAQUIDA DIANA MARCELA</t>
  </si>
  <si>
    <t xml:space="preserve">SALAZAR GARCIA MARITZA </t>
  </si>
  <si>
    <t>ZAMBRANO CORDOBA JULIO ROBERTO</t>
  </si>
  <si>
    <t>MARTINEZ VARGAS MARIA FERNANDA</t>
  </si>
  <si>
    <t xml:space="preserve">GOMEZ  ANGELA </t>
  </si>
  <si>
    <t xml:space="preserve">QUIROZ FONSECA JUAN </t>
  </si>
  <si>
    <t>BAYONA HERRERA RAFAEL DANILO</t>
  </si>
  <si>
    <t>FAJARDO MOLANO NELSON FERNANDO</t>
  </si>
  <si>
    <t>CARDOZO BECERRA HELBER LEONARDO</t>
  </si>
  <si>
    <t xml:space="preserve">MARINO VEGA  JAHIR ANDRES </t>
  </si>
  <si>
    <t>TRISTANCHO HIGUERA DIEGO LEONARDO</t>
  </si>
  <si>
    <t>VERDUGO . MAYRA ALEJANDRA</t>
  </si>
  <si>
    <t>MONROY BOTIA ANGELICA MARIA</t>
  </si>
  <si>
    <t>ZAMBRANO FAJARDO YURY ANDREA</t>
  </si>
  <si>
    <t>CARDENAS RAMIRES DANIEL EDUARDO</t>
  </si>
  <si>
    <t>BARON RUEDAS RONAL DANUIL</t>
  </si>
  <si>
    <t xml:space="preserve">PLAZAS PEÑA YADY </t>
  </si>
  <si>
    <t>ALONSO PASACHOBA EDNA ROCIO</t>
  </si>
  <si>
    <t>CALIXTO MONTAÑEZ EDWIN FERNANDO</t>
  </si>
  <si>
    <t>HERNANDEZ RODRIGUEZ JUAN CAMILO</t>
  </si>
  <si>
    <t>QUIJANO CARDOZO ANDERSON FABIAN</t>
  </si>
  <si>
    <t>CLAUDIA LORENA MACIAS SOCHA</t>
  </si>
  <si>
    <t>SIACHOQUE CUBIDES DIANA MARISOL</t>
  </si>
  <si>
    <t xml:space="preserve">JURADO MOSQUERA TATIANA </t>
  </si>
  <si>
    <t>NIÑO CAMACHO SANTIAGO ALEJANDRO</t>
  </si>
  <si>
    <t>HURTADO HOLGUIN JULIO CESAR</t>
  </si>
  <si>
    <t>BETANCOURT GIL ANDREA YOHANA</t>
  </si>
  <si>
    <t>GUTIERREZ PINEDA RUBEN DARIO</t>
  </si>
  <si>
    <t>MONTAÑEZ BECERRA JESSICA PAOLA</t>
  </si>
  <si>
    <t>ACEVEDO ALARCON DEISY MARCELA</t>
  </si>
  <si>
    <t>MONTAÑA GARCIA CLAUDIA MARCELA</t>
  </si>
  <si>
    <t xml:space="preserve">QUIJANO ALVRDO ALEJANDRA </t>
  </si>
  <si>
    <t>TRISTANCHO MONTANA LAURA NATALY</t>
  </si>
  <si>
    <t>LOPEZ  LUIS ALEJANDRO</t>
  </si>
  <si>
    <t>ANGIE CATALINA NUÑEZ SUAREZ</t>
  </si>
  <si>
    <t>JARRO PEREZ CESAR MAURICIO</t>
  </si>
  <si>
    <t>TRISTANCHO HIGUERA ANGIE VIVIANA</t>
  </si>
  <si>
    <t>SUAREZ QUICASAQUE LINA VIVIANA</t>
  </si>
  <si>
    <t>EDWARD FABIAN DIAZ CARDENAS</t>
  </si>
  <si>
    <t>CORREA CRUZ KARIME JULIETH</t>
  </si>
  <si>
    <t>MOJICA VEGA JUAN FELIPE</t>
  </si>
  <si>
    <t>BARRERA CELY LINA IVONE</t>
  </si>
  <si>
    <t>DUARTE PEREZ ANYI PAOLA</t>
  </si>
  <si>
    <t>MARQUEZ BAUTISTA DEISY PAOLA</t>
  </si>
  <si>
    <t xml:space="preserve">PEDROZA  ANDRES FELIPE </t>
  </si>
  <si>
    <t>PEREZ PLAZAS KAREN YAKELIN</t>
  </si>
  <si>
    <t>OJEDA MOGOLLON RUBI DAYANA</t>
  </si>
  <si>
    <t>MORENO SALCEDO LICETH ALEJANDRA</t>
  </si>
  <si>
    <t xml:space="preserve">LEON  YERSON </t>
  </si>
  <si>
    <t>CORREA FAJARDO DANIELA YURANY</t>
  </si>
  <si>
    <t>CARDENAS GIRAL DANIEL FELIPE</t>
  </si>
  <si>
    <t xml:space="preserve">CUADROS CEPEDA ADRIANA DEL PILAR </t>
  </si>
  <si>
    <t>CADENA COTRINO BRAYAN CAMILO</t>
  </si>
  <si>
    <t>DIAZ CARVAJAL EDWIN ALEJANDRO</t>
  </si>
  <si>
    <t>CALDAS GARAVITO HONATHAN ABEL</t>
  </si>
  <si>
    <t>BAUTISTA NOVA IVAN CAMILO</t>
  </si>
  <si>
    <t>LEGUIZAMON GALVAN YUNER DUVAN</t>
  </si>
  <si>
    <t>LADINO HERNANDEZ LINA TATIANA</t>
  </si>
  <si>
    <t>AMEZQUITA MORENO KAREN JULIANA</t>
  </si>
  <si>
    <t>ALARCON BOTIA YUBER IVAN</t>
  </si>
  <si>
    <t>DIAZ CARVAJAL JHON FREDY</t>
  </si>
  <si>
    <t>LEMUS AYALA YESICA LESETH</t>
  </si>
  <si>
    <t>ENGATIVA ROSAS WENDY LORENA</t>
  </si>
  <si>
    <t>CARDOZO GUARNIZO KAREN JULIETH</t>
  </si>
  <si>
    <t>CEPEDA GALVIS CRISTIAN SEBASTIAN</t>
  </si>
  <si>
    <t>CASTILLO CARRANZA JEFERSON ANDREY</t>
  </si>
  <si>
    <t>FAJARDO  LAURA VALENTINA</t>
  </si>
  <si>
    <t>HERRERA MORALES JULIANA SOFIA</t>
  </si>
  <si>
    <t>ARAQUE  TULIO ALEJANDRO</t>
  </si>
  <si>
    <t>ACEVEDO  MIGUEL EDUARDO</t>
  </si>
  <si>
    <t>LEMUS AYALA SEGUNDO LEONARDO</t>
  </si>
  <si>
    <t>NIÑO VIANCHA ARGE DARLEY</t>
  </si>
  <si>
    <t>RODRIGUEZ CRISTANCHO EDWAN MAURICIO</t>
  </si>
  <si>
    <t>MEDINA DIAZ RAFAEL RICARDO</t>
  </si>
  <si>
    <t>MOLANO CASTRO YULIANA PATRICIA</t>
  </si>
  <si>
    <t>SANGUÑA PULIDO FREIMAN YECID</t>
  </si>
  <si>
    <t>PAMPLONA BENAVIDES DINA LUZ</t>
  </si>
  <si>
    <t>SARMIENTO FONSECA MAIRA ALEXANDRA</t>
  </si>
  <si>
    <t>GARZON DIAZ SAUL ALFONSO</t>
  </si>
  <si>
    <t xml:space="preserve">GAMBOA  YANETH </t>
  </si>
  <si>
    <t>FONSECA MORENO LILIANA MARCELA</t>
  </si>
  <si>
    <t xml:space="preserve">ALEJANDRA  MARIA </t>
  </si>
  <si>
    <t>SABARIA CHAPARRO LUIS FERNANDO</t>
  </si>
  <si>
    <t xml:space="preserve">JIMENES  BRAYAN </t>
  </si>
  <si>
    <t xml:space="preserve">KARINA  JENNY </t>
  </si>
  <si>
    <t>VALDERRAMA SANTAMARIA JEFERSSON SNEIDER</t>
  </si>
  <si>
    <t>FONSECA  EDWARD DUVAN</t>
  </si>
  <si>
    <t>PARDO SALAZAR LILIANA CAROLINA</t>
  </si>
  <si>
    <t>HIGUERA MOLINA MONICA PAOLA</t>
  </si>
  <si>
    <t>SANCHEZ MONROY LUZ ANGELA</t>
  </si>
  <si>
    <t>CAMARGO ESPITIA ANA RUTH</t>
  </si>
  <si>
    <t xml:space="preserve">VARGAS  WILSON </t>
  </si>
  <si>
    <t>JIMENEZ JIMENEZ JOSE ALEXANDER</t>
  </si>
  <si>
    <t>MOLANO DIAZ AIDA KATERINE</t>
  </si>
  <si>
    <t>RODRIGUEZ VARGAS HECTOR MANUEL</t>
  </si>
  <si>
    <t>MORENO PEDRAZA WILSON ALBERTO</t>
  </si>
  <si>
    <t>OCHOA  JOHANA XIMENA</t>
  </si>
  <si>
    <t>NINO CARRENO OMAR ALEXANDER</t>
  </si>
  <si>
    <t>BOHORQUEZ ARIAS LEYDI XIOMARA</t>
  </si>
  <si>
    <t>VILLA SOGAMOSO DIEGO FERNEY</t>
  </si>
  <si>
    <t xml:space="preserve">SALCEDO  HEIDY </t>
  </si>
  <si>
    <t>SUAREZ BECERRA JENNY MARGOTH</t>
  </si>
  <si>
    <t>GARZON DIAZ NELSON ANTONIO</t>
  </si>
  <si>
    <t>BAUTISTA FONSECA JHON ALEXANDER</t>
  </si>
  <si>
    <t>BUITRAGO LOPEZ WINDY MAYERLY</t>
  </si>
  <si>
    <t xml:space="preserve">DIAZ NIÑO FLORALBA </t>
  </si>
  <si>
    <t xml:space="preserve">CORREDOR MOLANO LILIANA </t>
  </si>
  <si>
    <t>VARGAS SALCEDO DAVID ALEXANDER</t>
  </si>
  <si>
    <t>AVILA PUERTO SANDRA PATRICIA</t>
  </si>
  <si>
    <t>NAVARRETE MOLANO NELSON BASILIO</t>
  </si>
  <si>
    <t>CEPEDA PAMPLONA LILIA LORENA</t>
  </si>
  <si>
    <t xml:space="preserve">JIMENEZ TOLOZA LILIANA </t>
  </si>
  <si>
    <t>ROJAS AMAYA YEFERSON YESID</t>
  </si>
  <si>
    <t>DIAZ  EDWIN FERNEY</t>
  </si>
  <si>
    <t>BLANCO ESLAVA PAULA ANDREA</t>
  </si>
  <si>
    <t xml:space="preserve">HERNANDEZ  LEIDY </t>
  </si>
  <si>
    <t>GUEVARA MORENO WILIAN HERNAN</t>
  </si>
  <si>
    <t>ACEVEDO LOPEZ NATHALIA VANESSA</t>
  </si>
  <si>
    <t>PEREZ BECERRA JUAN DAVID</t>
  </si>
  <si>
    <t>ROMERO CAMARGO MARCO FIDEL</t>
  </si>
  <si>
    <t>RINCON PITA LUIS ALFREDO</t>
  </si>
  <si>
    <t>VASQUEZ  DOLLY CONSTANZA</t>
  </si>
  <si>
    <t>KURMEN SAENZ YEIMY LIZETH</t>
  </si>
  <si>
    <t>FONSECA  DIEGO ALEXANDER</t>
  </si>
  <si>
    <t>ANDRES LEONARDO CASALLAS ACOSTA</t>
  </si>
  <si>
    <t>MATEUS GUIO CAMILO ANDRES</t>
  </si>
  <si>
    <t>RINCON WALTEROS IVAN DARIO</t>
  </si>
  <si>
    <t xml:space="preserve">RIVERA MONROY WILMER </t>
  </si>
  <si>
    <t>LEON OSMA NELIDA KATHERINE</t>
  </si>
  <si>
    <t>BECERRA VARGAS DIEGO ARMANDO</t>
  </si>
  <si>
    <t xml:space="preserve">PEÑA MANOSALVA CATALINA </t>
  </si>
  <si>
    <t>BAEZ TORRES YICETH MAYURY</t>
  </si>
  <si>
    <t xml:space="preserve">RODRIGUEZ  LIZ </t>
  </si>
  <si>
    <t>TINJACA VEGA FRANCISCO JAVIER</t>
  </si>
  <si>
    <t xml:space="preserve">CARDOZO CELY TATIANA </t>
  </si>
  <si>
    <t>GARZON DIAZ JOSE VICENTE</t>
  </si>
  <si>
    <t>ROSAS MAYORGA SHARIK XIOMARA</t>
  </si>
  <si>
    <t>FANDIÑO RINCON GERMAN LEONARDO</t>
  </si>
  <si>
    <t>FONSECA PATARROYO YULLY CONSTANZA</t>
  </si>
  <si>
    <t>BECERRA CIPAGAUTA LEIDY MAIRENA</t>
  </si>
  <si>
    <t xml:space="preserve">CORREDOR  LEONARDO </t>
  </si>
  <si>
    <t>CUTA SALAMANCA JESUS DE</t>
  </si>
  <si>
    <t>AREVALO GAMBOA DIANA PAOLA</t>
  </si>
  <si>
    <t xml:space="preserve">CORREDOR BARRERA CESAR </t>
  </si>
  <si>
    <t>CAAMARGO BAJICA EDISON OSWALDO</t>
  </si>
  <si>
    <t>RODRIGUEZ SANCHEZ WILSON ANDRES</t>
  </si>
  <si>
    <t>CUTA RAMIREZ ADRIANA LUCIA</t>
  </si>
  <si>
    <t>BOLIVAR ALBA ANGELA MARCELA</t>
  </si>
  <si>
    <t>ROMERO RAMOS OMAIRA YANETH</t>
  </si>
  <si>
    <t xml:space="preserve">RODRIGUEZ DIAZ ALEJANDRO </t>
  </si>
  <si>
    <t>MEDINA LOPEZ ZULMA ESPERANZA</t>
  </si>
  <si>
    <t>SANABRIA GRANADOS MIGUEL ANGEL</t>
  </si>
  <si>
    <t>CHAPARRO LOPEZ YEISON ABEL</t>
  </si>
  <si>
    <t xml:space="preserve">MONROY MONROY ADOLFO </t>
  </si>
  <si>
    <t>Granados Tellez Liliana Marcela</t>
  </si>
  <si>
    <t>CHITIVO BARON FABIAN ALFONSO</t>
  </si>
  <si>
    <t>GRANADOS CORREDOR JHON JAIRO</t>
  </si>
  <si>
    <t xml:space="preserve">PARRA MORENO YENNIFER </t>
  </si>
  <si>
    <t>LOPEZ CIPAGAUTA MARTHA YANETH</t>
  </si>
  <si>
    <t>ARIAS RODRIGUEZ KAREN VANESSA</t>
  </si>
  <si>
    <t>MELO JIMENEZ PILAR DEL</t>
  </si>
  <si>
    <t>OCHOA CONTRERAS CESAR LEONARDO</t>
  </si>
  <si>
    <t>PACHECO NINO CRISTHIAN DAVID</t>
  </si>
  <si>
    <t xml:space="preserve">PACHECO  LORENA </t>
  </si>
  <si>
    <t>GUERRERO ROJAS DAVID FERNANDO</t>
  </si>
  <si>
    <t>RUIZ NINO DIEGO ANDRES</t>
  </si>
  <si>
    <t>OCHOA OCHOA MARIA ANGELA</t>
  </si>
  <si>
    <t>AYALA PINEDA MONICA VIVIANA</t>
  </si>
  <si>
    <t>LANDINEZ MESA SANDRA MILENA</t>
  </si>
  <si>
    <t>SUAREZ MONROY JOHN FREDY</t>
  </si>
  <si>
    <t>CAMARGO CAMARGO JENNY MARLEN</t>
  </si>
  <si>
    <t>GRANADOS  NELSON DAVID</t>
  </si>
  <si>
    <t>VERDUGO SUAREZ JORGE ARLEY</t>
  </si>
  <si>
    <t>CEPEDA NIÑO CARMEN ALICIA</t>
  </si>
  <si>
    <t xml:space="preserve">NIÑO  PAOLA </t>
  </si>
  <si>
    <t xml:space="preserve">CASTRO CASTRO NORBEY </t>
  </si>
  <si>
    <t>MONROY VARGAS DIANA ALEJANDRA</t>
  </si>
  <si>
    <t>BENITEZ HERNANDEZ SERGIO FELIPE</t>
  </si>
  <si>
    <t>ARIAS GIL FABIO ANDRES</t>
  </si>
  <si>
    <t>CAMARGO BEJARANO JONATHAN JESUS</t>
  </si>
  <si>
    <t>CORREDOR PINEDA EDWIN ARMANDO</t>
  </si>
  <si>
    <t>FONSECA BARRERA OSCAR ROBERTO</t>
  </si>
  <si>
    <t>BAJICA FONSECA ANGEL YECID</t>
  </si>
  <si>
    <t>CIPAGAUTA GUIO NANCY YAMILE</t>
  </si>
  <si>
    <t>TRIANA BECERRA MONICA VIVIANA</t>
  </si>
  <si>
    <t>RODRIGUEZ HERNANDEZ DIANA MARCELA</t>
  </si>
  <si>
    <t>PEDRAZA CAMACHO JESSICA LIZETH</t>
  </si>
  <si>
    <t>DIAZ SOGAMOSO CARLOS ALBERTO</t>
  </si>
  <si>
    <t>BECERRA PEREZ DIANA MARIA</t>
  </si>
  <si>
    <t>JUAN MANUEL PATARROYO SANCHEZ</t>
  </si>
  <si>
    <t>BECERRA AMADO YEIMI TATIANA</t>
  </si>
  <si>
    <t>GONZALEZ SILVA ALBA MARCELA</t>
  </si>
  <si>
    <t>CORREDOR JIMENEZ IVAN SANTIAGO</t>
  </si>
  <si>
    <t>RAMIREZ PATIÑO DEISY XIMENA</t>
  </si>
  <si>
    <t>TRIANA CEPEDA JEIMY JOHANA</t>
  </si>
  <si>
    <t>VARGAS CAMACHO DIANA CAROLINA</t>
  </si>
  <si>
    <t>BECERRA PUERTO GERMAN ANTONIO</t>
  </si>
  <si>
    <t>VARGAS SALCEDO DIANA PAOLA</t>
  </si>
  <si>
    <t>MEDINA CASTILLO DANIEL ALEXANDER ALEXANDER</t>
  </si>
  <si>
    <t>CORONADO MENDOZA KAROL GYZETH</t>
  </si>
  <si>
    <t>ROJAS  ANGELA MILENA</t>
  </si>
  <si>
    <t>TOBA RAMIREZ JULY KATHERINE</t>
  </si>
  <si>
    <t>RODRIGUEZ PEREZ YOHAN SEBASTIAN</t>
  </si>
  <si>
    <t>INFANTE CELY ANA MARIA</t>
  </si>
  <si>
    <t>CRUZ SUAREZ EDISON EDUARDO</t>
  </si>
  <si>
    <t xml:space="preserve">PATARROYO  OCTAVIO </t>
  </si>
  <si>
    <t>VERGARA NEVA LEIDI XIMENA</t>
  </si>
  <si>
    <t>MORENO SALAMANCA YEISON FABIAN</t>
  </si>
  <si>
    <t>MALAGON CORONADO JUAN SEBASTIAN</t>
  </si>
  <si>
    <t>VILLAMARIN CASTRO FABIAN CAMILO</t>
  </si>
  <si>
    <t>PUERO BECERRA CARLOS JULIO</t>
  </si>
  <si>
    <t>GUARIN MORENO LEIDY NATALY</t>
  </si>
  <si>
    <t>SANCHEZ VASQUEZ CESAR ORLANDO</t>
  </si>
  <si>
    <t>CORREDOR MOLANO YEISON SEBASTIAN</t>
  </si>
  <si>
    <t xml:space="preserve">DIAZ FONSECA JIMMY </t>
  </si>
  <si>
    <t>FONSECA RINCON SANTIAGO ALFONSO</t>
  </si>
  <si>
    <t>SALAMANCA PALACIOS DIANA CAMILA</t>
  </si>
  <si>
    <t xml:space="preserve">NIÑO  DANIELA </t>
  </si>
  <si>
    <t>ALBA PACHECO ANGIE VANESSA</t>
  </si>
  <si>
    <t>MERCHAN SISA LIZETH TATIANA</t>
  </si>
  <si>
    <t xml:space="preserve">PULIDO CASTRO FABIAN </t>
  </si>
  <si>
    <t>BAUTISTA GARZON MARIA ALEJANDRA</t>
  </si>
  <si>
    <t>DIVANTQUE DIVANTQUE RICARDO ANDRES</t>
  </si>
  <si>
    <t>CONTRERAS VERA DANIELA ANDREA</t>
  </si>
  <si>
    <t>BECERRA DIAZ NOHORA LUCIA</t>
  </si>
  <si>
    <t>VARGAS  MAIRA ALEJANDRA</t>
  </si>
  <si>
    <t>ZEA MOLANO ANDREA DEL PILAR</t>
  </si>
  <si>
    <t>MORENO VALDERRAMA VIVIANA PAOLA</t>
  </si>
  <si>
    <t>GONZALEZ ISAZA YAJAIRA ARACELIS</t>
  </si>
  <si>
    <t>MARQUEZ TIBADUIZA IVAN DARIO</t>
  </si>
  <si>
    <t>ROJAS GIL JESUS LIBARDO</t>
  </si>
  <si>
    <t xml:space="preserve">  CHAPARRO DIEGO ALEXANDER </t>
  </si>
  <si>
    <t>BECERRA QUINTERO LEIDY JOHANNA</t>
  </si>
  <si>
    <t xml:space="preserve">GONZALEZ ESTUPINAN  LILIANA </t>
  </si>
  <si>
    <t>MARTINEZ GOMEZ JOSE TRINIDAD</t>
  </si>
  <si>
    <t>WALTEROS PEÑA LYDA CRISTINA</t>
  </si>
  <si>
    <t>ROJAS MIRANDA NESTOR ALEXANDER</t>
  </si>
  <si>
    <t xml:space="preserve">PEREZ ESPINDOLA HUMBERTO </t>
  </si>
  <si>
    <t>GALLO DUARTE SULMA LILIANA</t>
  </si>
  <si>
    <t>PATIÑO CACERES MIGUEL ANGEL</t>
  </si>
  <si>
    <t>DURAN DURAN JAVIER RODRIGO</t>
  </si>
  <si>
    <t>PASACHOA SANDOVAL RAUL ANTONIO</t>
  </si>
  <si>
    <t>ROJAS DIAZ CARLOS ANDRES</t>
  </si>
  <si>
    <t>ROJAS DIAZ VICTOR MANUEL</t>
  </si>
  <si>
    <t>CARDENAS NAUSA ANGELA PILAR</t>
  </si>
  <si>
    <t xml:space="preserve">MARQUEZ SALAZAR  DIANA CONSTANZA </t>
  </si>
  <si>
    <t>DELGADO ROJAS LUIS GUILLERMO</t>
  </si>
  <si>
    <t>ANGARITA ESTUPIÑAN HOLMAN FERNANDO</t>
  </si>
  <si>
    <t>GARAVITO HERRERA ANDRES ADOLFO</t>
  </si>
  <si>
    <t xml:space="preserve">CHIA GARZON CENEN </t>
  </si>
  <si>
    <t>ESTUPINAN BELTRAN DAVID FERNANDO</t>
  </si>
  <si>
    <t>DELGADO GONZALEZ JOSE MANUEL</t>
  </si>
  <si>
    <t xml:space="preserve">FERNANDO  WILMAN </t>
  </si>
  <si>
    <t>PEREZ  EDIXON FERNANDO</t>
  </si>
  <si>
    <t>NELSY PAOLA DAZA CUY</t>
  </si>
  <si>
    <t>MONTAÑEZ VARGAS DIANA MARIA</t>
  </si>
  <si>
    <t>BOSA MORALES ADRIANA NATALY</t>
  </si>
  <si>
    <t>MARQUEZ GOMEZ HUILMAR RENE</t>
  </si>
  <si>
    <t>PEREZ ROJAS FLOR YURANY</t>
  </si>
  <si>
    <t>CACERES ROJAS JHON HENRY</t>
  </si>
  <si>
    <t>ESTUPIÑAN MARTINEZ VICTOR ALFONSO</t>
  </si>
  <si>
    <t>DIAZ TELLEZ FREDY ALONSO</t>
  </si>
  <si>
    <t xml:space="preserve">GOMEZ CASTRO OLIVERIO </t>
  </si>
  <si>
    <t>VEGA RAMIREZ HARVEY ENRIQUE</t>
  </si>
  <si>
    <t xml:space="preserve">GOMEZ CALDERON ELIZETH </t>
  </si>
  <si>
    <t>FONSECA MOJICA ROLANDO HUMBERTO</t>
  </si>
  <si>
    <t>MEJIA GARCIA CARLOS ENRIQUE</t>
  </si>
  <si>
    <t xml:space="preserve">FUENTES  YEISON </t>
  </si>
  <si>
    <t xml:space="preserve">SILVA CARREÑO LIBARDO </t>
  </si>
  <si>
    <t xml:space="preserve">SUAREZ  JESSICA </t>
  </si>
  <si>
    <t>MORENO GIL JESSICA LIZZETH</t>
  </si>
  <si>
    <t>ALFONSON ROJAS NIDIA YARELY</t>
  </si>
  <si>
    <t>SANCHEZ CASTRO DIEGO ARMANDO</t>
  </si>
  <si>
    <t>CHIA CHIA CARMEN LUCIA</t>
  </si>
  <si>
    <t>DELGADO SUA EDUIN ALEJANDRO</t>
  </si>
  <si>
    <t xml:space="preserve">CRISTANCHO TRIANA LUDY </t>
  </si>
  <si>
    <t xml:space="preserve">SOLEDAD CARVAJAL ANITA </t>
  </si>
  <si>
    <t>MOJICA MOJICA VICTOR ANIBAL</t>
  </si>
  <si>
    <t>VEGA RAMIREZ YANETH KATHERINE</t>
  </si>
  <si>
    <t>MOJICA DURAN ANGELA YOLIMA</t>
  </si>
  <si>
    <t>DURAN CACERES EDUARD ORLANDO</t>
  </si>
  <si>
    <t>MARTINEZ ESTUPIÑAN CAMILO ANDRES</t>
  </si>
  <si>
    <t>DIAZ CACERES ALIX MARINA</t>
  </si>
  <si>
    <t>DURAN GARCIA LUIS FELIPE</t>
  </si>
  <si>
    <t>SARMIENTO PEREZ NELSY MIREYA</t>
  </si>
  <si>
    <t>HERRERA VARGAS YEISON HUMBERTO</t>
  </si>
  <si>
    <t xml:space="preserve">ALDANA GOMEZ LEONARDO </t>
  </si>
  <si>
    <t>MOJICA MARTINEZ JORGE LUIS</t>
  </si>
  <si>
    <t>ARAQUE ARISMENDI PEDRO JOSE</t>
  </si>
  <si>
    <t>MARTINEZ MARTINEZ WILLIAN HERNAN</t>
  </si>
  <si>
    <t>SAENZ REYES ADRIANA KATHERINE</t>
  </si>
  <si>
    <t>AVELLANEDA MEDRANO JHADER JADIR</t>
  </si>
  <si>
    <t>NUNCIRA MARTINEZ CARLOS DUVAN</t>
  </si>
  <si>
    <t>VEGA SANTOS ULDARICO ANDRES</t>
  </si>
  <si>
    <t>SILVA ESLAVA PAULA ANDREA</t>
  </si>
  <si>
    <t>CACERES CUY LUDY YANIRA</t>
  </si>
  <si>
    <t>RINCON TORRES MIGUEL ANGEL</t>
  </si>
  <si>
    <t>ACOSTA SUAREZ ANDREA CAROLINA</t>
  </si>
  <si>
    <t>TORRES CARDENAS DIEGO ALEJANDRO</t>
  </si>
  <si>
    <t xml:space="preserve">ESCOBAR AMAYA JAVIER </t>
  </si>
  <si>
    <t>JIMENEZ FRANCO WILLIAM ORLANDO</t>
  </si>
  <si>
    <t>MONTES VELASQUEZ ANDRES FELIPE</t>
  </si>
  <si>
    <t>RODRIGUEZ DUARTE MARIA YOLANDA</t>
  </si>
  <si>
    <t xml:space="preserve">MARIN MEDINA WILSON </t>
  </si>
  <si>
    <t>PINEDA MURILLO FLOR EMILCE</t>
  </si>
  <si>
    <t>BARRERA SILVA NICOLLE NATHALIA</t>
  </si>
  <si>
    <t>JIMMY ALBERTO RINCON CASTAÑEDA</t>
  </si>
  <si>
    <t xml:space="preserve">LOPEZ TRIANA WILLIAM </t>
  </si>
  <si>
    <t>MONTOYA ESPINOSA VICTOR FERNANDO</t>
  </si>
  <si>
    <t>MENDIVELSO PEREZ NELSON CAMILO</t>
  </si>
  <si>
    <t>PANQUEVA  CRISTIHAN YESID</t>
  </si>
  <si>
    <t xml:space="preserve">ROJAS PARDO  CAMILO ANDRES </t>
  </si>
  <si>
    <t>RAMOS NUÑEZ GEISON FERNANDO</t>
  </si>
  <si>
    <t xml:space="preserve">MARTINEZ HERNANDEZ MARISOL </t>
  </si>
  <si>
    <t xml:space="preserve">RODRIGUEZ  WILLIAM </t>
  </si>
  <si>
    <t>BALLESTEROS SOSA JENNY PAOLA</t>
  </si>
  <si>
    <t xml:space="preserve">RAMIREZ  JUAN CLEMENTE </t>
  </si>
  <si>
    <t>BOLIVAR TOVAR WUENDY JOHANA</t>
  </si>
  <si>
    <t>TORREZ SOTO JHONATAN STIVEN</t>
  </si>
  <si>
    <t xml:space="preserve">CELY FORERO RAFAEL </t>
  </si>
  <si>
    <t xml:space="preserve">LADINO OJEDA NATALIA </t>
  </si>
  <si>
    <t>CR 6 1A 13 GIL JHOAN NICOLAS</t>
  </si>
  <si>
    <t xml:space="preserve">RINCON VELANDIA  WALTHER </t>
  </si>
  <si>
    <t xml:space="preserve">GUTIERREZ BENITEZ ALFREDO </t>
  </si>
  <si>
    <t>RIVERA GIMENEZ LUIS ELIVIO</t>
  </si>
  <si>
    <t xml:space="preserve">LIZARAZO  FREDY </t>
  </si>
  <si>
    <t>MALAGON SOTO ANGIE PAOLA</t>
  </si>
  <si>
    <t xml:space="preserve">LOPEZ COBOS MARICEL </t>
  </si>
  <si>
    <t xml:space="preserve">ÑIÑO CRISTIANO NORYDA </t>
  </si>
  <si>
    <t>SUAREZ BRINEZ ERIK DAVID</t>
  </si>
  <si>
    <t>RICAURTE MARQUEZ FREDY ALEJANDRO</t>
  </si>
  <si>
    <t>BUITRAGO  YEFERSON JOVANY</t>
  </si>
  <si>
    <t>FLOREZ PEREZ MARTHA YANETH</t>
  </si>
  <si>
    <t>AGUDELO RODRIGUEZ ANGIE DANIELA</t>
  </si>
  <si>
    <t>FORERO ARIAS JAIME EDUARDO</t>
  </si>
  <si>
    <t>CASTELLANOS LOPEZ ELVER EDILSON</t>
  </si>
  <si>
    <t>GUERRERO GUERRERO JULIAN ESTEVEN</t>
  </si>
  <si>
    <t>JIMENEZ CORREDOR MARIA CAMILA</t>
  </si>
  <si>
    <t>CAMARGO GARCIA JEIMMY ANDRY</t>
  </si>
  <si>
    <t>NOGUERA CASTIBLANCO ANYELA MILENA</t>
  </si>
  <si>
    <t>GUERRERO SALAZAR MARILYN LISBETH</t>
  </si>
  <si>
    <t>RODRIGUEZ PUERTO MAYRA JOHANA</t>
  </si>
  <si>
    <t>PORRAS CABALLERO ERIKA MARCELA</t>
  </si>
  <si>
    <t>USGAME LARGO JHON WILLIAM</t>
  </si>
  <si>
    <t>VIASUS MUNOZ ALBA LUCIA</t>
  </si>
  <si>
    <t>OSMA LOPEZ JHON FABRICIO</t>
  </si>
  <si>
    <t>TENJO JOYA MARIA ANDREA</t>
  </si>
  <si>
    <t>RIVERA RINCON HECTOR JULIO</t>
  </si>
  <si>
    <t>CHAPARRO SANCHEZ LAURA VALENTINA</t>
  </si>
  <si>
    <t>HERRERA RODRIGUEZ YUBER FERNANDO</t>
  </si>
  <si>
    <t xml:space="preserve">PRIETO PACHECO FERNANDO </t>
  </si>
  <si>
    <t>QUEMBA TENJO MONICA PAOLA</t>
  </si>
  <si>
    <t xml:space="preserve">DIAZ ESPINEL YULI </t>
  </si>
  <si>
    <t xml:space="preserve">BOLIVAR LIMAS EDWARD FABIAN </t>
  </si>
  <si>
    <t xml:space="preserve">BAYONA  ARMANDO </t>
  </si>
  <si>
    <t>ESPITIA PEREZ CAMILO ANDRES</t>
  </si>
  <si>
    <t>VARGAS GUTIERREZ BLANCA ROCIO</t>
  </si>
  <si>
    <t>PEREZ BAUTISTA OSCAR FABIAN</t>
  </si>
  <si>
    <t>BAYONA VARGAS DIANA YAMILE</t>
  </si>
  <si>
    <t>BAUTISTA DUQUINO YURY ANDREA</t>
  </si>
  <si>
    <t xml:space="preserve">CRUZ GUEVARA YOHANA </t>
  </si>
  <si>
    <t xml:space="preserve">MOYANO  MILENA </t>
  </si>
  <si>
    <t>RODRIGUEZ MORENO ANA PAOLA</t>
  </si>
  <si>
    <t>MOYANO AMAYA DORA ALICIA</t>
  </si>
  <si>
    <t>SILVA SILVA MARISOL INES</t>
  </si>
  <si>
    <t>SUAREZ JIMENEZ LADY NATHALIA</t>
  </si>
  <si>
    <t>VELANDIA CAMARGO LEIDY PAOLA</t>
  </si>
  <si>
    <t>SILVA PICO VICTOR JULIO</t>
  </si>
  <si>
    <t>GOMEZ NIÑO MARIA VICTORIA</t>
  </si>
  <si>
    <t xml:space="preserve">GIL GOMEZ LILIANA </t>
  </si>
  <si>
    <t>GONZALEZ VILLAMIZAR ANA JOVITA</t>
  </si>
  <si>
    <t xml:space="preserve">CRISTANCHO SIERRA YARITZA </t>
  </si>
  <si>
    <t xml:space="preserve">RONDEROS LOZANO LILIANA </t>
  </si>
  <si>
    <t>MORALES OTALORA DIANA ROCIO</t>
  </si>
  <si>
    <t>BERNAL BOHADA MIGUEL ANGEL</t>
  </si>
  <si>
    <t>LOPEZ GOMEZ LUZ DARY</t>
  </si>
  <si>
    <t>BLANCO CESPEDES ANDRES GUILLERMO</t>
  </si>
  <si>
    <t>VARGAS VARGAS FLOR MARIELA</t>
  </si>
  <si>
    <t>BARRERA BOTIA JUAN CARLOS</t>
  </si>
  <si>
    <t>FAJARDO CUEVAS LUIS ABELINO</t>
  </si>
  <si>
    <t>BERMUDEZ GOMEZ ANGELA LILIANA</t>
  </si>
  <si>
    <t>MOLINA TORRES LUZ AMANDA</t>
  </si>
  <si>
    <t>CASTELLANOS CACERES VICTOR JAVIER</t>
  </si>
  <si>
    <t>PUERTO TORRES LEIDY ELIZABETH</t>
  </si>
  <si>
    <t>LEON ALVAREZ DEISY DILENY</t>
  </si>
  <si>
    <t xml:space="preserve">BAEZ SALAMANCA CINDY </t>
  </si>
  <si>
    <t>CHINOME TORRES LINA PAOLA</t>
  </si>
  <si>
    <t>ROJAS MELGAREJO JOHN FREDY</t>
  </si>
  <si>
    <t>GARCIA RUIZ JOSE CAMILO</t>
  </si>
  <si>
    <t>MARTINEZ MARTINEZ LAURIN GISELLA</t>
  </si>
  <si>
    <t>RINCON PEREZ JORGE ELIECER</t>
  </si>
  <si>
    <t xml:space="preserve">MARTINEZ SANDOBAL AMPARO </t>
  </si>
  <si>
    <t>PINEDA CADENA JEFERSON DARIO</t>
  </si>
  <si>
    <t>MARTINEZ MORALES NATALIA PATRICIA</t>
  </si>
  <si>
    <t>MEDINA DIAZ DIEGO ORLANDO</t>
  </si>
  <si>
    <t>LOPEZ ANGARITA TANYA MARYORY</t>
  </si>
  <si>
    <t>PORRAS RIOS LINA ROCIO</t>
  </si>
  <si>
    <t>ALVAREZ ANGARITA IVAN DARIO</t>
  </si>
  <si>
    <t>FAJARDO MARIÑO DAVID FERNANDO</t>
  </si>
  <si>
    <t>DIAZ RIOS JUAN CARLOS</t>
  </si>
  <si>
    <t xml:space="preserve">MARTINEZ NIÑO FIDEL </t>
  </si>
  <si>
    <t>MENDIVELSO BARRERA LAURA JOHANA</t>
  </si>
  <si>
    <t>TORRES LOPEZ ELSA YOLIMA</t>
  </si>
  <si>
    <t>QUINTANA  JEISON DANIEL</t>
  </si>
  <si>
    <t xml:space="preserve">VELEZ  LEONEL </t>
  </si>
  <si>
    <t>LEON MARTINEZ AURA CRISTINA</t>
  </si>
  <si>
    <t>PALACIO MORALES CRISTIAN LEONARDO</t>
  </si>
  <si>
    <t>NOVA SILVA ANA ISABEL</t>
  </si>
  <si>
    <t>GONZALEZ PACHECO LINA MARCELA</t>
  </si>
  <si>
    <t>CASTELLANOS PAEZ NYDIA ANGELICA</t>
  </si>
  <si>
    <t>SANCHEZ BECERRA ADRIANA ROCIO</t>
  </si>
  <si>
    <t>MARIÑO CELY RUTH YANIRA</t>
  </si>
  <si>
    <t>RINCON LUCERO XIMENA LIZETH</t>
  </si>
  <si>
    <t>PUERTO TORRES DANILO HUMBERTO</t>
  </si>
  <si>
    <t>BECERRA ANGARITA CESAR LEONARDO</t>
  </si>
  <si>
    <t>ARTEAGA CRUZ JAVIER ALEJANDRO</t>
  </si>
  <si>
    <t xml:space="preserve">TORRES LOPEZ GUSTAVO </t>
  </si>
  <si>
    <t>DIAZ LOZANO JHON RICARDO</t>
  </si>
  <si>
    <t>CABRERA VELANDIA LUZ MERY</t>
  </si>
  <si>
    <t>GODOY  DANIEL FELIPE</t>
  </si>
  <si>
    <t>CUEVAS FUENTES WILFRAN ALBERTO</t>
  </si>
  <si>
    <t>PUERTO TORRES OMAIDA LISETH</t>
  </si>
  <si>
    <t>MONGUI FUENTES ANYI LORENA</t>
  </si>
  <si>
    <t>MEDINA MARTINEZ JOHN SEBASTIAN</t>
  </si>
  <si>
    <t>SILVA CARDENAS JONATHAN DAVID</t>
  </si>
  <si>
    <t xml:space="preserve">RINCON  ANYIE </t>
  </si>
  <si>
    <t>NIÑO VARGAS WILMAR ARMANDO</t>
  </si>
  <si>
    <t>DIAZ GALVIZ JOSE ALFONSO</t>
  </si>
  <si>
    <t>FAJARDO PEDRAZA DANIEL FELIPE</t>
  </si>
  <si>
    <t>CELY ALVAREZ LUIS ALEJANDRO</t>
  </si>
  <si>
    <t>LEON CORREDOR LEIDY DANIELA</t>
  </si>
  <si>
    <t>BARRERA CHAPARRO JEISON STIVEN</t>
  </si>
  <si>
    <t>GOMEZ BAUTISTA JOSE DANILO</t>
  </si>
  <si>
    <t>ALVAREZ GUAJE HOLMAN ALDEMAR</t>
  </si>
  <si>
    <t>ACOSTA SILVA ANGIE DANIELA</t>
  </si>
  <si>
    <t>GIL DUEÑAS DEISY YAZMIN</t>
  </si>
  <si>
    <t>PEDRAZA MORENO DUVAN FERNEY</t>
  </si>
  <si>
    <t>SILVA SILVA ERIKA MARCELA</t>
  </si>
  <si>
    <t>HERNANDEZ ALVAREZ MARY LUZ</t>
  </si>
  <si>
    <t>CARDENAS NUÑEZ SERGIO YESID</t>
  </si>
  <si>
    <t>MARTINEZ BAEZ PAULA TATIANA</t>
  </si>
  <si>
    <t>MALAVER ALVAREZ NIDIA ESPERANZA</t>
  </si>
  <si>
    <t>VELANDIA GARAVITO LEYDI TATIANA</t>
  </si>
  <si>
    <t>TORRES PEREZ JHONATTAN ANTONIO</t>
  </si>
  <si>
    <t>HECTOR ARMANDO DIAZ PLAZAS</t>
  </si>
  <si>
    <t>TALERO SANCHEZ JOHANNA CONSUELO</t>
  </si>
  <si>
    <t>VALDERRAMA CHAPARRO MARTHA ISABEL</t>
  </si>
  <si>
    <t>MARTINEZ GALAN ANA ROCIO</t>
  </si>
  <si>
    <t xml:space="preserve">JANETH CELY CLAUDIA </t>
  </si>
  <si>
    <t>SARMIENTO AGUILAR ANA TERESA</t>
  </si>
  <si>
    <t>INFANTE MEDINA LEIDY CAROLINA</t>
  </si>
  <si>
    <t>MONTANA FERNANDEZ LUIS ERNESTO</t>
  </si>
  <si>
    <t xml:space="preserve">DUEÑAS RINCON CONSUELO </t>
  </si>
  <si>
    <t>MOLANO DIAZ JORGE EULICES</t>
  </si>
  <si>
    <t>CASTIBLANCO GUIO SERGIO ALONSO</t>
  </si>
  <si>
    <t>PEREZ PATARROYO OSCAR JAVIER</t>
  </si>
  <si>
    <t>CHAPARRO FIGUEROA DANIEL HERNAN</t>
  </si>
  <si>
    <t>HURTADO LARA IVAN DARIO</t>
  </si>
  <si>
    <t xml:space="preserve">GUARIN  AIDA </t>
  </si>
  <si>
    <t>FONSECA MOLANO IVAN LEONARDO</t>
  </si>
  <si>
    <t>BAEZ GRANADOS CAMILO ANDRES</t>
  </si>
  <si>
    <t xml:space="preserve">MARIÑO LEON ADOLFO </t>
  </si>
  <si>
    <t>LOPEZ PATIÑO JHENNY ROCIO</t>
  </si>
  <si>
    <t xml:space="preserve">SAGANOME SILVA OSWALDO </t>
  </si>
  <si>
    <t>BARRERA SORACA DIANA PATRICIA</t>
  </si>
  <si>
    <t>PEDRAZA GUIO DEISY JOHANA</t>
  </si>
  <si>
    <t xml:space="preserve">LIZARAZO FONSECA MISAEL </t>
  </si>
  <si>
    <t>LEON GUEVARA LEIDY ZAYANA</t>
  </si>
  <si>
    <t xml:space="preserve">MARCELA  YENNY </t>
  </si>
  <si>
    <t>COGUA RORIGUEZ VIVIANA PAOLA</t>
  </si>
  <si>
    <t>TALERO SANCHEZ JOSE ANTONIO</t>
  </si>
  <si>
    <t>REYES PEREZ CLAUDIA PATRICIA</t>
  </si>
  <si>
    <t xml:space="preserve">ROJAS MESA ALEXANDRA </t>
  </si>
  <si>
    <t>GALLO COSTO JENIFHER YULIETH</t>
  </si>
  <si>
    <t>BAYONA INFANTE OSCAR FERNANDO</t>
  </si>
  <si>
    <t>RAMIREZ FUENTES RENE ANGEL</t>
  </si>
  <si>
    <t xml:space="preserve">SANCHEZ  JENNY </t>
  </si>
  <si>
    <t>MONROY BECERRA WILLIAM MIGUEL</t>
  </si>
  <si>
    <t>VILLALOBOS RIAÑO ANGHLEO GIUSEPE</t>
  </si>
  <si>
    <t>CHAPARRO TELLEZ NURY NAYELI</t>
  </si>
  <si>
    <t>CAMARGO SANABRIA MANUEL ANDRES</t>
  </si>
  <si>
    <t>ACEVEDO PEREZ ANDREA YANETH</t>
  </si>
  <si>
    <t>CHAPARRO  WILLIAM DAVID</t>
  </si>
  <si>
    <t>LARA VARGAS VICTOR CAMILO</t>
  </si>
  <si>
    <t>RODRIGUEZ PASACHOA DIEGO LEONARDO</t>
  </si>
  <si>
    <t>MENDIVELSO MONTAÑEZ SANDRA MILENA</t>
  </si>
  <si>
    <t>CAMARGO RODRIGUEZ JENNY PAOLA</t>
  </si>
  <si>
    <t>CHAPARRO FIGUEROA NESTOR JULIAN</t>
  </si>
  <si>
    <t>CACHOPE PEREZ EYUTH DAYANARA</t>
  </si>
  <si>
    <t xml:space="preserve">MONTANA FERNANDEZ  FREDY MAURICIO </t>
  </si>
  <si>
    <t xml:space="preserve">HARBY  JHON </t>
  </si>
  <si>
    <t>ALARCON FLECHAS OSCAR FABIAN</t>
  </si>
  <si>
    <t>SOLEDAD LEGUIZAMO RUBY MARITZA</t>
  </si>
  <si>
    <t>CELY DURAN ANA VIVIANA</t>
  </si>
  <si>
    <t>DURAN RAMIREZ MIRYAM CILENIA</t>
  </si>
  <si>
    <t xml:space="preserve">LOPEZ  JEFFRY </t>
  </si>
  <si>
    <t xml:space="preserve">VEGA GUARIN ROSALBA </t>
  </si>
  <si>
    <t>SANCHEZ HERNANEZ JAVIER ALEXANDER</t>
  </si>
  <si>
    <t>GOMEZ ALBARRAN NYDIA LISETH</t>
  </si>
  <si>
    <t>AREVALO BAUTISTA JUAN GERARDO</t>
  </si>
  <si>
    <t>CADENA CALDAS YUVER FABIAN</t>
  </si>
  <si>
    <t>LOPEZ COGUA MONICA NAYIBE</t>
  </si>
  <si>
    <t>LEON  ANGELA GUEVARA</t>
  </si>
  <si>
    <t>MERCHAN PERICO CARLOS ANDRES</t>
  </si>
  <si>
    <t>YANINI  CIELO HASBLEYDY</t>
  </si>
  <si>
    <t>VALDERRAMA GONZALEZ JENNY CAROLINA</t>
  </si>
  <si>
    <t>ESTUPIÑAN CARVAJAL PEDRO MANUEL</t>
  </si>
  <si>
    <t>GARCIA PATIÑO ANGELA LIZETH</t>
  </si>
  <si>
    <t xml:space="preserve">RINCON LOPEZ PEDRO </t>
  </si>
  <si>
    <t>PEREZ GUARIN LILIANA MARCELA</t>
  </si>
  <si>
    <t>SALAZAR RIAÑO LEANDRO ARBEY</t>
  </si>
  <si>
    <t>VELASCO GAITAN JORGE ENRIQUE</t>
  </si>
  <si>
    <t>RODRIGUEZ AMEZQUITA JUAN CARLOS</t>
  </si>
  <si>
    <t>ANA MARIA NOVA VELASCO</t>
  </si>
  <si>
    <t xml:space="preserve">ALBA PALACIOS MARIA DEL MAR </t>
  </si>
  <si>
    <t>CHAVES ZEA JHONATAN XAVIER</t>
  </si>
  <si>
    <t>MOLANO MONTANA LINA MARCELA</t>
  </si>
  <si>
    <t xml:space="preserve">LOPEZ  JULIETH </t>
  </si>
  <si>
    <t>VALENZUELA MENDIVELSO JEIMY LORENA</t>
  </si>
  <si>
    <t>RIOS CHAVARRO LENIS YINED</t>
  </si>
  <si>
    <t>LOPEZ HERNANDEZ FABIO ANDRES</t>
  </si>
  <si>
    <t>TALERO  JUAN CARLOS</t>
  </si>
  <si>
    <t xml:space="preserve">DANILO  PEDRO </t>
  </si>
  <si>
    <t>INFANTE CAMARGO CLAUDIA LILIANA</t>
  </si>
  <si>
    <t>PINEDA PINEDA EDISON FABIAN</t>
  </si>
  <si>
    <t>GUEVARA PULIDO NAYIVE PATRICIA</t>
  </si>
  <si>
    <t xml:space="preserve">AREVALO  DIANA </t>
  </si>
  <si>
    <t>MOGOLLON MOLANO CARLOS ESTEBAN</t>
  </si>
  <si>
    <t xml:space="preserve">BOTIA BENITEZ ELIZABETH </t>
  </si>
  <si>
    <t>FARIAS DIAZ LUZ MAYERLY</t>
  </si>
  <si>
    <t>SUA CARREÑO YESSICA JUDITH</t>
  </si>
  <si>
    <t>GOMEZ QUINTERO ERIKA JESSENIA</t>
  </si>
  <si>
    <t>RODRIGUEZ LOPEZ EDWIN GEOVANY</t>
  </si>
  <si>
    <t>MONTAÑA CELY ESTEFANY TATIANA</t>
  </si>
  <si>
    <t>PEREZ LOPEZ EDWAR DANIEL</t>
  </si>
  <si>
    <t xml:space="preserve">RODRIGUEZ GONZALEZ JONATAN </t>
  </si>
  <si>
    <t>NIETO VARGAS ANDRES FELIPE</t>
  </si>
  <si>
    <t>BAYONA TEJEDOR ERIKA ALEJANDRA</t>
  </si>
  <si>
    <t>GARAVITO ROSAS LEIDY YASMID</t>
  </si>
  <si>
    <t>CONTRERAS MONROY JOSE CAMILO</t>
  </si>
  <si>
    <t>ALBA PALACIOS MARIA CAMILA</t>
  </si>
  <si>
    <t>GALAN GUTIERREZ EDNA JAQUELINE</t>
  </si>
  <si>
    <t>MOLANO QUIJANO NESTOR SANTIAGO</t>
  </si>
  <si>
    <t>TRISTANCHO PALACIOS DIANA CAROLINA</t>
  </si>
  <si>
    <t>FONSECA FAJARDO SERGIO JAVIER</t>
  </si>
  <si>
    <t>CAMERO  JEYNY YULIETH</t>
  </si>
  <si>
    <t xml:space="preserve">PATIÑO TORRES DANIELA </t>
  </si>
  <si>
    <t>SIERRA CARVAJAL ROSA MYRIAM</t>
  </si>
  <si>
    <t>IVAN ANDRES BRAVO SEPULVEDA</t>
  </si>
  <si>
    <t>REALPE MACIAS BRAYAN GERMAN</t>
  </si>
  <si>
    <t>MOENO  VICTOR ALFONSO</t>
  </si>
  <si>
    <t>BENITEZ GUTIERREZ MIGUEL ANGEL</t>
  </si>
  <si>
    <t xml:space="preserve">ALFONSO  LIZETH </t>
  </si>
  <si>
    <t>GIL CADENA JULIAN CAMILO</t>
  </si>
  <si>
    <t>CADENA SANABRIA ANGELA ALEJANDRA</t>
  </si>
  <si>
    <t>PARADA  ELVER ALEXANDER</t>
  </si>
  <si>
    <t xml:space="preserve">LOPEZ GUARIN ALEJANDRO </t>
  </si>
  <si>
    <t>GALLO  JULIAN LEONARDO</t>
  </si>
  <si>
    <t>CORREDOR CADENA CAREN JOHANA</t>
  </si>
  <si>
    <t>FAJARDO PATIÑO JEISON LEONARDO</t>
  </si>
  <si>
    <t>CORREA VARGAS EDWIN JAVIER</t>
  </si>
  <si>
    <t>BENITEZ NINO CRISTIAN YESID</t>
  </si>
  <si>
    <t>MARTINEZ MOLANO ANA GERALDIN</t>
  </si>
  <si>
    <t>SOLANO CARDENAS JOHANA ANDREA</t>
  </si>
  <si>
    <t xml:space="preserve">TATIANA  JESSICA </t>
  </si>
  <si>
    <t>HERNANDEZ PAREDES ANDRES FELIPE</t>
  </si>
  <si>
    <t>AYALA ALARCON VICTOR LEONARDO</t>
  </si>
  <si>
    <t>GARCIA MORENO MANUEL GILBERTO</t>
  </si>
  <si>
    <t>JAIME GUTIERREZ DANIEL FERNANDO</t>
  </si>
  <si>
    <t>VELEZ GONZALEZ CRISTHIAN ORLANDO</t>
  </si>
  <si>
    <t>BALAGUERA PALACIOS MIGUEL ANGEL</t>
  </si>
  <si>
    <t>ROJAS NIÑO MARIA ANGELICA</t>
  </si>
  <si>
    <t>BERNAL GUATIBONZA MARIA PAULA</t>
  </si>
  <si>
    <t>DIANA FERNANDA CACHOPE FAJARDO</t>
  </si>
  <si>
    <t>MARTINEZ RODRIGUEZ LIZETH ADRIANA</t>
  </si>
  <si>
    <t>SUA HERRERA CARLOS DUBAN</t>
  </si>
  <si>
    <t>SANABRIA MERCADO JESID FERNANDO</t>
  </si>
  <si>
    <t>CAMERO JAIME JOSE LUIS</t>
  </si>
  <si>
    <t>GONZALEZ LEMUS DEISY VIVIANA</t>
  </si>
  <si>
    <t>SIMBAQUEBA ACEVEDO CARLOS FABIAN</t>
  </si>
  <si>
    <t>GUTIERREZ VILLATE JUAN JOSE</t>
  </si>
  <si>
    <t>ZEA CONTRERAS LUIS DANIEL</t>
  </si>
  <si>
    <t>GARCIA ALFONSO DARWIN ERNESTO</t>
  </si>
  <si>
    <t>LOPEZ  YEISON OTONIEL</t>
  </si>
  <si>
    <t>FIGUEREDO HERNANDEZ EDILSON JAVIER</t>
  </si>
  <si>
    <t>SUAREZ ROJAS JORGE ENRRIQUE</t>
  </si>
  <si>
    <t>AVILA PEREZ AURA ALICIA</t>
  </si>
  <si>
    <t>BECERRA MEDINA JOSE ALEXANDER</t>
  </si>
  <si>
    <t>ALVAREZ COLMENARES LAURA CRISTINA</t>
  </si>
  <si>
    <t>CASALLAS DELGADO LEIDY NATHALY</t>
  </si>
  <si>
    <t>LAVERDE CARO FREDY ALBERTO</t>
  </si>
  <si>
    <t xml:space="preserve">NIÑO SUAREZ AURELIO </t>
  </si>
  <si>
    <t>CARRILLO ORDONEZ ELKIN ELIECER</t>
  </si>
  <si>
    <t>SAAVEDRA SAAVEDRA WILMER IGNACIO</t>
  </si>
  <si>
    <t>NIÑO  LUZ MILA</t>
  </si>
  <si>
    <t xml:space="preserve">SISSA PEREZ  EGIDIO </t>
  </si>
  <si>
    <t>CARDENAS GOMEZ JUAN CARLOS</t>
  </si>
  <si>
    <t xml:space="preserve">SISSA CARDENAS  NANCY </t>
  </si>
  <si>
    <t>NIÑO FERNANDEZ DIANA PAOLA</t>
  </si>
  <si>
    <t xml:space="preserve">SISSA CARDENAS  MIRYAM </t>
  </si>
  <si>
    <t>GONZALEZ GUERRERO CARLOS EDUARDO</t>
  </si>
  <si>
    <t>ROJAS DUEÑAS ERIKA LILIANA</t>
  </si>
  <si>
    <t xml:space="preserve">MARQUEZ JIMENEZ  EDGAR </t>
  </si>
  <si>
    <t xml:space="preserve">CAROLINA  FUENTES </t>
  </si>
  <si>
    <t xml:space="preserve">SISSA CARDENAS FRANCELINA </t>
  </si>
  <si>
    <t>DIAZ ALARCON NAYIBE AMANDA</t>
  </si>
  <si>
    <t>CAÑON CORTES INGRIT MAYOLAY</t>
  </si>
  <si>
    <t>CAÑON CORTES DANIA ZULAY</t>
  </si>
  <si>
    <t>MIGUEZ PEREZ JAVIER ALEXANDER</t>
  </si>
  <si>
    <t>CHIQUILLO PACHON VIELKA FERNANDA</t>
  </si>
  <si>
    <t xml:space="preserve">VELANDIA APARICIO MAXIMINO </t>
  </si>
  <si>
    <t>MARTINEZ BERNAL JAIRO ANIBAL</t>
  </si>
  <si>
    <t xml:space="preserve">SOSA AUZAQUE ANDREA </t>
  </si>
  <si>
    <t>BERMUDEZ ROJAS JORGE LUIS</t>
  </si>
  <si>
    <t>PAIPA AVILA LILIANA PATRICIA</t>
  </si>
  <si>
    <t>ROJAS PARRA JHON ALEXANDER</t>
  </si>
  <si>
    <t xml:space="preserve">GONZALEZ GARCIA WILFRAN </t>
  </si>
  <si>
    <t>VIVAS LOPEZ CAMILO ANDRES</t>
  </si>
  <si>
    <t xml:space="preserve">RODRIGUEZ  JAIR </t>
  </si>
  <si>
    <t xml:space="preserve">MENDIVELSO AVELLANEDA ORLANDO </t>
  </si>
  <si>
    <t>SILVA GARCIA CARLOS ANDRES</t>
  </si>
  <si>
    <t>MEJIA ARAQUE PEDRO ANTONIO</t>
  </si>
  <si>
    <t>VARGAS ARAQUE JHON EMERSON</t>
  </si>
  <si>
    <t>ABRIL AMAYA ANDRES GONZALO</t>
  </si>
  <si>
    <t>ROBAYO OJEDA IVAN LEONARDO</t>
  </si>
  <si>
    <t>SANTOS FONSECA DAYSSY LILIANA</t>
  </si>
  <si>
    <t>MEDINA GARCIA WILMER ANTONIO</t>
  </si>
  <si>
    <t>VEGA ARISMENDY JHON ALEXIS</t>
  </si>
  <si>
    <t>MANRIQUE MERCHAN OMAR LEONARDO</t>
  </si>
  <si>
    <t>GOMEZ ESTUPIÑAN HERNAN DARIO</t>
  </si>
  <si>
    <t>NIÑO  MARIA ISABEL</t>
  </si>
  <si>
    <t>USCATEGUI ROJAS OSCAR JAVIER</t>
  </si>
  <si>
    <t>CARREÑO MARTINEZ ANDREA PAOLA</t>
  </si>
  <si>
    <t xml:space="preserve">SOLEDAD PINZON DUBIEL </t>
  </si>
  <si>
    <t>SANTOS FONSECA SEIDY KATHERINE</t>
  </si>
  <si>
    <t xml:space="preserve">SOLEDAD  OMAR </t>
  </si>
  <si>
    <t>RINCON CABRERA FABIO HUMBERTO</t>
  </si>
  <si>
    <t>CUEVAS RINCON OSCAR VICENTE</t>
  </si>
  <si>
    <t xml:space="preserve">BARON GOYENECHE ASTRID </t>
  </si>
  <si>
    <t>ESPINDOLA PULIDO CINDY CATALINA</t>
  </si>
  <si>
    <t>CUY CARDENAS ALVARO JAVIER</t>
  </si>
  <si>
    <t>HORMAZA ABRIL ANDRES GERARDO</t>
  </si>
  <si>
    <t>RANGEL MANRIQUE ELIANA ROCIO</t>
  </si>
  <si>
    <t>RINCON CALA LUIS ELIAS</t>
  </si>
  <si>
    <t>MONTAÑEZ  LINA PAOLA</t>
  </si>
  <si>
    <t>NIETO ORTIZ WILLIAM ALBERTO</t>
  </si>
  <si>
    <t>ESTEPA  OMAR HUMBERTI</t>
  </si>
  <si>
    <t xml:space="preserve">ESTUPIÑAN  JOSE </t>
  </si>
  <si>
    <t>PATIÑO SEPULVEDA OSCAR HARLEY</t>
  </si>
  <si>
    <t xml:space="preserve">BERNAL  WILLIAM </t>
  </si>
  <si>
    <t>GARCIA SOTO ANGIE KATERINE</t>
  </si>
  <si>
    <t>SUAREZ CALDERON DIANA KATHERINE</t>
  </si>
  <si>
    <t xml:space="preserve">DURAN CARDENAS NORAIDA </t>
  </si>
  <si>
    <t>CRISTIANO ESTUPIÑAN JHONATHAN ALBINO</t>
  </si>
  <si>
    <t>PARADA CHIQUILLO CLAUDIA PATRICIA</t>
  </si>
  <si>
    <t>GARCIA DURAN AMANDA NAYIVE</t>
  </si>
  <si>
    <t>CASTRO  MARIA NATALIA</t>
  </si>
  <si>
    <t>ABRIL FERNANDEZ SANDRA MILENA</t>
  </si>
  <si>
    <t>VARGAS NIÑO CARLOS ERNESTO</t>
  </si>
  <si>
    <t>ABRIL ABRIL LUIS ALBERTO</t>
  </si>
  <si>
    <t>RANGEL MOJICA CRISTIAN LEONARDO</t>
  </si>
  <si>
    <t>NINO GOMEZ YEDYCSE YOHANA</t>
  </si>
  <si>
    <t>SUA SUA ROBIN CAMILO</t>
  </si>
  <si>
    <t>GOYENECHE FERNANDEZ BIVIANA CAROLINA</t>
  </si>
  <si>
    <t>MARTINEZ ESTUPIÑAN NUBIA ALEJANDRA</t>
  </si>
  <si>
    <t>DELGADO PINZON ASTRID YAMILE</t>
  </si>
  <si>
    <t>PINZON VEGA ROBINSON DANIEL</t>
  </si>
  <si>
    <t>NOCOBE USCATEGUI JOSE MIGUEL</t>
  </si>
  <si>
    <t>VARGAS ESTUPIÑAN JULIO ANDRES</t>
  </si>
  <si>
    <t>RIAÑO TRUJILLO SEGUNDO ANDRES</t>
  </si>
  <si>
    <t>CHIQUILLO MONTAÑEZ WENDY MERCEDES</t>
  </si>
  <si>
    <t>MARTINEZ ESTUPINAN CRISTIAN ALONSO</t>
  </si>
  <si>
    <t>ABRIL ABRIL JOHN FREDY</t>
  </si>
  <si>
    <t xml:space="preserve">MESA MOJICA GUSTAVO </t>
  </si>
  <si>
    <t>MOJICA ESTUPIÑAN WILLIAM FERNANDO</t>
  </si>
  <si>
    <t xml:space="preserve">DAVID ESCUDERO DANIELA </t>
  </si>
  <si>
    <t>MOJICA  YURY ALEJANDRA</t>
  </si>
  <si>
    <t>GOYENECHE FERNANDEZ ERIKA TATIANA</t>
  </si>
  <si>
    <t>RINCON LEMUS JUAN SEBASTIAN</t>
  </si>
  <si>
    <t>RANGEL LLANOS MARITZA TATIANA</t>
  </si>
  <si>
    <t>MEJIA GARCIA JOHANA PATRICIA</t>
  </si>
  <si>
    <t>CANO PULIDO ANDRES OSWALDO</t>
  </si>
  <si>
    <t>HECTOR RUBEN CHINOME GUECHA</t>
  </si>
  <si>
    <t xml:space="preserve">CHAPARRO GUERRERO CAROLINA </t>
  </si>
  <si>
    <t>CORREDOR 3115491555 WILLIAM RICARDO</t>
  </si>
  <si>
    <t>DIAZ PORRAS LEIDY VIVIANA</t>
  </si>
  <si>
    <t>RAMIREZ PACHECO DIANA PAOLA</t>
  </si>
  <si>
    <t>BARRERA CRUZ MAYRA ASTRID</t>
  </si>
  <si>
    <t>MISSE CETINA ERIKA MARCELA</t>
  </si>
  <si>
    <t>VALBUENA PITA WIL ARLEY</t>
  </si>
  <si>
    <t>VELAZQUES SAINEA CAROL ALEXANDRA</t>
  </si>
  <si>
    <t xml:space="preserve">GARCIA CATIVE JACQUELINE </t>
  </si>
  <si>
    <t>PINEDA CARABALLO CRISTIAN FERNANDO</t>
  </si>
  <si>
    <t>VARGAS GIL LEONEL FELIPE</t>
  </si>
  <si>
    <t>MORALES GIL MARIA MARGARITA</t>
  </si>
  <si>
    <t>NOVA BUITRAGO YOHAN ANDRES</t>
  </si>
  <si>
    <t>CADENA CRUZ LEIDY GABRIELA</t>
  </si>
  <si>
    <t>MESA BUITRAGO GLORIA ESPERANZA</t>
  </si>
  <si>
    <t>RODRIGUEZ VALBUENA ELKIN DARIO</t>
  </si>
  <si>
    <t>RODRIGUEZ CUEVAS YESIKA ANDREA</t>
  </si>
  <si>
    <t>ALFONSO BETANCOURT IVAN DARIO</t>
  </si>
  <si>
    <t>GOMEZ OROZCO ANA CAROLINA</t>
  </si>
  <si>
    <t xml:space="preserve">QUINTERO  MAGDA </t>
  </si>
  <si>
    <t>NIÑO PATIÑO YURY JOHANA</t>
  </si>
  <si>
    <t>GUERRERO NOVA YENNY ANGELICA</t>
  </si>
  <si>
    <t>APARICIO VELANDIA LIDA ESPERANZA</t>
  </si>
  <si>
    <t>GOMEZ OROZCO DANY LORENA</t>
  </si>
  <si>
    <t>CACERES NOVA DUVAN ALBEIRO</t>
  </si>
  <si>
    <t xml:space="preserve">SANABRIA  JOHAN </t>
  </si>
  <si>
    <t>MEJIA PITA ROBINZON FABIAN</t>
  </si>
  <si>
    <t>NOVA MARTINEZ FERNANDO JOSE</t>
  </si>
  <si>
    <t>BAEZ RINCON ASTRID JOHANA</t>
  </si>
  <si>
    <t>SANDOVAL VARGAS JULIAN RICARDO</t>
  </si>
  <si>
    <t>SEQUERA LIZARAZO FABIAN GIOVANNY</t>
  </si>
  <si>
    <t xml:space="preserve">DAZA PAREDES ALFREDO </t>
  </si>
  <si>
    <t xml:space="preserve">VARGAS SANDOVAL SALOMON </t>
  </si>
  <si>
    <t xml:space="preserve">MESA SUAREZ  NICOLAS </t>
  </si>
  <si>
    <t>BLANCO APONTE DAVID LEONARDO</t>
  </si>
  <si>
    <t>FIGUEREDO  BRAYAN EFREN</t>
  </si>
  <si>
    <t>MESA GOMEZ ADRIANA LIZETH</t>
  </si>
  <si>
    <t xml:space="preserve">MESA SUAREZ WILSON </t>
  </si>
  <si>
    <t xml:space="preserve">CAMACHO RUIZ JULIAN </t>
  </si>
  <si>
    <t xml:space="preserve">BLANCO  CARLOS </t>
  </si>
  <si>
    <t>SEQUERA LIZARAZO JESUS DANIEL</t>
  </si>
  <si>
    <t>PINEDA SANDOVAL DIANA MARCELA</t>
  </si>
  <si>
    <t>GOMEZ ARRIETA YULY ANDREA</t>
  </si>
  <si>
    <t>OCHOA BARRETO LUIS ALBERTO</t>
  </si>
  <si>
    <t xml:space="preserve">RODRIGUEZ RODRIGUEZ GUSTAVO </t>
  </si>
  <si>
    <t>NIQUEPA FONSECA JESUS DAVID</t>
  </si>
  <si>
    <t>BERNAL MOLANO CARLOS HUMBERTO</t>
  </si>
  <si>
    <t>VERGARA CORONADO LUDY MARLEN</t>
  </si>
  <si>
    <t xml:space="preserve">VERGARA CORONADO RIGOBERTO </t>
  </si>
  <si>
    <t>SANCHEZ PINEDA GLORIA ROCIO</t>
  </si>
  <si>
    <t>CAMARGO CORONEL DIANA PAOLA</t>
  </si>
  <si>
    <t xml:space="preserve">RODRIGUEZ ALBA  DIEGO FERNANDO </t>
  </si>
  <si>
    <t xml:space="preserve">BERNAL GUERRERO YULDOR </t>
  </si>
  <si>
    <t>PEREZ GARZON CRISTIAN FERNANDO</t>
  </si>
  <si>
    <t>FUENTES  DIANA CAROLINA</t>
  </si>
  <si>
    <t>DELGADO HERNANDEZ DEISY ROSA</t>
  </si>
  <si>
    <t>SUAREZ  ANA LIZETH</t>
  </si>
  <si>
    <t>CHAVEZ DURAN ZULY DANIELA</t>
  </si>
  <si>
    <t>ARIAS CUERVO FABIO YOVANI</t>
  </si>
  <si>
    <t xml:space="preserve">QUEMBA RODRIGUEZ CLAUDIA </t>
  </si>
  <si>
    <t xml:space="preserve">FUNEME CATOLICO  ERIKA ROCIO </t>
  </si>
  <si>
    <t>GUERRERO AMAYA CAMILO ANDRES</t>
  </si>
  <si>
    <t xml:space="preserve">MENDOZA VARGAS GUSTAVO </t>
  </si>
  <si>
    <t>RUIZ ACEVEDO HELMER ENRIQUE</t>
  </si>
  <si>
    <t>MORENO GAMBA JUAN CARLOS</t>
  </si>
  <si>
    <t>CLL 10A 18A 58 AVILA KAREN STEPANY</t>
  </si>
  <si>
    <t>PARADA PARRA LEIDY YOHANA</t>
  </si>
  <si>
    <t>ARIZA PUENTES LAURA CAMILA</t>
  </si>
  <si>
    <t>RUIZ RUSSI DIEGO ARMANDO</t>
  </si>
  <si>
    <t>BARRERA OLIVEROS JELBE DARIO</t>
  </si>
  <si>
    <t>MEJIA SALAZAR LUCY VERONICA</t>
  </si>
  <si>
    <t>Barajas Tarazona Esteban Edward</t>
  </si>
  <si>
    <t>RUIZ GARCIA SANDRA PATRICIA</t>
  </si>
  <si>
    <t>SALAZAR ESTUPIÑAN HELIO RAFAEL</t>
  </si>
  <si>
    <t xml:space="preserve">PEÑA  DIEGO </t>
  </si>
  <si>
    <t>VALCARCEL DATIVA EDISSON HARLEY</t>
  </si>
  <si>
    <t>ROJAS PINZON MARLI IRENE</t>
  </si>
  <si>
    <t>ESTUPIÑAN BALAGUERA ANA ROSA</t>
  </si>
  <si>
    <t>DELGADO BLANCO JEISSON ALEXIS</t>
  </si>
  <si>
    <t>VALCARCEL DATIVA ROSA ELVIA</t>
  </si>
  <si>
    <t xml:space="preserve">ROCIO  ADELA </t>
  </si>
  <si>
    <t>GUERRERO RIAÑO MARIA ALEJANDRA</t>
  </si>
  <si>
    <t>CARDONA RODRIGUEZ JHON ALEJANDRO</t>
  </si>
  <si>
    <t>FUENTES ROJAS BLANCA NELLY</t>
  </si>
  <si>
    <t xml:space="preserve">ANGARITA  OLGA </t>
  </si>
  <si>
    <t>MURILLO FRANCO YEISON HUMBERTO</t>
  </si>
  <si>
    <t>PALENCIA BONILLA SEBASTIAN MAURICIO</t>
  </si>
  <si>
    <t>MESA MANRIQUE RAUL ALBERTO</t>
  </si>
  <si>
    <t>RONDON LAGOS KAROL YULIANA</t>
  </si>
  <si>
    <t>SALAMANCA CAMARGO JORGE ARMANDO</t>
  </si>
  <si>
    <t>LEAL BONILLA ALBA ROCIO</t>
  </si>
  <si>
    <t>RODRIGUEZ VEGA WILSON IGNACIO</t>
  </si>
  <si>
    <t>RINCON PRIETO JONATHAN ROBERTO</t>
  </si>
  <si>
    <t>SANCHEZ ROJAS MYRIAN FABIOLA</t>
  </si>
  <si>
    <t>NUÑEZ SILVA YULY MARCELA</t>
  </si>
  <si>
    <t xml:space="preserve">CARVAJAL  JENNY </t>
  </si>
  <si>
    <t>ROJAS ORDUZ SERGIO RAUL</t>
  </si>
  <si>
    <t>MEJIA MOJICA DEISY NATALIA</t>
  </si>
  <si>
    <t>ESPINEL AGUIRRE LINA MARIA</t>
  </si>
  <si>
    <t>PEREZ MORENO OSCAR LEONARDO</t>
  </si>
  <si>
    <t>FIGUEREDO FERNANDEZ NIDIA JOHANA</t>
  </si>
  <si>
    <t>CHACON SOLER MIGUEL ANGEL</t>
  </si>
  <si>
    <t>MONROY CARO DIEGO FERNANDO</t>
  </si>
  <si>
    <t>SILVA ROJAS AURA YINETH</t>
  </si>
  <si>
    <t>DIAZ PLAZAS PAULA NATHALIA</t>
  </si>
  <si>
    <t>PEINADO MEDINA LAUREN XIMENA</t>
  </si>
  <si>
    <t>DIAZ GONZALEZ LADY NATALY</t>
  </si>
  <si>
    <t>MIRANDA AVILA HARVEY EFREN</t>
  </si>
  <si>
    <t>USCATEGUI TAPIAS DIANA MILENA</t>
  </si>
  <si>
    <t>ROA GONZALEZ TATIANA SOFIA</t>
  </si>
  <si>
    <t>FORERO FORERO RICARDO ALONSO</t>
  </si>
  <si>
    <t>BENAVIDES HERRERA GERMAN ANDRES</t>
  </si>
  <si>
    <t xml:space="preserve">FIGUEREDO RINCON  ANTONIO </t>
  </si>
  <si>
    <t>CELY CELY JENNIFER CAROLINA</t>
  </si>
  <si>
    <t>CASTILLO VARGAS JUAN MANUEL</t>
  </si>
  <si>
    <t>VANEGAS PULIDO YENNY JIMENA</t>
  </si>
  <si>
    <t>RODRIGUEZ NARANJO LUIS CARLOS</t>
  </si>
  <si>
    <t>TAPIAS PEREZ YEISON DANILO</t>
  </si>
  <si>
    <t xml:space="preserve">MESA ZEA JENNY </t>
  </si>
  <si>
    <t xml:space="preserve">CHAPARRO LOPEZ FABIAN </t>
  </si>
  <si>
    <t>ACOSTA AVILA JULIANA MARGARITA</t>
  </si>
  <si>
    <t>CABRERA  YULY ALEXANDRA</t>
  </si>
  <si>
    <t xml:space="preserve">CABEZAS  CAMILA </t>
  </si>
  <si>
    <t>ORDUZ ACEVEDO GINA CONSTANZA</t>
  </si>
  <si>
    <t>ROSAS LEMUS ROBERT ALEXANDER</t>
  </si>
  <si>
    <t>ROJAS GIL CARLOS ANDRES</t>
  </si>
  <si>
    <t>IVAN NIÑO OSCAR IVAN</t>
  </si>
  <si>
    <t xml:space="preserve">LUIS  JORGE </t>
  </si>
  <si>
    <t>ACEVEDO CASTRO OSCAR LEONARDO</t>
  </si>
  <si>
    <t>ARAGON AVILA HUGO YEISON</t>
  </si>
  <si>
    <t>AFRICANO CASTILLO ANA MARIA</t>
  </si>
  <si>
    <t>LOPEZ ESTEPA LUZ MARINA</t>
  </si>
  <si>
    <t>MOSQUERA HIGUERA SALLY DAGIANNA</t>
  </si>
  <si>
    <t xml:space="preserve">VELANDIA CARDOZO  NELSY JOHANA </t>
  </si>
  <si>
    <t>RINCON SANCHEZ MANUEL ALEJANDRO</t>
  </si>
  <si>
    <t>LOPEZ ANGEL VICTOR MANUEL</t>
  </si>
  <si>
    <t>ROBERTO ANTONIO TAPARCUA SOLANO</t>
  </si>
  <si>
    <t>GONZALEZ MARTINEZ JOAN DARIO</t>
  </si>
  <si>
    <t xml:space="preserve">AVELLA SANABRIA GABRIEL </t>
  </si>
  <si>
    <t>ANTOLINEZ  DELIS EDILSA</t>
  </si>
  <si>
    <t>QUINTERO CARDOZO CARLOS ANDRES</t>
  </si>
  <si>
    <t>CARO OYOLA DIANA MARCELA</t>
  </si>
  <si>
    <t>MONTANA ROJAS REGULO FABIAN</t>
  </si>
  <si>
    <t>MARTINEZ PEREZ VIVIANA MARCELA</t>
  </si>
  <si>
    <t>ARIZA FLOREZ HEIMAR NAHUM</t>
  </si>
  <si>
    <t>SUAREZ BONILLA ANGELA MILENA</t>
  </si>
  <si>
    <t xml:space="preserve">LORENA  CINDY </t>
  </si>
  <si>
    <t>RODRIGUEZ CASTIBLANCO THANIA YASBLEIDY</t>
  </si>
  <si>
    <t>SALAMANCA MERCHAN SANDRA MILENA</t>
  </si>
  <si>
    <t>BALLESTEROS CASAS DEISSY NATALY</t>
  </si>
  <si>
    <t xml:space="preserve">RAMIREZ BONILLA  MONICA </t>
  </si>
  <si>
    <t>ZORAIDA ASTRID LEMUS CONDIA</t>
  </si>
  <si>
    <t xml:space="preserve">CACERES ABRIL PLINIO </t>
  </si>
  <si>
    <t>RUBIANO  DIEGO RICARDO</t>
  </si>
  <si>
    <t>CHIA NIÑO ANA ISABEL</t>
  </si>
  <si>
    <t xml:space="preserve">PEREZ ROJAS ALEXANDRA </t>
  </si>
  <si>
    <t>GONZALEZ CARDOZO DANIEL FELIPE</t>
  </si>
  <si>
    <t>PEREZ BARRERA JUAN CARLOS</t>
  </si>
  <si>
    <t>PEREZ  EDNA ROCIO</t>
  </si>
  <si>
    <t>BARRERA GUEVARA GINA MARCELA</t>
  </si>
  <si>
    <t>LIMAS VARGAS DINA ANGELICA</t>
  </si>
  <si>
    <t>MONTOYA ALBARRACIN CARLOS EDILSON</t>
  </si>
  <si>
    <t>ALARCON VARGAS EVELYNE TATIANA</t>
  </si>
  <si>
    <t xml:space="preserve">ALVAREZ  EDGAR </t>
  </si>
  <si>
    <t>GIL ANGARITA JHON ALVEIRO</t>
  </si>
  <si>
    <t xml:space="preserve">MIGUEL  TIBADUIZA </t>
  </si>
  <si>
    <t>MORENO CARDENAS YULY ESPERANZA</t>
  </si>
  <si>
    <t>MARTINEZ RINCON CLAUDIA YANETH</t>
  </si>
  <si>
    <t>BARRERA PEREZ DIANA ELIZABETH</t>
  </si>
  <si>
    <t>BARRERA RODRIGUEZ LAURA LILIANA</t>
  </si>
  <si>
    <t>CASTRO MORENO HAIRD ANDRES</t>
  </si>
  <si>
    <t>ROSAS LEMUS MARIO ANDRES</t>
  </si>
  <si>
    <t>PEREZ MANCERA LUDY FERNANDA</t>
  </si>
  <si>
    <t>PINTO ESTRADA YENNY PAOLA</t>
  </si>
  <si>
    <t>APONTE HERNANDEZ PAULA ANDREA</t>
  </si>
  <si>
    <t xml:space="preserve">CASTELBLANCO CUEVAS GUSTAVO </t>
  </si>
  <si>
    <t>CHAPARRO CORREDOR IRIS YADIRA</t>
  </si>
  <si>
    <t>MESA CACERES SANDRA PATRICIA</t>
  </si>
  <si>
    <t>GOMEZ ESCAMILLA JEINNER HERLEY</t>
  </si>
  <si>
    <t>MORANTES ALVAREZ MILENA JHOANA</t>
  </si>
  <si>
    <t>ORTEGON CUELLAR MARCO TULIO</t>
  </si>
  <si>
    <t>RIVEROS CARDENAS EDGAR DUBAN</t>
  </si>
  <si>
    <t>SALAMANCA MERCHAN AMANDA ELICETH</t>
  </si>
  <si>
    <t xml:space="preserve">GUTIERREZ  SANDRA </t>
  </si>
  <si>
    <t>LOPEZ PINTO JEISSON LEONARDO</t>
  </si>
  <si>
    <t>TEQUIA VERDUGO ROSSY JAZMIN</t>
  </si>
  <si>
    <t>JIMENEZ VARGAS INGRID LILIANA</t>
  </si>
  <si>
    <t>ARIAS BORDA MANUEL ALEJANDRO</t>
  </si>
  <si>
    <t>BARRERA QUINTANA ALVARO ULISES</t>
  </si>
  <si>
    <t>VARGAS ROJAS MARYURI ANDREA</t>
  </si>
  <si>
    <t>FLOREZ MEJIA LEIDY PAOLA</t>
  </si>
  <si>
    <t>GUTIERREZ RODRIGUEZ ANGELA CONSUELO</t>
  </si>
  <si>
    <t xml:space="preserve">SOTO AGUIRRE DARIO </t>
  </si>
  <si>
    <t>ALARCON ARANGUREN LORENA MARIA</t>
  </si>
  <si>
    <t xml:space="preserve">PALACIOS  MAYRA </t>
  </si>
  <si>
    <t>MORENO  DEISY PAOLA</t>
  </si>
  <si>
    <t xml:space="preserve">MENDIVELSO AVELLANEDA EDILBERTO </t>
  </si>
  <si>
    <t>HERNANDEZ ACEVEDO JOHN FERNANDO</t>
  </si>
  <si>
    <t>CELY SANCHEZ DIEGO LEONARDO</t>
  </si>
  <si>
    <t xml:space="preserve">HERNANDEZ DAZA FREDDY </t>
  </si>
  <si>
    <t>SALAMANCA AVELLA YEIMMY VIVIANA</t>
  </si>
  <si>
    <t>BAYONA MANRIQUE MIGUEL ANGEL</t>
  </si>
  <si>
    <t>NIÑO RIOS FANNY MARIELA</t>
  </si>
  <si>
    <t>RIVERA RIVERA DIEGO FERNANDO</t>
  </si>
  <si>
    <t xml:space="preserve">MOJICA CHIA LILIANA </t>
  </si>
  <si>
    <t>RIVERA . DIANA LORENA</t>
  </si>
  <si>
    <t xml:space="preserve">YESID MERCHAN HECTOR </t>
  </si>
  <si>
    <t>PEDRAZA TELLES ARLEY YESID</t>
  </si>
  <si>
    <t>BETANCOURT PEREZ DIANA ISABEL</t>
  </si>
  <si>
    <t>CASTELLANOS MARTINEZ ANDREA CATHERINE</t>
  </si>
  <si>
    <t>MACIAS SILVA HENRY GONZALO</t>
  </si>
  <si>
    <t>DIAZ MERCHAN KAREN YESENIA</t>
  </si>
  <si>
    <t xml:space="preserve">SUAREZ  FRANCISCO </t>
  </si>
  <si>
    <t xml:space="preserve">LEGUIZAMON SALAS CAMILO </t>
  </si>
  <si>
    <t>TIBADUIZA CARDENAS IVAN DARIO</t>
  </si>
  <si>
    <t>BAEZ TORRES DANILO ALONSO</t>
  </si>
  <si>
    <t>PEREZ ACEVEDO DEISY MILENA</t>
  </si>
  <si>
    <t>GINA KARYN MORA RODRIGUEZ</t>
  </si>
  <si>
    <t>MESA AMAYA MARIO ARLEY</t>
  </si>
  <si>
    <t xml:space="preserve">MACIAS GRANADOS ADRIANA </t>
  </si>
  <si>
    <t>PEREZ CRISTANCHO PEDRO NEL</t>
  </si>
  <si>
    <t>SILVA ANGARITA WILSON FERNANDO</t>
  </si>
  <si>
    <t>VARGAS BURGOS YUVER FERNEY</t>
  </si>
  <si>
    <t>ALVAREZ GARNICA JOSE LUIS</t>
  </si>
  <si>
    <t>COMBITA FARACICA JUAN CAMILO</t>
  </si>
  <si>
    <t>ALFONSO RODRIGUEZ XIOMARA LIZETH</t>
  </si>
  <si>
    <t>AGUIRRE ROSAS EDWIN OCTAVIO</t>
  </si>
  <si>
    <t xml:space="preserve">HERNANDEZ ALDANA WILBER </t>
  </si>
  <si>
    <t xml:space="preserve">MENDIVELSO GARCIA PATRICIA </t>
  </si>
  <si>
    <t>MEDINA RODRIGUEZ NELSON IVAN</t>
  </si>
  <si>
    <t xml:space="preserve">FAGUA SALAZAR JULIAN </t>
  </si>
  <si>
    <t>BOLIVAR ESPITIA JHON JARBY</t>
  </si>
  <si>
    <t>LOPEZ LAGOS ANDRES FELIPE</t>
  </si>
  <si>
    <t>BELTRAN PEREZ MIGUEL ANGEL</t>
  </si>
  <si>
    <t xml:space="preserve">RINCON  LIZEETH </t>
  </si>
  <si>
    <t>SANTOS CASTRO HERNAN DARIO</t>
  </si>
  <si>
    <t xml:space="preserve">AMADO  YENNY </t>
  </si>
  <si>
    <t>PACHECO SIERRA DIEGO ALEXANDER</t>
  </si>
  <si>
    <t>CALDAS GARAVITO JESSICA HASBLEY</t>
  </si>
  <si>
    <t>ACEVEDO CADENA JOSE ELIECER</t>
  </si>
  <si>
    <t xml:space="preserve">CAMACHO  BRAYAN </t>
  </si>
  <si>
    <t>LOPEZ FLOREZ MANUEL JOSE</t>
  </si>
  <si>
    <t>ROJAS ALVAREZ PAOLA ALEXANDRA</t>
  </si>
  <si>
    <t>AMEZQUITA PEREZ LEIDY JOHANA</t>
  </si>
  <si>
    <t>BENAVIDES CUTA YASMIN EMILCEN</t>
  </si>
  <si>
    <t>ALVAREZ BOHORQUEZ PAULA ANDREA</t>
  </si>
  <si>
    <t>MATALLANA RODRIGUEZ VIVIANA MARCELA</t>
  </si>
  <si>
    <t>BECERRA CARDOZO LEIDY ANDREA</t>
  </si>
  <si>
    <t>MORA GUTIERREZ WILLIAM RICARDO</t>
  </si>
  <si>
    <t>HERRERA ZARATE LEIDY PAOLA</t>
  </si>
  <si>
    <t>VELANDIA ACEVEDO ANGIE STEFANY</t>
  </si>
  <si>
    <t>AGUIRRE ALBARRACIN ANGIE JULIETH</t>
  </si>
  <si>
    <t>CORREDOR ROJAS MIGUEL ANGEL</t>
  </si>
  <si>
    <t>COTINCHARA EGUE OSCAR JAVIER</t>
  </si>
  <si>
    <t>DAZA PEÑA ANGIE GISELL</t>
  </si>
  <si>
    <t>ACOSTA BELLO JUAN SEBASTIAN</t>
  </si>
  <si>
    <t>VILLAMIL VILLAMIL ANGIE MILENA</t>
  </si>
  <si>
    <t xml:space="preserve">PALACIOS NIÑO ALEJANDRO </t>
  </si>
  <si>
    <t>HERNANDEZ MARTINEZ JUAN DAVID</t>
  </si>
  <si>
    <t>LOPEZ LARA LADY LIZETH</t>
  </si>
  <si>
    <t>ESPEJO TORRES JESSICA NATALIA</t>
  </si>
  <si>
    <t>QUIJANO RODRIGUEZ PAULA ANDREA</t>
  </si>
  <si>
    <t>GRANADOS ZEA CARLOS ANDRES</t>
  </si>
  <si>
    <t>PEREZ GUTIERREZ PAULA ANDREA</t>
  </si>
  <si>
    <t>VARGAS MOLANO SERGIO FABIAN</t>
  </si>
  <si>
    <t>REYES REYES KELLY ALEXANDRA</t>
  </si>
  <si>
    <t>MACIAS GRANADOS PAOLA ANDREA</t>
  </si>
  <si>
    <t>RIOS PINTO ROGER SANTIAGO</t>
  </si>
  <si>
    <t>FONSECA ARIZA DORA PATRICIA</t>
  </si>
  <si>
    <t>NIÑO IZAQUITA PAULA ANDREA</t>
  </si>
  <si>
    <t xml:space="preserve">KRA 34 19 112  JOSE DANILO </t>
  </si>
  <si>
    <t>CELIS DIAZ ANGIE TATIANA</t>
  </si>
  <si>
    <t>LEON AMEZQUITA ANGIE MELISA</t>
  </si>
  <si>
    <t>MALAGON GUTIERREZ WILLIAM JAVIER</t>
  </si>
  <si>
    <t>PEREZ RINCON NELSON ANDRES</t>
  </si>
  <si>
    <t>QUEVEDO CAMACHO CAMILO ANDRES</t>
  </si>
  <si>
    <t>CORREDOR ALBARRACIN FABIAN ANDREY</t>
  </si>
  <si>
    <t>CRUZ ROCHA LEIDY ESMERALDA</t>
  </si>
  <si>
    <t>ALVAREZ CHAPARRO YENI NATALIA</t>
  </si>
  <si>
    <t>PORRAS PAMPLONA NATALIA IVETTE</t>
  </si>
  <si>
    <t>FIGUEREDO PARADA JENNY ROCIO</t>
  </si>
  <si>
    <t>CRISTIAN CAMILO TANGUA CORZO</t>
  </si>
  <si>
    <t>RIVERA ROJAS YEISON ARBEY</t>
  </si>
  <si>
    <t>TORRES CARO ANYI JULIANA</t>
  </si>
  <si>
    <t>DAZA RODRIGUEZ KAREN PAOLA</t>
  </si>
  <si>
    <t>GAVIDIA GUERRERO OLGA LILIANA</t>
  </si>
  <si>
    <t>PEREZ DIAZ OSCAR LEONARDO</t>
  </si>
  <si>
    <t>LOPEZ ACEVEDO MARIA PAULA</t>
  </si>
  <si>
    <t>CASTELBLANCO RODRIGUEZ BRAYAN MARTIN</t>
  </si>
  <si>
    <t>JUAN PABLO CEPEDA ANDRADE</t>
  </si>
  <si>
    <t>VERGARA ARCOS DAYANA ALEJANDRA</t>
  </si>
  <si>
    <t>MORENO CHAPARRO KAREN JOHANA</t>
  </si>
  <si>
    <t>REYES PARRA KELLY ZULLEY</t>
  </si>
  <si>
    <t>MARQUEZ PULIDO JUAN CARLOS</t>
  </si>
  <si>
    <t>RIOS PEREZ GINEY STEFANY</t>
  </si>
  <si>
    <t>CASTRO SALGADO PAULA DANIELA</t>
  </si>
  <si>
    <t>PUERTO SOCHA KATHERYN NAYELI</t>
  </si>
  <si>
    <t xml:space="preserve">SIERRA VARGAS STEFANNY </t>
  </si>
  <si>
    <t>GARCIA MORENO OSCAR ANDRES</t>
  </si>
  <si>
    <t xml:space="preserve">LEON RIVEROS SEBASTIAN </t>
  </si>
  <si>
    <t>HOLGUIN MONROY CRISTIAN HORACIO</t>
  </si>
  <si>
    <t>DIAZ RINCON EDGAR MAURICIO</t>
  </si>
  <si>
    <t>LASPRILLA GARCIA LUIS DANIEL</t>
  </si>
  <si>
    <t>ESPITIA CUEVAS ASTRID YAZMIN</t>
  </si>
  <si>
    <t>CASTRO ROBLES ANGELA DANIELA</t>
  </si>
  <si>
    <t>CAMARGO MORALES MONICA LILIANA</t>
  </si>
  <si>
    <t>VARGAS COMBITA FRANCISCO JAVIER</t>
  </si>
  <si>
    <t xml:space="preserve">GONZALEZ NIÑO JOSEPH </t>
  </si>
  <si>
    <t xml:space="preserve">GUIO FONSECA DUVAN </t>
  </si>
  <si>
    <t>RIVEROS TORRES JEISSON GERARDO</t>
  </si>
  <si>
    <t xml:space="preserve">ZAPATA  FABIAN </t>
  </si>
  <si>
    <t>RIOS RIVERA JORGE ARMANDO</t>
  </si>
  <si>
    <t>DELGADO SUA YEISON STIVEN</t>
  </si>
  <si>
    <t xml:space="preserve">OLMOS ALTUZARRA YESSENIA </t>
  </si>
  <si>
    <t>SANCHEZ PAIPILLA ARIEL GUILLERMO</t>
  </si>
  <si>
    <t>BARRERA GOMEZ IVAN RONALDO</t>
  </si>
  <si>
    <t>REAL GUITIERREZ ELKIN ARLEY</t>
  </si>
  <si>
    <t xml:space="preserve">GARCES VARGAS ALDEMAR </t>
  </si>
  <si>
    <t>JEREZ GUTIERREZ HERNAN YESID</t>
  </si>
  <si>
    <t>MORALES ROMERO LINA MARCELA</t>
  </si>
  <si>
    <t>ROA GACHA DUBAN ARBEY</t>
  </si>
  <si>
    <t xml:space="preserve">FIGUEREDO  ANDRES </t>
  </si>
  <si>
    <t>RODRIGUEZ SALAMANCA PILAR DEL</t>
  </si>
  <si>
    <t>PINZON RINCON CARLOS ALBEIRO</t>
  </si>
  <si>
    <t>REINA PAEZ YOSMAN GONZALO</t>
  </si>
  <si>
    <t>SERRANO PEREZ JOSE LEONARDO</t>
  </si>
  <si>
    <t>ACEVEDO CAMACHO REINA LUCERO</t>
  </si>
  <si>
    <t xml:space="preserve">MONTAÑEZ CHISINO FRANKLIN </t>
  </si>
  <si>
    <t>TIBADUIZA CRUZ XENIA XIMENA</t>
  </si>
  <si>
    <t>CUJABAN MONTAÑA YASMIN ALEJANDRA</t>
  </si>
  <si>
    <t>MERCHAN PEREZ DIANA PAOLA</t>
  </si>
  <si>
    <t>TORRES TAPIAS MONICA ANDREA</t>
  </si>
  <si>
    <t xml:space="preserve">PEREZ  JEISSON </t>
  </si>
  <si>
    <t>CASTAÑEDA BARAHONA YIBER DUVADIER</t>
  </si>
  <si>
    <t>Perez SARMIENTO Stefanny JACKELINE</t>
  </si>
  <si>
    <t xml:space="preserve">Arias  Santiago </t>
  </si>
  <si>
    <t xml:space="preserve">CUEVAS CASTILLO MARLEN </t>
  </si>
  <si>
    <t>BARRERA MARTINEZ YON FREDY</t>
  </si>
  <si>
    <t>BURGOS ARDILA JUAN CARLOS</t>
  </si>
  <si>
    <t xml:space="preserve">BARRERA  DANIEL </t>
  </si>
  <si>
    <t>ESTEPA MARQUEZ ERICA LEONOR</t>
  </si>
  <si>
    <t>LEON HERNANDEZ ADRIANA CAROLINA</t>
  </si>
  <si>
    <t>CELY ALFONSO ROBIN HERNEY</t>
  </si>
  <si>
    <t xml:space="preserve">PUENTES  DIANA </t>
  </si>
  <si>
    <t>ANGARITA MONTOYA CLARA MILENA</t>
  </si>
  <si>
    <t>MURILLO ESTUPIÑAN ZULAY YANITZA</t>
  </si>
  <si>
    <t>MARTINEZ RIOS YUNIOR ERLEY</t>
  </si>
  <si>
    <t>TRUJILLO PAZ DEISY LORENA</t>
  </si>
  <si>
    <t>MUNOZ ALBAN JHON ALEXANDER</t>
  </si>
  <si>
    <t>CALDERON FONTALVO LUIS FABIAN</t>
  </si>
  <si>
    <t xml:space="preserve">ANGARITA  NINI JOHANA </t>
  </si>
  <si>
    <t>RODRIGUEZ CLARO NEDER JOSE</t>
  </si>
  <si>
    <t>VILLADIEGO SANCHEZ JAVIER MAURICIO</t>
  </si>
  <si>
    <t>MATIAS DIAZ ROSEMBERG ANTONIO</t>
  </si>
  <si>
    <t>BALAGUERA BARBOSA JOSE IGNACIO</t>
  </si>
  <si>
    <t>RAMOS ANAYA LISETH PAOLA</t>
  </si>
  <si>
    <t xml:space="preserve">GUZMAN  EDUARDO </t>
  </si>
  <si>
    <t>DIAZ PIRANQUIVE MERLY XIOMARA</t>
  </si>
  <si>
    <t xml:space="preserve">HERNANDEZ HOYOS SAUDITH </t>
  </si>
  <si>
    <t xml:space="preserve">PEREZ  SARY </t>
  </si>
  <si>
    <t>ALMANZA AGUILAR ASAEL DAVID</t>
  </si>
  <si>
    <t>MOLINA TOVAR YEISON ALBEIRO</t>
  </si>
  <si>
    <t xml:space="preserve">RUBIANO CASALLAS ALEXANDER </t>
  </si>
  <si>
    <t xml:space="preserve">SANCHEZ  GUSTAVO </t>
  </si>
  <si>
    <t>VELASQUEZ LOPEZ JULIAN DAVID</t>
  </si>
  <si>
    <t>GIL GARAVITO LEIDY JOHANA</t>
  </si>
  <si>
    <t>BALLESTEROS GUZMAN ELKIN JAVIER</t>
  </si>
  <si>
    <t>RINCON TOBASIA MARTHA LUCERO</t>
  </si>
  <si>
    <t>ZAMBRANO GUEVARA EDNA JAZMID</t>
  </si>
  <si>
    <t>HERRERA PARRA LADY PATRICIA</t>
  </si>
  <si>
    <t>GUERRERO MUÑOZ RUTH NATALIA</t>
  </si>
  <si>
    <t xml:space="preserve">RESTREPO  NESTOR </t>
  </si>
  <si>
    <t xml:space="preserve">SANTOS  JULIANA </t>
  </si>
  <si>
    <t>SIACHOQUE BARRETO MIGUEL FERNANDO</t>
  </si>
  <si>
    <t>CELY CELY ALEJANDRA XIMENA</t>
  </si>
  <si>
    <t xml:space="preserve">MORENO ACUÑA SANTIAGO </t>
  </si>
  <si>
    <t>CHACON TORRES JHON ALEJANDRO</t>
  </si>
  <si>
    <t>TRISTANCHO MORALES JEIMY JOHANA</t>
  </si>
  <si>
    <t>ROJAS MONTAÑA LEIDY JOHANNA</t>
  </si>
  <si>
    <t xml:space="preserve">PRADA  ALEJANDRA </t>
  </si>
  <si>
    <t>HERRERA BERNAL WILMAN ALEXIS</t>
  </si>
  <si>
    <t xml:space="preserve">INFANTE BALAGUERA WILSON </t>
  </si>
  <si>
    <t>RODRIGUEZ RODRIGUEZ GABRIEL HERNANDO</t>
  </si>
  <si>
    <t>ARAQUE RAMIREZ BRYAN STEVEN</t>
  </si>
  <si>
    <t xml:space="preserve">TORRES  DIANA </t>
  </si>
  <si>
    <t>CORREDOR GONZALEZ HENRY ALBERTO</t>
  </si>
  <si>
    <t xml:space="preserve">JIMMY  BARRERA </t>
  </si>
  <si>
    <t>ORTIZ MATALLANA SONIA STELLA</t>
  </si>
  <si>
    <t>GOMEZ CARDENAS JOHANNA ANREA</t>
  </si>
  <si>
    <t>VALENSUELA MORENO EMANUEL FERNANDO</t>
  </si>
  <si>
    <t>ROJAS NIÑO FERNANDO ISMAEL</t>
  </si>
  <si>
    <t xml:space="preserve">FLOREZ  JOSE </t>
  </si>
  <si>
    <t>MONTAÑEZ CORREDOR LUZ MARLENY</t>
  </si>
  <si>
    <t>HURTADO MURCIA OSCAR MAURICIO</t>
  </si>
  <si>
    <t>RINCON CASTIBLANCO SERGIO ENRIQUE</t>
  </si>
  <si>
    <t>RINCON CASTIBLANCO LIZETH PAOLA</t>
  </si>
  <si>
    <t>ARCHUILA TOLOZA DARWIN DAVID</t>
  </si>
  <si>
    <t>PINEDA CORTES VIDAL OSWALDO</t>
  </si>
  <si>
    <t>LOPEZ VELASQUEZ AURA CRISTINA</t>
  </si>
  <si>
    <t xml:space="preserve">DIAZ  MAYERLY </t>
  </si>
  <si>
    <t>FURQUE LOZANO SOLEY EDILNAIRA</t>
  </si>
  <si>
    <t>ALVARADO RODRIGUEZ MARIO ALBERTO</t>
  </si>
  <si>
    <t xml:space="preserve">PARRA  MARTA </t>
  </si>
  <si>
    <t>DURANGO PACHECO ANASTACIO MIGUEL</t>
  </si>
  <si>
    <t>REYES CELEITA SANDRA MILENA</t>
  </si>
  <si>
    <t>SOLORZANO LOPEZ LUZ ANDREA</t>
  </si>
  <si>
    <t xml:space="preserve">DIAZ  JUAN </t>
  </si>
  <si>
    <t>PEREZ SOTO CRISTHIAN MANUELL</t>
  </si>
  <si>
    <t xml:space="preserve">GARCIA CARDOZO YESICA </t>
  </si>
  <si>
    <t>CASTRO SANTOS JUAN FERNANDO</t>
  </si>
  <si>
    <t>QUINTERO PERDOMO CRISTIAN FABIAN</t>
  </si>
  <si>
    <t>GOMEZ LEON LUIS ANGEL</t>
  </si>
  <si>
    <t>VEGA MONTANA KAREN JULIET</t>
  </si>
  <si>
    <t>RODRIGUEZ TELLEZ TELLEZ YEIMMY ANDREA</t>
  </si>
  <si>
    <t>MORALES RODRIGUEZ VIVIANA CECILIA</t>
  </si>
  <si>
    <t>OROZCO JIMENEZ LUIS CAMILO</t>
  </si>
  <si>
    <t xml:space="preserve">PARRA CASTANEDA YAMILE </t>
  </si>
  <si>
    <t>CORREDOR CARDENAS DANNA VALENTINA</t>
  </si>
  <si>
    <t xml:space="preserve">SEPULVEDA  MIGUEL </t>
  </si>
  <si>
    <t>PADILLA GUTIERREZ VIVIANA ALEXANDRA</t>
  </si>
  <si>
    <t>NIETO GARCIA ANDRES RODRIGO</t>
  </si>
  <si>
    <t>GONZALEZ ROMERO JHON ELWER</t>
  </si>
  <si>
    <t>CASTRO TORRES JULIO ARMANDO</t>
  </si>
  <si>
    <t>CHACON GUERRERO BRIAN EDWARD</t>
  </si>
  <si>
    <t xml:space="preserve">MAZORRA KARIME RODRIGUEZ </t>
  </si>
  <si>
    <t xml:space="preserve">TRUJILLO BECERRA ALEJANDRA </t>
  </si>
  <si>
    <t xml:space="preserve">GONZALEZ MARTINEZ WILSON </t>
  </si>
  <si>
    <t>CASAMACHIN VALENCIA ARLEY DAVISON</t>
  </si>
  <si>
    <t xml:space="preserve">ORDOÑEZ MUÑOZ YONETH </t>
  </si>
  <si>
    <t>ARMENTA ACOSTA NELSON ARTURO</t>
  </si>
  <si>
    <t xml:space="preserve">PIÑACUE MORENO CRISTHIAN </t>
  </si>
  <si>
    <t>NINO DUENAS GIOVANY ANDRES</t>
  </si>
  <si>
    <t>MOLANO DUENAS MARIA FERNANDA</t>
  </si>
  <si>
    <t xml:space="preserve">RODRIGUEZ DIAZ JOEL </t>
  </si>
  <si>
    <t xml:space="preserve">PUERTO  ANY </t>
  </si>
  <si>
    <t>TAPIAS HERNANDEZ SHIRLEY ESTELLA</t>
  </si>
  <si>
    <t>JIMENEZ QUINTERO GUILLERMO JOSE</t>
  </si>
  <si>
    <t>MORA SOPO EDITH PAOLA</t>
  </si>
  <si>
    <t>CAICEDO SEGURA JUAN JOSE</t>
  </si>
  <si>
    <t>CORRALES CASTANO FLOR ISAURA</t>
  </si>
  <si>
    <t>BURBANO ESTRADA JHON JAIRO</t>
  </si>
  <si>
    <t>ZAMORA ORTIZ CHRISTIAN GIOVANNY</t>
  </si>
  <si>
    <t>LEAL SUAREZ RUBEN ARMANDO</t>
  </si>
  <si>
    <t>CAICEDO RAMIREZ LUZ DARY</t>
  </si>
  <si>
    <t>ASCENCIO HIGUERA DIANA PATRICIA</t>
  </si>
  <si>
    <t xml:space="preserve">CABALLERO  JAVIER </t>
  </si>
  <si>
    <t xml:space="preserve">ANDREA  LADY </t>
  </si>
  <si>
    <t>MENDOZA RIVERA DAYANA LISETH</t>
  </si>
  <si>
    <t>BENAVIDES JURADO JHONATTAN ANDRES</t>
  </si>
  <si>
    <t>NUÑEZ BONILLA ALEXANDER ANTONIO</t>
  </si>
  <si>
    <t>ARAGON LOZANO ARCANGEL FERNANDO</t>
  </si>
  <si>
    <t>PUERTO  JESUS DAVID</t>
  </si>
  <si>
    <t xml:space="preserve">FLOREZ MADRID ANGELICA </t>
  </si>
  <si>
    <t>CARDENAS GAMBOA NANCY LISETH</t>
  </si>
  <si>
    <t>HORTUA VALDERRAMA JENNY KARINA</t>
  </si>
  <si>
    <t>GONZALEZ MELO ADRIANA CONSTANZA</t>
  </si>
  <si>
    <t xml:space="preserve">MEDINA RUIZ NORVEY </t>
  </si>
  <si>
    <t>LANDAZABAL GUTIERREZ NELSON ROBERTO</t>
  </si>
  <si>
    <t>CARRILLO DURAN JEAN CARLOS</t>
  </si>
  <si>
    <t>GELVEZ VILLARREAL YEFERSON ALFREDO</t>
  </si>
  <si>
    <t>ORTEGA GELVEZ JOSE GREGORIO</t>
  </si>
  <si>
    <t>SOLANO CASTELLANO EDUARD NICASIO</t>
  </si>
  <si>
    <t>PIÑEROS  LEIDY KARINA</t>
  </si>
  <si>
    <t>VELASQUEZ BARRERA MILDRE YULIETH</t>
  </si>
  <si>
    <t>MOJICA GUALDRON VICTOR ENRIQUE</t>
  </si>
  <si>
    <t xml:space="preserve">GARCIA  WILBER </t>
  </si>
  <si>
    <t>BARRIO COLOMBIA PARADA MARIA VALENTINA</t>
  </si>
  <si>
    <t>CHACON PALENCIA LUNA STEFANIA</t>
  </si>
  <si>
    <t>CL 20 42 96 LOPEZ DEYBER YADIR</t>
  </si>
  <si>
    <t xml:space="preserve">DURAN  JESSICA </t>
  </si>
  <si>
    <t>LLANES RINCON LUIS FERNANDO</t>
  </si>
  <si>
    <t>RODRIGUEZ FONSECA ZULY YULITH</t>
  </si>
  <si>
    <t>BEJARANO SANCHEZ JEFFERSON ALBERTO</t>
  </si>
  <si>
    <t>RIVERA PARRA DEIVY YESID</t>
  </si>
  <si>
    <t>GALLEGO MANTILLA FREDY SOLON</t>
  </si>
  <si>
    <t>LOPEZ ACEVEDO GREGORY JOSUE</t>
  </si>
  <si>
    <t xml:space="preserve">FERNANDEZ  JOSE </t>
  </si>
  <si>
    <t>PEÑA CARVAJAL JULIO ANDRES</t>
  </si>
  <si>
    <t>GARZON MUÑOZ JESSICA ALEXANDRA</t>
  </si>
  <si>
    <t xml:space="preserve">ACEVEDO  MARIAM </t>
  </si>
  <si>
    <t xml:space="preserve">CASTELLANOS ESTUPIÑAN CATALINA </t>
  </si>
  <si>
    <t>PEDRAZA VARGAS CARLOS HUMBERTO</t>
  </si>
  <si>
    <t xml:space="preserve">BENITEZ  AZUCENA </t>
  </si>
  <si>
    <t xml:space="preserve">MEDINA FLOREZ MARILUZ </t>
  </si>
  <si>
    <t xml:space="preserve">MORA BAÑOS LEOENGRIS </t>
  </si>
  <si>
    <t>JAIMES BOHORQUEZ SHIRLEY YOMARY</t>
  </si>
  <si>
    <t xml:space="preserve">BASTO CORREA EDWIN </t>
  </si>
  <si>
    <t>GARCIA VALENZUELA FELIX HUMBERTO</t>
  </si>
  <si>
    <t>CAICEDO VEGA ERIKA LISETH</t>
  </si>
  <si>
    <t>TORRES SUAREZ LENNY JOOLETH</t>
  </si>
  <si>
    <t xml:space="preserve">JIMENEZ  DIANA </t>
  </si>
  <si>
    <t>BLANCO ALMEIDA MANUEL YESID</t>
  </si>
  <si>
    <t>NUÑEZ LIZARAZO SERGIO ALBERTO</t>
  </si>
  <si>
    <t>BARRERA JOYA SONIA JUDITH</t>
  </si>
  <si>
    <t>MEJIA CASTELLANOS FELIX EDUARDO</t>
  </si>
  <si>
    <t>LEAL OCAMPO DIANA CAROLINA</t>
  </si>
  <si>
    <t>RODRIGUEZ QUITIAN VICKY GISELA</t>
  </si>
  <si>
    <t>MOYANO CALVETE JAIRO ALBERTO</t>
  </si>
  <si>
    <t>LOPEZ CARREÑO BRITHNEY ZULLIAM</t>
  </si>
  <si>
    <t>SILVA BALAGUERA SANDRA MILENA</t>
  </si>
  <si>
    <t>APARICIO DULCEY ERICA YUDIDSA</t>
  </si>
  <si>
    <t>DELGADO LOPEZ JENIFER ANDREA</t>
  </si>
  <si>
    <t>REYES ORTIZ JULIO CESAR</t>
  </si>
  <si>
    <t>PALACIO MORALES LUZ AMANDA</t>
  </si>
  <si>
    <t>CASTELLANOS OJEDA SAIRA ISABEL</t>
  </si>
  <si>
    <t>JIMENEZ MERCHAN MONICA LILIANA</t>
  </si>
  <si>
    <t xml:space="preserve">NIÑO FLOREZ NELIDA </t>
  </si>
  <si>
    <t>SILVA NIÑO JUN DANIEL</t>
  </si>
  <si>
    <t>SOLANO DUEÑAS JOSE ANGEL</t>
  </si>
  <si>
    <t xml:space="preserve">GIRATA INFANTE ELIECER </t>
  </si>
  <si>
    <t xml:space="preserve">SILVA SILVA RIGOBERTO </t>
  </si>
  <si>
    <t xml:space="preserve">BALAGUERA ALBARRACIN MARYLUZ </t>
  </si>
  <si>
    <t>ALVAREZ PEÑA DIANA CAROLINA</t>
  </si>
  <si>
    <t>CARVAJAL SUAREZ ELIANA MAYERLY</t>
  </si>
  <si>
    <t>DUEÑAS  ERIKA YISSETH</t>
  </si>
  <si>
    <t>LUNA CARRILLO SONIA VIVIANA</t>
  </si>
  <si>
    <t>BARRERA ARCINIEGAS SANDRA XIMENA</t>
  </si>
  <si>
    <t xml:space="preserve">SILVA  MARTHA </t>
  </si>
  <si>
    <t>ROJAS PEREZ DAVID RICARDO</t>
  </si>
  <si>
    <t>LOPEZ PORTILLA NINI JOHANNA</t>
  </si>
  <si>
    <t>PIRAGAUTA BOTIA LAURA CAROLINA</t>
  </si>
  <si>
    <t>MURCIA GARCIA KAREN ANDREA</t>
  </si>
  <si>
    <t xml:space="preserve">GOMEZ REATIGA RENZZO </t>
  </si>
  <si>
    <t xml:space="preserve">ALCOCER GAMARRA YESENIA </t>
  </si>
  <si>
    <t>PULIDO ARCHILA LEIDY YASMITH</t>
  </si>
  <si>
    <t>CIFUENTES BLANCO MONICA YURANY</t>
  </si>
  <si>
    <t>VELANDIA FONSECA JORGE MAURICIO</t>
  </si>
  <si>
    <t>JUAN CAMILO LASPRILLA SUAREZ</t>
  </si>
  <si>
    <t>FERNANDEZ CORREA MONICA FERNANDA</t>
  </si>
  <si>
    <t>PEDRAZA CAMACHO FRANCISCO JAVIER</t>
  </si>
  <si>
    <t>ALVARADO GUERRERO HERSON LEONARDO</t>
  </si>
  <si>
    <t>TELLEZ GONZALEZ PAULA ANDREA</t>
  </si>
  <si>
    <t>SUAREZ FLECHAS JULIO ROBERTO</t>
  </si>
  <si>
    <t>CASTRO DUITAMA SANTIAGO ANDRES</t>
  </si>
  <si>
    <t>VEGA CHAPARRO MONICA ALEJANDRA</t>
  </si>
  <si>
    <t>BAEZ BENAVIDES MIGUEL ANGEL</t>
  </si>
  <si>
    <t>PARRA URIBE ANGGEE TATIANA</t>
  </si>
  <si>
    <t xml:space="preserve">OROZCO  JEFERSON </t>
  </si>
  <si>
    <t>AMEZQUITA FONSECA DAVID FABIAN</t>
  </si>
  <si>
    <t>BALLESTEROS GUEVARA JUAN DIEGO</t>
  </si>
  <si>
    <t xml:space="preserve">MARTINEZ NIEVES ETELVINA </t>
  </si>
  <si>
    <t xml:space="preserve">AGUILAR VELASCO DAVID </t>
  </si>
  <si>
    <t xml:space="preserve">BARRIOS REY ANDERSON </t>
  </si>
  <si>
    <t>TORRES PEREZ ROSNAIRA KATHERINNE</t>
  </si>
  <si>
    <t>AGREDO PARRA PABLO EMILIO</t>
  </si>
  <si>
    <t xml:space="preserve">PAREDES AVENDAÑO NICOLAS </t>
  </si>
  <si>
    <t>BENAVIDES ROJAS GERMAN JULIAN</t>
  </si>
  <si>
    <t>MUÑOZ MERCHAN IRLENNE KATHERINE</t>
  </si>
  <si>
    <t xml:space="preserve">SANCHEZ  YULY </t>
  </si>
  <si>
    <t>SANTOS FIGUEROA GERMAN AUGUSTO</t>
  </si>
  <si>
    <t>FERNANDEZ ROJAS JEIMY ALEXANDRA</t>
  </si>
  <si>
    <t>KRA 6 68 118 ROJAS LIYEN SOLANYI</t>
  </si>
  <si>
    <t xml:space="preserve">CAMACHO MURILLO MARGARITA </t>
  </si>
  <si>
    <t xml:space="preserve">TORRA ANAYIBE LOPEZ </t>
  </si>
  <si>
    <t>NIÑO NEIRA ZULLY MARIA</t>
  </si>
  <si>
    <t xml:space="preserve">GUAUQUE  CARLOS </t>
  </si>
  <si>
    <t>PEREZ MUTIS MARIA PILAR</t>
  </si>
  <si>
    <t>PEÑA ROJAS NAYELY DURLEY</t>
  </si>
  <si>
    <t>SEVERICHE M MARIO ANDRES</t>
  </si>
  <si>
    <t>DIAZ RODRIGUEZ JULIA CAROLINA</t>
  </si>
  <si>
    <t>CUADROS LIZCANO CRISTIAN DAVI</t>
  </si>
  <si>
    <t>SUAREZ SOACHA SULAY LINETH</t>
  </si>
  <si>
    <t>ARCINIEGAS AMADO ALVARO DE JESUS</t>
  </si>
  <si>
    <t xml:space="preserve">OTALORA RAMIREZ JAVIER </t>
  </si>
  <si>
    <t>ALEAN MEDINA BENJAMIN JOSE</t>
  </si>
  <si>
    <t>MEJIA FRANCO EDWIN FERNEY</t>
  </si>
  <si>
    <t>CARRANZA CABALLERO ERIKA LORENA</t>
  </si>
  <si>
    <t>PAEZ SANCHEZ DANIEL ARMANDO</t>
  </si>
  <si>
    <t>DANIEL FELIPE LOZANO MORA</t>
  </si>
  <si>
    <t>CANO TABORNA CESAR JULIO</t>
  </si>
  <si>
    <t>HERRERA RODRIGUEZ DIANA MILENA</t>
  </si>
  <si>
    <t>LEYTON TAVERA KEVIN STIWAR</t>
  </si>
  <si>
    <t>MARQUEZ GONZALEZ JHON CARLOS</t>
  </si>
  <si>
    <t xml:space="preserve">MONTOYA CARVAJAL ALEXNEY </t>
  </si>
  <si>
    <t xml:space="preserve">VERGARA VILLA ESTEFANIA </t>
  </si>
  <si>
    <t>SEPULVEDA SUAREZ ERIKA VIVIANA</t>
  </si>
  <si>
    <t xml:space="preserve">ESPEJO GIL DUBERLEI </t>
  </si>
  <si>
    <t xml:space="preserve">MORA  JHONATHAN </t>
  </si>
  <si>
    <t xml:space="preserve">CORRALES  NATALIA </t>
  </si>
  <si>
    <t>ORTEGON PEREZ LUISA FERNANDA</t>
  </si>
  <si>
    <t>MARIÑO ANGARITA JULIAN DAVID</t>
  </si>
  <si>
    <t>REINA RAMIREZ KAREN SOFIA</t>
  </si>
  <si>
    <t xml:space="preserve">PEDREROS RAMIREZ YILEMI </t>
  </si>
  <si>
    <t xml:space="preserve">OSORIO  DILBERTO </t>
  </si>
  <si>
    <t>ALARCON LINARES LUISA FERNANDA</t>
  </si>
  <si>
    <t>BARRERA SUAREZ DAMIAN GERARDO</t>
  </si>
  <si>
    <t>GUEVARA AZA EDGAR RICARDO</t>
  </si>
  <si>
    <t>SANDOVAL GORDILLO CARLOS ANDRES</t>
  </si>
  <si>
    <t>HERRERA ARANGO MIGUEL ANGEL</t>
  </si>
  <si>
    <t>BERNAL NINO JESUS AMAHURY</t>
  </si>
  <si>
    <t>GOMEZ SUAREZ SANDRA VIVIANA</t>
  </si>
  <si>
    <t>camargo VALENCIA JULIETH KATHERINE</t>
  </si>
  <si>
    <t xml:space="preserve">AVILA MOJICA FERNANDO </t>
  </si>
  <si>
    <t xml:space="preserve">AGUILERA  DEIMAR </t>
  </si>
  <si>
    <t xml:space="preserve">MESA CANTOR ULISES </t>
  </si>
  <si>
    <t>CASTELLANOS PEDRAZA ANDREA ESTEFANIA</t>
  </si>
  <si>
    <t>OCHOA MORALES WILLIAN ELIECER</t>
  </si>
  <si>
    <t>GUIO SOLANO EDWIN GEOVANNY</t>
  </si>
  <si>
    <t>ORTIZ GONZALEZ ANA ROSA</t>
  </si>
  <si>
    <t>MONROY GUZMAN LAURA ELIZABETH</t>
  </si>
  <si>
    <t>RODRIGUEZ RODRIGUEZ PABLO MAGDIEL</t>
  </si>
  <si>
    <t>TORRES CUY MARIA ALEJANDRA</t>
  </si>
  <si>
    <t>GARCIA OROZCO HENRY DAVID</t>
  </si>
  <si>
    <t>SUAREZ FERNANDEZ CRISTIAN DAVID</t>
  </si>
  <si>
    <t>SOLANO AVELLA MIGUEL ANGEL</t>
  </si>
  <si>
    <t>GOMEZ VELASQUEZ LUIS ALFONSO</t>
  </si>
  <si>
    <t xml:space="preserve">OROSCO  IBY </t>
  </si>
  <si>
    <t>GOMEZ CORREDOR DUVAN ALEJANDRO</t>
  </si>
  <si>
    <t>PINZON GUAYANES FRANKLIN DUVAN</t>
  </si>
  <si>
    <t>CAMARGO CUEVAS ERICA JOHANNA</t>
  </si>
  <si>
    <t xml:space="preserve">VEGA TORO  HASBLEYDI </t>
  </si>
  <si>
    <t>JIMENEZ GALINDO LUIS HERNAN</t>
  </si>
  <si>
    <t>MANCIPE RIVERA JUAN MANUEL</t>
  </si>
  <si>
    <t>TAMAYO PINEDA JONATHAN ANDRES</t>
  </si>
  <si>
    <t>JAIMES COLON YACKSON RENE</t>
  </si>
  <si>
    <t>PEREZ VARGAS CAMILO JOSE</t>
  </si>
  <si>
    <t>JAIMES  KERLY ALEXANDRA</t>
  </si>
  <si>
    <t>RAMIREZ PARALES JORGE EDUARDO</t>
  </si>
  <si>
    <t xml:space="preserve">GONSALEZ  EIMAR </t>
  </si>
  <si>
    <t xml:space="preserve">JAIMES COLON JEFERSON </t>
  </si>
  <si>
    <t>CABALLERO CEPEDA HENRY YAMID</t>
  </si>
  <si>
    <t xml:space="preserve">FUENTES PANQUEVA LETICIA </t>
  </si>
  <si>
    <t xml:space="preserve">RAMIREZ  YULEIMA </t>
  </si>
  <si>
    <t>NOVOA CABALLERO YEISY MARIAM</t>
  </si>
  <si>
    <t>ALFONSO SIERRA OMAR ERNESTO</t>
  </si>
  <si>
    <t>DELGADO PEÑARANDA ANGRI TALIA</t>
  </si>
  <si>
    <t xml:space="preserve">ARENAS BERMUDEZ HAYDER </t>
  </si>
  <si>
    <t xml:space="preserve">AMAYA VEGA NEYBER </t>
  </si>
  <si>
    <t>OLIVARES CALDERON CARLOS EDUARDO</t>
  </si>
  <si>
    <t>CHAPARRO MESA JUAN GABRIEL</t>
  </si>
  <si>
    <t>GUTIERREZ ESPITIA LUZ ONEIDA</t>
  </si>
  <si>
    <t>CARRANZA RODRIGUEZ CLAUDIA YISEL</t>
  </si>
  <si>
    <t xml:space="preserve">PAEZ GUTIERREZ NIYIRETH </t>
  </si>
  <si>
    <t xml:space="preserve">MONTOYA ORTIZ CIRLEY </t>
  </si>
  <si>
    <t>ALEGRIA BAEZ WILMER ENRIQUE</t>
  </si>
  <si>
    <t>CELIS PERILLA WILLIAM FERNANDO</t>
  </si>
  <si>
    <t xml:space="preserve">CASTRO PINZON ALBEIRO </t>
  </si>
  <si>
    <t>MAHECHA MORA EDILSON YESITH</t>
  </si>
  <si>
    <t>JOROPA SANABRIA HEIDI YOLANDA</t>
  </si>
  <si>
    <t xml:space="preserve">GONZALEZ DEDIOS  WILMER </t>
  </si>
  <si>
    <t>TRUJILLO LEGUIZAMON ADRIANA LIZETH</t>
  </si>
  <si>
    <t>CASTRO  PAOLA ANDREA</t>
  </si>
  <si>
    <t>CAMACHO  LIDA ANDREA</t>
  </si>
  <si>
    <t>CORDOBA SILVA DIEGO FERNANDO</t>
  </si>
  <si>
    <t>SIABATO RIAÑO JOHN JHERZON</t>
  </si>
  <si>
    <t xml:space="preserve">VARGAS MANOSALVA EMILSE </t>
  </si>
  <si>
    <t xml:space="preserve">ramos  nidia </t>
  </si>
  <si>
    <t>GONZALEZ VALLEJO YEXSY LEONEL</t>
  </si>
  <si>
    <t>GARCIA VARGAS DIEGO ARMANDO</t>
  </si>
  <si>
    <t>SARMIENTO TORRES JHON ALEXANDER</t>
  </si>
  <si>
    <t>GONZALEZ GALLO JEISSON DAVID</t>
  </si>
  <si>
    <t>PRECIADO OSPINA JENNY ALEXANDRA</t>
  </si>
  <si>
    <t>ALVAREZ NEIRA GINA MARCELA</t>
  </si>
  <si>
    <t>RAMIREZ GALINDO HERNAN DANILO</t>
  </si>
  <si>
    <t>ROJAS OROZCO DAIRY NUCELY</t>
  </si>
  <si>
    <t>OCHOA OROZCO IBETH ROCIO</t>
  </si>
  <si>
    <t>CORREDOR CELY HENRY EZEQUIEL</t>
  </si>
  <si>
    <t>GUTIERREZ CEPEDA KAROL SOFIA</t>
  </si>
  <si>
    <t>CAMARGO TORRES DEISY CAROLINA</t>
  </si>
  <si>
    <t xml:space="preserve">LOPEZ  MAYRA </t>
  </si>
  <si>
    <t>TOLOZA MATEUS YULIETH KATHERINNE</t>
  </si>
  <si>
    <t>JIMENEZ  CRISTIAN JAHYDIER</t>
  </si>
  <si>
    <t>RODRIGUEZ CHAPARRO LYDA JAZMIN</t>
  </si>
  <si>
    <t>CAMPOS RINCON MARY ALEJANDRA</t>
  </si>
  <si>
    <t>RODRIGUEZ DIAZ LAURA CATALINA</t>
  </si>
  <si>
    <t>GONZALEZ  DIDIER ALEXANDER</t>
  </si>
  <si>
    <t>MORANTES FIQUITIVA FANNY DANIELA</t>
  </si>
  <si>
    <t>CANDELA DEL RIO  JOHN FREDI</t>
  </si>
  <si>
    <t>MENDIVELSO MENDIVELSO KAREN MAYERLY</t>
  </si>
  <si>
    <t>MATALLANA  OSCAR FELIPE</t>
  </si>
  <si>
    <t>RINCON DUARTE JULY ANDREA</t>
  </si>
  <si>
    <t xml:space="preserve">MELLER CASTRO MELISA </t>
  </si>
  <si>
    <t xml:space="preserve">ALEXANDER  EMMERSON </t>
  </si>
  <si>
    <t>SIGUA LOMBANA WINDY ZULEIDY</t>
  </si>
  <si>
    <t>SUA CHISTANCHO YONH JAIRO</t>
  </si>
  <si>
    <t>GONZALEZ ACHAGUA ANA YALEXI</t>
  </si>
  <si>
    <t>GUTIERREZ AVELLA EMANUEL FRANCISCO</t>
  </si>
  <si>
    <t>MORA GODOY DIANA SISLEYDI</t>
  </si>
  <si>
    <t>RODRIGUEZ CUEVAS KAREN SOFIA</t>
  </si>
  <si>
    <t>BOHORQUEZ VALDES ANDREA MILENA</t>
  </si>
  <si>
    <t>TARACHE  ELSY ROSMARY</t>
  </si>
  <si>
    <t>GIRON PICON GEILER FABIAN</t>
  </si>
  <si>
    <t>NOVAS GOMEZ SAHORY ASTRID</t>
  </si>
  <si>
    <t>VARGAS HOYOS DIEGO FABIAN</t>
  </si>
  <si>
    <t>SALSEDO QUIROZ OSCAR ELIEZER</t>
  </si>
  <si>
    <t>JAFAITEQUE  GREYSI DEYSI</t>
  </si>
  <si>
    <t>MARTINEZ SANCHEZ FREDY ALEXANDER</t>
  </si>
  <si>
    <t>REYES REYES LINNA MARIA</t>
  </si>
  <si>
    <t xml:space="preserve">ARISMENDI  JULIAN </t>
  </si>
  <si>
    <t>MORALES MANRIQUE MIGUEL ANDRES</t>
  </si>
  <si>
    <t>BARRERA SOL ANGELA CARMENSA</t>
  </si>
  <si>
    <t xml:space="preserve">CEDANO AVILEZ MAGNOLIA </t>
  </si>
  <si>
    <t xml:space="preserve">SALGADO MARIN YULIETH </t>
  </si>
  <si>
    <t>HERNANDEZ MORENO SAUL ANDRES</t>
  </si>
  <si>
    <t>MORALES PUERTO JAIME ANDRES</t>
  </si>
  <si>
    <t>BAEZ INFANTE DIANA PAOLA</t>
  </si>
  <si>
    <t>REY GARAY OMAR OLIVERIO</t>
  </si>
  <si>
    <t>LOZANO VELASQUEZ YULIETH PAOLA</t>
  </si>
  <si>
    <t>MESA CARDENAS CRISTIAN JAVIER</t>
  </si>
  <si>
    <t>RANGEL DUARTE LUIGI DIONICIO</t>
  </si>
  <si>
    <t>COVIS ALVAREZ JOSE ANGEL</t>
  </si>
  <si>
    <t>GRANADOS BUENO CLAUDIA PATRICIA</t>
  </si>
  <si>
    <t>HORTA CLAVIJO JEFER ADRIAN</t>
  </si>
  <si>
    <t>MENDEZ TUSARMA NEYLI DANELLY</t>
  </si>
  <si>
    <t>VILLAMIL BEJARANO ANDRES ASDRUBAL</t>
  </si>
  <si>
    <t xml:space="preserve">MORALES  LAURA </t>
  </si>
  <si>
    <t xml:space="preserve">GOMEZ LOPEZ CAROLINA </t>
  </si>
  <si>
    <t>SARMIENTO  NIKOLL STERTH</t>
  </si>
  <si>
    <t>REYES CHAUX JORGE ENRIQUE</t>
  </si>
  <si>
    <t>PADILLA RIVERA ARCELIO JOSE</t>
  </si>
  <si>
    <t xml:space="preserve">CERON CHAVES BERNARDO </t>
  </si>
  <si>
    <t xml:space="preserve">DAZA  CLAUDIA </t>
  </si>
  <si>
    <t>CARRERO BENAVIDES JOSE LUIS</t>
  </si>
  <si>
    <t>CACERES UYABAN VICTOR ALFONSO</t>
  </si>
  <si>
    <t>GRIMALDO HERNANDEZ LEYDY LORENA</t>
  </si>
  <si>
    <t>MONCADA DUARTE IVAN RAUL</t>
  </si>
  <si>
    <t>BRIÑEZ LOPEZ ANGELA PATRICIA</t>
  </si>
  <si>
    <t>SANTOS SANCHEZ DELIANA CAROLINA</t>
  </si>
  <si>
    <t xml:space="preserve">DURAN  MIREYA </t>
  </si>
  <si>
    <t>SORIA CUADROS 1_2_3 PASTA TO GO JANNETH</t>
  </si>
  <si>
    <t>REYES RIVEROS JULY ELIANA</t>
  </si>
  <si>
    <t>MENDIVELSO ABRIL ADIELA NATALY</t>
  </si>
  <si>
    <t>BERGEL DIAZ DAISILIS NEXDALY</t>
  </si>
  <si>
    <t>ECHAVARRIA GOMEZ WILLIAM MAURICIO</t>
  </si>
  <si>
    <t>LOPEZ SUAREZ VIRGILIO SENON</t>
  </si>
  <si>
    <t>MORANTES CASTELLANOS LUIS ALONSO</t>
  </si>
  <si>
    <t>OROZCO CASTRO DAYANA STEFANY</t>
  </si>
  <si>
    <t>ORTEGA OLIVERA CINDY PATRICIA</t>
  </si>
  <si>
    <t>QUINTERO DURAN michell JOSEP</t>
  </si>
  <si>
    <t>MORALES OLIVEROS DAYSY CAROLINA</t>
  </si>
  <si>
    <t>REINA RIVERA ANGIE VIVIANA</t>
  </si>
  <si>
    <t xml:space="preserve">MENDIVELSO SUA LILIANA </t>
  </si>
  <si>
    <t>VELANDIA VEGA FERNEY FABIAN</t>
  </si>
  <si>
    <t xml:space="preserve">OTALORA  SERGIO </t>
  </si>
  <si>
    <t>VELANDIA RODRIGUEZ JULIAN DAVID</t>
  </si>
  <si>
    <t>SUAREZ RAMIREZ JAIR ALEXIS</t>
  </si>
  <si>
    <t>RODRIGUEZ GOMEZ LAURA VALENTINA</t>
  </si>
  <si>
    <t xml:space="preserve">SOCHA  YULIETH </t>
  </si>
  <si>
    <t xml:space="preserve">BECERRA PEÑA ARNOLI NICOLAS </t>
  </si>
  <si>
    <t>DOMINGUEZ ROSAS WILSON ANDRES</t>
  </si>
  <si>
    <t xml:space="preserve">CAICEDO  JOHISMAR </t>
  </si>
  <si>
    <t>SUAREZ MACIAS DANIELA YANIRA</t>
  </si>
  <si>
    <t>CUJIA GUERRERO KAROL YESENIA</t>
  </si>
  <si>
    <t>GONZALEZ ROJAS STIVEN RODOLFO</t>
  </si>
  <si>
    <t>JIMENEZ BOHORQUEZ DALIANA MARIA</t>
  </si>
  <si>
    <t>RUIZ RUIZ MARCO ANTONIO</t>
  </si>
  <si>
    <t>SILVA FERNANDEZ HEIVER DAVID</t>
  </si>
  <si>
    <t xml:space="preserve">HERNANDEZ ORTIZ MARIA </t>
  </si>
  <si>
    <t xml:space="preserve">SANDOVAL  DIEGO </t>
  </si>
  <si>
    <t>ESTEPA DALLOS BRENDA NATALIA</t>
  </si>
  <si>
    <t xml:space="preserve">CARVAJAL MENDIVELSO ALEIDA </t>
  </si>
  <si>
    <t>SISA GONZALEZ LIZETH CAROLINA</t>
  </si>
  <si>
    <t>SOLANO AGUDELO LINA PAOLA</t>
  </si>
  <si>
    <t>SEDANO GARCIA VANES ALEXANDRA</t>
  </si>
  <si>
    <t>JORGE ALEJANDRO TORRES OROSCO</t>
  </si>
  <si>
    <t>BARBOSA RODRIGUEZ SEBASTIAN ANDRES</t>
  </si>
  <si>
    <t>SOLANO MURCIA SAMUEL FELIPE</t>
  </si>
  <si>
    <t>ROJAS CAMARGO EDUAR ESTEBAN</t>
  </si>
  <si>
    <t xml:space="preserve">MONSALVE  JESSICA </t>
  </si>
  <si>
    <t>JIMENEZ BECERRA MARIA ALEJANDRA</t>
  </si>
  <si>
    <t>SANCHEZ CASTAÑEDA NICOL TATIANA</t>
  </si>
  <si>
    <t>ORTEGA GOMEZ FRANCSCO JAVIER</t>
  </si>
  <si>
    <t xml:space="preserve">DIAZ CASTAÑEDA EMMANUEL </t>
  </si>
  <si>
    <t>BLANCO HERNANDEZ MAGGLIONY FERNANDO</t>
  </si>
  <si>
    <t>CARDENAS CANO LUIS ANGEL</t>
  </si>
  <si>
    <t>LOPEZ CHIQUILLO DIEGO FELIPE</t>
  </si>
  <si>
    <t xml:space="preserve">FUENTES  ANGELA </t>
  </si>
  <si>
    <t xml:space="preserve">PEREZ  LUISA </t>
  </si>
  <si>
    <t>PARADA GUALTEROS JEISSON DAVID</t>
  </si>
  <si>
    <t xml:space="preserve">BERMUDEZ  MAURICIO </t>
  </si>
  <si>
    <t>GOMEZ CLAVIJO ANGELICA MARIA</t>
  </si>
  <si>
    <t xml:space="preserve">COREDOR PATIÑO  ALIX SANDRA </t>
  </si>
  <si>
    <t>MULTIFAMILIAR  CONJUNTO RESIDENCIAL VILLA PATRICIA</t>
  </si>
  <si>
    <t>PARROQUIA CRISTO REY</t>
  </si>
  <si>
    <t>CIRCULO DE VIAJES UNIVERSAL</t>
  </si>
  <si>
    <t>CAMARA DE COMERCIO DUITAMA</t>
  </si>
  <si>
    <t>ETICOS SAS</t>
  </si>
  <si>
    <t>JESUCRISTO DE IGLESIA DE</t>
  </si>
  <si>
    <t>LABORATORIOS SIEGFRIED SAS</t>
  </si>
  <si>
    <t>SUELOPETROL,C.SUCURSL COLOMBIA</t>
  </si>
  <si>
    <t>INVERSIONES ALIANZA 2G SAS</t>
  </si>
  <si>
    <t>MASSER</t>
  </si>
  <si>
    <t>INTEGRALES  CONSULTORIAS Y SOLUCIONES</t>
  </si>
  <si>
    <t>FUNDACION PARA LA PROSPERIDAD</t>
  </si>
  <si>
    <t>E&amp;LSOLUCIONES CONSTRUCTIVAS SAS</t>
  </si>
  <si>
    <t>LAS ROCAS SAS</t>
  </si>
  <si>
    <t>GRUPO PROSPERAR AB LTA</t>
  </si>
  <si>
    <t>CENECOB ZOE2</t>
  </si>
  <si>
    <t>PARIS CARPAS Y EVENTOS</t>
  </si>
  <si>
    <t>DISTRIBUIDORA DE TRUCHAS</t>
  </si>
  <si>
    <t>FUNDACION NECGTAR</t>
  </si>
  <si>
    <t xml:space="preserve">ADULTO MAYOR2025  CONSORCIO </t>
  </si>
  <si>
    <t>JDEQ FISH SAS</t>
  </si>
  <si>
    <t>GOMEZ CASTRO LAURA ESTEFANY</t>
  </si>
  <si>
    <t>AVENDAÑO HIGUERA ANGELA PAOLA</t>
  </si>
  <si>
    <t>COLMENARES COLMENARES YEISON ANDRES</t>
  </si>
  <si>
    <t>SANCHEZ RIVERA JOHANA IBETH</t>
  </si>
  <si>
    <t>CAMACHO DIAZ YURY TATIANA TATIANA</t>
  </si>
  <si>
    <t xml:space="preserve">SUAREZ  EDGAR </t>
  </si>
  <si>
    <t>CONSUMIOR FINAL</t>
  </si>
  <si>
    <t>3204033011</t>
  </si>
  <si>
    <t>3142891518</t>
  </si>
  <si>
    <t>3338888888</t>
  </si>
  <si>
    <t>3014280804</t>
  </si>
  <si>
    <t>3138245040</t>
  </si>
  <si>
    <t>3164889122</t>
  </si>
  <si>
    <t>3217810003</t>
  </si>
  <si>
    <t>3208028778</t>
  </si>
  <si>
    <t>3115676271</t>
  </si>
  <si>
    <t>3112297238</t>
  </si>
  <si>
    <t>3112593594</t>
  </si>
  <si>
    <t>31010579848</t>
  </si>
  <si>
    <t>3143985286</t>
  </si>
  <si>
    <t>3212004323</t>
  </si>
  <si>
    <t>3108749250</t>
  </si>
  <si>
    <t>3105733298</t>
  </si>
  <si>
    <t>3112005346</t>
  </si>
  <si>
    <t>3208036225</t>
  </si>
  <si>
    <t>3133422702</t>
  </si>
  <si>
    <t>3123476282</t>
  </si>
  <si>
    <t>3144920272</t>
  </si>
  <si>
    <t>3114992731</t>
  </si>
  <si>
    <t>3102387857</t>
  </si>
  <si>
    <t>3105601434</t>
  </si>
  <si>
    <t>7603421</t>
  </si>
  <si>
    <t>3208021312</t>
  </si>
  <si>
    <t>3107740527</t>
  </si>
  <si>
    <t>3112515690</t>
  </si>
  <si>
    <t>3138460696</t>
  </si>
  <si>
    <t>3144788359</t>
  </si>
  <si>
    <t>3108622292</t>
  </si>
  <si>
    <t>3133440611</t>
  </si>
  <si>
    <t>3107767817</t>
  </si>
  <si>
    <t>3103495428</t>
  </si>
  <si>
    <t>3112926807</t>
  </si>
  <si>
    <t>3212883573</t>
  </si>
  <si>
    <t>3113344276-7628880</t>
  </si>
  <si>
    <t>3102465257</t>
  </si>
  <si>
    <t>3118294819</t>
  </si>
  <si>
    <t>3217367230</t>
  </si>
  <si>
    <t>3212425641</t>
  </si>
  <si>
    <t>3115934977</t>
  </si>
  <si>
    <t>3138447563</t>
  </si>
  <si>
    <t>3114526286</t>
  </si>
  <si>
    <t>3102658072</t>
  </si>
  <si>
    <t>3123796235</t>
  </si>
  <si>
    <t>3178111320</t>
  </si>
  <si>
    <t>3123269607</t>
  </si>
  <si>
    <t>3112087852</t>
  </si>
  <si>
    <t>3184723270</t>
  </si>
  <si>
    <t>3012234422</t>
  </si>
  <si>
    <t>3102395101</t>
  </si>
  <si>
    <t>3208546664</t>
  </si>
  <si>
    <t>3112375644</t>
  </si>
  <si>
    <t>3142377023</t>
  </si>
  <si>
    <t>3106883998</t>
  </si>
  <si>
    <t>3115078851</t>
  </si>
  <si>
    <t>3125079738</t>
  </si>
  <si>
    <t>3187998568</t>
  </si>
  <si>
    <t>3215877154</t>
  </si>
  <si>
    <t>3144119385</t>
  </si>
  <si>
    <t>3014232120</t>
  </si>
  <si>
    <t>3108823776</t>
  </si>
  <si>
    <t>3137800451</t>
  </si>
  <si>
    <t>3104809103</t>
  </si>
  <si>
    <t>3114486079</t>
  </si>
  <si>
    <t>3223639969</t>
  </si>
  <si>
    <t>3114542662</t>
  </si>
  <si>
    <t>3163763841</t>
  </si>
  <si>
    <t>3167449658</t>
  </si>
  <si>
    <t>3118348196</t>
  </si>
  <si>
    <t>3144062684</t>
  </si>
  <si>
    <t>3112816820</t>
  </si>
  <si>
    <t>3112228025</t>
  </si>
  <si>
    <t>3112526088</t>
  </si>
  <si>
    <t>3102155073</t>
  </si>
  <si>
    <t>3115896246</t>
  </si>
  <si>
    <t>3214229795</t>
  </si>
  <si>
    <t>3118031435</t>
  </si>
  <si>
    <t>3102414393</t>
  </si>
  <si>
    <t>3123945265</t>
  </si>
  <si>
    <t>3205200736</t>
  </si>
  <si>
    <t>3124124449</t>
  </si>
  <si>
    <t>3114814955</t>
  </si>
  <si>
    <t>3142965985</t>
  </si>
  <si>
    <t>3103283441</t>
  </si>
  <si>
    <t>3105690615</t>
  </si>
  <si>
    <t>3125265289</t>
  </si>
  <si>
    <t>3214080727</t>
  </si>
  <si>
    <t>3123448519.</t>
  </si>
  <si>
    <t>3177965493</t>
  </si>
  <si>
    <t>3208149699</t>
  </si>
  <si>
    <t>3202950713</t>
  </si>
  <si>
    <t>3144005827</t>
  </si>
  <si>
    <t>3209819006</t>
  </si>
  <si>
    <t>3112958381</t>
  </si>
  <si>
    <t>3205994728</t>
  </si>
  <si>
    <t>3204638757</t>
  </si>
  <si>
    <t>3043407090</t>
  </si>
  <si>
    <t>3115202507</t>
  </si>
  <si>
    <t>3114558679</t>
  </si>
  <si>
    <t>3217755012</t>
  </si>
  <si>
    <t>3102216897</t>
  </si>
  <si>
    <t>3006591974</t>
  </si>
  <si>
    <t>3112027222</t>
  </si>
  <si>
    <t>3124252085</t>
  </si>
  <si>
    <t>3112004588</t>
  </si>
  <si>
    <t>3112390571</t>
  </si>
  <si>
    <t>3208522429</t>
  </si>
  <si>
    <t>3112449257</t>
  </si>
  <si>
    <t>3103060704</t>
  </si>
  <si>
    <t>3165308796</t>
  </si>
  <si>
    <t>3112624978</t>
  </si>
  <si>
    <t>3125315461</t>
  </si>
  <si>
    <t>3222454501</t>
  </si>
  <si>
    <t>3112580041</t>
  </si>
  <si>
    <t>3202602080</t>
  </si>
  <si>
    <t>3132516715</t>
  </si>
  <si>
    <t>3124931178</t>
  </si>
  <si>
    <t>3148730095</t>
  </si>
  <si>
    <t>3114619763</t>
  </si>
  <si>
    <t>3115671881</t>
  </si>
  <si>
    <t>3114548137</t>
  </si>
  <si>
    <t>3114849850</t>
  </si>
  <si>
    <t>3103024678</t>
  </si>
  <si>
    <t>3112365195</t>
  </si>
  <si>
    <t>3112320201</t>
  </si>
  <si>
    <t>3133261089</t>
  </si>
  <si>
    <t>3204376430</t>
  </si>
  <si>
    <t>3183248567</t>
  </si>
  <si>
    <t>3203871588</t>
  </si>
  <si>
    <t>3225226282</t>
  </si>
  <si>
    <t>3134051799</t>
  </si>
  <si>
    <t>3125227300</t>
  </si>
  <si>
    <t>3115695601</t>
  </si>
  <si>
    <t>333888888</t>
  </si>
  <si>
    <t>3112641843</t>
  </si>
  <si>
    <t>3203454478</t>
  </si>
  <si>
    <t>3124009196</t>
  </si>
  <si>
    <t>3008568645</t>
  </si>
  <si>
    <t>3144749979</t>
  </si>
  <si>
    <t>3142373739</t>
  </si>
  <si>
    <t>3123441354</t>
  </si>
  <si>
    <t>3125823013</t>
  </si>
  <si>
    <t>3125315085</t>
  </si>
  <si>
    <t>3112060338</t>
  </si>
  <si>
    <t>3133027120</t>
  </si>
  <si>
    <t>3115677603</t>
  </si>
  <si>
    <t>3162856301</t>
  </si>
  <si>
    <t>3175744178</t>
  </si>
  <si>
    <t>3212865476</t>
  </si>
  <si>
    <t>3144396276</t>
  </si>
  <si>
    <t>3132965406</t>
  </si>
  <si>
    <t>3115055383</t>
  </si>
  <si>
    <t>3114483669</t>
  </si>
  <si>
    <t>3115884077</t>
  </si>
  <si>
    <t>3183031074</t>
  </si>
  <si>
    <t>3112875962</t>
  </si>
  <si>
    <t>3112621725</t>
  </si>
  <si>
    <t>3144439484</t>
  </si>
  <si>
    <t>3203024577</t>
  </si>
  <si>
    <t>7623427</t>
  </si>
  <si>
    <t>3158132964</t>
  </si>
  <si>
    <t>3123788010</t>
  </si>
  <si>
    <t>7870023</t>
  </si>
  <si>
    <t>3132622835</t>
  </si>
  <si>
    <t>3134809167</t>
  </si>
  <si>
    <t>3123041142</t>
  </si>
  <si>
    <t>3132951287</t>
  </si>
  <si>
    <t>3124579916</t>
  </si>
  <si>
    <t>3118102660</t>
  </si>
  <si>
    <t>3502497407</t>
  </si>
  <si>
    <t>3133587011</t>
  </si>
  <si>
    <t>3132822747</t>
  </si>
  <si>
    <t>3103010666</t>
  </si>
  <si>
    <t>3197750983</t>
  </si>
  <si>
    <t>3125169619</t>
  </si>
  <si>
    <t>3112333430</t>
  </si>
  <si>
    <t>3123626121</t>
  </si>
  <si>
    <t>3107931017</t>
  </si>
  <si>
    <t>3142101191</t>
  </si>
  <si>
    <t>3112139109</t>
  </si>
  <si>
    <t>3246866235</t>
  </si>
  <si>
    <t>3118042894</t>
  </si>
  <si>
    <t>3142993245</t>
  </si>
  <si>
    <t>3118106868</t>
  </si>
  <si>
    <t>3103202339</t>
  </si>
  <si>
    <t>3134244316</t>
  </si>
  <si>
    <t>3157460551</t>
  </si>
  <si>
    <t>3209320518</t>
  </si>
  <si>
    <t>3208026090</t>
  </si>
  <si>
    <t>3125242241</t>
  </si>
  <si>
    <t>3144535806</t>
  </si>
  <si>
    <t>3115580558</t>
  </si>
  <si>
    <t>3158652809</t>
  </si>
  <si>
    <t>3118071712</t>
  </si>
  <si>
    <t>3204827536</t>
  </si>
  <si>
    <t>3213785820</t>
  </si>
  <si>
    <t>3125303691</t>
  </si>
  <si>
    <t>3123497592</t>
  </si>
  <si>
    <t>3103162690</t>
  </si>
  <si>
    <t>3118286465</t>
  </si>
  <si>
    <t>3208929955</t>
  </si>
  <si>
    <t>3212627546</t>
  </si>
  <si>
    <t>3144115766</t>
  </si>
  <si>
    <t>3134218556</t>
  </si>
  <si>
    <t>3133714996</t>
  </si>
  <si>
    <t>3124484957</t>
  </si>
  <si>
    <t>3202064282</t>
  </si>
  <si>
    <t>3213708375</t>
  </si>
  <si>
    <t>3112250418</t>
  </si>
  <si>
    <t>3143536671</t>
  </si>
  <si>
    <t>3208113273</t>
  </si>
  <si>
    <t>3142803738</t>
  </si>
  <si>
    <t>3105562101</t>
  </si>
  <si>
    <t>31382344843</t>
  </si>
  <si>
    <t>3228410661</t>
  </si>
  <si>
    <t>3153467471</t>
  </si>
  <si>
    <t>3118306323</t>
  </si>
  <si>
    <t>3203244711</t>
  </si>
  <si>
    <t>3507937209</t>
  </si>
  <si>
    <t>3132949798</t>
  </si>
  <si>
    <t>3124522310</t>
  </si>
  <si>
    <t>3132718680</t>
  </si>
  <si>
    <t>3152766105</t>
  </si>
  <si>
    <t>3208802943</t>
  </si>
  <si>
    <t>3124058231</t>
  </si>
  <si>
    <t>3118854263</t>
  </si>
  <si>
    <t>3118487707</t>
  </si>
  <si>
    <t>3125703975</t>
  </si>
  <si>
    <t>3143523054</t>
  </si>
  <si>
    <t>3192184336</t>
  </si>
  <si>
    <t>3108823258</t>
  </si>
  <si>
    <t>3142466934</t>
  </si>
  <si>
    <t>3112725530</t>
  </si>
  <si>
    <t>3202309949</t>
  </si>
  <si>
    <t>3152662018</t>
  </si>
  <si>
    <t>3123453972</t>
  </si>
  <si>
    <t>314411261</t>
  </si>
  <si>
    <t>3203501148</t>
  </si>
  <si>
    <t>3144614583</t>
  </si>
  <si>
    <t>3204149710</t>
  </si>
  <si>
    <t>3108239941</t>
  </si>
  <si>
    <t>3214728866</t>
  </si>
  <si>
    <t>3125403349</t>
  </si>
  <si>
    <t>3114825098</t>
  </si>
  <si>
    <t>133783980</t>
  </si>
  <si>
    <t>3138025653</t>
  </si>
  <si>
    <t>3002644742</t>
  </si>
  <si>
    <t>3118310395</t>
  </si>
  <si>
    <t>3118202050</t>
  </si>
  <si>
    <t>3214525461</t>
  </si>
  <si>
    <t>3214495134</t>
  </si>
  <si>
    <t>3114848006</t>
  </si>
  <si>
    <t>3112733372</t>
  </si>
  <si>
    <t>3103461112</t>
  </si>
  <si>
    <t>3134602680</t>
  </si>
  <si>
    <t>3202268498</t>
  </si>
  <si>
    <t>3104784608</t>
  </si>
  <si>
    <t>3105749615</t>
  </si>
  <si>
    <t>3102577379</t>
  </si>
  <si>
    <t>3124277759</t>
  </si>
  <si>
    <t>3112402791</t>
  </si>
  <si>
    <t>3013763391</t>
  </si>
  <si>
    <t>3123854210</t>
  </si>
  <si>
    <t>3134672825</t>
  </si>
  <si>
    <t>3153168017</t>
  </si>
  <si>
    <t>3132563578</t>
  </si>
  <si>
    <t>3157116936</t>
  </si>
  <si>
    <t>3105856373</t>
  </si>
  <si>
    <t>3133946710</t>
  </si>
  <si>
    <t>3203064076</t>
  </si>
  <si>
    <t>3132800970</t>
  </si>
  <si>
    <t>3138681479</t>
  </si>
  <si>
    <t>3214266491</t>
  </si>
  <si>
    <t>3015491957</t>
  </si>
  <si>
    <t>3133863728</t>
  </si>
  <si>
    <t>3134221602</t>
  </si>
  <si>
    <t>3142822246</t>
  </si>
  <si>
    <t>3133979922</t>
  </si>
  <si>
    <t>3204883999</t>
  </si>
  <si>
    <t>3108521496</t>
  </si>
  <si>
    <t>3118256279</t>
  </si>
  <si>
    <t>3107839214</t>
  </si>
  <si>
    <t>3107910934</t>
  </si>
  <si>
    <t>3125730179</t>
  </si>
  <si>
    <t>3144119095</t>
  </si>
  <si>
    <t>3203439750</t>
  </si>
  <si>
    <t>3214208216</t>
  </si>
  <si>
    <t>3138284310</t>
  </si>
  <si>
    <t>3134666073</t>
  </si>
  <si>
    <t>3134227230</t>
  </si>
  <si>
    <t>3204335581</t>
  </si>
  <si>
    <t>3112404154</t>
  </si>
  <si>
    <t>3132520084</t>
  </si>
  <si>
    <t>3123638655</t>
  </si>
  <si>
    <t>3223095932</t>
  </si>
  <si>
    <t>3213413155</t>
  </si>
  <si>
    <t>3023011146</t>
  </si>
  <si>
    <t>3132646665</t>
  </si>
  <si>
    <t>3108822758</t>
  </si>
  <si>
    <t>3132082700</t>
  </si>
  <si>
    <t>3125615262</t>
  </si>
  <si>
    <t>3118091035</t>
  </si>
  <si>
    <t>3124476590</t>
  </si>
  <si>
    <t>3124790081</t>
  </si>
  <si>
    <t>3102949314</t>
  </si>
  <si>
    <t>3112624933</t>
  </si>
  <si>
    <t>3102862744</t>
  </si>
  <si>
    <t>3203466529</t>
  </si>
  <si>
    <t>3108763603</t>
  </si>
  <si>
    <t>3123066066</t>
  </si>
  <si>
    <t>3214924957</t>
  </si>
  <si>
    <t>3124143604</t>
  </si>
  <si>
    <t>3112451872</t>
  </si>
  <si>
    <t>3103068981</t>
  </si>
  <si>
    <t>3163355341</t>
  </si>
  <si>
    <t>3103059293</t>
  </si>
  <si>
    <t>3114412377</t>
  </si>
  <si>
    <t>3202358707</t>
  </si>
  <si>
    <t>3212974000</t>
  </si>
  <si>
    <t>3208343808</t>
  </si>
  <si>
    <t>3123880442</t>
  </si>
  <si>
    <t>3213844806</t>
  </si>
  <si>
    <t>3228215286</t>
  </si>
  <si>
    <t>3204954559</t>
  </si>
  <si>
    <t>3138172327</t>
  </si>
  <si>
    <t>3202746160</t>
  </si>
  <si>
    <t>3108643214</t>
  </si>
  <si>
    <t>3104801005</t>
  </si>
  <si>
    <t>3144919250</t>
  </si>
  <si>
    <t>3112897965</t>
  </si>
  <si>
    <t>3143490902</t>
  </si>
  <si>
    <t>3125211493</t>
  </si>
  <si>
    <t>3134195870</t>
  </si>
  <si>
    <t>3123106277</t>
  </si>
  <si>
    <t>3202259496</t>
  </si>
  <si>
    <t>3202315996</t>
  </si>
  <si>
    <t>3115924596</t>
  </si>
  <si>
    <t>3132071125</t>
  </si>
  <si>
    <t>3128584045</t>
  </si>
  <si>
    <t>3107981482</t>
  </si>
  <si>
    <t>3143256491</t>
  </si>
  <si>
    <t>3144373382</t>
  </si>
  <si>
    <t>3219571557</t>
  </si>
  <si>
    <t>3157638917</t>
  </si>
  <si>
    <t>3214644157</t>
  </si>
  <si>
    <t>3214516965</t>
  </si>
  <si>
    <t>3115575581</t>
  </si>
  <si>
    <t>3217927514</t>
  </si>
  <si>
    <t>3132619710</t>
  </si>
  <si>
    <t>3124269655</t>
  </si>
  <si>
    <t>3125596233</t>
  </si>
  <si>
    <t>3138176601</t>
  </si>
  <si>
    <t>3219288579</t>
  </si>
  <si>
    <t>3102729786</t>
  </si>
  <si>
    <t>3143524332</t>
  </si>
  <si>
    <t>3132810057</t>
  </si>
  <si>
    <t>3107934872</t>
  </si>
  <si>
    <t>3118726402</t>
  </si>
  <si>
    <t>3112144072</t>
  </si>
  <si>
    <t>3123564360</t>
  </si>
  <si>
    <t>3143954287</t>
  </si>
  <si>
    <t>3124865479</t>
  </si>
  <si>
    <t>3102568525</t>
  </si>
  <si>
    <t>3105554211</t>
  </si>
  <si>
    <t>3212691492</t>
  </si>
  <si>
    <t>22222222</t>
  </si>
  <si>
    <t>3237952942</t>
  </si>
  <si>
    <t>3224311365</t>
  </si>
  <si>
    <t>3103365144</t>
  </si>
  <si>
    <t>3202335608</t>
  </si>
  <si>
    <t>3108116292</t>
  </si>
  <si>
    <t>3124111169</t>
  </si>
  <si>
    <t>3123102160</t>
  </si>
  <si>
    <t>3142471920</t>
  </si>
  <si>
    <t>3228982254</t>
  </si>
  <si>
    <t>3133760596</t>
  </si>
  <si>
    <t>314436737</t>
  </si>
  <si>
    <t>3213199045</t>
  </si>
  <si>
    <t>3112769360</t>
  </si>
  <si>
    <t>3112326815</t>
  </si>
  <si>
    <t>3102210860</t>
  </si>
  <si>
    <t>3102529489</t>
  </si>
  <si>
    <t>3112127278</t>
  </si>
  <si>
    <t>3168742653</t>
  </si>
  <si>
    <t>3214636079</t>
  </si>
  <si>
    <t>3102745304</t>
  </si>
  <si>
    <t>3145347920</t>
  </si>
  <si>
    <t>3143633192</t>
  </si>
  <si>
    <t>3142186531</t>
  </si>
  <si>
    <t>3127885042</t>
  </si>
  <si>
    <t>3207671627</t>
  </si>
  <si>
    <t>3208270789</t>
  </si>
  <si>
    <t>3213775963</t>
  </si>
  <si>
    <t>3115100314</t>
  </si>
  <si>
    <t>3202755384</t>
  </si>
  <si>
    <t>3203969406</t>
  </si>
  <si>
    <t>3116449746</t>
  </si>
  <si>
    <t>3124287593</t>
  </si>
  <si>
    <t>3214712872</t>
  </si>
  <si>
    <t>3124387384</t>
  </si>
  <si>
    <t>3203654341</t>
  </si>
  <si>
    <t>3108521192</t>
  </si>
  <si>
    <t>3013111893</t>
  </si>
  <si>
    <t>3115470947</t>
  </si>
  <si>
    <t>3163353662</t>
  </si>
  <si>
    <t>3214814963</t>
  </si>
  <si>
    <t>3123261732</t>
  </si>
  <si>
    <t>3162574574</t>
  </si>
  <si>
    <t>3133938785</t>
  </si>
  <si>
    <t>3132271621</t>
  </si>
  <si>
    <t>3123798567</t>
  </si>
  <si>
    <t>3102625500</t>
  </si>
  <si>
    <t>3208857233</t>
  </si>
  <si>
    <t>3142060240</t>
  </si>
  <si>
    <t>3103825919</t>
  </si>
  <si>
    <t>3124003395</t>
  </si>
  <si>
    <t>3143355200</t>
  </si>
  <si>
    <t>3124064213</t>
  </si>
  <si>
    <t>3132325395</t>
  </si>
  <si>
    <t>3112112858</t>
  </si>
  <si>
    <t>3144749455</t>
  </si>
  <si>
    <t>3023536521</t>
  </si>
  <si>
    <t>3112805647</t>
  </si>
  <si>
    <t>3123692343</t>
  </si>
  <si>
    <t>3142222917</t>
  </si>
  <si>
    <t>3103085318</t>
  </si>
  <si>
    <t>3114651181</t>
  </si>
  <si>
    <t>3102336474</t>
  </si>
  <si>
    <t>3125578532</t>
  </si>
  <si>
    <t>3214105197</t>
  </si>
  <si>
    <t>3102370063</t>
  </si>
  <si>
    <t>3227602322</t>
  </si>
  <si>
    <t>3128947187</t>
  </si>
  <si>
    <t>3102706575</t>
  </si>
  <si>
    <t>3144861561</t>
  </si>
  <si>
    <t>3219133049</t>
  </si>
  <si>
    <t>3132257013</t>
  </si>
  <si>
    <t>3003602913</t>
  </si>
  <si>
    <t>3125516287</t>
  </si>
  <si>
    <t>3103362125</t>
  </si>
  <si>
    <t>3203753919</t>
  </si>
  <si>
    <t>3142967973</t>
  </si>
  <si>
    <t>3123046910</t>
  </si>
  <si>
    <t>3103356095</t>
  </si>
  <si>
    <t>3144184843</t>
  </si>
  <si>
    <t>3115849891</t>
  </si>
  <si>
    <t>3226154818</t>
  </si>
  <si>
    <t>3123866918</t>
  </si>
  <si>
    <t>3134805084</t>
  </si>
  <si>
    <t>3124336720</t>
  </si>
  <si>
    <t>3186198066</t>
  </si>
  <si>
    <t>3160435453</t>
  </si>
  <si>
    <t>3229446141</t>
  </si>
  <si>
    <t>3204662070</t>
  </si>
  <si>
    <t>3134547986</t>
  </si>
  <si>
    <t>3105580240</t>
  </si>
  <si>
    <t>3203668707</t>
  </si>
  <si>
    <t>3118552224</t>
  </si>
  <si>
    <t>3123740243</t>
  </si>
  <si>
    <t>3219947240</t>
  </si>
  <si>
    <t>3115259644</t>
  </si>
  <si>
    <t>3114433000</t>
  </si>
  <si>
    <t>3219184011</t>
  </si>
  <si>
    <t>3105441926</t>
  </si>
  <si>
    <t>3115189071</t>
  </si>
  <si>
    <t>3133460285</t>
  </si>
  <si>
    <t>3104788562</t>
  </si>
  <si>
    <t>3134718967</t>
  </si>
  <si>
    <t>3112572680</t>
  </si>
  <si>
    <t>3115019201</t>
  </si>
  <si>
    <t>3115890641</t>
  </si>
  <si>
    <t>3142284008</t>
  </si>
  <si>
    <t>3138699999</t>
  </si>
  <si>
    <t>3202462295</t>
  </si>
  <si>
    <t>3143662616</t>
  </si>
  <si>
    <t>312386615</t>
  </si>
  <si>
    <t>3108478553</t>
  </si>
  <si>
    <t>3203993179</t>
  </si>
  <si>
    <t>3123197221</t>
  </si>
  <si>
    <t>3134962571</t>
  </si>
  <si>
    <t>3232223416</t>
  </si>
  <si>
    <t>3132605943</t>
  </si>
  <si>
    <t>3214530902</t>
  </si>
  <si>
    <t>3105541075</t>
  </si>
  <si>
    <t>3102601680</t>
  </si>
  <si>
    <t>3212077642</t>
  </si>
  <si>
    <t>3105760823</t>
  </si>
  <si>
    <t>3102328820</t>
  </si>
  <si>
    <t>3205751946</t>
  </si>
  <si>
    <t>3127030816</t>
  </si>
  <si>
    <t>3152559982</t>
  </si>
  <si>
    <t>3156000443</t>
  </si>
  <si>
    <t>3114753979</t>
  </si>
  <si>
    <t>3202157733</t>
  </si>
  <si>
    <t>3112940815</t>
  </si>
  <si>
    <t>3124319460</t>
  </si>
  <si>
    <t>3158417010</t>
  </si>
  <si>
    <t>3214530322</t>
  </si>
  <si>
    <t>3112283531</t>
  </si>
  <si>
    <t>3114764825</t>
  </si>
  <si>
    <t>3114800910</t>
  </si>
  <si>
    <t>3002722608</t>
  </si>
  <si>
    <t>3123731021</t>
  </si>
  <si>
    <t>3142983107</t>
  </si>
  <si>
    <t>3183978851</t>
  </si>
  <si>
    <t>3123827783</t>
  </si>
  <si>
    <t>3162314901</t>
  </si>
  <si>
    <t>3204347235</t>
  </si>
  <si>
    <t>3229112291</t>
  </si>
  <si>
    <t>3175508178</t>
  </si>
  <si>
    <t>3103331573</t>
  </si>
  <si>
    <t>3112903285</t>
  </si>
  <si>
    <t>3134178684</t>
  </si>
  <si>
    <t>3147282423</t>
  </si>
  <si>
    <t>3125341449</t>
  </si>
  <si>
    <t>3125376003</t>
  </si>
  <si>
    <t>3227999162</t>
  </si>
  <si>
    <t>3124619997</t>
  </si>
  <si>
    <t>3125539784</t>
  </si>
  <si>
    <t>3115080843</t>
  </si>
  <si>
    <t>3123707546</t>
  </si>
  <si>
    <t>3142552046</t>
  </si>
  <si>
    <t>3118980113</t>
  </si>
  <si>
    <t>3114610364</t>
  </si>
  <si>
    <t>3204034092</t>
  </si>
  <si>
    <t>3114881362</t>
  </si>
  <si>
    <t>3102621352</t>
  </si>
  <si>
    <t>3153818427</t>
  </si>
  <si>
    <t>3103094601</t>
  </si>
  <si>
    <t>3112512261</t>
  </si>
  <si>
    <t>3143047273</t>
  </si>
  <si>
    <t>3214923785</t>
  </si>
  <si>
    <t>3112815942</t>
  </si>
  <si>
    <t>3183801674</t>
  </si>
  <si>
    <t>3133219805</t>
  </si>
  <si>
    <t>3125383906</t>
  </si>
  <si>
    <t>3138099289</t>
  </si>
  <si>
    <t>3114713587</t>
  </si>
  <si>
    <t>3203737165</t>
  </si>
  <si>
    <t>3116923016</t>
  </si>
  <si>
    <t>3143358329</t>
  </si>
  <si>
    <t>3112802735</t>
  </si>
  <si>
    <t>3144651166</t>
  </si>
  <si>
    <t>3144794393</t>
  </si>
  <si>
    <t>3123108012</t>
  </si>
  <si>
    <t>3128641277</t>
  </si>
  <si>
    <t>3208308363</t>
  </si>
  <si>
    <t>3105852054</t>
  </si>
  <si>
    <t>3115511583</t>
  </si>
  <si>
    <t>3102977168</t>
  </si>
  <si>
    <t>3112799340</t>
  </si>
  <si>
    <t>3158843516</t>
  </si>
  <si>
    <t>3107859412</t>
  </si>
  <si>
    <t>3125252410</t>
  </si>
  <si>
    <t>3112253917</t>
  </si>
  <si>
    <t>3208561941</t>
  </si>
  <si>
    <t>3176476728</t>
  </si>
  <si>
    <t>3132018156</t>
  </si>
  <si>
    <t>3204368545</t>
  </si>
  <si>
    <t>3142523005</t>
  </si>
  <si>
    <t>3153797643</t>
  </si>
  <si>
    <t>3112307993</t>
  </si>
  <si>
    <t>3107648533</t>
  </si>
  <si>
    <t>3144018259</t>
  </si>
  <si>
    <t>3103903155</t>
  </si>
  <si>
    <t>3115023101</t>
  </si>
  <si>
    <t>3202552121</t>
  </si>
  <si>
    <t>3214351016</t>
  </si>
  <si>
    <t>3152986845</t>
  </si>
  <si>
    <t>3142986612</t>
  </si>
  <si>
    <t>3112095371</t>
  </si>
  <si>
    <t>3175158915</t>
  </si>
  <si>
    <t>3102060223</t>
  </si>
  <si>
    <t>3144116056</t>
  </si>
  <si>
    <t>3118257494</t>
  </si>
  <si>
    <t>3118200338</t>
  </si>
  <si>
    <t>7879154</t>
  </si>
  <si>
    <t>3134426209</t>
  </si>
  <si>
    <t>3106987961</t>
  </si>
  <si>
    <t>3204931487</t>
  </si>
  <si>
    <t>3132831243</t>
  </si>
  <si>
    <t>3105625655</t>
  </si>
  <si>
    <t>3112237521</t>
  </si>
  <si>
    <t>3115722009</t>
  </si>
  <si>
    <t>3115737033</t>
  </si>
  <si>
    <t>3166734216</t>
  </si>
  <si>
    <t>3204774231</t>
  </si>
  <si>
    <t>3214703303</t>
  </si>
  <si>
    <t>3108186429</t>
  </si>
  <si>
    <t>3138667277</t>
  </si>
  <si>
    <t>3164397141</t>
  </si>
  <si>
    <t>3213622807</t>
  </si>
  <si>
    <t>3202163305</t>
  </si>
  <si>
    <t>3153367068</t>
  </si>
  <si>
    <t>3052999606</t>
  </si>
  <si>
    <t>3203534428</t>
  </si>
  <si>
    <t>3125583579</t>
  </si>
  <si>
    <t>3115083056</t>
  </si>
  <si>
    <t>32199823727</t>
  </si>
  <si>
    <t>3132834155</t>
  </si>
  <si>
    <t>3118814406</t>
  </si>
  <si>
    <t>3115739260</t>
  </si>
  <si>
    <t>3168215795</t>
  </si>
  <si>
    <t>3103251832</t>
  </si>
  <si>
    <t>3115130733</t>
  </si>
  <si>
    <t>3112228511</t>
  </si>
  <si>
    <t>3208520797</t>
  </si>
  <si>
    <t>3114605279</t>
  </si>
  <si>
    <t>3112034458</t>
  </si>
  <si>
    <t>3103194009</t>
  </si>
  <si>
    <t>3002303369</t>
  </si>
  <si>
    <t>3112272623</t>
  </si>
  <si>
    <t>3105538582</t>
  </si>
  <si>
    <t>3106997817</t>
  </si>
  <si>
    <t>3202725440</t>
  </si>
  <si>
    <t>3125482336</t>
  </si>
  <si>
    <t>3123179994</t>
  </si>
  <si>
    <t>3102051012</t>
  </si>
  <si>
    <t>3209499847</t>
  </si>
  <si>
    <t>3138284276</t>
  </si>
  <si>
    <t>3134948471</t>
  </si>
  <si>
    <t>3124485870</t>
  </si>
  <si>
    <t>3125439281</t>
  </si>
  <si>
    <t>3114617741</t>
  </si>
  <si>
    <t>3234364163</t>
  </si>
  <si>
    <t>3106193642</t>
  </si>
  <si>
    <t>3115136810</t>
  </si>
  <si>
    <t>3138047429</t>
  </si>
  <si>
    <t>3208584305</t>
  </si>
  <si>
    <t>3114417158</t>
  </si>
  <si>
    <t>3112594566</t>
  </si>
  <si>
    <t>3142374086</t>
  </si>
  <si>
    <t>3123333776</t>
  </si>
  <si>
    <t>3124104749</t>
  </si>
  <si>
    <t>3112237650</t>
  </si>
  <si>
    <t>3132094282</t>
  </si>
  <si>
    <t>3116259940</t>
  </si>
  <si>
    <t>3105871810</t>
  </si>
  <si>
    <t>3144014766</t>
  </si>
  <si>
    <t>3214460062</t>
  </si>
  <si>
    <t>3152138161</t>
  </si>
  <si>
    <t>3212243594</t>
  </si>
  <si>
    <t>3102876046</t>
  </si>
  <si>
    <t>3228252948</t>
  </si>
  <si>
    <t>3144024538</t>
  </si>
  <si>
    <t>3125292576</t>
  </si>
  <si>
    <t>3147667243</t>
  </si>
  <si>
    <t>3134304987</t>
  </si>
  <si>
    <t>3214658581</t>
  </si>
  <si>
    <t>3217105873</t>
  </si>
  <si>
    <t>3052757362</t>
  </si>
  <si>
    <t>3213721103</t>
  </si>
  <si>
    <t>3112298073</t>
  </si>
  <si>
    <t>3214416019</t>
  </si>
  <si>
    <t>3134135120</t>
  </si>
  <si>
    <t>3134355500</t>
  </si>
  <si>
    <t>3232153217</t>
  </si>
  <si>
    <t>3112935634</t>
  </si>
  <si>
    <t>3173542108</t>
  </si>
  <si>
    <t>3144286749</t>
  </si>
  <si>
    <t>3142434031</t>
  </si>
  <si>
    <t>3144697334</t>
  </si>
  <si>
    <t>3204827286</t>
  </si>
  <si>
    <t>3204429908</t>
  </si>
  <si>
    <t>3122754882</t>
  </si>
  <si>
    <t>3174359036</t>
  </si>
  <si>
    <t>3158615778</t>
  </si>
  <si>
    <t>3105736960</t>
  </si>
  <si>
    <t>3208316650</t>
  </si>
  <si>
    <t>3212147161</t>
  </si>
  <si>
    <t>3228957141</t>
  </si>
  <si>
    <t>3195431056</t>
  </si>
  <si>
    <t>3105665436</t>
  </si>
  <si>
    <t>3222421907</t>
  </si>
  <si>
    <t>3143931530</t>
  </si>
  <si>
    <t>3118246648</t>
  </si>
  <si>
    <t>3105926054</t>
  </si>
  <si>
    <t>3116322794</t>
  </si>
  <si>
    <t>3114559144</t>
  </si>
  <si>
    <t>3223085151</t>
  </si>
  <si>
    <t>3112974435</t>
  </si>
  <si>
    <t>3212016187</t>
  </si>
  <si>
    <t>3133769223</t>
  </si>
  <si>
    <t>3158304818</t>
  </si>
  <si>
    <t>3228368918</t>
  </si>
  <si>
    <t>3107619057</t>
  </si>
  <si>
    <t>3106780016</t>
  </si>
  <si>
    <t>3005719141</t>
  </si>
  <si>
    <t>3123087192</t>
  </si>
  <si>
    <t>3176721107</t>
  </si>
  <si>
    <t>3143351110</t>
  </si>
  <si>
    <t>3124439718</t>
  </si>
  <si>
    <t>3125835371</t>
  </si>
  <si>
    <t>3134303244</t>
  </si>
  <si>
    <t>3112276608-3112276621</t>
  </si>
  <si>
    <t>3133952492</t>
  </si>
  <si>
    <t>3112158034</t>
  </si>
  <si>
    <t>3142081230</t>
  </si>
  <si>
    <t>3132108042</t>
  </si>
  <si>
    <t>3103053949</t>
  </si>
  <si>
    <t>3138724871</t>
  </si>
  <si>
    <t>3002090054</t>
  </si>
  <si>
    <t>3204949730</t>
  </si>
  <si>
    <t>7422245</t>
  </si>
  <si>
    <t>3105606874</t>
  </si>
  <si>
    <t>3114774082</t>
  </si>
  <si>
    <t>3123565604</t>
  </si>
  <si>
    <t>3105545324</t>
  </si>
  <si>
    <t>3112332291</t>
  </si>
  <si>
    <t>3157960573</t>
  </si>
  <si>
    <t>3114809322</t>
  </si>
  <si>
    <t>3144139049</t>
  </si>
  <si>
    <t>3118775449</t>
  </si>
  <si>
    <t>3165783897</t>
  </si>
  <si>
    <t>3108061263</t>
  </si>
  <si>
    <t>3165453387</t>
  </si>
  <si>
    <t>3118583564</t>
  </si>
  <si>
    <t>3103318472</t>
  </si>
  <si>
    <t>3134377265</t>
  </si>
  <si>
    <t>3134624920</t>
  </si>
  <si>
    <t>3222946448</t>
  </si>
  <si>
    <t>3112785566</t>
  </si>
  <si>
    <t>3133473251</t>
  </si>
  <si>
    <t>3114742714</t>
  </si>
  <si>
    <t>3144139194</t>
  </si>
  <si>
    <t>3174014401</t>
  </si>
  <si>
    <t>3112643878</t>
  </si>
  <si>
    <t>3214367370</t>
  </si>
  <si>
    <t>3112383491</t>
  </si>
  <si>
    <t>3115092323</t>
  </si>
  <si>
    <t>3106199243</t>
  </si>
  <si>
    <t>3208568369</t>
  </si>
  <si>
    <t>3102737038</t>
  </si>
  <si>
    <t>3103207668</t>
  </si>
  <si>
    <t>3178025081</t>
  </si>
  <si>
    <t>3213387816</t>
  </si>
  <si>
    <t>3133478262</t>
  </si>
  <si>
    <t>3105779674</t>
  </si>
  <si>
    <t>3226169463</t>
  </si>
  <si>
    <t>3114973022</t>
  </si>
  <si>
    <t>3112557816</t>
  </si>
  <si>
    <t>3103243684</t>
  </si>
  <si>
    <t>3202729522</t>
  </si>
  <si>
    <t>3208869056</t>
  </si>
  <si>
    <t>3134966216</t>
  </si>
  <si>
    <t>3046408994</t>
  </si>
  <si>
    <t>3202560375</t>
  </si>
  <si>
    <t>3114510084</t>
  </si>
  <si>
    <t>3227318465</t>
  </si>
  <si>
    <t>3115990039</t>
  </si>
  <si>
    <t>3114988001</t>
  </si>
  <si>
    <t>3168758012</t>
  </si>
  <si>
    <t>3142780435</t>
  </si>
  <si>
    <t>3202276962</t>
  </si>
  <si>
    <t>3168676929</t>
  </si>
  <si>
    <t>3105628305</t>
  </si>
  <si>
    <t>3133190852</t>
  </si>
  <si>
    <t>3124591062</t>
  </si>
  <si>
    <t>3143807471</t>
  </si>
  <si>
    <t>3043721061</t>
  </si>
  <si>
    <t>3177158113</t>
  </si>
  <si>
    <t>3156151980</t>
  </si>
  <si>
    <t>3004990546</t>
  </si>
  <si>
    <t>3125049989</t>
  </si>
  <si>
    <t>3208672024</t>
  </si>
  <si>
    <t>3128961389</t>
  </si>
  <si>
    <t>3105643310</t>
  </si>
  <si>
    <t>3205669314</t>
  </si>
  <si>
    <t>3112739378</t>
  </si>
  <si>
    <t>3112325587</t>
  </si>
  <si>
    <t>3107874700</t>
  </si>
  <si>
    <t>3138729469</t>
  </si>
  <si>
    <t>3102071200</t>
  </si>
  <si>
    <t>3142630242</t>
  </si>
  <si>
    <t>3176455631</t>
  </si>
  <si>
    <t>3134362429</t>
  </si>
  <si>
    <t>3102034631</t>
  </si>
  <si>
    <t>3112017212</t>
  </si>
  <si>
    <t>3125965817</t>
  </si>
  <si>
    <t>3133045566</t>
  </si>
  <si>
    <t>3125948969</t>
  </si>
  <si>
    <t>3203467927</t>
  </si>
  <si>
    <t>3112177010</t>
  </si>
  <si>
    <t>3123785981</t>
  </si>
  <si>
    <t>3112626474</t>
  </si>
  <si>
    <t>3017469215</t>
  </si>
  <si>
    <t>3164113128</t>
  </si>
  <si>
    <t>3115380656</t>
  </si>
  <si>
    <t>3143083503</t>
  </si>
  <si>
    <t>3125831404</t>
  </si>
  <si>
    <t>3124011161</t>
  </si>
  <si>
    <t>3192125596</t>
  </si>
  <si>
    <t>3115199538</t>
  </si>
  <si>
    <t>3144552048</t>
  </si>
  <si>
    <t>3132961664</t>
  </si>
  <si>
    <t>3152713615</t>
  </si>
  <si>
    <t>3204552256</t>
  </si>
  <si>
    <t>3202288616</t>
  </si>
  <si>
    <t>3204965942</t>
  </si>
  <si>
    <t>3144503397</t>
  </si>
  <si>
    <t>3203404122</t>
  </si>
  <si>
    <t>3186329556</t>
  </si>
  <si>
    <t>3103354079</t>
  </si>
  <si>
    <t>3195657778</t>
  </si>
  <si>
    <t>3212337899</t>
  </si>
  <si>
    <t>3203453361</t>
  </si>
  <si>
    <t>3114706863</t>
  </si>
  <si>
    <t>3188894891</t>
  </si>
  <si>
    <t>3103488946</t>
  </si>
  <si>
    <t>3208453763</t>
  </si>
  <si>
    <t>3112438741</t>
  </si>
  <si>
    <t>3103279906</t>
  </si>
  <si>
    <t>3142833705</t>
  </si>
  <si>
    <t>3114801581</t>
  </si>
  <si>
    <t>3112057097</t>
  </si>
  <si>
    <t>3163321326</t>
  </si>
  <si>
    <t>3125720229</t>
  </si>
  <si>
    <t>3123661775</t>
  </si>
  <si>
    <t>3112272761</t>
  </si>
  <si>
    <t>3160565807</t>
  </si>
  <si>
    <t>3142998078</t>
  </si>
  <si>
    <t>3123938286</t>
  </si>
  <si>
    <t>3176587453</t>
  </si>
  <si>
    <t>3144714705</t>
  </si>
  <si>
    <t>3182063921</t>
  </si>
  <si>
    <t>3144119104</t>
  </si>
  <si>
    <t>3133341030</t>
  </si>
  <si>
    <t>3202367765</t>
  </si>
  <si>
    <t>3218227836</t>
  </si>
  <si>
    <t>3134372133</t>
  </si>
  <si>
    <t>3107534862</t>
  </si>
  <si>
    <t>3214597492</t>
  </si>
  <si>
    <t>3112882494</t>
  </si>
  <si>
    <t>3108185969</t>
  </si>
  <si>
    <t>3106696575</t>
  </si>
  <si>
    <t>3134987369</t>
  </si>
  <si>
    <t>3125632853</t>
  </si>
  <si>
    <t>3142463165</t>
  </si>
  <si>
    <t>3232289905</t>
  </si>
  <si>
    <t>3166981651</t>
  </si>
  <si>
    <t>3203447431</t>
  </si>
  <si>
    <t>3102045392</t>
  </si>
  <si>
    <t>3134032334</t>
  </si>
  <si>
    <t>3112165344</t>
  </si>
  <si>
    <t>3143963573</t>
  </si>
  <si>
    <t>3108581227</t>
  </si>
  <si>
    <t>3103495707</t>
  </si>
  <si>
    <t>3184023791</t>
  </si>
  <si>
    <t>3208032284</t>
  </si>
  <si>
    <t>3186234853</t>
  </si>
  <si>
    <t>3153439633</t>
  </si>
  <si>
    <t>3105727741</t>
  </si>
  <si>
    <t>3115103107</t>
  </si>
  <si>
    <t>3115011004</t>
  </si>
  <si>
    <t>3112239232</t>
  </si>
  <si>
    <t>3138535549</t>
  </si>
  <si>
    <t>3203455089</t>
  </si>
  <si>
    <t>3114482957</t>
  </si>
  <si>
    <t>3103441228</t>
  </si>
  <si>
    <t>3143561882</t>
  </si>
  <si>
    <t>3114802280</t>
  </si>
  <si>
    <t>3208569829</t>
  </si>
  <si>
    <t>3105602328</t>
  </si>
  <si>
    <t>3167747357</t>
  </si>
  <si>
    <t>3103414722</t>
  </si>
  <si>
    <t>3112036487</t>
  </si>
  <si>
    <t>3115409633</t>
  </si>
  <si>
    <t>3153565119</t>
  </si>
  <si>
    <t>3132519684</t>
  </si>
  <si>
    <t>3112085149</t>
  </si>
  <si>
    <t>3024448271</t>
  </si>
  <si>
    <t>3219265812</t>
  </si>
  <si>
    <t>3213331829</t>
  </si>
  <si>
    <t>3138886658</t>
  </si>
  <si>
    <t>3218002209</t>
  </si>
  <si>
    <t>3124353812</t>
  </si>
  <si>
    <t>3115290905</t>
  </si>
  <si>
    <t>3103298795</t>
  </si>
  <si>
    <t>3204957442</t>
  </si>
  <si>
    <t>3138041790</t>
  </si>
  <si>
    <t>3204268922</t>
  </si>
  <si>
    <t>3108092735</t>
  </si>
  <si>
    <t>3208345011</t>
  </si>
  <si>
    <t>3204148708</t>
  </si>
  <si>
    <t>3106287245</t>
  </si>
  <si>
    <t>3202128530</t>
  </si>
  <si>
    <t>3212898447</t>
  </si>
  <si>
    <t>3112029843</t>
  </si>
  <si>
    <t>3112940268</t>
  </si>
  <si>
    <t>3143582036</t>
  </si>
  <si>
    <t>3108823621</t>
  </si>
  <si>
    <t>3203055032</t>
  </si>
  <si>
    <t>7603312-7605147</t>
  </si>
  <si>
    <t>3134325690</t>
  </si>
  <si>
    <t>3106963545</t>
  </si>
  <si>
    <t>3214248546</t>
  </si>
  <si>
    <t>3144350974</t>
  </si>
  <si>
    <t>3116356391</t>
  </si>
  <si>
    <t>3212121514</t>
  </si>
  <si>
    <t>3115009464</t>
  </si>
  <si>
    <t>000000000</t>
  </si>
  <si>
    <t>3132107769</t>
  </si>
  <si>
    <t>3132900573</t>
  </si>
  <si>
    <t>3202091348</t>
  </si>
  <si>
    <t>3138284615</t>
  </si>
  <si>
    <t>3208568050</t>
  </si>
  <si>
    <t>3115826839</t>
  </si>
  <si>
    <t>3153367681</t>
  </si>
  <si>
    <t>3103045815</t>
  </si>
  <si>
    <t>3158774666</t>
  </si>
  <si>
    <t>3204225858</t>
  </si>
  <si>
    <t>3134312843</t>
  </si>
  <si>
    <t>3214205790</t>
  </si>
  <si>
    <t>3118540993</t>
  </si>
  <si>
    <t>3154328933</t>
  </si>
  <si>
    <t>3103387931</t>
  </si>
  <si>
    <t>7605156</t>
  </si>
  <si>
    <t>3107662848</t>
  </si>
  <si>
    <t>3138788238</t>
  </si>
  <si>
    <t>3125345567</t>
  </si>
  <si>
    <t>3222182085</t>
  </si>
  <si>
    <t>3134082005</t>
  </si>
  <si>
    <t>3125837265</t>
  </si>
  <si>
    <t>3112234626</t>
  </si>
  <si>
    <t>3208562183</t>
  </si>
  <si>
    <t>3102368877</t>
  </si>
  <si>
    <t>3158546815</t>
  </si>
  <si>
    <t>3123953548</t>
  </si>
  <si>
    <t>3124666291</t>
  </si>
  <si>
    <t>3142913749</t>
  </si>
  <si>
    <t>3203711276</t>
  </si>
  <si>
    <t>3115566618</t>
  </si>
  <si>
    <t>3108604053</t>
  </si>
  <si>
    <t>3138932612</t>
  </si>
  <si>
    <t>3103244602</t>
  </si>
  <si>
    <t>3114451969</t>
  </si>
  <si>
    <t>3108088208</t>
  </si>
  <si>
    <t>3212048429</t>
  </si>
  <si>
    <t>3132941896</t>
  </si>
  <si>
    <t>3008216552</t>
  </si>
  <si>
    <t>310688725</t>
  </si>
  <si>
    <t>3102605584</t>
  </si>
  <si>
    <t>3005364802</t>
  </si>
  <si>
    <t>3108618614</t>
  </si>
  <si>
    <t>3154376105</t>
  </si>
  <si>
    <t>3233222433</t>
  </si>
  <si>
    <t>3142982407</t>
  </si>
  <si>
    <t>3125502783</t>
  </si>
  <si>
    <t>3043772921</t>
  </si>
  <si>
    <t>3124329657</t>
  </si>
  <si>
    <t>3134845722</t>
  </si>
  <si>
    <t>3002413936</t>
  </si>
  <si>
    <t>3212049733</t>
  </si>
  <si>
    <t>3124969577</t>
  </si>
  <si>
    <t>3102384402</t>
  </si>
  <si>
    <t>3116777766</t>
  </si>
  <si>
    <t>3153370629</t>
  </si>
  <si>
    <t>3103434857</t>
  </si>
  <si>
    <t>3112074616</t>
  </si>
  <si>
    <t>3164698340</t>
  </si>
  <si>
    <t>3116085378</t>
  </si>
  <si>
    <t>3123778609</t>
  </si>
  <si>
    <t>3009573101</t>
  </si>
  <si>
    <t>3103458531</t>
  </si>
  <si>
    <t>3152542308</t>
  </si>
  <si>
    <t>3176614285</t>
  </si>
  <si>
    <t>3183061235</t>
  </si>
  <si>
    <t>3143952817</t>
  </si>
  <si>
    <t>3115546159</t>
  </si>
  <si>
    <t>3218215906</t>
  </si>
  <si>
    <t>3112534898</t>
  </si>
  <si>
    <t>3123282607</t>
  </si>
  <si>
    <t>3133884192</t>
  </si>
  <si>
    <t>3118476841</t>
  </si>
  <si>
    <t>3103162621</t>
  </si>
  <si>
    <t>3134217696</t>
  </si>
  <si>
    <t>3132176534</t>
  </si>
  <si>
    <t>3005712540</t>
  </si>
  <si>
    <t>3138166449</t>
  </si>
  <si>
    <t>3133932037</t>
  </si>
  <si>
    <t>3204892294</t>
  </si>
  <si>
    <t>3045236348</t>
  </si>
  <si>
    <t>3112157952</t>
  </si>
  <si>
    <t>3133903243</t>
  </si>
  <si>
    <t>3002095752</t>
  </si>
  <si>
    <t>3124952504</t>
  </si>
  <si>
    <t>3108494952</t>
  </si>
  <si>
    <t>3124809602</t>
  </si>
  <si>
    <t>3133584539</t>
  </si>
  <si>
    <t>3228837035</t>
  </si>
  <si>
    <t>3118492377</t>
  </si>
  <si>
    <t>3112143923</t>
  </si>
  <si>
    <t>3153547605</t>
  </si>
  <si>
    <t>3134747193</t>
  </si>
  <si>
    <t>3118127658</t>
  </si>
  <si>
    <t>3112092693</t>
  </si>
  <si>
    <t>3224601305</t>
  </si>
  <si>
    <t>3124672525</t>
  </si>
  <si>
    <t>3112118174</t>
  </si>
  <si>
    <t>3118114569</t>
  </si>
  <si>
    <t>3134239357</t>
  </si>
  <si>
    <t>3202726098</t>
  </si>
  <si>
    <t>3103717572</t>
  </si>
  <si>
    <t>3118127548</t>
  </si>
  <si>
    <t>3143079840</t>
  </si>
  <si>
    <t>3148330389</t>
  </si>
  <si>
    <t>3114824600</t>
  </si>
  <si>
    <t>3164947611</t>
  </si>
  <si>
    <t>3134913331</t>
  </si>
  <si>
    <t>3112324279</t>
  </si>
  <si>
    <t>3202291341</t>
  </si>
  <si>
    <t>3174306629</t>
  </si>
  <si>
    <t>3115189558</t>
  </si>
  <si>
    <t>3108764115</t>
  </si>
  <si>
    <t>3118141981</t>
  </si>
  <si>
    <t>3123068932</t>
  </si>
  <si>
    <t>3005505555</t>
  </si>
  <si>
    <t>3107802077</t>
  </si>
  <si>
    <t>3103349094</t>
  </si>
  <si>
    <t>3132834297</t>
  </si>
  <si>
    <t>3123779504</t>
  </si>
  <si>
    <t>3114914996</t>
  </si>
  <si>
    <t>3132176926</t>
  </si>
  <si>
    <t>3214529936</t>
  </si>
  <si>
    <t>3105806938</t>
  </si>
  <si>
    <t>3132879047</t>
  </si>
  <si>
    <t>3105519228</t>
  </si>
  <si>
    <t>3138284280</t>
  </si>
  <si>
    <t>3102016530</t>
  </si>
  <si>
    <t>7654545-3132610153</t>
  </si>
  <si>
    <t>3143835004</t>
  </si>
  <si>
    <t>3143149182</t>
  </si>
  <si>
    <t>3124693291</t>
  </si>
  <si>
    <t>3115635505</t>
  </si>
  <si>
    <t>3125797156</t>
  </si>
  <si>
    <t>3208394251</t>
  </si>
  <si>
    <t>3103024037</t>
  </si>
  <si>
    <t>3204946706</t>
  </si>
  <si>
    <t>3112339231</t>
  </si>
  <si>
    <t>3138612570</t>
  </si>
  <si>
    <t>3222469775</t>
  </si>
  <si>
    <t>3105692814</t>
  </si>
  <si>
    <t>3134367280</t>
  </si>
  <si>
    <t>3123067873</t>
  </si>
  <si>
    <t>313418176</t>
  </si>
  <si>
    <t>3132324992</t>
  </si>
  <si>
    <t>3123289779</t>
  </si>
  <si>
    <t>3134083167</t>
  </si>
  <si>
    <t>3506495404</t>
  </si>
  <si>
    <t>3125230782</t>
  </si>
  <si>
    <t>3024433115</t>
  </si>
  <si>
    <t>3118891387</t>
  </si>
  <si>
    <t>3118592366</t>
  </si>
  <si>
    <t>3176428410</t>
  </si>
  <si>
    <t>3156180774</t>
  </si>
  <si>
    <t>3203009118</t>
  </si>
  <si>
    <t>3013677026</t>
  </si>
  <si>
    <t>3115731646</t>
  </si>
  <si>
    <t>3125259933</t>
  </si>
  <si>
    <t>3153312096</t>
  </si>
  <si>
    <t>3123911359</t>
  </si>
  <si>
    <t>3208965014</t>
  </si>
  <si>
    <t>3155682707</t>
  </si>
  <si>
    <t>3116654598</t>
  </si>
  <si>
    <t>3208286125</t>
  </si>
  <si>
    <t>3123474046</t>
  </si>
  <si>
    <t>3138329124</t>
  </si>
  <si>
    <t>312587352</t>
  </si>
  <si>
    <t>3124136504</t>
  </si>
  <si>
    <t>3124477776</t>
  </si>
  <si>
    <t>3133910870</t>
  </si>
  <si>
    <t>3114823984</t>
  </si>
  <si>
    <t>3219688276</t>
  </si>
  <si>
    <t>3176262913</t>
  </si>
  <si>
    <t>3112144850</t>
  </si>
  <si>
    <t>3209249875</t>
  </si>
  <si>
    <t>3133266727</t>
  </si>
  <si>
    <t>3007748118</t>
  </si>
  <si>
    <t>3202075094</t>
  </si>
  <si>
    <t>3208585322</t>
  </si>
  <si>
    <t>3212503235</t>
  </si>
  <si>
    <t>3144113007</t>
  </si>
  <si>
    <t>3112625454</t>
  </si>
  <si>
    <t>3134605301</t>
  </si>
  <si>
    <t>3134043686</t>
  </si>
  <si>
    <t>3105851680</t>
  </si>
  <si>
    <t>3134923337</t>
  </si>
  <si>
    <t>3183184554</t>
  </si>
  <si>
    <t>3183316389</t>
  </si>
  <si>
    <t>3114743835</t>
  </si>
  <si>
    <t>3052875091</t>
  </si>
  <si>
    <t>3107604565</t>
  </si>
  <si>
    <t>3112510503</t>
  </si>
  <si>
    <t>3102112906</t>
  </si>
  <si>
    <t>3112763674</t>
  </si>
  <si>
    <t>3112341735</t>
  </si>
  <si>
    <t>3114600860</t>
  </si>
  <si>
    <t>3154251663</t>
  </si>
  <si>
    <t>3132943916</t>
  </si>
  <si>
    <t>3208312017</t>
  </si>
  <si>
    <t>3133486556</t>
  </si>
  <si>
    <t>3108619458</t>
  </si>
  <si>
    <t>3108589975</t>
  </si>
  <si>
    <t>3105731988</t>
  </si>
  <si>
    <t>3123717989</t>
  </si>
  <si>
    <t>7627220</t>
  </si>
  <si>
    <t>3232802174</t>
  </si>
  <si>
    <t>3138735241</t>
  </si>
  <si>
    <t>3103258054</t>
  </si>
  <si>
    <t>3228066900</t>
  </si>
  <si>
    <t>3219579381</t>
  </si>
  <si>
    <t>3125260606</t>
  </si>
  <si>
    <t>3102340173</t>
  </si>
  <si>
    <t>32100000</t>
  </si>
  <si>
    <t>3107882173</t>
  </si>
  <si>
    <t>3115929042</t>
  </si>
  <si>
    <t>3123493539</t>
  </si>
  <si>
    <t>3044115626</t>
  </si>
  <si>
    <t>3112172220</t>
  </si>
  <si>
    <t>3133762601</t>
  </si>
  <si>
    <t>3114639823</t>
  </si>
  <si>
    <t>3106604040</t>
  </si>
  <si>
    <t>3102804322</t>
  </si>
  <si>
    <t>3135038572</t>
  </si>
  <si>
    <t>3144119430</t>
  </si>
  <si>
    <t>3124782452</t>
  </si>
  <si>
    <t>3202755385</t>
  </si>
  <si>
    <t>3112276426</t>
  </si>
  <si>
    <t>3202444100</t>
  </si>
  <si>
    <t>3134222-277</t>
  </si>
  <si>
    <t>3106978065</t>
  </si>
  <si>
    <t>3103335521</t>
  </si>
  <si>
    <t>3202742777</t>
  </si>
  <si>
    <t>3204482520</t>
  </si>
  <si>
    <t>3123596848</t>
  </si>
  <si>
    <t>3124989154</t>
  </si>
  <si>
    <t>3124752497</t>
  </si>
  <si>
    <t>3153278045</t>
  </si>
  <si>
    <t>3114554686</t>
  </si>
  <si>
    <t>3102712144</t>
  </si>
  <si>
    <t>3114854999</t>
  </si>
  <si>
    <t>3132116994</t>
  </si>
  <si>
    <t>3118820591</t>
  </si>
  <si>
    <t>7219938</t>
  </si>
  <si>
    <t>3134197415</t>
  </si>
  <si>
    <t>3176430014</t>
  </si>
  <si>
    <t>3107532411</t>
  </si>
  <si>
    <t>3115385879</t>
  </si>
  <si>
    <t>3153930421</t>
  </si>
  <si>
    <t>7652276</t>
  </si>
  <si>
    <t>3138284322</t>
  </si>
  <si>
    <t>3194642884</t>
  </si>
  <si>
    <t>3117954024</t>
  </si>
  <si>
    <t>3112081599</t>
  </si>
  <si>
    <t>3202738790</t>
  </si>
  <si>
    <t>3142851559</t>
  </si>
  <si>
    <t>3118045400</t>
  </si>
  <si>
    <t>3132942321</t>
  </si>
  <si>
    <t>3508456178</t>
  </si>
  <si>
    <t>3125843448</t>
  </si>
  <si>
    <t>3124780687</t>
  </si>
  <si>
    <t>3125805592</t>
  </si>
  <si>
    <t>3123873490</t>
  </si>
  <si>
    <t>3105758718</t>
  </si>
  <si>
    <t>3162709522</t>
  </si>
  <si>
    <t>3138300581</t>
  </si>
  <si>
    <t>3134951215</t>
  </si>
  <si>
    <t>3115970904</t>
  </si>
  <si>
    <t>3138618368</t>
  </si>
  <si>
    <t>3138908216</t>
  </si>
  <si>
    <t>3142159494</t>
  </si>
  <si>
    <t>3214555476</t>
  </si>
  <si>
    <t>3114446261</t>
  </si>
  <si>
    <t>3124566750</t>
  </si>
  <si>
    <t>3106965348</t>
  </si>
  <si>
    <t>3118654-858</t>
  </si>
  <si>
    <t>3212038672</t>
  </si>
  <si>
    <t>3102766206</t>
  </si>
  <si>
    <t>3202264814</t>
  </si>
  <si>
    <t>3138686795</t>
  </si>
  <si>
    <t>3102356853</t>
  </si>
  <si>
    <t>3112379625</t>
  </si>
  <si>
    <t>3024786037</t>
  </si>
  <si>
    <t>3143288125</t>
  </si>
  <si>
    <t>3138436643</t>
  </si>
  <si>
    <t>3106188417</t>
  </si>
  <si>
    <t>3208564366</t>
  </si>
  <si>
    <t>3235778837</t>
  </si>
  <si>
    <t>311747413</t>
  </si>
  <si>
    <t>3134819788</t>
  </si>
  <si>
    <t>3125552969</t>
  </si>
  <si>
    <t>3208395512</t>
  </si>
  <si>
    <t>3103379053</t>
  </si>
  <si>
    <t>3114665157</t>
  </si>
  <si>
    <t>3177143242</t>
  </si>
  <si>
    <t>3202595845</t>
  </si>
  <si>
    <t>3125338827</t>
  </si>
  <si>
    <t>3115723060</t>
  </si>
  <si>
    <t>3133912963</t>
  </si>
  <si>
    <t>3133301835</t>
  </si>
  <si>
    <t>3133657512</t>
  </si>
  <si>
    <t>3112351011</t>
  </si>
  <si>
    <t>3114575972</t>
  </si>
  <si>
    <t>3112352910</t>
  </si>
  <si>
    <t>3153387566</t>
  </si>
  <si>
    <t>3125877979</t>
  </si>
  <si>
    <t>3132322446</t>
  </si>
  <si>
    <t>3106795635</t>
  </si>
  <si>
    <t>3125823021</t>
  </si>
  <si>
    <t>3115868486</t>
  </si>
  <si>
    <t>3124171744</t>
  </si>
  <si>
    <t>3022382187</t>
  </si>
  <si>
    <t>3112722864</t>
  </si>
  <si>
    <t>3112098319</t>
  </si>
  <si>
    <t>3114572092</t>
  </si>
  <si>
    <t>3144346884</t>
  </si>
  <si>
    <t>3184511694</t>
  </si>
  <si>
    <t>3004263563</t>
  </si>
  <si>
    <t>3144726780</t>
  </si>
  <si>
    <t>3214924018</t>
  </si>
  <si>
    <t>3142143097</t>
  </si>
  <si>
    <t>3112569655</t>
  </si>
  <si>
    <t>3202385247</t>
  </si>
  <si>
    <t>3508260425</t>
  </si>
  <si>
    <t>3208598423</t>
  </si>
  <si>
    <t>3112115644</t>
  </si>
  <si>
    <t>3164263546</t>
  </si>
  <si>
    <t>3124779425</t>
  </si>
  <si>
    <t>3118057401</t>
  </si>
  <si>
    <t>3218290982</t>
  </si>
  <si>
    <t>3107637397</t>
  </si>
  <si>
    <t>3167199911</t>
  </si>
  <si>
    <t>3175956185</t>
  </si>
  <si>
    <t>3115794729</t>
  </si>
  <si>
    <t>3222336893</t>
  </si>
  <si>
    <t>3118791918</t>
  </si>
  <si>
    <t>3115934483</t>
  </si>
  <si>
    <t>3155627711</t>
  </si>
  <si>
    <t>3123052657</t>
  </si>
  <si>
    <t>3106294635</t>
  </si>
  <si>
    <t>3115456850</t>
  </si>
  <si>
    <t>3115100313</t>
  </si>
  <si>
    <t>3182782840</t>
  </si>
  <si>
    <t>3112125072</t>
  </si>
  <si>
    <t>3212321818</t>
  </si>
  <si>
    <t>3142947690</t>
  </si>
  <si>
    <t>3103486491</t>
  </si>
  <si>
    <t>3106286525</t>
  </si>
  <si>
    <t>3123661768</t>
  </si>
  <si>
    <t>3138408821</t>
  </si>
  <si>
    <t>3114834554</t>
  </si>
  <si>
    <t>3142186299</t>
  </si>
  <si>
    <t>3115778088</t>
  </si>
  <si>
    <t>3114750687</t>
  </si>
  <si>
    <t>3227513957</t>
  </si>
  <si>
    <t>3212185150</t>
  </si>
  <si>
    <t>3195859264</t>
  </si>
  <si>
    <t>3138198231</t>
  </si>
  <si>
    <t>3102610526</t>
  </si>
  <si>
    <t>3142100325</t>
  </si>
  <si>
    <t>3016074547</t>
  </si>
  <si>
    <t>3204296749</t>
  </si>
  <si>
    <t>3112614900</t>
  </si>
  <si>
    <t>3132517673</t>
  </si>
  <si>
    <t>3124507688</t>
  </si>
  <si>
    <t>3208354613</t>
  </si>
  <si>
    <t>3118447521</t>
  </si>
  <si>
    <t>3203765868</t>
  </si>
  <si>
    <t>3117604402</t>
  </si>
  <si>
    <t>3118955322</t>
  </si>
  <si>
    <t>3132214172</t>
  </si>
  <si>
    <t>3133309983</t>
  </si>
  <si>
    <t>3132331819</t>
  </si>
  <si>
    <t>3216781577</t>
  </si>
  <si>
    <t>3158378614</t>
  </si>
  <si>
    <t>3103061983</t>
  </si>
  <si>
    <t>3206738986</t>
  </si>
  <si>
    <t>3128820435</t>
  </si>
  <si>
    <t>3108725786</t>
  </si>
  <si>
    <t>3143346582</t>
  </si>
  <si>
    <t>3132939468</t>
  </si>
  <si>
    <t>3204911384</t>
  </si>
  <si>
    <t>3103220168</t>
  </si>
  <si>
    <t>3107697220</t>
  </si>
  <si>
    <t>3118593376</t>
  </si>
  <si>
    <t>3125228321</t>
  </si>
  <si>
    <t>3138166089</t>
  </si>
  <si>
    <t>3103488928</t>
  </si>
  <si>
    <t>3215779786</t>
  </si>
  <si>
    <t>3163730476</t>
  </si>
  <si>
    <t>3132944100</t>
  </si>
  <si>
    <t>3203014509</t>
  </si>
  <si>
    <t>3135321424</t>
  </si>
  <si>
    <t>3132821382</t>
  </si>
  <si>
    <t>3132070786</t>
  </si>
  <si>
    <t>3142240518</t>
  </si>
  <si>
    <t>3144648338</t>
  </si>
  <si>
    <t>3144714217</t>
  </si>
  <si>
    <t>3204726316</t>
  </si>
  <si>
    <t>3118124252</t>
  </si>
  <si>
    <t>3102676693</t>
  </si>
  <si>
    <t>3108187095</t>
  </si>
  <si>
    <t>3156978730</t>
  </si>
  <si>
    <t>3103345016</t>
  </si>
  <si>
    <t>3103104317</t>
  </si>
  <si>
    <t>7602573</t>
  </si>
  <si>
    <t>3142304485</t>
  </si>
  <si>
    <t>3118515464</t>
  </si>
  <si>
    <t>3133626282</t>
  </si>
  <si>
    <t>3178570075</t>
  </si>
  <si>
    <t>3118051753</t>
  </si>
  <si>
    <t>3215790860</t>
  </si>
  <si>
    <t>3115061717</t>
  </si>
  <si>
    <t>3116815419</t>
  </si>
  <si>
    <t>3202437117</t>
  </si>
  <si>
    <t>3214083028</t>
  </si>
  <si>
    <t>3115874650</t>
  </si>
  <si>
    <t>3124239438</t>
  </si>
  <si>
    <t>3142195205</t>
  </si>
  <si>
    <t>3114483571</t>
  </si>
  <si>
    <t>3202301409</t>
  </si>
  <si>
    <t>3103434767</t>
  </si>
  <si>
    <t>3123064403</t>
  </si>
  <si>
    <t>3182826024</t>
  </si>
  <si>
    <t>3103416019</t>
  </si>
  <si>
    <t>3132803121</t>
  </si>
  <si>
    <t>3114560542</t>
  </si>
  <si>
    <t>3123863117</t>
  </si>
  <si>
    <t>3213189477</t>
  </si>
  <si>
    <t>3124343807</t>
  </si>
  <si>
    <t>3115062964</t>
  </si>
  <si>
    <t>3156705543</t>
  </si>
  <si>
    <t>3122913170</t>
  </si>
  <si>
    <t>3125415529</t>
  </si>
  <si>
    <t>3142978189</t>
  </si>
  <si>
    <t>3202482334</t>
  </si>
  <si>
    <t>3108717198</t>
  </si>
  <si>
    <t>3106736056</t>
  </si>
  <si>
    <t>3107637640</t>
  </si>
  <si>
    <t>3103045039</t>
  </si>
  <si>
    <t>3158261600</t>
  </si>
  <si>
    <t>3138920415</t>
  </si>
  <si>
    <t>3112537481</t>
  </si>
  <si>
    <t>3212546082</t>
  </si>
  <si>
    <t>3188311631</t>
  </si>
  <si>
    <t>3222426627</t>
  </si>
  <si>
    <t>3133353744</t>
  </si>
  <si>
    <t>3132084880</t>
  </si>
  <si>
    <t>3144122895</t>
  </si>
  <si>
    <t>3132616175</t>
  </si>
  <si>
    <t>3204994481</t>
  </si>
  <si>
    <t>3105602227</t>
  </si>
  <si>
    <t>3227928766</t>
  </si>
  <si>
    <t>3212300816</t>
  </si>
  <si>
    <t>3118480301</t>
  </si>
  <si>
    <t>3138922911</t>
  </si>
  <si>
    <t>3118446818</t>
  </si>
  <si>
    <t>3118845005</t>
  </si>
  <si>
    <t>3132721197</t>
  </si>
  <si>
    <t>3112418705</t>
  </si>
  <si>
    <t>3214595133</t>
  </si>
  <si>
    <t>3118695073</t>
  </si>
  <si>
    <t>3104516677</t>
  </si>
  <si>
    <t>3125057670</t>
  </si>
  <si>
    <t>3158210023</t>
  </si>
  <si>
    <t>3105601783</t>
  </si>
  <si>
    <t>3112204099</t>
  </si>
  <si>
    <t>3112456818</t>
  </si>
  <si>
    <t>3103263513</t>
  </si>
  <si>
    <t>3142459575</t>
  </si>
  <si>
    <t>3102744916</t>
  </si>
  <si>
    <t>3144115932</t>
  </si>
  <si>
    <t>3138390319</t>
  </si>
  <si>
    <t>3208557682</t>
  </si>
  <si>
    <t>3203435936</t>
  </si>
  <si>
    <t>3154077847</t>
  </si>
  <si>
    <t>3132676748</t>
  </si>
  <si>
    <t>3134052356</t>
  </si>
  <si>
    <t>3112274406</t>
  </si>
  <si>
    <t>3144576238</t>
  </si>
  <si>
    <t>3116092055</t>
  </si>
  <si>
    <t>3208488905</t>
  </si>
  <si>
    <t>3134201347</t>
  </si>
  <si>
    <t>3125651921</t>
  </si>
  <si>
    <t>3002131000</t>
  </si>
  <si>
    <t>3002116150</t>
  </si>
  <si>
    <t>3124741025</t>
  </si>
  <si>
    <t>3204526670</t>
  </si>
  <si>
    <t>3112143709</t>
  </si>
  <si>
    <t>3107637126</t>
  </si>
  <si>
    <t>3132088283</t>
  </si>
  <si>
    <t>3214923321</t>
  </si>
  <si>
    <t>3228239038</t>
  </si>
  <si>
    <t>3114729005</t>
  </si>
  <si>
    <t>3002906330</t>
  </si>
  <si>
    <t>3205655212</t>
  </si>
  <si>
    <t>3184635435</t>
  </si>
  <si>
    <t>3146544235</t>
  </si>
  <si>
    <t>3114566499</t>
  </si>
  <si>
    <t>3208571983</t>
  </si>
  <si>
    <t>3132611093</t>
  </si>
  <si>
    <t>3102549283</t>
  </si>
  <si>
    <t>3124471850</t>
  </si>
  <si>
    <t>3228176483</t>
  </si>
  <si>
    <t>3123724645</t>
  </si>
  <si>
    <t>3108024964</t>
  </si>
  <si>
    <t>3115139180</t>
  </si>
  <si>
    <t>3194520432</t>
  </si>
  <si>
    <t>3103378504</t>
  </si>
  <si>
    <t>3114819355</t>
  </si>
  <si>
    <t>3125845926</t>
  </si>
  <si>
    <t>3213020619</t>
  </si>
  <si>
    <t>3112184187</t>
  </si>
  <si>
    <t>3148818355</t>
  </si>
  <si>
    <t>3123977672</t>
  </si>
  <si>
    <t>3103372049</t>
  </si>
  <si>
    <t>3152579371</t>
  </si>
  <si>
    <t>3114747898</t>
  </si>
  <si>
    <t>3114879937</t>
  </si>
  <si>
    <t>3142759422</t>
  </si>
  <si>
    <t>3102706877</t>
  </si>
  <si>
    <t>3124462646</t>
  </si>
  <si>
    <t>3102697402</t>
  </si>
  <si>
    <t>3102141433</t>
  </si>
  <si>
    <t>3105747708</t>
  </si>
  <si>
    <t>3105602240</t>
  </si>
  <si>
    <t>3132106027</t>
  </si>
  <si>
    <t>3203043288</t>
  </si>
  <si>
    <t>3114758831</t>
  </si>
  <si>
    <t>3115789059</t>
  </si>
  <si>
    <t>3209781524</t>
  </si>
  <si>
    <t>3208475716</t>
  </si>
  <si>
    <t>3208249515</t>
  </si>
  <si>
    <t>3118194447</t>
  </si>
  <si>
    <t>3144731130</t>
  </si>
  <si>
    <t>3114842550</t>
  </si>
  <si>
    <t>3124981621</t>
  </si>
  <si>
    <t>3124691925</t>
  </si>
  <si>
    <t>3214532217</t>
  </si>
  <si>
    <t>3134588452</t>
  </si>
  <si>
    <t>3123515188</t>
  </si>
  <si>
    <t>3132974384</t>
  </si>
  <si>
    <t>3107516057</t>
  </si>
  <si>
    <t>3133790023</t>
  </si>
  <si>
    <t>3103497620</t>
  </si>
  <si>
    <t>3125217425</t>
  </si>
  <si>
    <t>3202450786</t>
  </si>
  <si>
    <t>3112255076</t>
  </si>
  <si>
    <t>3144838445</t>
  </si>
  <si>
    <t>3112181671</t>
  </si>
  <si>
    <t>3144275100</t>
  </si>
  <si>
    <t>3185143000</t>
  </si>
  <si>
    <t>3124992058</t>
  </si>
  <si>
    <t>3108622806</t>
  </si>
  <si>
    <t>3112406785</t>
  </si>
  <si>
    <t>3115254675</t>
  </si>
  <si>
    <t>3133304776</t>
  </si>
  <si>
    <t>3112873341</t>
  </si>
  <si>
    <t>3158742858</t>
  </si>
  <si>
    <t>3157970000</t>
  </si>
  <si>
    <t>3102387401</t>
  </si>
  <si>
    <t>310806626</t>
  </si>
  <si>
    <t>3003925323</t>
  </si>
  <si>
    <t>3115832349</t>
  </si>
  <si>
    <t>3212462396</t>
  </si>
  <si>
    <t>31034330058</t>
  </si>
  <si>
    <t>3028653300</t>
  </si>
  <si>
    <t>3123731892</t>
  </si>
  <si>
    <t>3203529924</t>
  </si>
  <si>
    <t>3132103523</t>
  </si>
  <si>
    <t>3158948413</t>
  </si>
  <si>
    <t>3112661286</t>
  </si>
  <si>
    <t>3204630822</t>
  </si>
  <si>
    <t>3112552418</t>
  </si>
  <si>
    <t>3138295217</t>
  </si>
  <si>
    <t>3125904138</t>
  </si>
  <si>
    <t>3175680488</t>
  </si>
  <si>
    <t>3142379306</t>
  </si>
  <si>
    <t>3138662310</t>
  </si>
  <si>
    <t>3138018726</t>
  </si>
  <si>
    <t>3202712778</t>
  </si>
  <si>
    <t>3118580762</t>
  </si>
  <si>
    <t>3123409000</t>
  </si>
  <si>
    <t>3158623994</t>
  </si>
  <si>
    <t>3132724867</t>
  </si>
  <si>
    <t>3104248362</t>
  </si>
  <si>
    <t>3204983233</t>
  </si>
  <si>
    <t>3165439056</t>
  </si>
  <si>
    <t>3124826457</t>
  </si>
  <si>
    <t>3134206680</t>
  </si>
  <si>
    <t>3118755581</t>
  </si>
  <si>
    <t>3115279075</t>
  </si>
  <si>
    <t>3203350877</t>
  </si>
  <si>
    <t>3103331370</t>
  </si>
  <si>
    <t>3112527083</t>
  </si>
  <si>
    <t>3124494725</t>
  </si>
  <si>
    <t>3152379102</t>
  </si>
  <si>
    <t>3123162815</t>
  </si>
  <si>
    <t>3124598348</t>
  </si>
  <si>
    <t>3118769980</t>
  </si>
  <si>
    <t>3108088369</t>
  </si>
  <si>
    <t>3123294284</t>
  </si>
  <si>
    <t>3103240602</t>
  </si>
  <si>
    <t>3114548613</t>
  </si>
  <si>
    <t>3134314342</t>
  </si>
  <si>
    <t>3133806843</t>
  </si>
  <si>
    <t>3112550459</t>
  </si>
  <si>
    <t>3114567997</t>
  </si>
  <si>
    <t>3134323484</t>
  </si>
  <si>
    <t>3212154804</t>
  </si>
  <si>
    <t>3138218585</t>
  </si>
  <si>
    <t>3107853366</t>
  </si>
  <si>
    <t>3123281162</t>
  </si>
  <si>
    <t>3158614291</t>
  </si>
  <si>
    <t>3157030783</t>
  </si>
  <si>
    <t>3124177123</t>
  </si>
  <si>
    <t>3164016295</t>
  </si>
  <si>
    <t>3112235866</t>
  </si>
  <si>
    <t>3118124507</t>
  </si>
  <si>
    <t>3123540865</t>
  </si>
  <si>
    <t>3125488119</t>
  </si>
  <si>
    <t>3124487104</t>
  </si>
  <si>
    <t>3103499908</t>
  </si>
  <si>
    <t>3114696360</t>
  </si>
  <si>
    <t>3108112527</t>
  </si>
  <si>
    <t>3167384515</t>
  </si>
  <si>
    <t>3115500800</t>
  </si>
  <si>
    <t>3209691445</t>
  </si>
  <si>
    <t>3133139158</t>
  </si>
  <si>
    <t>3114569327</t>
  </si>
  <si>
    <t>3124491062</t>
  </si>
  <si>
    <t>3124358914</t>
  </si>
  <si>
    <t>3132611007</t>
  </si>
  <si>
    <t>3112558312</t>
  </si>
  <si>
    <t>3112513377</t>
  </si>
  <si>
    <t>3166295535</t>
  </si>
  <si>
    <t>3108815617</t>
  </si>
  <si>
    <t>3124006188</t>
  </si>
  <si>
    <t>3173313196</t>
  </si>
  <si>
    <t>3115783355</t>
  </si>
  <si>
    <t>3103297388</t>
  </si>
  <si>
    <t>3178863292</t>
  </si>
  <si>
    <t>3124672345</t>
  </si>
  <si>
    <t>3107676796</t>
  </si>
  <si>
    <t>3134040476</t>
  </si>
  <si>
    <t>3132625442</t>
  </si>
  <si>
    <t>3202367837</t>
  </si>
  <si>
    <t>3223987023</t>
  </si>
  <si>
    <t>3108056279</t>
  </si>
  <si>
    <t>3138298869</t>
  </si>
  <si>
    <t>3103626016</t>
  </si>
  <si>
    <t>3112841970</t>
  </si>
  <si>
    <t>3125825876</t>
  </si>
  <si>
    <t>3115413591</t>
  </si>
  <si>
    <t>3123130731</t>
  </si>
  <si>
    <t>3208343631</t>
  </si>
  <si>
    <t>7611135</t>
  </si>
  <si>
    <t>3168257120</t>
  </si>
  <si>
    <t>3118044820</t>
  </si>
  <si>
    <t>3112927117</t>
  </si>
  <si>
    <t>3105602217</t>
  </si>
  <si>
    <t>3144116143</t>
  </si>
  <si>
    <t>3160442254</t>
  </si>
  <si>
    <t>3123531027</t>
  </si>
  <si>
    <t>3168034881</t>
  </si>
  <si>
    <t>3208341085</t>
  </si>
  <si>
    <t>3134333468</t>
  </si>
  <si>
    <t>3103065915</t>
  </si>
  <si>
    <t>3118036063</t>
  </si>
  <si>
    <t>3103094654</t>
  </si>
  <si>
    <t>3103106665</t>
  </si>
  <si>
    <t>3153183766</t>
  </si>
  <si>
    <t>3112586376</t>
  </si>
  <si>
    <t>3147362235</t>
  </si>
  <si>
    <t>3003772043</t>
  </si>
  <si>
    <t>3105831070</t>
  </si>
  <si>
    <t>3102761388</t>
  </si>
  <si>
    <t>3112275156</t>
  </si>
  <si>
    <t>3135053280</t>
  </si>
  <si>
    <t>3138194201</t>
  </si>
  <si>
    <t>3143888284</t>
  </si>
  <si>
    <t>3242589932</t>
  </si>
  <si>
    <t>3103332475</t>
  </si>
  <si>
    <t>3214924914</t>
  </si>
  <si>
    <t>3142037795</t>
  </si>
  <si>
    <t>3144306565</t>
  </si>
  <si>
    <t>3144207121</t>
  </si>
  <si>
    <t>3115890845</t>
  </si>
  <si>
    <t>3132163432</t>
  </si>
  <si>
    <t>3107807375</t>
  </si>
  <si>
    <t>3138290970</t>
  </si>
  <si>
    <t>3188257903</t>
  </si>
  <si>
    <t>3124015347</t>
  </si>
  <si>
    <t>3102810059</t>
  </si>
  <si>
    <t>3115767343</t>
  </si>
  <si>
    <t>3124190893</t>
  </si>
  <si>
    <t>3202374717</t>
  </si>
  <si>
    <t>3102519474</t>
  </si>
  <si>
    <t>3133858697</t>
  </si>
  <si>
    <t>3153980365</t>
  </si>
  <si>
    <t>3115968387</t>
  </si>
  <si>
    <t>3138653105</t>
  </si>
  <si>
    <t>3112234033</t>
  </si>
  <si>
    <t>3124504090</t>
  </si>
  <si>
    <t>3143226481</t>
  </si>
  <si>
    <t>3138245006</t>
  </si>
  <si>
    <t>3202956000</t>
  </si>
  <si>
    <t>3134053267</t>
  </si>
  <si>
    <t>3168705506</t>
  </si>
  <si>
    <t>3107965002</t>
  </si>
  <si>
    <t>3167495333</t>
  </si>
  <si>
    <t>3156414821</t>
  </si>
  <si>
    <t>3143048855</t>
  </si>
  <si>
    <t>3153202185</t>
  </si>
  <si>
    <t>3134176222</t>
  </si>
  <si>
    <t>3124814530</t>
  </si>
  <si>
    <t>3175394839</t>
  </si>
  <si>
    <t>3108784817</t>
  </si>
  <si>
    <t>3132393830</t>
  </si>
  <si>
    <t>3106749753</t>
  </si>
  <si>
    <t>3118069944</t>
  </si>
  <si>
    <t>3132967849</t>
  </si>
  <si>
    <t>3006183496</t>
  </si>
  <si>
    <t>3103337173</t>
  </si>
  <si>
    <t>3147262638</t>
  </si>
  <si>
    <t>3204283885</t>
  </si>
  <si>
    <t>3114627792</t>
  </si>
  <si>
    <t>3136070843</t>
  </si>
  <si>
    <t>3002080507</t>
  </si>
  <si>
    <t>3162253356</t>
  </si>
  <si>
    <t>3115682135</t>
  </si>
  <si>
    <t>3102863143</t>
  </si>
  <si>
    <t>3114845550</t>
  </si>
  <si>
    <t>3102383012</t>
  </si>
  <si>
    <t>3114633088</t>
  </si>
  <si>
    <t>3197762060</t>
  </si>
  <si>
    <t>3208494371</t>
  </si>
  <si>
    <t>3143844834</t>
  </si>
  <si>
    <t>3183258553</t>
  </si>
  <si>
    <t>3132310461</t>
  </si>
  <si>
    <t>3124209924</t>
  </si>
  <si>
    <t>3145653477</t>
  </si>
  <si>
    <t>3118165382</t>
  </si>
  <si>
    <t>3206302872</t>
  </si>
  <si>
    <t>3212425487</t>
  </si>
  <si>
    <t>3125544637</t>
  </si>
  <si>
    <t>3144119348</t>
  </si>
  <si>
    <t>3102733831</t>
  </si>
  <si>
    <t>3124489796</t>
  </si>
  <si>
    <t>3112351928</t>
  </si>
  <si>
    <t>3005500249</t>
  </si>
  <si>
    <t>3002000537</t>
  </si>
  <si>
    <t>3108592489</t>
  </si>
  <si>
    <t>3156332627</t>
  </si>
  <si>
    <t>3133875693</t>
  </si>
  <si>
    <t>3224012598</t>
  </si>
  <si>
    <t>3214363746</t>
  </si>
  <si>
    <t>3132938045</t>
  </si>
  <si>
    <t>314333165</t>
  </si>
  <si>
    <t>3133627479</t>
  </si>
  <si>
    <t>3115857288</t>
  </si>
  <si>
    <t>3114755484</t>
  </si>
  <si>
    <t>3102039410</t>
  </si>
  <si>
    <t>3102713203</t>
  </si>
  <si>
    <t>3115462924</t>
  </si>
  <si>
    <t>3112310556</t>
  </si>
  <si>
    <t>3164705770</t>
  </si>
  <si>
    <t>3132081959</t>
  </si>
  <si>
    <t>3168872413</t>
  </si>
  <si>
    <t>3135321427</t>
  </si>
  <si>
    <t>3102811029</t>
  </si>
  <si>
    <t>3118668547</t>
  </si>
  <si>
    <t>3118025264</t>
  </si>
  <si>
    <t>3143968715</t>
  </si>
  <si>
    <t>3208903906</t>
  </si>
  <si>
    <t>3015261720</t>
  </si>
  <si>
    <t>3112452759</t>
  </si>
  <si>
    <t>3115881482</t>
  </si>
  <si>
    <t>3202355341</t>
  </si>
  <si>
    <t>3165303086</t>
  </si>
  <si>
    <t>3193205388</t>
  </si>
  <si>
    <t>3114593757</t>
  </si>
  <si>
    <t>3123392953</t>
  </si>
  <si>
    <t>3214778981</t>
  </si>
  <si>
    <t>3123196097</t>
  </si>
  <si>
    <t>3107563019</t>
  </si>
  <si>
    <t>3103175444</t>
  </si>
  <si>
    <t>3212680379</t>
  </si>
  <si>
    <t>3112282467</t>
  </si>
  <si>
    <t>3016233893</t>
  </si>
  <si>
    <t>3148943194</t>
  </si>
  <si>
    <t>3168007681</t>
  </si>
  <si>
    <t>3123939446</t>
  </si>
  <si>
    <t>3144253310</t>
  </si>
  <si>
    <t>3192459749</t>
  </si>
  <si>
    <t>3125928883</t>
  </si>
  <si>
    <t>3138520852</t>
  </si>
  <si>
    <t>3102207427</t>
  </si>
  <si>
    <t>3132005670</t>
  </si>
  <si>
    <t>3144326992</t>
  </si>
  <si>
    <t>3105521649</t>
  </si>
  <si>
    <t>3107846095</t>
  </si>
  <si>
    <t>3115708708</t>
  </si>
  <si>
    <t>3112013916</t>
  </si>
  <si>
    <t>3144911636</t>
  </si>
  <si>
    <t>3103326784</t>
  </si>
  <si>
    <t>3112439551</t>
  </si>
  <si>
    <t>3138131678</t>
  </si>
  <si>
    <t>3115093948</t>
  </si>
  <si>
    <t>3144924397</t>
  </si>
  <si>
    <t>3132960854</t>
  </si>
  <si>
    <t>3202548695</t>
  </si>
  <si>
    <t>31534.0339</t>
  </si>
  <si>
    <t>3105007571</t>
  </si>
  <si>
    <t>3157913705</t>
  </si>
  <si>
    <t>3133493904</t>
  </si>
  <si>
    <t>3108023998</t>
  </si>
  <si>
    <t>3208531975</t>
  </si>
  <si>
    <t>3125117988</t>
  </si>
  <si>
    <t>3012571188</t>
  </si>
  <si>
    <t>3206128516</t>
  </si>
  <si>
    <t>3133905312</t>
  </si>
  <si>
    <t>3124799919</t>
  </si>
  <si>
    <t>3132078064</t>
  </si>
  <si>
    <t>3212178841</t>
  </si>
  <si>
    <t>3132208648</t>
  </si>
  <si>
    <t>3125562806</t>
  </si>
  <si>
    <t>3207457492</t>
  </si>
  <si>
    <t>3174674618</t>
  </si>
  <si>
    <t>3222078157</t>
  </si>
  <si>
    <t>3134361136</t>
  </si>
  <si>
    <t>3134425954</t>
  </si>
  <si>
    <t>3142465840</t>
  </si>
  <si>
    <t>3103364455</t>
  </si>
  <si>
    <t>3124347540</t>
  </si>
  <si>
    <t>3123628604</t>
  </si>
  <si>
    <t>320354312</t>
  </si>
  <si>
    <t>3132613071</t>
  </si>
  <si>
    <t>3124820108</t>
  </si>
  <si>
    <t>3112260869</t>
  </si>
  <si>
    <t>3133085547</t>
  </si>
  <si>
    <t>3107816810</t>
  </si>
  <si>
    <t>3155012155</t>
  </si>
  <si>
    <t>3208328856</t>
  </si>
  <si>
    <t>3132587973</t>
  </si>
  <si>
    <t>3115957144</t>
  </si>
  <si>
    <t>3144251444</t>
  </si>
  <si>
    <t>3208364056</t>
  </si>
  <si>
    <t>3125180288</t>
  </si>
  <si>
    <t>3112029126</t>
  </si>
  <si>
    <t>3142737698</t>
  </si>
  <si>
    <t>3134113331</t>
  </si>
  <si>
    <t>3112492840</t>
  </si>
  <si>
    <t>3112457305</t>
  </si>
  <si>
    <t>3134476403</t>
  </si>
  <si>
    <t>3116392878</t>
  </si>
  <si>
    <t>3112882649</t>
  </si>
  <si>
    <t>3123646003</t>
  </si>
  <si>
    <t>3134548410</t>
  </si>
  <si>
    <t>3175152060</t>
  </si>
  <si>
    <t>3105596896</t>
  </si>
  <si>
    <t>3227701259</t>
  </si>
  <si>
    <t>3186345827</t>
  </si>
  <si>
    <t>3025686849</t>
  </si>
  <si>
    <t>3143307642</t>
  </si>
  <si>
    <t>3143612440</t>
  </si>
  <si>
    <t>3219553745</t>
  </si>
  <si>
    <t>3218037283</t>
  </si>
  <si>
    <t>3207321931</t>
  </si>
  <si>
    <t>3212168933</t>
  </si>
  <si>
    <t>3203063028</t>
  </si>
  <si>
    <t>3152271083</t>
  </si>
  <si>
    <t>3112106854</t>
  </si>
  <si>
    <t>3112613391</t>
  </si>
  <si>
    <t>3209929358</t>
  </si>
  <si>
    <t>3213412473</t>
  </si>
  <si>
    <t>3144568271</t>
  </si>
  <si>
    <t>3102025176</t>
  </si>
  <si>
    <t>3165776009</t>
  </si>
  <si>
    <t>3146170540</t>
  </si>
  <si>
    <t>3202452767</t>
  </si>
  <si>
    <t>3008152714</t>
  </si>
  <si>
    <t>3222570379</t>
  </si>
  <si>
    <t>3104439009</t>
  </si>
  <si>
    <t>3142386347</t>
  </si>
  <si>
    <t>3114686085</t>
  </si>
  <si>
    <t>3103299898</t>
  </si>
  <si>
    <t>3124656609</t>
  </si>
  <si>
    <t>3133343892</t>
  </si>
  <si>
    <t>3173002630</t>
  </si>
  <si>
    <t>3204274673</t>
  </si>
  <si>
    <t>3108905019</t>
  </si>
  <si>
    <t>3213784562</t>
  </si>
  <si>
    <t>3124191113</t>
  </si>
  <si>
    <t>3132257428</t>
  </si>
  <si>
    <t>3212059071</t>
  </si>
  <si>
    <t>3112505692</t>
  </si>
  <si>
    <t>3118761644</t>
  </si>
  <si>
    <t>3115997866</t>
  </si>
  <si>
    <t>3132510689</t>
  </si>
  <si>
    <t>3102170942</t>
  </si>
  <si>
    <t>3107857249</t>
  </si>
  <si>
    <t>3103022188</t>
  </si>
  <si>
    <t>3213685409</t>
  </si>
  <si>
    <t>31445555695</t>
  </si>
  <si>
    <t>3123799941</t>
  </si>
  <si>
    <t>3208914129</t>
  </si>
  <si>
    <t>3102471822</t>
  </si>
  <si>
    <t>3228453418</t>
  </si>
  <si>
    <t>3132689511</t>
  </si>
  <si>
    <t>3214853285</t>
  </si>
  <si>
    <t>3105858492</t>
  </si>
  <si>
    <t>3164572676</t>
  </si>
  <si>
    <t>3208544303</t>
  </si>
  <si>
    <t>3208435575</t>
  </si>
  <si>
    <t>3112402595</t>
  </si>
  <si>
    <t>3153538549</t>
  </si>
  <si>
    <t>3208840488</t>
  </si>
  <si>
    <t>3144119269</t>
  </si>
  <si>
    <t>3223704346</t>
  </si>
  <si>
    <t>3144583560</t>
  </si>
  <si>
    <t>3118504222</t>
  </si>
  <si>
    <t>3144083934</t>
  </si>
  <si>
    <t>3118139560</t>
  </si>
  <si>
    <t>3017117101</t>
  </si>
  <si>
    <t>3183901339</t>
  </si>
  <si>
    <t>3212162705</t>
  </si>
  <si>
    <t>3207095100</t>
  </si>
  <si>
    <t>3142191163</t>
  </si>
  <si>
    <t>3164347094</t>
  </si>
  <si>
    <t>3203467519</t>
  </si>
  <si>
    <t>3124471738</t>
  </si>
  <si>
    <t>3103249544</t>
  </si>
  <si>
    <t>3193979887</t>
  </si>
  <si>
    <t>3218858714</t>
  </si>
  <si>
    <t>3143229936</t>
  </si>
  <si>
    <t>3114669297</t>
  </si>
  <si>
    <t>3213371267</t>
  </si>
  <si>
    <t>3124790120</t>
  </si>
  <si>
    <t>7604540</t>
  </si>
  <si>
    <t>3132636045</t>
  </si>
  <si>
    <t>3115061907</t>
  </si>
  <si>
    <t>3105886532</t>
  </si>
  <si>
    <t>3184822835</t>
  </si>
  <si>
    <t>3123778635</t>
  </si>
  <si>
    <t>3134777186</t>
  </si>
  <si>
    <t>3142186687</t>
  </si>
  <si>
    <t>3208314317</t>
  </si>
  <si>
    <t>3115437794</t>
  </si>
  <si>
    <t>3102049393</t>
  </si>
  <si>
    <t>3115060378</t>
  </si>
  <si>
    <t>3103293986</t>
  </si>
  <si>
    <t>3152290699</t>
  </si>
  <si>
    <t>3144115910</t>
  </si>
  <si>
    <t>3106965340</t>
  </si>
  <si>
    <t>3232855969</t>
  </si>
  <si>
    <t>3144116019</t>
  </si>
  <si>
    <t>3142782845</t>
  </si>
  <si>
    <t>3134940541</t>
  </si>
  <si>
    <t>3012124688</t>
  </si>
  <si>
    <t>3125741368</t>
  </si>
  <si>
    <t>3203815939</t>
  </si>
  <si>
    <t>3002108765</t>
  </si>
  <si>
    <t>3134227280</t>
  </si>
  <si>
    <t>3175668276</t>
  </si>
  <si>
    <t>3107573452</t>
  </si>
  <si>
    <t>3153966920</t>
  </si>
  <si>
    <t>3105622179</t>
  </si>
  <si>
    <t>3115892929</t>
  </si>
  <si>
    <t>3103379400</t>
  </si>
  <si>
    <t>3107893245</t>
  </si>
  <si>
    <t>3173777408</t>
  </si>
  <si>
    <t>3105560395</t>
  </si>
  <si>
    <t>3203104437</t>
  </si>
  <si>
    <t>3112220122</t>
  </si>
  <si>
    <t>3124480397</t>
  </si>
  <si>
    <t>3106098728</t>
  </si>
  <si>
    <t>3144442917</t>
  </si>
  <si>
    <t>3123061-286</t>
  </si>
  <si>
    <t>3114461812</t>
  </si>
  <si>
    <t>3229477027</t>
  </si>
  <si>
    <t>3104772442</t>
  </si>
  <si>
    <t>3124480974</t>
  </si>
  <si>
    <t>3134313032</t>
  </si>
  <si>
    <t>3138546191</t>
  </si>
  <si>
    <t>3144251585</t>
  </si>
  <si>
    <t>3173686433</t>
  </si>
  <si>
    <t>3103243306</t>
  </si>
  <si>
    <t>3124802703</t>
  </si>
  <si>
    <t>3134599158</t>
  </si>
  <si>
    <t>3202666901</t>
  </si>
  <si>
    <t>3125901546- 3134422878</t>
  </si>
  <si>
    <t>3118988621</t>
  </si>
  <si>
    <t>3112521042</t>
  </si>
  <si>
    <t>3214946436</t>
  </si>
  <si>
    <t>3106668968</t>
  </si>
  <si>
    <t>3208888832</t>
  </si>
  <si>
    <t>3124156514</t>
  </si>
  <si>
    <t>3133089994</t>
  </si>
  <si>
    <t>3142933623</t>
  </si>
  <si>
    <t>3174050239</t>
  </si>
  <si>
    <t>3112300611</t>
  </si>
  <si>
    <t>3103311297</t>
  </si>
  <si>
    <t>3142197812</t>
  </si>
  <si>
    <t>3118639018</t>
  </si>
  <si>
    <t>3114690863</t>
  </si>
  <si>
    <t>3124079018</t>
  </si>
  <si>
    <t>3204620506</t>
  </si>
  <si>
    <t>3214324157</t>
  </si>
  <si>
    <t>3143350561</t>
  </si>
  <si>
    <t>3208083671</t>
  </si>
  <si>
    <t>3127071551</t>
  </si>
  <si>
    <t>3144761255</t>
  </si>
  <si>
    <t>3118741318</t>
  </si>
  <si>
    <t>3124508290</t>
  </si>
  <si>
    <t>3214326012</t>
  </si>
  <si>
    <t>3118058841</t>
  </si>
  <si>
    <t>3118705523</t>
  </si>
  <si>
    <t>3163664499</t>
  </si>
  <si>
    <t>3336205653</t>
  </si>
  <si>
    <t>3202250437</t>
  </si>
  <si>
    <t>3102186503</t>
  </si>
  <si>
    <t>3133248006</t>
  </si>
  <si>
    <t>3112325114</t>
  </si>
  <si>
    <t>3142466492</t>
  </si>
  <si>
    <t>3123664551</t>
  </si>
  <si>
    <t>3132370777</t>
  </si>
  <si>
    <t>3223041641</t>
  </si>
  <si>
    <t>3144190128</t>
  </si>
  <si>
    <t>3202316255</t>
  </si>
  <si>
    <t>3144327475</t>
  </si>
  <si>
    <t>3202565367</t>
  </si>
  <si>
    <t>3116595906</t>
  </si>
  <si>
    <t>3133051184</t>
  </si>
  <si>
    <t>3144510663</t>
  </si>
  <si>
    <t>3102171318</t>
  </si>
  <si>
    <t>3142110595</t>
  </si>
  <si>
    <t>3203081033</t>
  </si>
  <si>
    <t>3132076552</t>
  </si>
  <si>
    <t>3204881249</t>
  </si>
  <si>
    <t>3202419439</t>
  </si>
  <si>
    <t>3107661607</t>
  </si>
  <si>
    <t>3142186376</t>
  </si>
  <si>
    <t>3204850856</t>
  </si>
  <si>
    <t>3135488534</t>
  </si>
  <si>
    <t>3103454004</t>
  </si>
  <si>
    <t>3114431541</t>
  </si>
  <si>
    <t>3143219769</t>
  </si>
  <si>
    <t>3208622444</t>
  </si>
  <si>
    <t>3212584808</t>
  </si>
  <si>
    <t>3124508034</t>
  </si>
  <si>
    <t>3105805988</t>
  </si>
  <si>
    <t>3112092028</t>
  </si>
  <si>
    <t>3202950216</t>
  </si>
  <si>
    <t>3144357643</t>
  </si>
  <si>
    <t>3212379587</t>
  </si>
  <si>
    <t>3229443454</t>
  </si>
  <si>
    <t>3108700352</t>
  </si>
  <si>
    <t>3112745027</t>
  </si>
  <si>
    <t>3108677776</t>
  </si>
  <si>
    <t>3134595174</t>
  </si>
  <si>
    <t>3202193330</t>
  </si>
  <si>
    <t>3232299195</t>
  </si>
  <si>
    <t>3233218411</t>
  </si>
  <si>
    <t>3015463145</t>
  </si>
  <si>
    <t>312489214</t>
  </si>
  <si>
    <t>3123774631</t>
  </si>
  <si>
    <t>3108608756</t>
  </si>
  <si>
    <t>3112848355</t>
  </si>
  <si>
    <t>3118985478</t>
  </si>
  <si>
    <t>3102495155</t>
  </si>
  <si>
    <t>3225331222</t>
  </si>
  <si>
    <t>3016632861</t>
  </si>
  <si>
    <t>3142753657</t>
  </si>
  <si>
    <t>3202930014</t>
  </si>
  <si>
    <t>3213220424</t>
  </si>
  <si>
    <t>3123860927</t>
  </si>
  <si>
    <t>3164706046</t>
  </si>
  <si>
    <t>3112407020</t>
  </si>
  <si>
    <t>3118134849</t>
  </si>
  <si>
    <t>3188540041</t>
  </si>
  <si>
    <t>3112810307</t>
  </si>
  <si>
    <t>3112175511</t>
  </si>
  <si>
    <t>33102586208</t>
  </si>
  <si>
    <t>3212149469</t>
  </si>
  <si>
    <t>3144457112</t>
  </si>
  <si>
    <t>3204481648</t>
  </si>
  <si>
    <t>3213816809</t>
  </si>
  <si>
    <t>3138701686</t>
  </si>
  <si>
    <t>3214244817</t>
  </si>
  <si>
    <t>3223052349</t>
  </si>
  <si>
    <t>3012282183</t>
  </si>
  <si>
    <t>3213436399</t>
  </si>
  <si>
    <t>3228067700</t>
  </si>
  <si>
    <t>3017548962</t>
  </si>
  <si>
    <t>3134456737</t>
  </si>
  <si>
    <t>3102017305</t>
  </si>
  <si>
    <t>3208830059</t>
  </si>
  <si>
    <t>3112628121</t>
  </si>
  <si>
    <t>3106388756</t>
  </si>
  <si>
    <t>3013511190</t>
  </si>
  <si>
    <t>3102565982</t>
  </si>
  <si>
    <t>3203056028</t>
  </si>
  <si>
    <t>3105544047</t>
  </si>
  <si>
    <t>3102399049</t>
  </si>
  <si>
    <t>3142974747</t>
  </si>
  <si>
    <t>3156499973</t>
  </si>
  <si>
    <t>3102162373</t>
  </si>
  <si>
    <t>3124828910</t>
  </si>
  <si>
    <t>3234743870</t>
  </si>
  <si>
    <t>3105492083</t>
  </si>
  <si>
    <t>3203413683</t>
  </si>
  <si>
    <t>3003679967</t>
  </si>
  <si>
    <t>3124322186</t>
  </si>
  <si>
    <t>3024286735</t>
  </si>
  <si>
    <t>3105605330</t>
  </si>
  <si>
    <t>3123047077</t>
  </si>
  <si>
    <t>3102602286</t>
  </si>
  <si>
    <t>3144288151</t>
  </si>
  <si>
    <t>3154261945</t>
  </si>
  <si>
    <t>3133816445</t>
  </si>
  <si>
    <t>3118095099</t>
  </si>
  <si>
    <t>3112261269</t>
  </si>
  <si>
    <t>3118391032</t>
  </si>
  <si>
    <t>3209624709</t>
  </si>
  <si>
    <t>3168207851</t>
  </si>
  <si>
    <t>3168594168</t>
  </si>
  <si>
    <t>3102574237</t>
  </si>
  <si>
    <t>3123567973</t>
  </si>
  <si>
    <t>3223758595</t>
  </si>
  <si>
    <t>3125900348</t>
  </si>
  <si>
    <t>3114543648</t>
  </si>
  <si>
    <t>3132628408</t>
  </si>
  <si>
    <t>3132622739</t>
  </si>
  <si>
    <t>3124485413</t>
  </si>
  <si>
    <t>3118591430</t>
  </si>
  <si>
    <t>3102468224</t>
  </si>
  <si>
    <t>3219020042</t>
  </si>
  <si>
    <t>3102062458</t>
  </si>
  <si>
    <t>3125402142</t>
  </si>
  <si>
    <t>3103213055</t>
  </si>
  <si>
    <t>3209935605</t>
  </si>
  <si>
    <t>3114516060</t>
  </si>
  <si>
    <t>3114963358</t>
  </si>
  <si>
    <t>3213207225</t>
  </si>
  <si>
    <t>3124394286</t>
  </si>
  <si>
    <t>3124155107</t>
  </si>
  <si>
    <t>3134664843</t>
  </si>
  <si>
    <t>3102304698</t>
  </si>
  <si>
    <t>3002206663</t>
  </si>
  <si>
    <t>3153901028</t>
  </si>
  <si>
    <t>3158171154</t>
  </si>
  <si>
    <t>3145951906</t>
  </si>
  <si>
    <t>3208534759</t>
  </si>
  <si>
    <t>3166983322</t>
  </si>
  <si>
    <t>3115686754</t>
  </si>
  <si>
    <t>3107873724</t>
  </si>
  <si>
    <t>3105619022</t>
  </si>
  <si>
    <t>3115110862</t>
  </si>
  <si>
    <t>3156017238</t>
  </si>
  <si>
    <t>3182944549</t>
  </si>
  <si>
    <t>3202269253</t>
  </si>
  <si>
    <t>3103297913</t>
  </si>
  <si>
    <t>3103450538</t>
  </si>
  <si>
    <t>3212244077</t>
  </si>
  <si>
    <t>3115406777</t>
  </si>
  <si>
    <t>3108582635</t>
  </si>
  <si>
    <t>3203756097</t>
  </si>
  <si>
    <t>3102877829</t>
  </si>
  <si>
    <t>3124999661</t>
  </si>
  <si>
    <t>3183069295</t>
  </si>
  <si>
    <t>3213088553</t>
  </si>
  <si>
    <t>3164621023</t>
  </si>
  <si>
    <t>3124828073</t>
  </si>
  <si>
    <t>3137144473</t>
  </si>
  <si>
    <t>3114559976</t>
  </si>
  <si>
    <t>3202066466</t>
  </si>
  <si>
    <t>3192289609</t>
  </si>
  <si>
    <t>3209326096</t>
  </si>
  <si>
    <t>3106087960</t>
  </si>
  <si>
    <t>3103042580</t>
  </si>
  <si>
    <t>3123330947</t>
  </si>
  <si>
    <t>3125929868</t>
  </si>
  <si>
    <t>3134703558</t>
  </si>
  <si>
    <t>3103368197</t>
  </si>
  <si>
    <t>3172113157</t>
  </si>
  <si>
    <t>3134678948</t>
  </si>
  <si>
    <t>7623118</t>
  </si>
  <si>
    <t>3187717143</t>
  </si>
  <si>
    <t>3112369354</t>
  </si>
  <si>
    <t>3005544486</t>
  </si>
  <si>
    <t>3133985471</t>
  </si>
  <si>
    <t>3118086236</t>
  </si>
  <si>
    <t>3148300586</t>
  </si>
  <si>
    <t>3006148510</t>
  </si>
  <si>
    <t>3125273507</t>
  </si>
  <si>
    <t>3124507759</t>
  </si>
  <si>
    <t>3103247568</t>
  </si>
  <si>
    <t>3118239336</t>
  </si>
  <si>
    <t>3103451726</t>
  </si>
  <si>
    <t>3153932641</t>
  </si>
  <si>
    <t>3157958954</t>
  </si>
  <si>
    <t>3106805152</t>
  </si>
  <si>
    <t>3015853235</t>
  </si>
  <si>
    <t>3112196891</t>
  </si>
  <si>
    <t>3112857810</t>
  </si>
  <si>
    <t>3164660847</t>
  </si>
  <si>
    <t>3208552206</t>
  </si>
  <si>
    <t>3106559844</t>
  </si>
  <si>
    <t>3124823570</t>
  </si>
  <si>
    <t>7603352-3134337921</t>
  </si>
  <si>
    <t>3102539419</t>
  </si>
  <si>
    <t>3232034352</t>
  </si>
  <si>
    <t>3123402739</t>
  </si>
  <si>
    <t>3112875772</t>
  </si>
  <si>
    <t>3104503390</t>
  </si>
  <si>
    <t>3176501807</t>
  </si>
  <si>
    <t>3144116028</t>
  </si>
  <si>
    <t>3202331194</t>
  </si>
  <si>
    <t>3157800481</t>
  </si>
  <si>
    <t>3114741009</t>
  </si>
  <si>
    <t>3152091858</t>
  </si>
  <si>
    <t>3103380092</t>
  </si>
  <si>
    <t>3144132489</t>
  </si>
  <si>
    <t>3115521853</t>
  </si>
  <si>
    <t>3142382315</t>
  </si>
  <si>
    <t>3219642313</t>
  </si>
  <si>
    <t>3202072011</t>
  </si>
  <si>
    <t>3205145396</t>
  </si>
  <si>
    <t>3145161974</t>
  </si>
  <si>
    <t>3112509340</t>
  </si>
  <si>
    <t>3132117286</t>
  </si>
  <si>
    <t>3112864511</t>
  </si>
  <si>
    <t>3114748656</t>
  </si>
  <si>
    <t>3114518899</t>
  </si>
  <si>
    <t>3134998464</t>
  </si>
  <si>
    <t>3143181592</t>
  </si>
  <si>
    <t>3125216565</t>
  </si>
  <si>
    <t>3125402610</t>
  </si>
  <si>
    <t>7603300</t>
  </si>
  <si>
    <t>3158690290</t>
  </si>
  <si>
    <t>3105737543</t>
  </si>
  <si>
    <t>3144115763</t>
  </si>
  <si>
    <t>3112679088</t>
  </si>
  <si>
    <t>3124144608</t>
  </si>
  <si>
    <t>3102117670</t>
  </si>
  <si>
    <t>3102397395</t>
  </si>
  <si>
    <t>3132590866</t>
  </si>
  <si>
    <t>3112223738</t>
  </si>
  <si>
    <t>3112007293</t>
  </si>
  <si>
    <t>3104118183</t>
  </si>
  <si>
    <t>3114962116</t>
  </si>
  <si>
    <t>3204428857</t>
  </si>
  <si>
    <t>3103397123</t>
  </si>
  <si>
    <t>3114486872</t>
  </si>
  <si>
    <t>3137752764</t>
  </si>
  <si>
    <t>3133943992</t>
  </si>
  <si>
    <t>3188478777</t>
  </si>
  <si>
    <t>3153331409</t>
  </si>
  <si>
    <t>3135729604</t>
  </si>
  <si>
    <t>3045982913</t>
  </si>
  <si>
    <t>3219638520</t>
  </si>
  <si>
    <t>3108717132</t>
  </si>
  <si>
    <t>3132081638</t>
  </si>
  <si>
    <t>3103092605</t>
  </si>
  <si>
    <t>3156088160</t>
  </si>
  <si>
    <t>3133682424</t>
  </si>
  <si>
    <t>3148006669</t>
  </si>
  <si>
    <t>3157019879</t>
  </si>
  <si>
    <t>3123607278</t>
  </si>
  <si>
    <t>3212675018</t>
  </si>
  <si>
    <t>3115025895</t>
  </si>
  <si>
    <t>3124808097</t>
  </si>
  <si>
    <t>3123612914</t>
  </si>
  <si>
    <t>3142049153</t>
  </si>
  <si>
    <t>3103590074</t>
  </si>
  <si>
    <t>3142736468</t>
  </si>
  <si>
    <t>3012504519</t>
  </si>
  <si>
    <t>3203876057</t>
  </si>
  <si>
    <t>3125224171</t>
  </si>
  <si>
    <t>3134581707</t>
  </si>
  <si>
    <t>3103222320</t>
  </si>
  <si>
    <t>3105860184</t>
  </si>
  <si>
    <t>3214919919</t>
  </si>
  <si>
    <t>3203126826</t>
  </si>
  <si>
    <t>3142070280</t>
  </si>
  <si>
    <t>3118534196</t>
  </si>
  <si>
    <t>3192818942</t>
  </si>
  <si>
    <t>3104776001</t>
  </si>
  <si>
    <t>3136234183</t>
  </si>
  <si>
    <t>3112964967</t>
  </si>
  <si>
    <t>3203049559</t>
  </si>
  <si>
    <t>3222545320</t>
  </si>
  <si>
    <t>3142759505</t>
  </si>
  <si>
    <t>3226310532</t>
  </si>
  <si>
    <t>3132514835</t>
  </si>
  <si>
    <t>3102445316</t>
  </si>
  <si>
    <t>3108025580</t>
  </si>
  <si>
    <t>3124510486</t>
  </si>
  <si>
    <t>3108685189</t>
  </si>
  <si>
    <t>3112152355</t>
  </si>
  <si>
    <t>3112321042</t>
  </si>
  <si>
    <t>3133969665</t>
  </si>
  <si>
    <t>3167484984</t>
  </si>
  <si>
    <t>3102510978</t>
  </si>
  <si>
    <t>3115274881</t>
  </si>
  <si>
    <t>3125105471</t>
  </si>
  <si>
    <t>3112230109</t>
  </si>
  <si>
    <t>3103379343</t>
  </si>
  <si>
    <t>3212519752</t>
  </si>
  <si>
    <t>3124127104</t>
  </si>
  <si>
    <t>3212628146</t>
  </si>
  <si>
    <t>3138526992</t>
  </si>
  <si>
    <t>3118485902</t>
  </si>
  <si>
    <t>3143344247</t>
  </si>
  <si>
    <t>7870551</t>
  </si>
  <si>
    <t>3105168366</t>
  </si>
  <si>
    <t>6016217330</t>
  </si>
  <si>
    <t>3124385268</t>
  </si>
  <si>
    <t>3133925922</t>
  </si>
  <si>
    <t>3112497198</t>
  </si>
  <si>
    <t>3008658829</t>
  </si>
  <si>
    <t>3114471384</t>
  </si>
  <si>
    <t>3228455916</t>
  </si>
  <si>
    <t>7870549</t>
  </si>
  <si>
    <t>3203399259</t>
  </si>
  <si>
    <t>3133672811</t>
  </si>
  <si>
    <t>3214684470</t>
  </si>
  <si>
    <t>3212184029</t>
  </si>
  <si>
    <t>3105513240</t>
  </si>
  <si>
    <t>3102819869</t>
  </si>
  <si>
    <t>313261720</t>
  </si>
  <si>
    <t>3115181811</t>
  </si>
  <si>
    <t>3125354687</t>
  </si>
  <si>
    <t>3105012375</t>
  </si>
  <si>
    <t>3209521113</t>
  </si>
  <si>
    <t>3144398868</t>
  </si>
  <si>
    <t>3227642903</t>
  </si>
  <si>
    <t>3112411705</t>
  </si>
  <si>
    <t>3114951280</t>
  </si>
  <si>
    <t>3125844470</t>
  </si>
  <si>
    <t>3125789458</t>
  </si>
  <si>
    <t>3178541381</t>
  </si>
  <si>
    <t>3138834292</t>
  </si>
  <si>
    <t>3134458979</t>
  </si>
  <si>
    <t>3202268190</t>
  </si>
  <si>
    <t>3107616342</t>
  </si>
  <si>
    <t>3204875111</t>
  </si>
  <si>
    <t>3133014318</t>
  </si>
  <si>
    <t>3115060547</t>
  </si>
  <si>
    <t>3123468903</t>
  </si>
  <si>
    <t>3132675298</t>
  </si>
  <si>
    <t>3222478885</t>
  </si>
  <si>
    <t>3118148167</t>
  </si>
  <si>
    <t>3112031740</t>
  </si>
  <si>
    <t>3112394394</t>
  </si>
  <si>
    <t>3207257639</t>
  </si>
  <si>
    <t>3204153004</t>
  </si>
  <si>
    <t>3202072783</t>
  </si>
  <si>
    <t>3142979810</t>
  </si>
  <si>
    <t>3118070324</t>
  </si>
  <si>
    <t>3124003356</t>
  </si>
  <si>
    <t>3144424155</t>
  </si>
  <si>
    <t>3102876138</t>
  </si>
  <si>
    <t>3112445892</t>
  </si>
  <si>
    <t>3112514364</t>
  </si>
  <si>
    <t>3132965564</t>
  </si>
  <si>
    <t>3134682418</t>
  </si>
  <si>
    <t>3102776828</t>
  </si>
  <si>
    <t>3143077838</t>
  </si>
  <si>
    <t>3125568929</t>
  </si>
  <si>
    <t>3228125317</t>
  </si>
  <si>
    <t>3138582560</t>
  </si>
  <si>
    <t>3142387143</t>
  </si>
  <si>
    <t>3124145386</t>
  </si>
  <si>
    <t>3203807815</t>
  </si>
  <si>
    <t>3143862536</t>
  </si>
  <si>
    <t>3112221518</t>
  </si>
  <si>
    <t>3114752077</t>
  </si>
  <si>
    <t>3115059487</t>
  </si>
  <si>
    <t>3223579650</t>
  </si>
  <si>
    <t>3142580327</t>
  </si>
  <si>
    <t>3123795160</t>
  </si>
  <si>
    <t>3118591457</t>
  </si>
  <si>
    <t>3112309204</t>
  </si>
  <si>
    <t>3133869746</t>
  </si>
  <si>
    <t>3123737669</t>
  </si>
  <si>
    <t>3217415189</t>
  </si>
  <si>
    <t>3213209584</t>
  </si>
  <si>
    <t>3132466129</t>
  </si>
  <si>
    <t>3204913287</t>
  </si>
  <si>
    <t>3112346892</t>
  </si>
  <si>
    <t>3142181725</t>
  </si>
  <si>
    <t>3133965344</t>
  </si>
  <si>
    <t>3112936368</t>
  </si>
  <si>
    <t>3112225990</t>
  </si>
  <si>
    <t>3123713373</t>
  </si>
  <si>
    <t>3017864222</t>
  </si>
  <si>
    <t>3107853037</t>
  </si>
  <si>
    <t>3133905294</t>
  </si>
  <si>
    <t>3133956047</t>
  </si>
  <si>
    <t>3165023917</t>
  </si>
  <si>
    <t>3105618841</t>
  </si>
  <si>
    <t>3114889907</t>
  </si>
  <si>
    <t>3118994675</t>
  </si>
  <si>
    <t>3112828151</t>
  </si>
  <si>
    <t>3155708888</t>
  </si>
  <si>
    <t>3219022049</t>
  </si>
  <si>
    <t>3228760560</t>
  </si>
  <si>
    <t>3223523474</t>
  </si>
  <si>
    <t>3118987912</t>
  </si>
  <si>
    <t>3108619464</t>
  </si>
  <si>
    <t>3112724865</t>
  </si>
  <si>
    <t>3114677468</t>
  </si>
  <si>
    <t>3133906231</t>
  </si>
  <si>
    <t>3177255751</t>
  </si>
  <si>
    <t>3219541251</t>
  </si>
  <si>
    <t>3112801333</t>
  </si>
  <si>
    <t>3107903474</t>
  </si>
  <si>
    <t>3118168062</t>
  </si>
  <si>
    <t>3208685219</t>
  </si>
  <si>
    <t>3102410054</t>
  </si>
  <si>
    <t>3124213587</t>
  </si>
  <si>
    <t>3138126819</t>
  </si>
  <si>
    <t>3142006487</t>
  </si>
  <si>
    <t>3166610776</t>
  </si>
  <si>
    <t>3214643724</t>
  </si>
  <si>
    <t>33333333</t>
  </si>
  <si>
    <t>3186348592</t>
  </si>
  <si>
    <t>3153878408</t>
  </si>
  <si>
    <t>3133761506</t>
  </si>
  <si>
    <t>3222810033</t>
  </si>
  <si>
    <t>3123737708</t>
  </si>
  <si>
    <t>3123584635</t>
  </si>
  <si>
    <t>3158253640</t>
  </si>
  <si>
    <t>3133774055</t>
  </si>
  <si>
    <t>3166314164</t>
  </si>
  <si>
    <t>3204994937</t>
  </si>
  <si>
    <t>3138921480</t>
  </si>
  <si>
    <t>3118091943</t>
  </si>
  <si>
    <t>3202078659</t>
  </si>
  <si>
    <t>3148181377</t>
  </si>
  <si>
    <t>3209738520</t>
  </si>
  <si>
    <t>3002186401</t>
  </si>
  <si>
    <t>3158599748</t>
  </si>
  <si>
    <t>3208566429</t>
  </si>
  <si>
    <t>3186908027</t>
  </si>
  <si>
    <t>3002090966</t>
  </si>
  <si>
    <t>7603450</t>
  </si>
  <si>
    <t>3103229961</t>
  </si>
  <si>
    <t>3112026836</t>
  </si>
  <si>
    <t>3125838716</t>
  </si>
  <si>
    <t>3108123209</t>
  </si>
  <si>
    <t>3134513556</t>
  </si>
  <si>
    <t>3102920110</t>
  </si>
  <si>
    <t>3118630358</t>
  </si>
  <si>
    <t>3112529810</t>
  </si>
  <si>
    <t>3118798130</t>
  </si>
  <si>
    <t>3153565494</t>
  </si>
  <si>
    <t>3108764895</t>
  </si>
  <si>
    <t>3162200559</t>
  </si>
  <si>
    <t>3213771884</t>
  </si>
  <si>
    <t>3127297303</t>
  </si>
  <si>
    <t>3204192167</t>
  </si>
  <si>
    <t>3166994515</t>
  </si>
  <si>
    <t>3132407875</t>
  </si>
  <si>
    <t>3014154246</t>
  </si>
  <si>
    <t>3112650920</t>
  </si>
  <si>
    <t>3138459629</t>
  </si>
  <si>
    <t>3114593885</t>
  </si>
  <si>
    <t>3115053401</t>
  </si>
  <si>
    <t>3208493987</t>
  </si>
  <si>
    <t>3125955670</t>
  </si>
  <si>
    <t>3108088560</t>
  </si>
  <si>
    <t>3203302256</t>
  </si>
  <si>
    <t>3182003654</t>
  </si>
  <si>
    <t>3125739803</t>
  </si>
  <si>
    <t>3208992610</t>
  </si>
  <si>
    <t>3104795946</t>
  </si>
  <si>
    <t>3133660162</t>
  </si>
  <si>
    <t>3138765174</t>
  </si>
  <si>
    <t>3106088331</t>
  </si>
  <si>
    <t>3157964237</t>
  </si>
  <si>
    <t>3124801218</t>
  </si>
  <si>
    <t>3202116242</t>
  </si>
  <si>
    <t>3183867827</t>
  </si>
  <si>
    <t>3125044216</t>
  </si>
  <si>
    <t>3123504772</t>
  </si>
  <si>
    <t>3102318395</t>
  </si>
  <si>
    <t>3116590907</t>
  </si>
  <si>
    <t>3118779359</t>
  </si>
  <si>
    <t>3106805204</t>
  </si>
  <si>
    <t>3017558192</t>
  </si>
  <si>
    <t>3138528967</t>
  </si>
  <si>
    <t>3208395754</t>
  </si>
  <si>
    <t>3102386857</t>
  </si>
  <si>
    <t>3112812653</t>
  </si>
  <si>
    <t>3152959899</t>
  </si>
  <si>
    <t>3204964388</t>
  </si>
  <si>
    <t>3002414346</t>
  </si>
  <si>
    <t>3105625370</t>
  </si>
  <si>
    <t>3135918411</t>
  </si>
  <si>
    <t>3183483694</t>
  </si>
  <si>
    <t>3115378217</t>
  </si>
  <si>
    <t>3107831572</t>
  </si>
  <si>
    <t>3123054043</t>
  </si>
  <si>
    <t>3212039531</t>
  </si>
  <si>
    <t>3183162523</t>
  </si>
  <si>
    <t>3208524962</t>
  </si>
  <si>
    <t>3142814225</t>
  </si>
  <si>
    <t>3112942111</t>
  </si>
  <si>
    <t>3203039816</t>
  </si>
  <si>
    <t>3124780117</t>
  </si>
  <si>
    <t>3107835087</t>
  </si>
  <si>
    <t>3133941594</t>
  </si>
  <si>
    <t>3208197325</t>
  </si>
  <si>
    <t>3214073176</t>
  </si>
  <si>
    <t>7622205</t>
  </si>
  <si>
    <t>3132452875</t>
  </si>
  <si>
    <t>3168297955</t>
  </si>
  <si>
    <t>3144429697</t>
  </si>
  <si>
    <t>3144377834</t>
  </si>
  <si>
    <t>3112851782</t>
  </si>
  <si>
    <t>3114472692</t>
  </si>
  <si>
    <t>3208550069</t>
  </si>
  <si>
    <t>3132619917</t>
  </si>
  <si>
    <t>3208569546</t>
  </si>
  <si>
    <t>3124930103</t>
  </si>
  <si>
    <t>3112328941</t>
  </si>
  <si>
    <t>3143325015</t>
  </si>
  <si>
    <t>3102628684</t>
  </si>
  <si>
    <t>3208529446</t>
  </si>
  <si>
    <t>3213135388</t>
  </si>
  <si>
    <t>3175152927</t>
  </si>
  <si>
    <t>3214807459</t>
  </si>
  <si>
    <t>3125176064</t>
  </si>
  <si>
    <t>3123510528</t>
  </si>
  <si>
    <t>3132946677</t>
  </si>
  <si>
    <t>3005696804</t>
  </si>
  <si>
    <t>3133702640</t>
  </si>
  <si>
    <t>7618110</t>
  </si>
  <si>
    <t>3118504155</t>
  </si>
  <si>
    <t>3114523922</t>
  </si>
  <si>
    <t>3114780452</t>
  </si>
  <si>
    <t>3016165538</t>
  </si>
  <si>
    <t>3133886870</t>
  </si>
  <si>
    <t>3152336231</t>
  </si>
  <si>
    <t>3107857046</t>
  </si>
  <si>
    <t>3144387978</t>
  </si>
  <si>
    <t>3144640827</t>
  </si>
  <si>
    <t>3142012750</t>
  </si>
  <si>
    <t>3108733997</t>
  </si>
  <si>
    <t>3202331794</t>
  </si>
  <si>
    <t>3178542409</t>
  </si>
  <si>
    <t>3124364155</t>
  </si>
  <si>
    <t>3204954624</t>
  </si>
  <si>
    <t>3138715527</t>
  </si>
  <si>
    <t>3138141444</t>
  </si>
  <si>
    <t>3212099343</t>
  </si>
  <si>
    <t>3222408868</t>
  </si>
  <si>
    <t>3133484481</t>
  </si>
  <si>
    <t>3144500107</t>
  </si>
  <si>
    <t>3223276137</t>
  </si>
  <si>
    <t>3158690304</t>
  </si>
  <si>
    <t>3106136311</t>
  </si>
  <si>
    <t>3138871991</t>
  </si>
  <si>
    <t>3145818576</t>
  </si>
  <si>
    <t>3002156809</t>
  </si>
  <si>
    <t>3002156538</t>
  </si>
  <si>
    <t>3012309975</t>
  </si>
  <si>
    <t>3202334278</t>
  </si>
  <si>
    <t>3113622837</t>
  </si>
  <si>
    <t>3138574291</t>
  </si>
  <si>
    <t>3222012480</t>
  </si>
  <si>
    <t>3102849721</t>
  </si>
  <si>
    <t>3157862288</t>
  </si>
  <si>
    <t>3115603558</t>
  </si>
  <si>
    <t>3103291878</t>
  </si>
  <si>
    <t>3115445546</t>
  </si>
  <si>
    <t>3107926681</t>
  </si>
  <si>
    <t>3176552039</t>
  </si>
  <si>
    <t>3105069454</t>
  </si>
  <si>
    <t>3204982984</t>
  </si>
  <si>
    <t>3186302163</t>
  </si>
  <si>
    <t>3208012577</t>
  </si>
  <si>
    <t>3135241115</t>
  </si>
  <si>
    <t>3202486929</t>
  </si>
  <si>
    <t>7616149</t>
  </si>
  <si>
    <t>3118479812</t>
  </si>
  <si>
    <t>3144696690</t>
  </si>
  <si>
    <t>3138169180</t>
  </si>
  <si>
    <t>3143564796</t>
  </si>
  <si>
    <t>2115091545</t>
  </si>
  <si>
    <t>3132623889</t>
  </si>
  <si>
    <t>3222106788</t>
  </si>
  <si>
    <t>3118101145</t>
  </si>
  <si>
    <t>3114831663</t>
  </si>
  <si>
    <t>3224551898</t>
  </si>
  <si>
    <t>3144902201</t>
  </si>
  <si>
    <t>7600240</t>
  </si>
  <si>
    <t>3105815280</t>
  </si>
  <si>
    <t>3202335363</t>
  </si>
  <si>
    <t>3123584534</t>
  </si>
  <si>
    <t>3222386374</t>
  </si>
  <si>
    <t>3158434298</t>
  </si>
  <si>
    <t>3045500051</t>
  </si>
  <si>
    <t>3108837097</t>
  </si>
  <si>
    <t>3112227307</t>
  </si>
  <si>
    <t>3102833940</t>
  </si>
  <si>
    <t>3014745985</t>
  </si>
  <si>
    <t>3133860058</t>
  </si>
  <si>
    <t>3115817858</t>
  </si>
  <si>
    <t>3115910899</t>
  </si>
  <si>
    <t>3208010450</t>
  </si>
  <si>
    <t>3123904230</t>
  </si>
  <si>
    <t>3158878284</t>
  </si>
  <si>
    <t>3115250505</t>
  </si>
  <si>
    <t>3105755907</t>
  </si>
  <si>
    <t>3143825000</t>
  </si>
  <si>
    <t>3132519669</t>
  </si>
  <si>
    <t>3124427165</t>
  </si>
  <si>
    <t>3133801464</t>
  </si>
  <si>
    <t>3108571470</t>
  </si>
  <si>
    <t>3004942958</t>
  </si>
  <si>
    <t>3107894815</t>
  </si>
  <si>
    <t>3142816561</t>
  </si>
  <si>
    <t>3123657088</t>
  </si>
  <si>
    <t>3143226288</t>
  </si>
  <si>
    <t>3212141562</t>
  </si>
  <si>
    <t>3223304868</t>
  </si>
  <si>
    <t>3102272044</t>
  </si>
  <si>
    <t>3112261677</t>
  </si>
  <si>
    <t>3158579980</t>
  </si>
  <si>
    <t>3115532831</t>
  </si>
  <si>
    <t>3007754012</t>
  </si>
  <si>
    <t>3212916087</t>
  </si>
  <si>
    <t>3138802966</t>
  </si>
  <si>
    <t>3138029363</t>
  </si>
  <si>
    <t>3124330334</t>
  </si>
  <si>
    <t>3204074981</t>
  </si>
  <si>
    <t>3123317493</t>
  </si>
  <si>
    <t>3125452266</t>
  </si>
  <si>
    <t>3222207681</t>
  </si>
  <si>
    <t>3224221415</t>
  </si>
  <si>
    <t>3142657828</t>
  </si>
  <si>
    <t>3208878234</t>
  </si>
  <si>
    <t>3103451971</t>
  </si>
  <si>
    <t>3194022609</t>
  </si>
  <si>
    <t>3103430684</t>
  </si>
  <si>
    <t>7628947</t>
  </si>
  <si>
    <t>3168033976</t>
  </si>
  <si>
    <t>3115239731</t>
  </si>
  <si>
    <t>3127650252</t>
  </si>
  <si>
    <t>3202309576</t>
  </si>
  <si>
    <t>3125867340</t>
  </si>
  <si>
    <t>3133872017</t>
  </si>
  <si>
    <t>3112157743</t>
  </si>
  <si>
    <t>3148500182</t>
  </si>
  <si>
    <t>3124204155</t>
  </si>
  <si>
    <t>7770076</t>
  </si>
  <si>
    <t>3132465193</t>
  </si>
  <si>
    <t>3138831874</t>
  </si>
  <si>
    <t>3142197178</t>
  </si>
  <si>
    <t>3113290648</t>
  </si>
  <si>
    <t>3002021679</t>
  </si>
  <si>
    <t>3124449772</t>
  </si>
  <si>
    <t>3132318710</t>
  </si>
  <si>
    <t>3123416739</t>
  </si>
  <si>
    <t>3118356122</t>
  </si>
  <si>
    <t>3124218905</t>
  </si>
  <si>
    <t>3144136515</t>
  </si>
  <si>
    <t>3123322846</t>
  </si>
  <si>
    <t>3142248000</t>
  </si>
  <si>
    <t>3115456923</t>
  </si>
  <si>
    <t>3202254525</t>
  </si>
  <si>
    <t>3208397291</t>
  </si>
  <si>
    <t>3125659097</t>
  </si>
  <si>
    <t>3228113997</t>
  </si>
  <si>
    <t>3138159508</t>
  </si>
  <si>
    <t>3144438079</t>
  </si>
  <si>
    <t>3142183825</t>
  </si>
  <si>
    <t>3124083912</t>
  </si>
  <si>
    <t>3118723678</t>
  </si>
  <si>
    <t>3132941937</t>
  </si>
  <si>
    <t>3143813712</t>
  </si>
  <si>
    <t>3118235307</t>
  </si>
  <si>
    <t>3138538864</t>
  </si>
  <si>
    <t>3228508588</t>
  </si>
  <si>
    <t>3143912637</t>
  </si>
  <si>
    <t>3102302383</t>
  </si>
  <si>
    <t>3214688518</t>
  </si>
  <si>
    <t>3205873784</t>
  </si>
  <si>
    <t>3112028532</t>
  </si>
  <si>
    <t>3124489353</t>
  </si>
  <si>
    <t>3107895897</t>
  </si>
  <si>
    <t>3103414994</t>
  </si>
  <si>
    <t>3144737797</t>
  </si>
  <si>
    <t>3114722198</t>
  </si>
  <si>
    <t>3203309427</t>
  </si>
  <si>
    <t>3133170809</t>
  </si>
  <si>
    <t>3212912982</t>
  </si>
  <si>
    <t>3142888979</t>
  </si>
  <si>
    <t>3203036738</t>
  </si>
  <si>
    <t>3118284486</t>
  </si>
  <si>
    <t>3134106873</t>
  </si>
  <si>
    <t>3125019866</t>
  </si>
  <si>
    <t>3212352331</t>
  </si>
  <si>
    <t>3222493541</t>
  </si>
  <si>
    <t>3136476835</t>
  </si>
  <si>
    <t>3142204560</t>
  </si>
  <si>
    <t>3188449503</t>
  </si>
  <si>
    <t>3218033567</t>
  </si>
  <si>
    <t>7628468</t>
  </si>
  <si>
    <t>3134540143</t>
  </si>
  <si>
    <t>3212131059</t>
  </si>
  <si>
    <t>3115141605</t>
  </si>
  <si>
    <t>3138357334</t>
  </si>
  <si>
    <t>3105535970</t>
  </si>
  <si>
    <t>3138520709</t>
  </si>
  <si>
    <t>3144454905</t>
  </si>
  <si>
    <t>3102843830</t>
  </si>
  <si>
    <t>3103222677</t>
  </si>
  <si>
    <t>3229456655</t>
  </si>
  <si>
    <t>3125451769</t>
  </si>
  <si>
    <t>3103008865</t>
  </si>
  <si>
    <t>3118439509</t>
  </si>
  <si>
    <t>3125929781</t>
  </si>
  <si>
    <t>3107855245</t>
  </si>
  <si>
    <t>3186531819</t>
  </si>
  <si>
    <t>3142055475</t>
  </si>
  <si>
    <t>3214848773</t>
  </si>
  <si>
    <t>3118546114</t>
  </si>
  <si>
    <t>3224683573</t>
  </si>
  <si>
    <t>3214661800</t>
  </si>
  <si>
    <t>3133964619</t>
  </si>
  <si>
    <t>3115147203</t>
  </si>
  <si>
    <t>3103238729</t>
  </si>
  <si>
    <t>3105542768</t>
  </si>
  <si>
    <t>3143356354</t>
  </si>
  <si>
    <t>3112192959</t>
  </si>
  <si>
    <t>3138291670</t>
  </si>
  <si>
    <t>3208817615</t>
  </si>
  <si>
    <t>3152670064</t>
  </si>
  <si>
    <t>3133372862</t>
  </si>
  <si>
    <t>3208017371</t>
  </si>
  <si>
    <t>3202320164</t>
  </si>
  <si>
    <t>3114405537</t>
  </si>
  <si>
    <t>3103111345</t>
  </si>
  <si>
    <t>3114871554</t>
  </si>
  <si>
    <t>3102114123</t>
  </si>
  <si>
    <t>3125489964</t>
  </si>
  <si>
    <t>3115642064</t>
  </si>
  <si>
    <t>3125247358</t>
  </si>
  <si>
    <t>3132526069</t>
  </si>
  <si>
    <t>3174282332</t>
  </si>
  <si>
    <t>3105851979</t>
  </si>
  <si>
    <t>3143004895</t>
  </si>
  <si>
    <t>3214429543</t>
  </si>
  <si>
    <t>3212255590</t>
  </si>
  <si>
    <t>3123654322</t>
  </si>
  <si>
    <t>3202737318</t>
  </si>
  <si>
    <t>3132509811</t>
  </si>
  <si>
    <t>3186860840</t>
  </si>
  <si>
    <t>3115894542</t>
  </si>
  <si>
    <t>3118581318</t>
  </si>
  <si>
    <t>3222364129</t>
  </si>
  <si>
    <t>3212517980</t>
  </si>
  <si>
    <t>3124521033</t>
  </si>
  <si>
    <t>3107962647</t>
  </si>
  <si>
    <t>3103247339</t>
  </si>
  <si>
    <t>3134539980</t>
  </si>
  <si>
    <t>3177143772</t>
  </si>
  <si>
    <t>3112272756</t>
  </si>
  <si>
    <t>3105519087</t>
  </si>
  <si>
    <t>3123943229</t>
  </si>
  <si>
    <t>3005709628</t>
  </si>
  <si>
    <t>3118248717</t>
  </si>
  <si>
    <t>3103186328</t>
  </si>
  <si>
    <t>3114523012</t>
  </si>
  <si>
    <t>3132091250</t>
  </si>
  <si>
    <t>3143958052</t>
  </si>
  <si>
    <t>3152292369</t>
  </si>
  <si>
    <t>3143496252</t>
  </si>
  <si>
    <t>3212465923</t>
  </si>
  <si>
    <t>3118055082</t>
  </si>
  <si>
    <t>3115866604</t>
  </si>
  <si>
    <t>3107941983</t>
  </si>
  <si>
    <t>3134994140</t>
  </si>
  <si>
    <t>3114557556</t>
  </si>
  <si>
    <t>3226579856</t>
  </si>
  <si>
    <t>3134638862</t>
  </si>
  <si>
    <t>3004741342</t>
  </si>
  <si>
    <t>3133200254</t>
  </si>
  <si>
    <t>3103031194</t>
  </si>
  <si>
    <t>3134115988</t>
  </si>
  <si>
    <t>3102911619</t>
  </si>
  <si>
    <t>3118865727</t>
  </si>
  <si>
    <t>3228452075</t>
  </si>
  <si>
    <t>3103028489</t>
  </si>
  <si>
    <t>3132343819</t>
  </si>
  <si>
    <t>3206979682</t>
  </si>
  <si>
    <t>3124671867</t>
  </si>
  <si>
    <t>3134653894</t>
  </si>
  <si>
    <t>3133191230</t>
  </si>
  <si>
    <t>3103171191</t>
  </si>
  <si>
    <t>3174270132</t>
  </si>
  <si>
    <t>3114542742</t>
  </si>
  <si>
    <t>3004609118</t>
  </si>
  <si>
    <t>3152422285</t>
  </si>
  <si>
    <t>3124709026</t>
  </si>
  <si>
    <t>3138819777</t>
  </si>
  <si>
    <t>3015928039</t>
  </si>
  <si>
    <t>3125362848</t>
  </si>
  <si>
    <t>3150614391</t>
  </si>
  <si>
    <t>3112326327</t>
  </si>
  <si>
    <t>3178226268</t>
  </si>
  <si>
    <t>3107527650</t>
  </si>
  <si>
    <t>3118963109</t>
  </si>
  <si>
    <t>3134513523</t>
  </si>
  <si>
    <t>3138929533</t>
  </si>
  <si>
    <t>3115919433</t>
  </si>
  <si>
    <t>3133250589</t>
  </si>
  <si>
    <t>3125293960</t>
  </si>
  <si>
    <t>3125867721</t>
  </si>
  <si>
    <t>3208539</t>
  </si>
  <si>
    <t>3214112206</t>
  </si>
  <si>
    <t>3202398250</t>
  </si>
  <si>
    <t>3142970165</t>
  </si>
  <si>
    <t>3213037769</t>
  </si>
  <si>
    <t>3125265504</t>
  </si>
  <si>
    <t>3142646863</t>
  </si>
  <si>
    <t>3167610403</t>
  </si>
  <si>
    <t>3204202624</t>
  </si>
  <si>
    <t>3138430217</t>
  </si>
  <si>
    <t>3104855495</t>
  </si>
  <si>
    <t>3115882021</t>
  </si>
  <si>
    <t>3115320444</t>
  </si>
  <si>
    <t>3132497495</t>
  </si>
  <si>
    <t>3202336905</t>
  </si>
  <si>
    <t>3143089148</t>
  </si>
  <si>
    <t>3114742946</t>
  </si>
  <si>
    <t>3202321146</t>
  </si>
  <si>
    <t>3112453976</t>
  </si>
  <si>
    <t>3143821220</t>
  </si>
  <si>
    <t>3208590471</t>
  </si>
  <si>
    <t>3118577215</t>
  </si>
  <si>
    <t>3138524690</t>
  </si>
  <si>
    <t>3118297816</t>
  </si>
  <si>
    <t>3202413503</t>
  </si>
  <si>
    <t>3213443717</t>
  </si>
  <si>
    <t>3103073480</t>
  </si>
  <si>
    <t>3208286103</t>
  </si>
  <si>
    <t>3132621065</t>
  </si>
  <si>
    <t>3208413775</t>
  </si>
  <si>
    <t>3123558106</t>
  </si>
  <si>
    <t>3138231289</t>
  </si>
  <si>
    <t>3167401879</t>
  </si>
  <si>
    <t>3104831354</t>
  </si>
  <si>
    <t>3124389050</t>
  </si>
  <si>
    <t>3124592591</t>
  </si>
  <si>
    <t>3124604062</t>
  </si>
  <si>
    <t>3112800937</t>
  </si>
  <si>
    <t>3114564950</t>
  </si>
  <si>
    <t>3228520254</t>
  </si>
  <si>
    <t>3203735693</t>
  </si>
  <si>
    <t>3186467696</t>
  </si>
  <si>
    <t>3143803205</t>
  </si>
  <si>
    <t>3165149501</t>
  </si>
  <si>
    <t>3133811290</t>
  </si>
  <si>
    <t>3215431831</t>
  </si>
  <si>
    <t>3107830077</t>
  </si>
  <si>
    <t>3118078638</t>
  </si>
  <si>
    <t>3155787422</t>
  </si>
  <si>
    <t>3212028302</t>
  </si>
  <si>
    <t>3134773982</t>
  </si>
  <si>
    <t>3123965026</t>
  </si>
  <si>
    <t>3112871530</t>
  </si>
  <si>
    <t>3144451490</t>
  </si>
  <si>
    <t>3142429995</t>
  </si>
  <si>
    <t>3102271541</t>
  </si>
  <si>
    <t>3213272339</t>
  </si>
  <si>
    <t>3138324833</t>
  </si>
  <si>
    <t>3114963852</t>
  </si>
  <si>
    <t>3133751378</t>
  </si>
  <si>
    <t>3102788590</t>
  </si>
  <si>
    <t>3143941058</t>
  </si>
  <si>
    <t>3123517001</t>
  </si>
  <si>
    <t>3112178516</t>
  </si>
  <si>
    <t>3128355277</t>
  </si>
  <si>
    <t>3134843955</t>
  </si>
  <si>
    <t>3118126052</t>
  </si>
  <si>
    <t>3112387332</t>
  </si>
  <si>
    <t>3112072926</t>
  </si>
  <si>
    <t>3102419259</t>
  </si>
  <si>
    <t>3104769890</t>
  </si>
  <si>
    <t>3213289126</t>
  </si>
  <si>
    <t>3124604483</t>
  </si>
  <si>
    <t>3134964603</t>
  </si>
  <si>
    <t>3112897687</t>
  </si>
  <si>
    <t>3103413505</t>
  </si>
  <si>
    <t>3125833574</t>
  </si>
  <si>
    <t>3102042170</t>
  </si>
  <si>
    <t>3004855514</t>
  </si>
  <si>
    <t>3118738642</t>
  </si>
  <si>
    <t>3103490798</t>
  </si>
  <si>
    <t>3215471078</t>
  </si>
  <si>
    <t>3138662249</t>
  </si>
  <si>
    <t>3136902014</t>
  </si>
  <si>
    <t>3142433692</t>
  </si>
  <si>
    <t>3114433070</t>
  </si>
  <si>
    <t>3153005002</t>
  </si>
  <si>
    <t>3118535871</t>
  </si>
  <si>
    <t>3125845735</t>
  </si>
  <si>
    <t>3118535834</t>
  </si>
  <si>
    <t>3207962122</t>
  </si>
  <si>
    <t>3134675954</t>
  </si>
  <si>
    <t>3134355245</t>
  </si>
  <si>
    <t>3106749334</t>
  </si>
  <si>
    <t>3112242589</t>
  </si>
  <si>
    <t>3138197531</t>
  </si>
  <si>
    <t>3144420345</t>
  </si>
  <si>
    <t>3114557090</t>
  </si>
  <si>
    <t>3144712571</t>
  </si>
  <si>
    <t>3123428042</t>
  </si>
  <si>
    <t>3118076863</t>
  </si>
  <si>
    <t>3203297447</t>
  </si>
  <si>
    <t>3103160715</t>
  </si>
  <si>
    <t>3209113524</t>
  </si>
  <si>
    <t>3107528743</t>
  </si>
  <si>
    <t>3202315035</t>
  </si>
  <si>
    <t>3208345930</t>
  </si>
  <si>
    <t>3115914679</t>
  </si>
  <si>
    <t>3123783140</t>
  </si>
  <si>
    <t>3208543761</t>
  </si>
  <si>
    <t>3184933608</t>
  </si>
  <si>
    <t>3175016157</t>
  </si>
  <si>
    <t>3143314958</t>
  </si>
  <si>
    <t>3106974651</t>
  </si>
  <si>
    <t>3114560199</t>
  </si>
  <si>
    <t>3144492068</t>
  </si>
  <si>
    <t>3158326696</t>
  </si>
  <si>
    <t>3125449793</t>
  </si>
  <si>
    <t>3124791761</t>
  </si>
  <si>
    <t>3115926038</t>
  </si>
  <si>
    <t>3125292504</t>
  </si>
  <si>
    <t>3194136253</t>
  </si>
  <si>
    <t>3144115665</t>
  </si>
  <si>
    <t>3125756046</t>
  </si>
  <si>
    <t>3150500006</t>
  </si>
  <si>
    <t>3222524852</t>
  </si>
  <si>
    <t>3123777673</t>
  </si>
  <si>
    <t>3125135482</t>
  </si>
  <si>
    <t>3112795496</t>
  </si>
  <si>
    <t>3207306958</t>
  </si>
  <si>
    <t>3174025791</t>
  </si>
  <si>
    <t>3124782731</t>
  </si>
  <si>
    <t>3112235317</t>
  </si>
  <si>
    <t>3134984987</t>
  </si>
  <si>
    <t>3134281270</t>
  </si>
  <si>
    <t>3124326256</t>
  </si>
  <si>
    <t>3142988808</t>
  </si>
  <si>
    <t>3105739093</t>
  </si>
  <si>
    <t>3208558634</t>
  </si>
  <si>
    <t>3125242542</t>
  </si>
  <si>
    <t>3177346294</t>
  </si>
  <si>
    <t>7617324</t>
  </si>
  <si>
    <t>3114632309</t>
  </si>
  <si>
    <t>3208362686</t>
  </si>
  <si>
    <t>3165347112</t>
  </si>
  <si>
    <t>3102374960</t>
  </si>
  <si>
    <t>3202978394</t>
  </si>
  <si>
    <t>3124543978</t>
  </si>
  <si>
    <t>3046551474</t>
  </si>
  <si>
    <t>3204833369</t>
  </si>
  <si>
    <t>3228155178</t>
  </si>
  <si>
    <t>3124124225</t>
  </si>
  <si>
    <t>3133017238</t>
  </si>
  <si>
    <t>3223904449</t>
  </si>
  <si>
    <t>3143284703</t>
  </si>
  <si>
    <t>3204954750</t>
  </si>
  <si>
    <t>3124750209</t>
  </si>
  <si>
    <t>3157461111</t>
  </si>
  <si>
    <t>3114827668</t>
  </si>
  <si>
    <t>3115268636</t>
  </si>
  <si>
    <t>3203049367</t>
  </si>
  <si>
    <t>3186786857</t>
  </si>
  <si>
    <t>3012102763</t>
  </si>
  <si>
    <t>3114577719</t>
  </si>
  <si>
    <t>3115455151</t>
  </si>
  <si>
    <t>3112646032</t>
  </si>
  <si>
    <t>3214844590</t>
  </si>
  <si>
    <t>3227900803</t>
  </si>
  <si>
    <t>3202005922</t>
  </si>
  <si>
    <t>3175148122</t>
  </si>
  <si>
    <t>3125837917</t>
  </si>
  <si>
    <t>3102912512</t>
  </si>
  <si>
    <t>3118990415</t>
  </si>
  <si>
    <t>3212152429</t>
  </si>
  <si>
    <t>3118210287</t>
  </si>
  <si>
    <t>3204404884</t>
  </si>
  <si>
    <t>3208430318</t>
  </si>
  <si>
    <t>3115103921</t>
  </si>
  <si>
    <t>3202251134</t>
  </si>
  <si>
    <t>3142934945</t>
  </si>
  <si>
    <t>3125337657</t>
  </si>
  <si>
    <t>3112561000</t>
  </si>
  <si>
    <t>3124742290</t>
  </si>
  <si>
    <t>3114510014</t>
  </si>
  <si>
    <t>3208020209</t>
  </si>
  <si>
    <t>7618955</t>
  </si>
  <si>
    <t>3203970984</t>
  </si>
  <si>
    <t>3209841790</t>
  </si>
  <si>
    <t>3213207792</t>
  </si>
  <si>
    <t>3125488939</t>
  </si>
  <si>
    <t>3112263450</t>
  </si>
  <si>
    <t>3115542947</t>
  </si>
  <si>
    <t>3124203578</t>
  </si>
  <si>
    <t>3204021049</t>
  </si>
  <si>
    <t>3208250599</t>
  </si>
  <si>
    <t>3138286515</t>
  </si>
  <si>
    <t>3123749261</t>
  </si>
  <si>
    <t>3138546323</t>
  </si>
  <si>
    <t>3115414030</t>
  </si>
  <si>
    <t>3103191301</t>
  </si>
  <si>
    <t>3133433653</t>
  </si>
  <si>
    <t>3112187907</t>
  </si>
  <si>
    <t>3115474051</t>
  </si>
  <si>
    <t>3118207434</t>
  </si>
  <si>
    <t>3213414955</t>
  </si>
  <si>
    <t>3113559144</t>
  </si>
  <si>
    <t>3124480023</t>
  </si>
  <si>
    <t>3133836219</t>
  </si>
  <si>
    <t>3164713093</t>
  </si>
  <si>
    <t>3118258780</t>
  </si>
  <si>
    <t>3118687582</t>
  </si>
  <si>
    <t>3142985486</t>
  </si>
  <si>
    <t>3124010256</t>
  </si>
  <si>
    <t>3222625745</t>
  </si>
  <si>
    <t>3185023264</t>
  </si>
  <si>
    <t>3228161587</t>
  </si>
  <si>
    <t>3102548320</t>
  </si>
  <si>
    <t>3138589319</t>
  </si>
  <si>
    <t>3185672400</t>
  </si>
  <si>
    <t>3142654170</t>
  </si>
  <si>
    <t>3202252807</t>
  </si>
  <si>
    <t>3133962951</t>
  </si>
  <si>
    <t>3145906958</t>
  </si>
  <si>
    <t>7618767</t>
  </si>
  <si>
    <t>3133026445</t>
  </si>
  <si>
    <t>311899253</t>
  </si>
  <si>
    <t>3112768436</t>
  </si>
  <si>
    <t>3212250360</t>
  </si>
  <si>
    <t>321258007</t>
  </si>
  <si>
    <t>3204997160</t>
  </si>
  <si>
    <t>3103229890</t>
  </si>
  <si>
    <t>3132580-411</t>
  </si>
  <si>
    <t>3102873852</t>
  </si>
  <si>
    <t>3102151880</t>
  </si>
  <si>
    <t>3204005273</t>
  </si>
  <si>
    <t>3208336500</t>
  </si>
  <si>
    <t>3108613882</t>
  </si>
  <si>
    <t>3133328199</t>
  </si>
  <si>
    <t>3112838942</t>
  </si>
  <si>
    <t>3115974383</t>
  </si>
  <si>
    <t>3125044084</t>
  </si>
  <si>
    <t>3132934041</t>
  </si>
  <si>
    <t>3133124734</t>
  </si>
  <si>
    <t>3142981597</t>
  </si>
  <si>
    <t>3124323224</t>
  </si>
  <si>
    <t>3107024909</t>
  </si>
  <si>
    <t>3138683034</t>
  </si>
  <si>
    <t>3124806748</t>
  </si>
  <si>
    <t>3142450052</t>
  </si>
  <si>
    <t>3224127396</t>
  </si>
  <si>
    <t>3114610521</t>
  </si>
  <si>
    <t>3115100505</t>
  </si>
  <si>
    <t>3143984008</t>
  </si>
  <si>
    <t>3124866802</t>
  </si>
  <si>
    <t>3112457690</t>
  </si>
  <si>
    <t>3134823945</t>
  </si>
  <si>
    <t>3135016806</t>
  </si>
  <si>
    <t>3132484114</t>
  </si>
  <si>
    <t>3132957148</t>
  </si>
  <si>
    <t>3123081507</t>
  </si>
  <si>
    <t>3106902796</t>
  </si>
  <si>
    <t>3223358085</t>
  </si>
  <si>
    <t>3102656240</t>
  </si>
  <si>
    <t>3138988414</t>
  </si>
  <si>
    <t>3213532701</t>
  </si>
  <si>
    <t>3132102380</t>
  </si>
  <si>
    <t>3125645165</t>
  </si>
  <si>
    <t>3222440167</t>
  </si>
  <si>
    <t>3108045400</t>
  </si>
  <si>
    <t>3208322400</t>
  </si>
  <si>
    <t>3134097522</t>
  </si>
  <si>
    <t>3134903073</t>
  </si>
  <si>
    <t>3118398715</t>
  </si>
  <si>
    <t>3225869837</t>
  </si>
  <si>
    <t>3208230556</t>
  </si>
  <si>
    <t>3115424267</t>
  </si>
  <si>
    <t>3108713963</t>
  </si>
  <si>
    <t>3144753211</t>
  </si>
  <si>
    <t>311282703</t>
  </si>
  <si>
    <t>3143708728</t>
  </si>
  <si>
    <t>3114520861</t>
  </si>
  <si>
    <t>313895036</t>
  </si>
  <si>
    <t>3132820808</t>
  </si>
  <si>
    <t>3138520673</t>
  </si>
  <si>
    <t>3203453961</t>
  </si>
  <si>
    <t>3212785038</t>
  </si>
  <si>
    <t>3142963735</t>
  </si>
  <si>
    <t>3203238056</t>
  </si>
  <si>
    <t>3214798922</t>
  </si>
  <si>
    <t>3108823132</t>
  </si>
  <si>
    <t>3204356237</t>
  </si>
  <si>
    <t>3133427617</t>
  </si>
  <si>
    <t>3142142273</t>
  </si>
  <si>
    <t>3118633233</t>
  </si>
  <si>
    <t>3202352258</t>
  </si>
  <si>
    <t>3222428918</t>
  </si>
  <si>
    <t>3202599632</t>
  </si>
  <si>
    <t>3124848793</t>
  </si>
  <si>
    <t>3228880991</t>
  </si>
  <si>
    <t>31235966910</t>
  </si>
  <si>
    <t>3102117363</t>
  </si>
  <si>
    <t>3104772562</t>
  </si>
  <si>
    <t>3118648037</t>
  </si>
  <si>
    <t>3233226797</t>
  </si>
  <si>
    <t>3204997019</t>
  </si>
  <si>
    <t>3114459268</t>
  </si>
  <si>
    <t>3134662146</t>
  </si>
  <si>
    <t>3112151334</t>
  </si>
  <si>
    <t>3108521324</t>
  </si>
  <si>
    <t>3112942028</t>
  </si>
  <si>
    <t>3118123090</t>
  </si>
  <si>
    <t>3142454119</t>
  </si>
  <si>
    <t>3115076680</t>
  </si>
  <si>
    <t>3144314164</t>
  </si>
  <si>
    <t>3103339696</t>
  </si>
  <si>
    <t>3163244291</t>
  </si>
  <si>
    <t>3168723020</t>
  </si>
  <si>
    <t>3017635800</t>
  </si>
  <si>
    <t>3203309696</t>
  </si>
  <si>
    <t>3208522850</t>
  </si>
  <si>
    <t>3222440002</t>
  </si>
  <si>
    <t>3222705990</t>
  </si>
  <si>
    <t>3115911631</t>
  </si>
  <si>
    <t>3142568816</t>
  </si>
  <si>
    <t>3103308611</t>
  </si>
  <si>
    <t>3107831591</t>
  </si>
  <si>
    <t>3142847832</t>
  </si>
  <si>
    <t>3115450459</t>
  </si>
  <si>
    <t>3208463131</t>
  </si>
  <si>
    <t>3118416910</t>
  </si>
  <si>
    <t>3142786158</t>
  </si>
  <si>
    <t>3114151417</t>
  </si>
  <si>
    <t>3133530687</t>
  </si>
  <si>
    <t>3112625410</t>
  </si>
  <si>
    <t>3214378284</t>
  </si>
  <si>
    <t>3112399697</t>
  </si>
  <si>
    <t>3143282494</t>
  </si>
  <si>
    <t>3118941987</t>
  </si>
  <si>
    <t>3134243567</t>
  </si>
  <si>
    <t>3005544086</t>
  </si>
  <si>
    <t>3214605158</t>
  </si>
  <si>
    <t>3123158326</t>
  </si>
  <si>
    <t>3112777300</t>
  </si>
  <si>
    <t>3209668518</t>
  </si>
  <si>
    <t>3144491413</t>
  </si>
  <si>
    <t>3132711963</t>
  </si>
  <si>
    <t>3124590579</t>
  </si>
  <si>
    <t>3208936867</t>
  </si>
  <si>
    <t>3204613348</t>
  </si>
  <si>
    <t>3115450308</t>
  </si>
  <si>
    <t>3105628204</t>
  </si>
  <si>
    <t>3134379830</t>
  </si>
  <si>
    <t>3108596763</t>
  </si>
  <si>
    <t>3114923885</t>
  </si>
  <si>
    <t>3208284297</t>
  </si>
  <si>
    <t>3134106686</t>
  </si>
  <si>
    <t>3132663719</t>
  </si>
  <si>
    <t>3112905354</t>
  </si>
  <si>
    <t>3138724960</t>
  </si>
  <si>
    <t>3133627180</t>
  </si>
  <si>
    <t>3162735929</t>
  </si>
  <si>
    <t>3208654156</t>
  </si>
  <si>
    <t>3208039300</t>
  </si>
  <si>
    <t>3125056936</t>
  </si>
  <si>
    <t>3222198929</t>
  </si>
  <si>
    <t>3208626880</t>
  </si>
  <si>
    <t>3212651213</t>
  </si>
  <si>
    <t>3133231775</t>
  </si>
  <si>
    <t>3208184039</t>
  </si>
  <si>
    <t>3134676249</t>
  </si>
  <si>
    <t>3115105453</t>
  </si>
  <si>
    <t>3103389664</t>
  </si>
  <si>
    <t>3102519021</t>
  </si>
  <si>
    <t>3115991564</t>
  </si>
  <si>
    <t>3114425929</t>
  </si>
  <si>
    <t>3132244513</t>
  </si>
  <si>
    <t>3206838256</t>
  </si>
  <si>
    <t>3228390681</t>
  </si>
  <si>
    <t>3014175539</t>
  </si>
  <si>
    <t>3054752390</t>
  </si>
  <si>
    <t>3142686567</t>
  </si>
  <si>
    <t>3133666526</t>
  </si>
  <si>
    <t>3042165152</t>
  </si>
  <si>
    <t>3113050255</t>
  </si>
  <si>
    <t>3227198109</t>
  </si>
  <si>
    <t>3124202725</t>
  </si>
  <si>
    <t>3202027062</t>
  </si>
  <si>
    <t>3102038934</t>
  </si>
  <si>
    <t>3202369865</t>
  </si>
  <si>
    <t>3112626787</t>
  </si>
  <si>
    <t>3107580855</t>
  </si>
  <si>
    <t>3138907950</t>
  </si>
  <si>
    <t>3185261130</t>
  </si>
  <si>
    <t>3138995608</t>
  </si>
  <si>
    <t>31253232</t>
  </si>
  <si>
    <t>3132344624</t>
  </si>
  <si>
    <t>3212807257</t>
  </si>
  <si>
    <t>3125227099</t>
  </si>
  <si>
    <t>3104717517</t>
  </si>
  <si>
    <t>3133130177</t>
  </si>
  <si>
    <t>3115520573</t>
  </si>
  <si>
    <t>3133693838</t>
  </si>
  <si>
    <t>3114749618</t>
  </si>
  <si>
    <t>3125532910</t>
  </si>
  <si>
    <t>3124203346</t>
  </si>
  <si>
    <t>3106333683</t>
  </si>
  <si>
    <t>3115860805</t>
  </si>
  <si>
    <t>3123792270</t>
  </si>
  <si>
    <t>3175131391</t>
  </si>
  <si>
    <t>3106968443</t>
  </si>
  <si>
    <t>3108123492</t>
  </si>
  <si>
    <t>7750341</t>
  </si>
  <si>
    <t>3214626069</t>
  </si>
  <si>
    <t>3108911951</t>
  </si>
  <si>
    <t>3213131759</t>
  </si>
  <si>
    <t>3012398664</t>
  </si>
  <si>
    <t>3004907996</t>
  </si>
  <si>
    <t>3127018001</t>
  </si>
  <si>
    <t>3147679076</t>
  </si>
  <si>
    <t>3178864710</t>
  </si>
  <si>
    <t>3124662710</t>
  </si>
  <si>
    <t>3115527020</t>
  </si>
  <si>
    <t>3104663525</t>
  </si>
  <si>
    <t>3202887537</t>
  </si>
  <si>
    <t>3106077649</t>
  </si>
  <si>
    <t>3158931505</t>
  </si>
  <si>
    <t>3168299444</t>
  </si>
  <si>
    <t>3108721011</t>
  </si>
  <si>
    <t>3155522809</t>
  </si>
  <si>
    <t>3118202236</t>
  </si>
  <si>
    <t>3114957338</t>
  </si>
  <si>
    <t>3142192688</t>
  </si>
  <si>
    <t>3008480149</t>
  </si>
  <si>
    <t>3104783040</t>
  </si>
  <si>
    <t>3136657521</t>
  </si>
  <si>
    <t>3012402107</t>
  </si>
  <si>
    <t>3102114322</t>
  </si>
  <si>
    <t>3203040004</t>
  </si>
  <si>
    <t>3219081898</t>
  </si>
  <si>
    <t>3002351836</t>
  </si>
  <si>
    <t>3125242633</t>
  </si>
  <si>
    <t>3112075946</t>
  </si>
  <si>
    <t>3125511758</t>
  </si>
  <si>
    <t>3132418298</t>
  </si>
  <si>
    <t>3118141109</t>
  </si>
  <si>
    <t>3107732219</t>
  </si>
  <si>
    <t>3124799402</t>
  </si>
  <si>
    <t>3123313065</t>
  </si>
  <si>
    <t>3103068723</t>
  </si>
  <si>
    <t>3118649107</t>
  </si>
  <si>
    <t>3138389925</t>
  </si>
  <si>
    <t>3112395928</t>
  </si>
  <si>
    <t>3138008135</t>
  </si>
  <si>
    <t>3158106448</t>
  </si>
  <si>
    <t>3124079303</t>
  </si>
  <si>
    <t>3133513252</t>
  </si>
  <si>
    <t>3102607995</t>
  </si>
  <si>
    <t>3125820789</t>
  </si>
  <si>
    <t>3002183866</t>
  </si>
  <si>
    <t>3124429788</t>
  </si>
  <si>
    <t>3125210695</t>
  </si>
  <si>
    <t>3118107220</t>
  </si>
  <si>
    <t>3103017702</t>
  </si>
  <si>
    <t>3213814177</t>
  </si>
  <si>
    <t>3112637812</t>
  </si>
  <si>
    <t>3232172760</t>
  </si>
  <si>
    <t>3143233909</t>
  </si>
  <si>
    <t>3106199242</t>
  </si>
  <si>
    <t>3125073114</t>
  </si>
  <si>
    <t>3115466042</t>
  </si>
  <si>
    <t>3142798190</t>
  </si>
  <si>
    <t>3102536619</t>
  </si>
  <si>
    <t>3155848039</t>
  </si>
  <si>
    <t>3208006011</t>
  </si>
  <si>
    <t>3208299095</t>
  </si>
  <si>
    <t>3118704526</t>
  </si>
  <si>
    <t>3016123042</t>
  </si>
  <si>
    <t>3192379324</t>
  </si>
  <si>
    <t>3112018636</t>
  </si>
  <si>
    <t>3165201015</t>
  </si>
  <si>
    <t>3208040533</t>
  </si>
  <si>
    <t>3102876011</t>
  </si>
  <si>
    <t>3118088238</t>
  </si>
  <si>
    <t>3192756518</t>
  </si>
  <si>
    <t>3108033067</t>
  </si>
  <si>
    <t>3125822264</t>
  </si>
  <si>
    <t>3118014803</t>
  </si>
  <si>
    <t>3004919630</t>
  </si>
  <si>
    <t>3102068017</t>
  </si>
  <si>
    <t>3214156602</t>
  </si>
  <si>
    <t>3105116356</t>
  </si>
  <si>
    <t>3158009777</t>
  </si>
  <si>
    <t>3143464933</t>
  </si>
  <si>
    <t>3125823595</t>
  </si>
  <si>
    <t>3214321-230</t>
  </si>
  <si>
    <t>3175671904</t>
  </si>
  <si>
    <t>3106888064</t>
  </si>
  <si>
    <t>3116486239</t>
  </si>
  <si>
    <t>3168952581</t>
  </si>
  <si>
    <t>3138244363</t>
  </si>
  <si>
    <t>3182475092</t>
  </si>
  <si>
    <t>3143469886</t>
  </si>
  <si>
    <t>3125049166</t>
  </si>
  <si>
    <t>3202472408</t>
  </si>
  <si>
    <t>3214363243</t>
  </si>
  <si>
    <t>3214704588</t>
  </si>
  <si>
    <t>3124635129</t>
  </si>
  <si>
    <t>3138935613</t>
  </si>
  <si>
    <t>3104944672</t>
  </si>
  <si>
    <t>3166263189</t>
  </si>
  <si>
    <t>3186552799</t>
  </si>
  <si>
    <t>3232070312</t>
  </si>
  <si>
    <t>3208575608</t>
  </si>
  <si>
    <t>3102553906</t>
  </si>
  <si>
    <t>3214167763</t>
  </si>
  <si>
    <t>3008203623</t>
  </si>
  <si>
    <t>3173835079</t>
  </si>
  <si>
    <t>3133548241</t>
  </si>
  <si>
    <t>3144269376</t>
  </si>
  <si>
    <t>3143837096</t>
  </si>
  <si>
    <t>3170349832</t>
  </si>
  <si>
    <t>3107826139</t>
  </si>
  <si>
    <t>3142442986</t>
  </si>
  <si>
    <t>3103246382</t>
  </si>
  <si>
    <t>3123196645</t>
  </si>
  <si>
    <t>3134328003</t>
  </si>
  <si>
    <t>3212545832</t>
  </si>
  <si>
    <t>3144115986</t>
  </si>
  <si>
    <t>3046576304</t>
  </si>
  <si>
    <t>3123016691</t>
  </si>
  <si>
    <t>3143730708</t>
  </si>
  <si>
    <t>3214498607</t>
  </si>
  <si>
    <t>3103297258</t>
  </si>
  <si>
    <t>3138724594</t>
  </si>
  <si>
    <t>3214303546</t>
  </si>
  <si>
    <t>3102537898</t>
  </si>
  <si>
    <t>3168267851</t>
  </si>
  <si>
    <t>3132223478</t>
  </si>
  <si>
    <t>3134944186</t>
  </si>
  <si>
    <t>3223095903</t>
  </si>
  <si>
    <t>3202333350</t>
  </si>
  <si>
    <t>3204494568</t>
  </si>
  <si>
    <t>3135017463</t>
  </si>
  <si>
    <t>3133470336</t>
  </si>
  <si>
    <t>3112855011</t>
  </si>
  <si>
    <t>3138725429</t>
  </si>
  <si>
    <t>3143738099</t>
  </si>
  <si>
    <t>3133463690</t>
  </si>
  <si>
    <t>3134464948</t>
  </si>
  <si>
    <t>3102171756</t>
  </si>
  <si>
    <t>3108837316</t>
  </si>
  <si>
    <t>3213164591</t>
  </si>
  <si>
    <t>3115074014</t>
  </si>
  <si>
    <t>3132580709</t>
  </si>
  <si>
    <t>3124353462</t>
  </si>
  <si>
    <t>3208522301</t>
  </si>
  <si>
    <t>3218134776</t>
  </si>
  <si>
    <t>3114748349</t>
  </si>
  <si>
    <t>3102054384</t>
  </si>
  <si>
    <t>3213283218</t>
  </si>
  <si>
    <t>3132525697</t>
  </si>
  <si>
    <t>3132882791</t>
  </si>
  <si>
    <t>3114462985</t>
  </si>
  <si>
    <t>3112301364</t>
  </si>
  <si>
    <t>3223564164</t>
  </si>
  <si>
    <t>3108898010-7449347</t>
  </si>
  <si>
    <t>3112888217</t>
  </si>
  <si>
    <t>3118112475</t>
  </si>
  <si>
    <t>3124820167</t>
  </si>
  <si>
    <t>3112089344</t>
  </si>
  <si>
    <t>3114427130</t>
  </si>
  <si>
    <t>3124359729</t>
  </si>
  <si>
    <t>3125171545</t>
  </si>
  <si>
    <t>3125746558</t>
  </si>
  <si>
    <t>3108485171</t>
  </si>
  <si>
    <t>3112577229</t>
  </si>
  <si>
    <t>3138164571</t>
  </si>
  <si>
    <t>3138745192</t>
  </si>
  <si>
    <t>3214693043</t>
  </si>
  <si>
    <t>3102151423</t>
  </si>
  <si>
    <t>3105743307</t>
  </si>
  <si>
    <t>7861500</t>
  </si>
  <si>
    <t>3134232599</t>
  </si>
  <si>
    <t>3114538902</t>
  </si>
  <si>
    <t>3133278267</t>
  </si>
  <si>
    <t>3125298165</t>
  </si>
  <si>
    <t>3115132321</t>
  </si>
  <si>
    <t>3132011665</t>
  </si>
  <si>
    <t>3143391671</t>
  </si>
  <si>
    <t>3142721563</t>
  </si>
  <si>
    <t>3123332235</t>
  </si>
  <si>
    <t>3105657175</t>
  </si>
  <si>
    <t>3134873780</t>
  </si>
  <si>
    <t>3212257566</t>
  </si>
  <si>
    <t>3212162774</t>
  </si>
  <si>
    <t>3104423593</t>
  </si>
  <si>
    <t>3112649490</t>
  </si>
  <si>
    <t>3002661946</t>
  </si>
  <si>
    <t>3112288404</t>
  </si>
  <si>
    <t>3144885719</t>
  </si>
  <si>
    <t>3223248640</t>
  </si>
  <si>
    <t>3132613556</t>
  </si>
  <si>
    <t>3112289444</t>
  </si>
  <si>
    <t>3124602054</t>
  </si>
  <si>
    <t>3186968227</t>
  </si>
  <si>
    <t>3006289712</t>
  </si>
  <si>
    <t>3213731616</t>
  </si>
  <si>
    <t>3005500352</t>
  </si>
  <si>
    <t>3124489977</t>
  </si>
  <si>
    <t>3204405318</t>
  </si>
  <si>
    <t>3114864332</t>
  </si>
  <si>
    <t>3112244953</t>
  </si>
  <si>
    <t>3208596489</t>
  </si>
  <si>
    <t>3134993030</t>
  </si>
  <si>
    <t>3133293120</t>
  </si>
  <si>
    <t>3115199607</t>
  </si>
  <si>
    <t>3112444425</t>
  </si>
  <si>
    <t>3133506384</t>
  </si>
  <si>
    <t>3124795618</t>
  </si>
  <si>
    <t>3144608730</t>
  </si>
  <si>
    <t>3222318811</t>
  </si>
  <si>
    <t>3102931499</t>
  </si>
  <si>
    <t>3153268271</t>
  </si>
  <si>
    <t>3133573060</t>
  </si>
  <si>
    <t>3115372539</t>
  </si>
  <si>
    <t>3114740223</t>
  </si>
  <si>
    <t>3165320556</t>
  </si>
  <si>
    <t>3017036723</t>
  </si>
  <si>
    <t>3124353887</t>
  </si>
  <si>
    <t>3133095959</t>
  </si>
  <si>
    <t>3112303657</t>
  </si>
  <si>
    <t>3133855549</t>
  </si>
  <si>
    <t>3142510324</t>
  </si>
  <si>
    <t>3046277254</t>
  </si>
  <si>
    <t>3202856962</t>
  </si>
  <si>
    <t>3218220924</t>
  </si>
  <si>
    <t>3142635087</t>
  </si>
  <si>
    <t>3246021551</t>
  </si>
  <si>
    <t>3208409553</t>
  </si>
  <si>
    <t>3143836612</t>
  </si>
  <si>
    <t>3208365232</t>
  </si>
  <si>
    <t>3103173484</t>
  </si>
  <si>
    <t>3102817949</t>
  </si>
  <si>
    <t>3103412774</t>
  </si>
  <si>
    <t>3144013724</t>
  </si>
  <si>
    <t>3102342827</t>
  </si>
  <si>
    <t>3212144537</t>
  </si>
  <si>
    <t>3114692599</t>
  </si>
  <si>
    <t>3144382674</t>
  </si>
  <si>
    <t>3228256733</t>
  </si>
  <si>
    <t>3132832467</t>
  </si>
  <si>
    <t>3158819199</t>
  </si>
  <si>
    <t>3118090103</t>
  </si>
  <si>
    <t>3134899586</t>
  </si>
  <si>
    <t>3114816876</t>
  </si>
  <si>
    <t>3202459990</t>
  </si>
  <si>
    <t>3203769102</t>
  </si>
  <si>
    <t>3218033568</t>
  </si>
  <si>
    <t>3215346492</t>
  </si>
  <si>
    <t>3234737252</t>
  </si>
  <si>
    <t>3138244923</t>
  </si>
  <si>
    <t>3138847826</t>
  </si>
  <si>
    <t>3114591585</t>
  </si>
  <si>
    <t>3104771598</t>
  </si>
  <si>
    <t>3125364062</t>
  </si>
  <si>
    <t>3138159959</t>
  </si>
  <si>
    <t>3115438907</t>
  </si>
  <si>
    <t>3045786991</t>
  </si>
  <si>
    <t>3202876256</t>
  </si>
  <si>
    <t>3124392018</t>
  </si>
  <si>
    <t>3107886266</t>
  </si>
  <si>
    <t>3123814555</t>
  </si>
  <si>
    <t>3185311753</t>
  </si>
  <si>
    <t>3103199345</t>
  </si>
  <si>
    <t>3133768179</t>
  </si>
  <si>
    <t>3103195711</t>
  </si>
  <si>
    <t>3203024452</t>
  </si>
  <si>
    <t>3003458202</t>
  </si>
  <si>
    <t>3123616167</t>
  </si>
  <si>
    <t>3144647954</t>
  </si>
  <si>
    <t>3162983034</t>
  </si>
  <si>
    <t>3116697696</t>
  </si>
  <si>
    <t>3115455863</t>
  </si>
  <si>
    <t>3102788461</t>
  </si>
  <si>
    <t>3208946305</t>
  </si>
  <si>
    <t>3138823945</t>
  </si>
  <si>
    <t>3133476534</t>
  </si>
  <si>
    <t>3142295834</t>
  </si>
  <si>
    <t>3163229555</t>
  </si>
  <si>
    <t>3125822838</t>
  </si>
  <si>
    <t>3125215796</t>
  </si>
  <si>
    <t>3108024555</t>
  </si>
  <si>
    <t>3118124347</t>
  </si>
  <si>
    <t>3214655013</t>
  </si>
  <si>
    <t>3134893814</t>
  </si>
  <si>
    <t>3174282025</t>
  </si>
  <si>
    <t>3115902091</t>
  </si>
  <si>
    <t>3168654313</t>
  </si>
  <si>
    <t>3162596732</t>
  </si>
  <si>
    <t>3175589360</t>
  </si>
  <si>
    <t>3005703692</t>
  </si>
  <si>
    <t>3112104637</t>
  </si>
  <si>
    <t>7617415</t>
  </si>
  <si>
    <t>3114659465</t>
  </si>
  <si>
    <t>3112902022</t>
  </si>
  <si>
    <t>3002108762</t>
  </si>
  <si>
    <t>3114408147</t>
  </si>
  <si>
    <t>3002718175</t>
  </si>
  <si>
    <t>3114647981</t>
  </si>
  <si>
    <t>3163155632</t>
  </si>
  <si>
    <t>3005500439</t>
  </si>
  <si>
    <t>3115021685</t>
  </si>
  <si>
    <t>3115912336</t>
  </si>
  <si>
    <t>3115083559</t>
  </si>
  <si>
    <t>3004430128</t>
  </si>
  <si>
    <t>3203592039</t>
  </si>
  <si>
    <t>3103242621</t>
  </si>
  <si>
    <t>3195850834</t>
  </si>
  <si>
    <t>3187353043</t>
  </si>
  <si>
    <t>3114542195</t>
  </si>
  <si>
    <t>3123483295</t>
  </si>
  <si>
    <t>3134924913</t>
  </si>
  <si>
    <t>3157862717</t>
  </si>
  <si>
    <t>3135441054</t>
  </si>
  <si>
    <t>3013334955</t>
  </si>
  <si>
    <t>3178365461</t>
  </si>
  <si>
    <t>3205849189</t>
  </si>
  <si>
    <t>3052620931</t>
  </si>
  <si>
    <t>7718017</t>
  </si>
  <si>
    <t>3005555475</t>
  </si>
  <si>
    <t>3107601520</t>
  </si>
  <si>
    <t>3124927532</t>
  </si>
  <si>
    <t>3178396704</t>
  </si>
  <si>
    <t>3144115823</t>
  </si>
  <si>
    <t>3164645034</t>
  </si>
  <si>
    <t>7714385</t>
  </si>
  <si>
    <t>3118086988</t>
  </si>
  <si>
    <t>3105602539</t>
  </si>
  <si>
    <t>3102089362</t>
  </si>
  <si>
    <t>3112877109</t>
  </si>
  <si>
    <t>3118114960</t>
  </si>
  <si>
    <t>3112709495</t>
  </si>
  <si>
    <t>3142773226</t>
  </si>
  <si>
    <t>3124818175</t>
  </si>
  <si>
    <t>3114433458</t>
  </si>
  <si>
    <t>3132120255</t>
  </si>
  <si>
    <t>3208035716</t>
  </si>
  <si>
    <t>3133682386</t>
  </si>
  <si>
    <t>7713580</t>
  </si>
  <si>
    <t>3213182218</t>
  </si>
  <si>
    <t>3123861030</t>
  </si>
  <si>
    <t>3203443871</t>
  </si>
  <si>
    <t>3006431210</t>
  </si>
  <si>
    <t>7708590</t>
  </si>
  <si>
    <t>3143124169</t>
  </si>
  <si>
    <t>3132101732</t>
  </si>
  <si>
    <t>3138620675</t>
  </si>
  <si>
    <t>3102178989</t>
  </si>
  <si>
    <t>3144589665</t>
  </si>
  <si>
    <t>3112336758</t>
  </si>
  <si>
    <t>3107679574</t>
  </si>
  <si>
    <t>3213120966</t>
  </si>
  <si>
    <t>3133875316</t>
  </si>
  <si>
    <t>3123312032</t>
  </si>
  <si>
    <t>3105551199</t>
  </si>
  <si>
    <t>3144453306</t>
  </si>
  <si>
    <t>3132127548</t>
  </si>
  <si>
    <t>3143934275</t>
  </si>
  <si>
    <t>3103251986</t>
  </si>
  <si>
    <t>3004549068</t>
  </si>
  <si>
    <t>3115228380</t>
  </si>
  <si>
    <t>3124486447</t>
  </si>
  <si>
    <t>3112642280</t>
  </si>
  <si>
    <t>3135031147</t>
  </si>
  <si>
    <t>3187756914</t>
  </si>
  <si>
    <t>3186788230</t>
  </si>
  <si>
    <t>3177146625</t>
  </si>
  <si>
    <t>3228741364</t>
  </si>
  <si>
    <t>3002166192</t>
  </si>
  <si>
    <t>3217233380</t>
  </si>
  <si>
    <t>3138150290</t>
  </si>
  <si>
    <t>3102016574</t>
  </si>
  <si>
    <t>3124048876</t>
  </si>
  <si>
    <t>3202737433</t>
  </si>
  <si>
    <t>313330163</t>
  </si>
  <si>
    <t>3132458382</t>
  </si>
  <si>
    <t>3138585715</t>
  </si>
  <si>
    <t>3004222849</t>
  </si>
  <si>
    <t>3124065948</t>
  </si>
  <si>
    <t>3138536949</t>
  </si>
  <si>
    <t>3208711488</t>
  </si>
  <si>
    <t>3214759907</t>
  </si>
  <si>
    <t>3102222143</t>
  </si>
  <si>
    <t>3132350979</t>
  </si>
  <si>
    <t>3107288222</t>
  </si>
  <si>
    <t>3133048042</t>
  </si>
  <si>
    <t>3138939794</t>
  </si>
  <si>
    <t>3134574825</t>
  </si>
  <si>
    <t>3125958263</t>
  </si>
  <si>
    <t>3202005748</t>
  </si>
  <si>
    <t>3133437756</t>
  </si>
  <si>
    <t>3228492681</t>
  </si>
  <si>
    <t>3223852386</t>
  </si>
  <si>
    <t>3108544828</t>
  </si>
  <si>
    <t>3115903272</t>
  </si>
  <si>
    <t>3202474771</t>
  </si>
  <si>
    <t>3112534239</t>
  </si>
  <si>
    <t>3135604664</t>
  </si>
  <si>
    <t>3102713294</t>
  </si>
  <si>
    <t>3153045053</t>
  </si>
  <si>
    <t>3128224247</t>
  </si>
  <si>
    <t>3016435723</t>
  </si>
  <si>
    <t>3182200716</t>
  </si>
  <si>
    <t>3015919749</t>
  </si>
  <si>
    <t>3228569996</t>
  </si>
  <si>
    <t>3133351203</t>
  </si>
  <si>
    <t>3207024377</t>
  </si>
  <si>
    <t>3118390684</t>
  </si>
  <si>
    <t>3118610813</t>
  </si>
  <si>
    <t>3102642323</t>
  </si>
  <si>
    <t>3142542986</t>
  </si>
  <si>
    <t>3125898063</t>
  </si>
  <si>
    <t>3105589883</t>
  </si>
  <si>
    <t>3124468599</t>
  </si>
  <si>
    <t>3132095631</t>
  </si>
  <si>
    <t>3136564160</t>
  </si>
  <si>
    <t>3202752814</t>
  </si>
  <si>
    <t>3213153467</t>
  </si>
  <si>
    <t>3133773016</t>
  </si>
  <si>
    <t>3213975918</t>
  </si>
  <si>
    <t>3134528101</t>
  </si>
  <si>
    <t>3102679474</t>
  </si>
  <si>
    <t>3125320981</t>
  </si>
  <si>
    <t>3107740524</t>
  </si>
  <si>
    <t>3208362166</t>
  </si>
  <si>
    <t>3138791539</t>
  </si>
  <si>
    <t>3224300090</t>
  </si>
  <si>
    <t>7718794</t>
  </si>
  <si>
    <t>3002824321</t>
  </si>
  <si>
    <t>3132831926</t>
  </si>
  <si>
    <t>7726801</t>
  </si>
  <si>
    <t>3134466672</t>
  </si>
  <si>
    <t>3214297698</t>
  </si>
  <si>
    <t>3237032404</t>
  </si>
  <si>
    <t>3118763754</t>
  </si>
  <si>
    <t>3118716557</t>
  </si>
  <si>
    <t>3002817467</t>
  </si>
  <si>
    <t>3174046584</t>
  </si>
  <si>
    <t>3105533981</t>
  </si>
  <si>
    <t>3212076908</t>
  </si>
  <si>
    <t>3202727749</t>
  </si>
  <si>
    <t>3102625914</t>
  </si>
  <si>
    <t>3229576285</t>
  </si>
  <si>
    <t>3204467515</t>
  </si>
  <si>
    <t>3114445806</t>
  </si>
  <si>
    <t>3134120701</t>
  </si>
  <si>
    <t>3132011458</t>
  </si>
  <si>
    <t>3212564159</t>
  </si>
  <si>
    <t>3123208060</t>
  </si>
  <si>
    <t>3135405416</t>
  </si>
  <si>
    <t>3134941659</t>
  </si>
  <si>
    <t>3108150296</t>
  </si>
  <si>
    <t>3132926077</t>
  </si>
  <si>
    <t>3204592654</t>
  </si>
  <si>
    <t>3125093636</t>
  </si>
  <si>
    <t>3203644581</t>
  </si>
  <si>
    <t>3107515903</t>
  </si>
  <si>
    <t>3214557930</t>
  </si>
  <si>
    <t>3176522598</t>
  </si>
  <si>
    <t>3112890645</t>
  </si>
  <si>
    <t>3103350824</t>
  </si>
  <si>
    <t>3142179181</t>
  </si>
  <si>
    <t>3213519811</t>
  </si>
  <si>
    <t>3214290348</t>
  </si>
  <si>
    <t>3218020875</t>
  </si>
  <si>
    <t>3223112636</t>
  </si>
  <si>
    <t>3118539455</t>
  </si>
  <si>
    <t>3202254621</t>
  </si>
  <si>
    <t>3107804251</t>
  </si>
  <si>
    <t>3123697728</t>
  </si>
  <si>
    <t>3175745994</t>
  </si>
  <si>
    <t>3184652358</t>
  </si>
  <si>
    <t>3208794650</t>
  </si>
  <si>
    <t>3108096766</t>
  </si>
  <si>
    <t>3114792620</t>
  </si>
  <si>
    <t>3118177111</t>
  </si>
  <si>
    <t>3103424867</t>
  </si>
  <si>
    <t>3164930450</t>
  </si>
  <si>
    <t>3208493950</t>
  </si>
  <si>
    <t>3123855639</t>
  </si>
  <si>
    <t>3213527650</t>
  </si>
  <si>
    <t>3143009624</t>
  </si>
  <si>
    <t>3125236758</t>
  </si>
  <si>
    <t>3132079039</t>
  </si>
  <si>
    <t>3204308820</t>
  </si>
  <si>
    <t>3143078735</t>
  </si>
  <si>
    <t>3133230060</t>
  </si>
  <si>
    <t>3213945006</t>
  </si>
  <si>
    <t>3142847244</t>
  </si>
  <si>
    <t>3142072159</t>
  </si>
  <si>
    <t>3143837580</t>
  </si>
  <si>
    <t>3108106866</t>
  </si>
  <si>
    <t>3124246234</t>
  </si>
  <si>
    <t>3203676057</t>
  </si>
  <si>
    <t>3142326150</t>
  </si>
  <si>
    <t>3173009107</t>
  </si>
  <si>
    <t>3114844805</t>
  </si>
  <si>
    <t>3007612827</t>
  </si>
  <si>
    <t>3125466340</t>
  </si>
  <si>
    <t>3115416281</t>
  </si>
  <si>
    <t>3102939622</t>
  </si>
  <si>
    <t>3219062467</t>
  </si>
  <si>
    <t>3225859290</t>
  </si>
  <si>
    <t>3133446911</t>
  </si>
  <si>
    <t>3112381008</t>
  </si>
  <si>
    <t>3125321435</t>
  </si>
  <si>
    <t>3108024694</t>
  </si>
  <si>
    <t>3214618227</t>
  </si>
  <si>
    <t>3158337275</t>
  </si>
  <si>
    <t>3138070893</t>
  </si>
  <si>
    <t>3114890668</t>
  </si>
  <si>
    <t>3103382023</t>
  </si>
  <si>
    <t>3103106899</t>
  </si>
  <si>
    <t>3106975446</t>
  </si>
  <si>
    <t>3102059358</t>
  </si>
  <si>
    <t>3115883689</t>
  </si>
  <si>
    <t>3108710660</t>
  </si>
  <si>
    <t>3124809984</t>
  </si>
  <si>
    <t>3144708305</t>
  </si>
  <si>
    <t>3013543822</t>
  </si>
  <si>
    <t>3142530717</t>
  </si>
  <si>
    <t>3202689164</t>
  </si>
  <si>
    <t>3143729129</t>
  </si>
  <si>
    <t>3123487492</t>
  </si>
  <si>
    <t>3115796979</t>
  </si>
  <si>
    <t>3102369645</t>
  </si>
  <si>
    <t>3158298590</t>
  </si>
  <si>
    <t>3215179527</t>
  </si>
  <si>
    <t>3112102838</t>
  </si>
  <si>
    <t>3163382143</t>
  </si>
  <si>
    <t>3143549538</t>
  </si>
  <si>
    <t>3143498014</t>
  </si>
  <si>
    <t>3106888819</t>
  </si>
  <si>
    <t>3226014517</t>
  </si>
  <si>
    <t>3204342228</t>
  </si>
  <si>
    <t>3005700546</t>
  </si>
  <si>
    <t>3142654878</t>
  </si>
  <si>
    <t>3114657855</t>
  </si>
  <si>
    <t>3052914670</t>
  </si>
  <si>
    <t>3228940105</t>
  </si>
  <si>
    <t>3203369562</t>
  </si>
  <si>
    <t>3142999870</t>
  </si>
  <si>
    <t>3125457879</t>
  </si>
  <si>
    <t>3112301527</t>
  </si>
  <si>
    <t>3173197448</t>
  </si>
  <si>
    <t>3143095249</t>
  </si>
  <si>
    <t>3106292389</t>
  </si>
  <si>
    <t>3102549303</t>
  </si>
  <si>
    <t>3115738137</t>
  </si>
  <si>
    <t>3215955289</t>
  </si>
  <si>
    <t>3204551316</t>
  </si>
  <si>
    <t>3105888285</t>
  </si>
  <si>
    <t>3228950608</t>
  </si>
  <si>
    <t>3107920698</t>
  </si>
  <si>
    <t>3112591676</t>
  </si>
  <si>
    <t>3125461882</t>
  </si>
  <si>
    <t>3185995428</t>
  </si>
  <si>
    <t>3133160394</t>
  </si>
  <si>
    <t>3142208252</t>
  </si>
  <si>
    <t>3234222603</t>
  </si>
  <si>
    <t>3226407830</t>
  </si>
  <si>
    <t>3118552812</t>
  </si>
  <si>
    <t>3103174460</t>
  </si>
  <si>
    <t>3157950711</t>
  </si>
  <si>
    <t>3105583032</t>
  </si>
  <si>
    <t>3236197721</t>
  </si>
  <si>
    <t>7611171</t>
  </si>
  <si>
    <t>3212453878</t>
  </si>
  <si>
    <t>3118057605</t>
  </si>
  <si>
    <t>3003104408</t>
  </si>
  <si>
    <t>3134716505</t>
  </si>
  <si>
    <t>3214288173</t>
  </si>
  <si>
    <t>3103244564</t>
  </si>
  <si>
    <t>3115525716</t>
  </si>
  <si>
    <t>3203465373</t>
  </si>
  <si>
    <t>3112309437</t>
  </si>
  <si>
    <t>3125464295</t>
  </si>
  <si>
    <t>3125135304</t>
  </si>
  <si>
    <t>3112590392</t>
  </si>
  <si>
    <t>3124001086</t>
  </si>
  <si>
    <t>3144139894</t>
  </si>
  <si>
    <t>3138744626</t>
  </si>
  <si>
    <t>3144729107</t>
  </si>
  <si>
    <t>3144646860</t>
  </si>
  <si>
    <t>3123188893</t>
  </si>
  <si>
    <t>3167436328</t>
  </si>
  <si>
    <t>3124808165</t>
  </si>
  <si>
    <t>3144734185</t>
  </si>
  <si>
    <t>3115152294</t>
  </si>
  <si>
    <t>3112218124</t>
  </si>
  <si>
    <t>3158508853</t>
  </si>
  <si>
    <t>3112659158</t>
  </si>
  <si>
    <t>3102537703</t>
  </si>
  <si>
    <t>3209766749</t>
  </si>
  <si>
    <t>3145571407</t>
  </si>
  <si>
    <t>3132216971</t>
  </si>
  <si>
    <t>311550674</t>
  </si>
  <si>
    <t>3138945909</t>
  </si>
  <si>
    <t>3202345667</t>
  </si>
  <si>
    <t>3132894427</t>
  </si>
  <si>
    <t>3112419375</t>
  </si>
  <si>
    <t>3216524914</t>
  </si>
  <si>
    <t>3132453761</t>
  </si>
  <si>
    <t>3209510909</t>
  </si>
  <si>
    <t>3214909185</t>
  </si>
  <si>
    <t>3143094856</t>
  </si>
  <si>
    <t>3115649292</t>
  </si>
  <si>
    <t>3214856168</t>
  </si>
  <si>
    <t>3214467926</t>
  </si>
  <si>
    <t>3214624990</t>
  </si>
  <si>
    <t>3123951879</t>
  </si>
  <si>
    <t>3153289275</t>
  </si>
  <si>
    <t>3118993226</t>
  </si>
  <si>
    <t>3202934073</t>
  </si>
  <si>
    <t>3124100398</t>
  </si>
  <si>
    <t>3115916669</t>
  </si>
  <si>
    <t>3132863660</t>
  </si>
  <si>
    <t>3138620119</t>
  </si>
  <si>
    <t>3208493680</t>
  </si>
  <si>
    <t>3162566182</t>
  </si>
  <si>
    <t>3008840150</t>
  </si>
  <si>
    <t>3125668246</t>
  </si>
  <si>
    <t>3132481091</t>
  </si>
  <si>
    <t>3222276696</t>
  </si>
  <si>
    <t>3124791910</t>
  </si>
  <si>
    <t>3125042143</t>
  </si>
  <si>
    <t>3125963809</t>
  </si>
  <si>
    <t>3138417869</t>
  </si>
  <si>
    <t>3105792635</t>
  </si>
  <si>
    <t>3102631154</t>
  </si>
  <si>
    <t>3016546763</t>
  </si>
  <si>
    <t>3115622495</t>
  </si>
  <si>
    <t>3204614947</t>
  </si>
  <si>
    <t>3204963562</t>
  </si>
  <si>
    <t>3214052144</t>
  </si>
  <si>
    <t>3208310871</t>
  </si>
  <si>
    <t>3102461777</t>
  </si>
  <si>
    <t>3168447121</t>
  </si>
  <si>
    <t>3143585897</t>
  </si>
  <si>
    <t>7604296</t>
  </si>
  <si>
    <t>3142637646</t>
  </si>
  <si>
    <t>3134162311</t>
  </si>
  <si>
    <t>3142976081</t>
  </si>
  <si>
    <t>3105514815</t>
  </si>
  <si>
    <t>3112103488</t>
  </si>
  <si>
    <t>3203762902</t>
  </si>
  <si>
    <t>3114463968</t>
  </si>
  <si>
    <t>3143526855</t>
  </si>
  <si>
    <t>3152578651</t>
  </si>
  <si>
    <t>3125966173</t>
  </si>
  <si>
    <t>3222001991</t>
  </si>
  <si>
    <t>3208386458</t>
  </si>
  <si>
    <t>3208359464</t>
  </si>
  <si>
    <t>3134816258</t>
  </si>
  <si>
    <t>3167416450</t>
  </si>
  <si>
    <t>3143085777</t>
  </si>
  <si>
    <t>3202729582</t>
  </si>
  <si>
    <t>3138173424</t>
  </si>
  <si>
    <t>3214175202</t>
  </si>
  <si>
    <t>3118206822</t>
  </si>
  <si>
    <t>3194590795</t>
  </si>
  <si>
    <t>3212540652</t>
  </si>
  <si>
    <t>3163729345</t>
  </si>
  <si>
    <t>3133403298</t>
  </si>
  <si>
    <t>3132824911</t>
  </si>
  <si>
    <t>3115836540</t>
  </si>
  <si>
    <t>3118046417</t>
  </si>
  <si>
    <t>3212381623</t>
  </si>
  <si>
    <t>3123508828</t>
  </si>
  <si>
    <t>3138905052</t>
  </si>
  <si>
    <t>3219978142</t>
  </si>
  <si>
    <t>3112013381</t>
  </si>
  <si>
    <t>3114752461</t>
  </si>
  <si>
    <t>3112331378</t>
  </si>
  <si>
    <t>3134697003</t>
  </si>
  <si>
    <t>3156146713</t>
  </si>
  <si>
    <t>3115921082</t>
  </si>
  <si>
    <t>3123154690</t>
  </si>
  <si>
    <t>3115554471</t>
  </si>
  <si>
    <t>3208830746</t>
  </si>
  <si>
    <t>3107396021</t>
  </si>
  <si>
    <t>3118543326</t>
  </si>
  <si>
    <t>3208557322</t>
  </si>
  <si>
    <t>3123459056</t>
  </si>
  <si>
    <t>3118796838</t>
  </si>
  <si>
    <t>3134570843</t>
  </si>
  <si>
    <t>3143492230</t>
  </si>
  <si>
    <t>3124346579</t>
  </si>
  <si>
    <t>3112432345</t>
  </si>
  <si>
    <t>3208114603</t>
  </si>
  <si>
    <t>3124245007</t>
  </si>
  <si>
    <t>3112689115</t>
  </si>
  <si>
    <t>3208347554</t>
  </si>
  <si>
    <t>3144779652</t>
  </si>
  <si>
    <t>3007486056</t>
  </si>
  <si>
    <t>3117049083</t>
  </si>
  <si>
    <t>3133391929</t>
  </si>
  <si>
    <t>3152828393</t>
  </si>
  <si>
    <t>3103055277</t>
  </si>
  <si>
    <t>3214527003</t>
  </si>
  <si>
    <t>3123769670</t>
  </si>
  <si>
    <t>3202868859</t>
  </si>
  <si>
    <t>3124586146</t>
  </si>
  <si>
    <t>3142900728</t>
  </si>
  <si>
    <t>3112263717</t>
  </si>
  <si>
    <t>3102226421</t>
  </si>
  <si>
    <t>3227870018</t>
  </si>
  <si>
    <t>3118394197</t>
  </si>
  <si>
    <t>3006724688</t>
  </si>
  <si>
    <t>3123431201</t>
  </si>
  <si>
    <t>3125933436</t>
  </si>
  <si>
    <t>3016848454</t>
  </si>
  <si>
    <t>3118834917</t>
  </si>
  <si>
    <t>3333333</t>
  </si>
  <si>
    <t>3104368953</t>
  </si>
  <si>
    <t>3226606594</t>
  </si>
  <si>
    <t>3144563393</t>
  </si>
  <si>
    <t>3113491280</t>
  </si>
  <si>
    <t>3213613745</t>
  </si>
  <si>
    <t>3132095276</t>
  </si>
  <si>
    <t>3102877888</t>
  </si>
  <si>
    <t>3133236112</t>
  </si>
  <si>
    <t>3153072880</t>
  </si>
  <si>
    <t>3208402951</t>
  </si>
  <si>
    <t>3215423684</t>
  </si>
  <si>
    <t>3202971520</t>
  </si>
  <si>
    <t>3115565886</t>
  </si>
  <si>
    <t>3114995791</t>
  </si>
  <si>
    <t>3232289608</t>
  </si>
  <si>
    <t>3183800781</t>
  </si>
  <si>
    <t>3142333906</t>
  </si>
  <si>
    <t>3125406656</t>
  </si>
  <si>
    <t>3143452513</t>
  </si>
  <si>
    <t>3187772849</t>
  </si>
  <si>
    <t>3123346155</t>
  </si>
  <si>
    <t>3125528957</t>
  </si>
  <si>
    <t>3104174552</t>
  </si>
  <si>
    <t>3107996348</t>
  </si>
  <si>
    <t>3208607605</t>
  </si>
  <si>
    <t>3138935744</t>
  </si>
  <si>
    <t>3204102011</t>
  </si>
  <si>
    <t>3193842597</t>
  </si>
  <si>
    <t>3142268105</t>
  </si>
  <si>
    <t>3164151734</t>
  </si>
  <si>
    <t>3217093152</t>
  </si>
  <si>
    <t>3148957421</t>
  </si>
  <si>
    <t>3146061409</t>
  </si>
  <si>
    <t>3202714047</t>
  </si>
  <si>
    <t>3102268801</t>
  </si>
  <si>
    <t>3208033810</t>
  </si>
  <si>
    <t>3219011762</t>
  </si>
  <si>
    <t>31429332965</t>
  </si>
  <si>
    <t>3133036605</t>
  </si>
  <si>
    <t>3143418559</t>
  </si>
  <si>
    <t>3202416305</t>
  </si>
  <si>
    <t>3133770743</t>
  </si>
  <si>
    <t>3133125991</t>
  </si>
  <si>
    <t>3104194235</t>
  </si>
  <si>
    <t>3127322988</t>
  </si>
  <si>
    <t>3174667305</t>
  </si>
  <si>
    <t>3204897093</t>
  </si>
  <si>
    <t>3124236588</t>
  </si>
  <si>
    <t>3133578368</t>
  </si>
  <si>
    <t>3125925023</t>
  </si>
  <si>
    <t>3115708700</t>
  </si>
  <si>
    <t>3133641033</t>
  </si>
  <si>
    <t>3125139817</t>
  </si>
  <si>
    <t>3118539757</t>
  </si>
  <si>
    <t>3114456856</t>
  </si>
  <si>
    <t>3115909492</t>
  </si>
  <si>
    <t>3125460852</t>
  </si>
  <si>
    <t>3124104622</t>
  </si>
  <si>
    <t>3102587063</t>
  </si>
  <si>
    <t>3172154899</t>
  </si>
  <si>
    <t>3138975490</t>
  </si>
  <si>
    <t>3133111967</t>
  </si>
  <si>
    <t>3188372512</t>
  </si>
  <si>
    <t>3124536207</t>
  </si>
  <si>
    <t>3103432780</t>
  </si>
  <si>
    <t>3142211988</t>
  </si>
  <si>
    <t>3108643238</t>
  </si>
  <si>
    <t>3016237385</t>
  </si>
  <si>
    <t>3106070760</t>
  </si>
  <si>
    <t>3134775887</t>
  </si>
  <si>
    <t>3113206452</t>
  </si>
  <si>
    <t>3126188850</t>
  </si>
  <si>
    <t>3233233860</t>
  </si>
  <si>
    <t>3107095094</t>
  </si>
  <si>
    <t>3144398412</t>
  </si>
  <si>
    <t>3144721951</t>
  </si>
  <si>
    <t>3144142117</t>
  </si>
  <si>
    <t>3124094989</t>
  </si>
  <si>
    <t>3123975705</t>
  </si>
  <si>
    <t>3212901996</t>
  </si>
  <si>
    <t>3125822883</t>
  </si>
  <si>
    <t>3214520486</t>
  </si>
  <si>
    <t>3148284694</t>
  </si>
  <si>
    <t>3167714596</t>
  </si>
  <si>
    <t>3214666548</t>
  </si>
  <si>
    <t>3133902948</t>
  </si>
  <si>
    <t>3118617162</t>
  </si>
  <si>
    <t>3108024231</t>
  </si>
  <si>
    <t>3107986741</t>
  </si>
  <si>
    <t>3105595394</t>
  </si>
  <si>
    <t>3118579299</t>
  </si>
  <si>
    <t>3223334257</t>
  </si>
  <si>
    <t>3214977008</t>
  </si>
  <si>
    <t>3137274422</t>
  </si>
  <si>
    <t>3017448197</t>
  </si>
  <si>
    <t>3123556123</t>
  </si>
  <si>
    <t>3115884468</t>
  </si>
  <si>
    <t>3138727022</t>
  </si>
  <si>
    <t>3102991238</t>
  </si>
  <si>
    <t>3142233080</t>
  </si>
  <si>
    <t>3123156282</t>
  </si>
  <si>
    <t>3133057365</t>
  </si>
  <si>
    <t>3185780160</t>
  </si>
  <si>
    <t>3112126343</t>
  </si>
  <si>
    <t>3204994911</t>
  </si>
  <si>
    <t>3208658366</t>
  </si>
  <si>
    <t>3203689204</t>
  </si>
  <si>
    <t>3118054507</t>
  </si>
  <si>
    <t>3144509129</t>
  </si>
  <si>
    <t>3144512161</t>
  </si>
  <si>
    <t>3184481644</t>
  </si>
  <si>
    <t>3116474930</t>
  </si>
  <si>
    <t>3112033717</t>
  </si>
  <si>
    <t>3222868576</t>
  </si>
  <si>
    <t>3208004115</t>
  </si>
  <si>
    <t>3112867767</t>
  </si>
  <si>
    <t>3184021191</t>
  </si>
  <si>
    <t>3212870425</t>
  </si>
  <si>
    <t>3123034976</t>
  </si>
  <si>
    <t>3123740450</t>
  </si>
  <si>
    <t>3166489685</t>
  </si>
  <si>
    <t>3153490874</t>
  </si>
  <si>
    <t>3144309530</t>
  </si>
  <si>
    <t>3104651651</t>
  </si>
  <si>
    <t>3232936904</t>
  </si>
  <si>
    <t>3142017846</t>
  </si>
  <si>
    <t>3112086466</t>
  </si>
  <si>
    <t>3125319895</t>
  </si>
  <si>
    <t>3174820151</t>
  </si>
  <si>
    <t>3006171190</t>
  </si>
  <si>
    <t>3123159783-3132780659</t>
  </si>
  <si>
    <t>3173765300</t>
  </si>
  <si>
    <t>3142668068</t>
  </si>
  <si>
    <t>3143585659</t>
  </si>
  <si>
    <t>3134951428</t>
  </si>
  <si>
    <t>3204206761</t>
  </si>
  <si>
    <t>3212427215</t>
  </si>
  <si>
    <t>3204698981</t>
  </si>
  <si>
    <t>3102791463</t>
  </si>
  <si>
    <t>3008490653</t>
  </si>
  <si>
    <t>3209195772</t>
  </si>
  <si>
    <t>3112516753</t>
  </si>
  <si>
    <t>3102925644</t>
  </si>
  <si>
    <t>3142390508</t>
  </si>
  <si>
    <t>3143175532</t>
  </si>
  <si>
    <t>3134657301</t>
  </si>
  <si>
    <t>3115464495</t>
  </si>
  <si>
    <t>3132745020</t>
  </si>
  <si>
    <t>3112411594</t>
  </si>
  <si>
    <t>3115098045</t>
  </si>
  <si>
    <t>3112954296</t>
  </si>
  <si>
    <t>3124750513</t>
  </si>
  <si>
    <t>3102354548</t>
  </si>
  <si>
    <t>3143629639</t>
  </si>
  <si>
    <t>3117061653</t>
  </si>
  <si>
    <t>3208157100</t>
  </si>
  <si>
    <t>3167183828</t>
  </si>
  <si>
    <t>3154499513</t>
  </si>
  <si>
    <t>3144436298</t>
  </si>
  <si>
    <t>3105857300</t>
  </si>
  <si>
    <t>3112801171</t>
  </si>
  <si>
    <t>3127072316</t>
  </si>
  <si>
    <t>3224580650</t>
  </si>
  <si>
    <t>3222340665</t>
  </si>
  <si>
    <t>3155875137</t>
  </si>
  <si>
    <t>31459663612</t>
  </si>
  <si>
    <t>3208998140</t>
  </si>
  <si>
    <t>3218266547</t>
  </si>
  <si>
    <t>3175748964</t>
  </si>
  <si>
    <t>3227008204</t>
  </si>
  <si>
    <t>3133488835</t>
  </si>
  <si>
    <t>3222108599</t>
  </si>
  <si>
    <t>3118117160</t>
  </si>
  <si>
    <t>3108497729</t>
  </si>
  <si>
    <t>3178825927</t>
  </si>
  <si>
    <t>3208058723</t>
  </si>
  <si>
    <t>3103423828</t>
  </si>
  <si>
    <t>3102657192</t>
  </si>
  <si>
    <t>3205499173</t>
  </si>
  <si>
    <t>3214946380</t>
  </si>
  <si>
    <t>3108669928</t>
  </si>
  <si>
    <t>3138510703</t>
  </si>
  <si>
    <t>3177374034</t>
  </si>
  <si>
    <t>3118272243</t>
  </si>
  <si>
    <t>3143131154</t>
  </si>
  <si>
    <t>3134804762</t>
  </si>
  <si>
    <t>3213848627</t>
  </si>
  <si>
    <t>3114673318</t>
  </si>
  <si>
    <t>3172746472</t>
  </si>
  <si>
    <t>3143182454</t>
  </si>
  <si>
    <t>3156457575</t>
  </si>
  <si>
    <t>3106874101</t>
  </si>
  <si>
    <t>3164901934</t>
  </si>
  <si>
    <t>3208395526</t>
  </si>
  <si>
    <t>3106184533</t>
  </si>
  <si>
    <t>3132829465</t>
  </si>
  <si>
    <t>3115757368</t>
  </si>
  <si>
    <t>3115828690</t>
  </si>
  <si>
    <t>3106614143</t>
  </si>
  <si>
    <t>3123504182</t>
  </si>
  <si>
    <t>3117043855</t>
  </si>
  <si>
    <t>314497456</t>
  </si>
  <si>
    <t>3225544837</t>
  </si>
  <si>
    <t>3138366578</t>
  </si>
  <si>
    <t>3214245634</t>
  </si>
  <si>
    <t>3103414788</t>
  </si>
  <si>
    <t>3116885342</t>
  </si>
  <si>
    <t>3125095069</t>
  </si>
  <si>
    <t>3108574544</t>
  </si>
  <si>
    <t>3115296758</t>
  </si>
  <si>
    <t>3124885451</t>
  </si>
  <si>
    <t>3219790842</t>
  </si>
  <si>
    <t>3209124404</t>
  </si>
  <si>
    <t>3125753089</t>
  </si>
  <si>
    <t>3107825596</t>
  </si>
  <si>
    <t>3203073716</t>
  </si>
  <si>
    <t>3202685182</t>
  </si>
  <si>
    <t>3104947472</t>
  </si>
  <si>
    <t>3138952087</t>
  </si>
  <si>
    <t>3102872613</t>
  </si>
  <si>
    <t>3103173306</t>
  </si>
  <si>
    <t>3104764877</t>
  </si>
  <si>
    <t>3214271330</t>
  </si>
  <si>
    <t>3137661520</t>
  </si>
  <si>
    <t>3214344357</t>
  </si>
  <si>
    <t>3114799485</t>
  </si>
  <si>
    <t>3106186382</t>
  </si>
  <si>
    <t>3105517988</t>
  </si>
  <si>
    <t>3175264168</t>
  </si>
  <si>
    <t>3013719531</t>
  </si>
  <si>
    <t>3138365227</t>
  </si>
  <si>
    <t>3115274258</t>
  </si>
  <si>
    <t>3133490517</t>
  </si>
  <si>
    <t>3216190696</t>
  </si>
  <si>
    <t>3208452888</t>
  </si>
  <si>
    <t>3143409428</t>
  </si>
  <si>
    <t>3142455735</t>
  </si>
  <si>
    <t>3204217709</t>
  </si>
  <si>
    <t>3134101657</t>
  </si>
  <si>
    <t>3004371302</t>
  </si>
  <si>
    <t>3203049180</t>
  </si>
  <si>
    <t>3223157685</t>
  </si>
  <si>
    <t>3112397703</t>
  </si>
  <si>
    <t>3143796969</t>
  </si>
  <si>
    <t>3133468569</t>
  </si>
  <si>
    <t>3232206605</t>
  </si>
  <si>
    <t>3123657751</t>
  </si>
  <si>
    <t>313849358</t>
  </si>
  <si>
    <t>3142140784</t>
  </si>
  <si>
    <t>3103428417</t>
  </si>
  <si>
    <t>3124639623</t>
  </si>
  <si>
    <t>3133217539</t>
  </si>
  <si>
    <t>3138030005</t>
  </si>
  <si>
    <t>3124905049</t>
  </si>
  <si>
    <t>3168330462</t>
  </si>
  <si>
    <t>3114418811</t>
  </si>
  <si>
    <t>3213820639</t>
  </si>
  <si>
    <t>3165202511</t>
  </si>
  <si>
    <t>3003157110</t>
  </si>
  <si>
    <t>3108133962</t>
  </si>
  <si>
    <t>3203789074</t>
  </si>
  <si>
    <t>3208068035</t>
  </si>
  <si>
    <t>3144768895</t>
  </si>
  <si>
    <t>3114469783</t>
  </si>
  <si>
    <t>3214957246</t>
  </si>
  <si>
    <t>3007750244</t>
  </si>
  <si>
    <t>3143012802</t>
  </si>
  <si>
    <t>3115359771</t>
  </si>
  <si>
    <t>3103298121</t>
  </si>
  <si>
    <t>3108278013</t>
  </si>
  <si>
    <t>3138999723</t>
  </si>
  <si>
    <t>3145633275</t>
  </si>
  <si>
    <t>3114742296</t>
  </si>
  <si>
    <t>3123111725</t>
  </si>
  <si>
    <t>3132560071</t>
  </si>
  <si>
    <t>3204611673</t>
  </si>
  <si>
    <t>3214238021</t>
  </si>
  <si>
    <t>3138227619</t>
  </si>
  <si>
    <t>3143286201</t>
  </si>
  <si>
    <t>3138881464</t>
  </si>
  <si>
    <t>3115396651</t>
  </si>
  <si>
    <t>3144246945</t>
  </si>
  <si>
    <t>3118134103</t>
  </si>
  <si>
    <t>3142946588</t>
  </si>
  <si>
    <t>3214528790</t>
  </si>
  <si>
    <t>3002242359</t>
  </si>
  <si>
    <t>3133980938</t>
  </si>
  <si>
    <t>3224174621</t>
  </si>
  <si>
    <t>3123862031</t>
  </si>
  <si>
    <t>3182589891</t>
  </si>
  <si>
    <t>3132831691</t>
  </si>
  <si>
    <t>3204656102</t>
  </si>
  <si>
    <t>3028477193</t>
  </si>
  <si>
    <t>3108021352</t>
  </si>
  <si>
    <t>3142126921</t>
  </si>
  <si>
    <t>3228715760</t>
  </si>
  <si>
    <t>3114932480</t>
  </si>
  <si>
    <t>3209949255</t>
  </si>
  <si>
    <t>3208315657</t>
  </si>
  <si>
    <t>3042361373</t>
  </si>
  <si>
    <t>3124626758</t>
  </si>
  <si>
    <t>3213525683</t>
  </si>
  <si>
    <t>3138662256</t>
  </si>
  <si>
    <t>3144505716</t>
  </si>
  <si>
    <t>3125270516</t>
  </si>
  <si>
    <t>3227904140</t>
  </si>
  <si>
    <t>3162266366</t>
  </si>
  <si>
    <t>3103280595</t>
  </si>
  <si>
    <t>3173722626</t>
  </si>
  <si>
    <t>3204521814</t>
  </si>
  <si>
    <t>3102809350</t>
  </si>
  <si>
    <t>3115181296</t>
  </si>
  <si>
    <t>3227586189</t>
  </si>
  <si>
    <t>3213350243</t>
  </si>
  <si>
    <t>3175671119</t>
  </si>
  <si>
    <t>3004273664</t>
  </si>
  <si>
    <t>3214087775</t>
  </si>
  <si>
    <t>3214043863</t>
  </si>
  <si>
    <t>3138178246</t>
  </si>
  <si>
    <t>3217105745</t>
  </si>
  <si>
    <t>3145662488</t>
  </si>
  <si>
    <t>3116882653</t>
  </si>
  <si>
    <t>3142987928</t>
  </si>
  <si>
    <t>3142385640</t>
  </si>
  <si>
    <t>3102952407</t>
  </si>
  <si>
    <t>3125079297</t>
  </si>
  <si>
    <t>3223191516</t>
  </si>
  <si>
    <t>3135939180</t>
  </si>
  <si>
    <t>3116566028</t>
  </si>
  <si>
    <t>3124566414</t>
  </si>
  <si>
    <t>3115868225</t>
  </si>
  <si>
    <t>3205875763-3202165219</t>
  </si>
  <si>
    <t>3207908095</t>
  </si>
  <si>
    <t>3202979273</t>
  </si>
  <si>
    <t>3118335708</t>
  </si>
  <si>
    <t>3204968117</t>
  </si>
  <si>
    <t>3138284139</t>
  </si>
  <si>
    <t>3112857683</t>
  </si>
  <si>
    <t>3015119266</t>
  </si>
  <si>
    <t>3102753168</t>
  </si>
  <si>
    <t>3219344945</t>
  </si>
  <si>
    <t>3164307889</t>
  </si>
  <si>
    <t>3103067670</t>
  </si>
  <si>
    <t>3214401797</t>
  </si>
  <si>
    <t>3112107304</t>
  </si>
  <si>
    <t>3202961717</t>
  </si>
  <si>
    <t>3143485691</t>
  </si>
  <si>
    <t>3106183426</t>
  </si>
  <si>
    <t>3157576293</t>
  </si>
  <si>
    <t>3208259027</t>
  </si>
  <si>
    <t>3112300279</t>
  </si>
  <si>
    <t>3108066343</t>
  </si>
  <si>
    <t>3102044379</t>
  </si>
  <si>
    <t>3202097723</t>
  </si>
  <si>
    <t>3208068021</t>
  </si>
  <si>
    <t>3208705791</t>
  </si>
  <si>
    <t>3115758230</t>
  </si>
  <si>
    <t>3115319758</t>
  </si>
  <si>
    <t>3105567603</t>
  </si>
  <si>
    <t>3212572696</t>
  </si>
  <si>
    <t>3134821486</t>
  </si>
  <si>
    <t>3208828454</t>
  </si>
  <si>
    <t>3125857810</t>
  </si>
  <si>
    <t>3124886451</t>
  </si>
  <si>
    <t>3202877616</t>
  </si>
  <si>
    <t>3123552870</t>
  </si>
  <si>
    <t>3213692037</t>
  </si>
  <si>
    <t>3222112252</t>
  </si>
  <si>
    <t>3123299288</t>
  </si>
  <si>
    <t>3132039832</t>
  </si>
  <si>
    <t>3124226861</t>
  </si>
  <si>
    <t>3204108813</t>
  </si>
  <si>
    <t>3203150500</t>
  </si>
  <si>
    <t>3212701178</t>
  </si>
  <si>
    <t>3118320357</t>
  </si>
  <si>
    <t>3208857853</t>
  </si>
  <si>
    <t>3235133096</t>
  </si>
  <si>
    <t>3213266428</t>
  </si>
  <si>
    <t>3218846283</t>
  </si>
  <si>
    <t>3124246221</t>
  </si>
  <si>
    <t>3115046370</t>
  </si>
  <si>
    <t>3114747129</t>
  </si>
  <si>
    <t>3114909711</t>
  </si>
  <si>
    <t>3115044609</t>
  </si>
  <si>
    <t>3102542280</t>
  </si>
  <si>
    <t>3142202650</t>
  </si>
  <si>
    <t>3213300672</t>
  </si>
  <si>
    <t>3144662974</t>
  </si>
  <si>
    <t>3143730438</t>
  </si>
  <si>
    <t>3107775101</t>
  </si>
  <si>
    <t>3132792007</t>
  </si>
  <si>
    <t>3112419461</t>
  </si>
  <si>
    <t>3123529341</t>
  </si>
  <si>
    <t>3003974698</t>
  </si>
  <si>
    <t>3204656292</t>
  </si>
  <si>
    <t>3233240106</t>
  </si>
  <si>
    <t>3219665122</t>
  </si>
  <si>
    <t>3124270155</t>
  </si>
  <si>
    <t>3132937607</t>
  </si>
  <si>
    <t>3124548851</t>
  </si>
  <si>
    <t>3138374534</t>
  </si>
  <si>
    <t>3124970651</t>
  </si>
  <si>
    <t>3156941281</t>
  </si>
  <si>
    <t>3228444591</t>
  </si>
  <si>
    <t>3112257332</t>
  </si>
  <si>
    <t>3164387083</t>
  </si>
  <si>
    <t>3143015227</t>
  </si>
  <si>
    <t>3142537971</t>
  </si>
  <si>
    <t>3208028498</t>
  </si>
  <si>
    <t>3114449500</t>
  </si>
  <si>
    <t>3112337985</t>
  </si>
  <si>
    <t>3214075413</t>
  </si>
  <si>
    <t>3204547529</t>
  </si>
  <si>
    <t>3217273281</t>
  </si>
  <si>
    <t>3205758539</t>
  </si>
  <si>
    <t>3102885206</t>
  </si>
  <si>
    <t>3163399293</t>
  </si>
  <si>
    <t>3134830528</t>
  </si>
  <si>
    <t>3102220248</t>
  </si>
  <si>
    <t>3123722602</t>
  </si>
  <si>
    <t>3107542525</t>
  </si>
  <si>
    <t>3142641893</t>
  </si>
  <si>
    <t>3228592916</t>
  </si>
  <si>
    <t>3229710152</t>
  </si>
  <si>
    <t>3118879071</t>
  </si>
  <si>
    <t>3102251242</t>
  </si>
  <si>
    <t>3185201224</t>
  </si>
  <si>
    <t>3123096767</t>
  </si>
  <si>
    <t>3187050098</t>
  </si>
  <si>
    <t>3133215790</t>
  </si>
  <si>
    <t>3124282528</t>
  </si>
  <si>
    <t>3227928115</t>
  </si>
  <si>
    <t>3123906444</t>
  </si>
  <si>
    <t>3105540614</t>
  </si>
  <si>
    <t>3212941902</t>
  </si>
  <si>
    <t>3138456628</t>
  </si>
  <si>
    <t>3118742160</t>
  </si>
  <si>
    <t>3108259415</t>
  </si>
  <si>
    <t>3013596524</t>
  </si>
  <si>
    <t>3202034825</t>
  </si>
  <si>
    <t>3203488213</t>
  </si>
  <si>
    <t>3143470501</t>
  </si>
  <si>
    <t>3102639061</t>
  </si>
  <si>
    <t>3102255108</t>
  </si>
  <si>
    <t>3112015053</t>
  </si>
  <si>
    <t>3143779200</t>
  </si>
  <si>
    <t>3204189849</t>
  </si>
  <si>
    <t>3163627530</t>
  </si>
  <si>
    <t>3229359004</t>
  </si>
  <si>
    <t>3144483185</t>
  </si>
  <si>
    <t>3185211416</t>
  </si>
  <si>
    <t>3115676792</t>
  </si>
  <si>
    <t>3208348936</t>
  </si>
  <si>
    <t>3115802938</t>
  </si>
  <si>
    <t>3118355456</t>
  </si>
  <si>
    <t>3102654389</t>
  </si>
  <si>
    <t>3124081277</t>
  </si>
  <si>
    <t>3003610962</t>
  </si>
  <si>
    <t>3216092018</t>
  </si>
  <si>
    <t>3133716696</t>
  </si>
  <si>
    <t>3133706145</t>
  </si>
  <si>
    <t>3209969095</t>
  </si>
  <si>
    <t>3214506116</t>
  </si>
  <si>
    <t>3007849257</t>
  </si>
  <si>
    <t>3125610582</t>
  </si>
  <si>
    <t>3133945668</t>
  </si>
  <si>
    <t>3196982938</t>
  </si>
  <si>
    <t>313648257</t>
  </si>
  <si>
    <t>3138366846</t>
  </si>
  <si>
    <t>3112076758</t>
  </si>
  <si>
    <t>3103004612</t>
  </si>
  <si>
    <t>3142431345</t>
  </si>
  <si>
    <t>3124786005</t>
  </si>
  <si>
    <t>3212065412</t>
  </si>
  <si>
    <t>3202637130</t>
  </si>
  <si>
    <t>3212353033</t>
  </si>
  <si>
    <t>3112174055</t>
  </si>
  <si>
    <t>3223275412</t>
  </si>
  <si>
    <t>3112085567</t>
  </si>
  <si>
    <t>3116117895</t>
  </si>
  <si>
    <t>3222143976</t>
  </si>
  <si>
    <t>3006319292</t>
  </si>
  <si>
    <t>3144150008</t>
  </si>
  <si>
    <t>3144543974</t>
  </si>
  <si>
    <t>3124721246</t>
  </si>
  <si>
    <t>3114696348</t>
  </si>
  <si>
    <t>3112237125</t>
  </si>
  <si>
    <t>3213435550</t>
  </si>
  <si>
    <t>3002412906</t>
  </si>
  <si>
    <t>3212666932</t>
  </si>
  <si>
    <t>3213910256</t>
  </si>
  <si>
    <t>3138698692</t>
  </si>
  <si>
    <t>3107952373</t>
  </si>
  <si>
    <t>3102384031</t>
  </si>
  <si>
    <t>3115637203</t>
  </si>
  <si>
    <t>3143362590</t>
  </si>
  <si>
    <t>3132955670</t>
  </si>
  <si>
    <t>3134109725</t>
  </si>
  <si>
    <t>3168228799</t>
  </si>
  <si>
    <t>3116591707</t>
  </si>
  <si>
    <t>3164697408</t>
  </si>
  <si>
    <t>3204606091</t>
  </si>
  <si>
    <t>3265841789</t>
  </si>
  <si>
    <t>3004687621</t>
  </si>
  <si>
    <t>3118639959</t>
  </si>
  <si>
    <t>3133628657</t>
  </si>
  <si>
    <t>3132850812</t>
  </si>
  <si>
    <t>3204638214</t>
  </si>
  <si>
    <t>3123502259</t>
  </si>
  <si>
    <t>3104775003</t>
  </si>
  <si>
    <t>3133247205</t>
  </si>
  <si>
    <t>3102225442</t>
  </si>
  <si>
    <t>3214883071</t>
  </si>
  <si>
    <t>3112299737</t>
  </si>
  <si>
    <t>3115875691</t>
  </si>
  <si>
    <t>3138808469</t>
  </si>
  <si>
    <t>3125854389</t>
  </si>
  <si>
    <t>310786369</t>
  </si>
  <si>
    <t>3124129160</t>
  </si>
  <si>
    <t>3206285144</t>
  </si>
  <si>
    <t>3203110135</t>
  </si>
  <si>
    <t>3142945580</t>
  </si>
  <si>
    <t>3024782222</t>
  </si>
  <si>
    <t>3106998080</t>
  </si>
  <si>
    <t>3158027430</t>
  </si>
  <si>
    <t>3208545056</t>
  </si>
  <si>
    <t>3125865409</t>
  </si>
  <si>
    <t>3103108115</t>
  </si>
  <si>
    <t>3134461958</t>
  </si>
  <si>
    <t>3007084972</t>
  </si>
  <si>
    <t>3115317627</t>
  </si>
  <si>
    <t>3105543954</t>
  </si>
  <si>
    <t>3208020645-7623176</t>
  </si>
  <si>
    <t>3124424685</t>
  </si>
  <si>
    <t>3134900247</t>
  </si>
  <si>
    <t>3114756560</t>
  </si>
  <si>
    <t>3123788403</t>
  </si>
  <si>
    <t>3118520048</t>
  </si>
  <si>
    <t>3153173596</t>
  </si>
  <si>
    <t>3184824472</t>
  </si>
  <si>
    <t>3114520197</t>
  </si>
  <si>
    <t>3103062224</t>
  </si>
  <si>
    <t>3105502042</t>
  </si>
  <si>
    <t>3112587500</t>
  </si>
  <si>
    <t>3105666694</t>
  </si>
  <si>
    <t>3103463181</t>
  </si>
  <si>
    <t>3133808355</t>
  </si>
  <si>
    <t>3133387693</t>
  </si>
  <si>
    <t>3005525597</t>
  </si>
  <si>
    <t>3134051681</t>
  </si>
  <si>
    <t>3212058489</t>
  </si>
  <si>
    <t>3112233948</t>
  </si>
  <si>
    <t>3134526499</t>
  </si>
  <si>
    <t>3108025259</t>
  </si>
  <si>
    <t>3125813258</t>
  </si>
  <si>
    <t>3104324219</t>
  </si>
  <si>
    <t>3143311070</t>
  </si>
  <si>
    <t>3103051965</t>
  </si>
  <si>
    <t>3102251206</t>
  </si>
  <si>
    <t>3150833377</t>
  </si>
  <si>
    <t>3124269559</t>
  </si>
  <si>
    <t>3202383401</t>
  </si>
  <si>
    <t>3125822568</t>
  </si>
  <si>
    <t>3127821423</t>
  </si>
  <si>
    <t>3107250631</t>
  </si>
  <si>
    <t>3125435722</t>
  </si>
  <si>
    <t>3115272997</t>
  </si>
  <si>
    <t>3173822548</t>
  </si>
  <si>
    <t>3118774498</t>
  </si>
  <si>
    <t>3102525173</t>
  </si>
  <si>
    <t>3203426079</t>
  </si>
  <si>
    <t>3114414083</t>
  </si>
  <si>
    <t>3118543383</t>
  </si>
  <si>
    <t>3108861236</t>
  </si>
  <si>
    <t>3114575280</t>
  </si>
  <si>
    <t>3182406608</t>
  </si>
  <si>
    <t>3144515811</t>
  </si>
  <si>
    <t>3134516214</t>
  </si>
  <si>
    <t>3112459895</t>
  </si>
  <si>
    <t>3214815331</t>
  </si>
  <si>
    <t>3105659386</t>
  </si>
  <si>
    <t>3142970-570</t>
  </si>
  <si>
    <t>3112692981</t>
  </si>
  <si>
    <t>3005676454</t>
  </si>
  <si>
    <t>3132833646</t>
  </si>
  <si>
    <t>3133018449</t>
  </si>
  <si>
    <t>3132607352</t>
  </si>
  <si>
    <t>3144122884</t>
  </si>
  <si>
    <t>3112566450</t>
  </si>
  <si>
    <t>3144709191</t>
  </si>
  <si>
    <t>3125846570</t>
  </si>
  <si>
    <t>3112936918</t>
  </si>
  <si>
    <t>3144739526</t>
  </si>
  <si>
    <t>3223764119</t>
  </si>
  <si>
    <t>3203047-147</t>
  </si>
  <si>
    <t>3134097594</t>
  </si>
  <si>
    <t>3124815678</t>
  </si>
  <si>
    <t>3133289769</t>
  </si>
  <si>
    <t>3102251465</t>
  </si>
  <si>
    <t>3123346932</t>
  </si>
  <si>
    <t>3214822308</t>
  </si>
  <si>
    <t>3204276968</t>
  </si>
  <si>
    <t>3117926848</t>
  </si>
  <si>
    <t>3202028927</t>
  </si>
  <si>
    <t>3112715833</t>
  </si>
  <si>
    <t>3125610416</t>
  </si>
  <si>
    <t>3202356480</t>
  </si>
  <si>
    <t>3225961674</t>
  </si>
  <si>
    <t>3124818361</t>
  </si>
  <si>
    <t>7861607</t>
  </si>
  <si>
    <t>3113394283</t>
  </si>
  <si>
    <t>3002163174</t>
  </si>
  <si>
    <t>3112764711</t>
  </si>
  <si>
    <t>3103227788</t>
  </si>
  <si>
    <t>3202957769</t>
  </si>
  <si>
    <t>3125531308</t>
  </si>
  <si>
    <t>3133343739</t>
  </si>
  <si>
    <t>3112280860</t>
  </si>
  <si>
    <t>3105845520</t>
  </si>
  <si>
    <t>3204200344</t>
  </si>
  <si>
    <t>3112224537</t>
  </si>
  <si>
    <t>3209032198</t>
  </si>
  <si>
    <t>3208318011</t>
  </si>
  <si>
    <t>3133946010</t>
  </si>
  <si>
    <t>3004321199</t>
  </si>
  <si>
    <t>3114971707</t>
  </si>
  <si>
    <t>3115138239</t>
  </si>
  <si>
    <t>3143301661</t>
  </si>
  <si>
    <t>3197924280</t>
  </si>
  <si>
    <t>3123473353</t>
  </si>
  <si>
    <t>3123293017</t>
  </si>
  <si>
    <t>3112385379</t>
  </si>
  <si>
    <t>3166019333</t>
  </si>
  <si>
    <t>3104807738</t>
  </si>
  <si>
    <t>3107613716</t>
  </si>
  <si>
    <t>3118128738</t>
  </si>
  <si>
    <t>3118126642</t>
  </si>
  <si>
    <t>3115580675</t>
  </si>
  <si>
    <t>3014701697</t>
  </si>
  <si>
    <t>3142340843</t>
  </si>
  <si>
    <t>3209530317</t>
  </si>
  <si>
    <t>3103096637</t>
  </si>
  <si>
    <t>3208576888</t>
  </si>
  <si>
    <t>3115320089</t>
  </si>
  <si>
    <t>3203264096</t>
  </si>
  <si>
    <t>3144002457</t>
  </si>
  <si>
    <t>3164697032</t>
  </si>
  <si>
    <t>3152572253</t>
  </si>
  <si>
    <t>7605308</t>
  </si>
  <si>
    <t>3214231125</t>
  </si>
  <si>
    <t>3143102314</t>
  </si>
  <si>
    <t>3147395764</t>
  </si>
  <si>
    <t>3118115947</t>
  </si>
  <si>
    <t>3124843287</t>
  </si>
  <si>
    <t>3105731522</t>
  </si>
  <si>
    <t>3134707748</t>
  </si>
  <si>
    <t>3123067856</t>
  </si>
  <si>
    <t>3142418863</t>
  </si>
  <si>
    <t>3115358743</t>
  </si>
  <si>
    <t>3133727355</t>
  </si>
  <si>
    <t>3214624163</t>
  </si>
  <si>
    <t>3128953891</t>
  </si>
  <si>
    <t>3118114565</t>
  </si>
  <si>
    <t>3115618777</t>
  </si>
  <si>
    <t>3134052430</t>
  </si>
  <si>
    <t>3112800983</t>
  </si>
  <si>
    <t>3193837121</t>
  </si>
  <si>
    <t>3504646506</t>
  </si>
  <si>
    <t>3132254358</t>
  </si>
  <si>
    <t>3154455579</t>
  </si>
  <si>
    <t>3138895683</t>
  </si>
  <si>
    <t>3115901204</t>
  </si>
  <si>
    <t>3175331153</t>
  </si>
  <si>
    <t>3213028772</t>
  </si>
  <si>
    <t>3132769113</t>
  </si>
  <si>
    <t>3134201285</t>
  </si>
  <si>
    <t>3229350291</t>
  </si>
  <si>
    <t>3114891077</t>
  </si>
  <si>
    <t>3208215521</t>
  </si>
  <si>
    <t>3002196443</t>
  </si>
  <si>
    <t>3103173359</t>
  </si>
  <si>
    <t>3112138011</t>
  </si>
  <si>
    <t>3222299909</t>
  </si>
  <si>
    <t>3103380474</t>
  </si>
  <si>
    <t>3152090028</t>
  </si>
  <si>
    <t>3167696114</t>
  </si>
  <si>
    <t>3144727537</t>
  </si>
  <si>
    <t>322233144</t>
  </si>
  <si>
    <t>3208453758</t>
  </si>
  <si>
    <t>3133454551</t>
  </si>
  <si>
    <t>3118107016</t>
  </si>
  <si>
    <t>3212271362</t>
  </si>
  <si>
    <t>3208607334</t>
  </si>
  <si>
    <t>3213983680</t>
  </si>
  <si>
    <t>3214196104</t>
  </si>
  <si>
    <t>3212064477</t>
  </si>
  <si>
    <t>3133921729</t>
  </si>
  <si>
    <t>3144600238</t>
  </si>
  <si>
    <t>3133918114</t>
  </si>
  <si>
    <t>3159268247</t>
  </si>
  <si>
    <t>3123262974</t>
  </si>
  <si>
    <t>3125476297</t>
  </si>
  <si>
    <t>3124907526</t>
  </si>
  <si>
    <t>3203039846</t>
  </si>
  <si>
    <t>3138400349</t>
  </si>
  <si>
    <t>3102628741</t>
  </si>
  <si>
    <t>3102400327</t>
  </si>
  <si>
    <t>31330442793</t>
  </si>
  <si>
    <t>3107539928</t>
  </si>
  <si>
    <t>3202854181</t>
  </si>
  <si>
    <t>3008565070</t>
  </si>
  <si>
    <t>3115135634</t>
  </si>
  <si>
    <t>3223546726</t>
  </si>
  <si>
    <t>3222729127</t>
  </si>
  <si>
    <t>3208248990</t>
  </si>
  <si>
    <t>3138218168</t>
  </si>
  <si>
    <t>3118234413</t>
  </si>
  <si>
    <t>3166212425</t>
  </si>
  <si>
    <t>3114807417</t>
  </si>
  <si>
    <t>3103349786</t>
  </si>
  <si>
    <t>3106978163</t>
  </si>
  <si>
    <t>3176489460</t>
  </si>
  <si>
    <t>3213502813</t>
  </si>
  <si>
    <t>3204391164</t>
  </si>
  <si>
    <t>3123432810</t>
  </si>
  <si>
    <t>3212402760</t>
  </si>
  <si>
    <t>3202944176</t>
  </si>
  <si>
    <t>3123482494</t>
  </si>
  <si>
    <t>3158752717</t>
  </si>
  <si>
    <t>3112864003</t>
  </si>
  <si>
    <t>3134493236</t>
  </si>
  <si>
    <t>3118698167</t>
  </si>
  <si>
    <t>3123020182</t>
  </si>
  <si>
    <t>3213704582</t>
  </si>
  <si>
    <t>3124652834</t>
  </si>
  <si>
    <t>3106562867</t>
  </si>
  <si>
    <t>3132945280</t>
  </si>
  <si>
    <t>3138970328</t>
  </si>
  <si>
    <t>3104815348</t>
  </si>
  <si>
    <t>3214410611</t>
  </si>
  <si>
    <t>31252746912</t>
  </si>
  <si>
    <t>3107637095</t>
  </si>
  <si>
    <t>3124476432</t>
  </si>
  <si>
    <t>3219869084</t>
  </si>
  <si>
    <t>3125975699</t>
  </si>
  <si>
    <t>3208531176</t>
  </si>
  <si>
    <t>3106323404</t>
  </si>
  <si>
    <t>3143215128</t>
  </si>
  <si>
    <t>3202583592</t>
  </si>
  <si>
    <t>3208555894</t>
  </si>
  <si>
    <t>3227287726</t>
  </si>
  <si>
    <t>3202703015</t>
  </si>
  <si>
    <t>3115880022</t>
  </si>
  <si>
    <t>3234875559</t>
  </si>
  <si>
    <t>3132490196</t>
  </si>
  <si>
    <t>3187304708</t>
  </si>
  <si>
    <t>3103380961</t>
  </si>
  <si>
    <t>3103241206</t>
  </si>
  <si>
    <t>3124837068</t>
  </si>
  <si>
    <t>3112048744</t>
  </si>
  <si>
    <t>3204532790</t>
  </si>
  <si>
    <t>3142772570</t>
  </si>
  <si>
    <t>3112841688</t>
  </si>
  <si>
    <t>3143871322</t>
  </si>
  <si>
    <t>3144919252</t>
  </si>
  <si>
    <t>3142333530</t>
  </si>
  <si>
    <t>3103049551</t>
  </si>
  <si>
    <t>3114522987</t>
  </si>
  <si>
    <t>3112511142</t>
  </si>
  <si>
    <t>3123241979</t>
  </si>
  <si>
    <t>3144088473</t>
  </si>
  <si>
    <t>3118120605</t>
  </si>
  <si>
    <t>3103039009</t>
  </si>
  <si>
    <t>3115578142</t>
  </si>
  <si>
    <t>3214760708</t>
  </si>
  <si>
    <t>3132762020</t>
  </si>
  <si>
    <t>3134665813</t>
  </si>
  <si>
    <t>3208109380</t>
  </si>
  <si>
    <t>7611290</t>
  </si>
  <si>
    <t>3104819976</t>
  </si>
  <si>
    <t>3114736139</t>
  </si>
  <si>
    <t>3163092313</t>
  </si>
  <si>
    <t>3134082370</t>
  </si>
  <si>
    <t>322226929</t>
  </si>
  <si>
    <t>3124517883</t>
  </si>
  <si>
    <t>3153305040</t>
  </si>
  <si>
    <t>3114592029</t>
  </si>
  <si>
    <t>3108840155</t>
  </si>
  <si>
    <t>3108509482</t>
  </si>
  <si>
    <t>3124497290</t>
  </si>
  <si>
    <t>3102045159</t>
  </si>
  <si>
    <t>3144413118</t>
  </si>
  <si>
    <t>3125929485</t>
  </si>
  <si>
    <t>3114600419</t>
  </si>
  <si>
    <t>3112412331</t>
  </si>
  <si>
    <t>3224435466</t>
  </si>
  <si>
    <t>3202339721</t>
  </si>
  <si>
    <t>3124693270</t>
  </si>
  <si>
    <t>3106252233</t>
  </si>
  <si>
    <t>3153097928</t>
  </si>
  <si>
    <t>3132491166</t>
  </si>
  <si>
    <t>3123096259</t>
  </si>
  <si>
    <t>3143341750</t>
  </si>
  <si>
    <t>3143136201</t>
  </si>
  <si>
    <t>3108763923</t>
  </si>
  <si>
    <t>3108024045</t>
  </si>
  <si>
    <t>3102554303</t>
  </si>
  <si>
    <t>3103338087</t>
  </si>
  <si>
    <t>3112205028</t>
  </si>
  <si>
    <t>3133233535</t>
  </si>
  <si>
    <t>3214534805</t>
  </si>
  <si>
    <t>3123691251</t>
  </si>
  <si>
    <t>3105741325</t>
  </si>
  <si>
    <t>3213015443</t>
  </si>
  <si>
    <t>3112833779</t>
  </si>
  <si>
    <t>3219726896</t>
  </si>
  <si>
    <t>3216304938</t>
  </si>
  <si>
    <t>3202687511</t>
  </si>
  <si>
    <t>3224446921</t>
  </si>
  <si>
    <t>3123815944</t>
  </si>
  <si>
    <t>3212922580</t>
  </si>
  <si>
    <t>3134947697</t>
  </si>
  <si>
    <t>3203141878</t>
  </si>
  <si>
    <t>3016117503</t>
  </si>
  <si>
    <t>3113301939</t>
  </si>
  <si>
    <t>3124011898</t>
  </si>
  <si>
    <t>3218984585</t>
  </si>
  <si>
    <t>3043657847</t>
  </si>
  <si>
    <t>3123294238</t>
  </si>
  <si>
    <t>3118127879</t>
  </si>
  <si>
    <t>3108115410</t>
  </si>
  <si>
    <t>3215603900</t>
  </si>
  <si>
    <t>3209525816</t>
  </si>
  <si>
    <t>3212042122</t>
  </si>
  <si>
    <t>3103658157</t>
  </si>
  <si>
    <t>3134885110</t>
  </si>
  <si>
    <t>3114867588</t>
  </si>
  <si>
    <t>3212078806</t>
  </si>
  <si>
    <t>3144357045</t>
  </si>
  <si>
    <t>3208691664</t>
  </si>
  <si>
    <t>3209889983</t>
  </si>
  <si>
    <t>3124185465</t>
  </si>
  <si>
    <t>3202549848</t>
  </si>
  <si>
    <t>3102389457</t>
  </si>
  <si>
    <t>3134234354</t>
  </si>
  <si>
    <t>3144426022</t>
  </si>
  <si>
    <t>3212088255</t>
  </si>
  <si>
    <t>3183886851</t>
  </si>
  <si>
    <t>3114704112</t>
  </si>
  <si>
    <t>3112979749</t>
  </si>
  <si>
    <t>3192125872</t>
  </si>
  <si>
    <t>3112933016</t>
  </si>
  <si>
    <t>3125409554</t>
  </si>
  <si>
    <t>3116185615</t>
  </si>
  <si>
    <t>3108080236</t>
  </si>
  <si>
    <t>3115005431</t>
  </si>
  <si>
    <t>3214440663</t>
  </si>
  <si>
    <t>3203187978</t>
  </si>
  <si>
    <t>3173562060</t>
  </si>
  <si>
    <t>3102506922</t>
  </si>
  <si>
    <t>3142542614</t>
  </si>
  <si>
    <t>3134177990</t>
  </si>
  <si>
    <t>3187953621</t>
  </si>
  <si>
    <t>3213360932</t>
  </si>
  <si>
    <t>3052600060</t>
  </si>
  <si>
    <t>3123936212</t>
  </si>
  <si>
    <t>3142031455</t>
  </si>
  <si>
    <t>3105563193</t>
  </si>
  <si>
    <t>3144409206</t>
  </si>
  <si>
    <t>3108614233</t>
  </si>
  <si>
    <t>3123575141</t>
  </si>
  <si>
    <t>3007840024</t>
  </si>
  <si>
    <t>3214439820</t>
  </si>
  <si>
    <t>3124544957</t>
  </si>
  <si>
    <t>3153265970</t>
  </si>
  <si>
    <t>320444459</t>
  </si>
  <si>
    <t>3159276162</t>
  </si>
  <si>
    <t>3133647804</t>
  </si>
  <si>
    <t>3165274294</t>
  </si>
  <si>
    <t>3133340695</t>
  </si>
  <si>
    <t>3153140863</t>
  </si>
  <si>
    <t>3212130001</t>
  </si>
  <si>
    <t>3133688044</t>
  </si>
  <si>
    <t>3209132915</t>
  </si>
  <si>
    <t>3046481635</t>
  </si>
  <si>
    <t>3125687969</t>
  </si>
  <si>
    <t>3203007198</t>
  </si>
  <si>
    <t>3138850974</t>
  </si>
  <si>
    <t>3227502268</t>
  </si>
  <si>
    <t>31338000697</t>
  </si>
  <si>
    <t>3138899402</t>
  </si>
  <si>
    <t>3208072431</t>
  </si>
  <si>
    <t>3214497879</t>
  </si>
  <si>
    <t>3204977342</t>
  </si>
  <si>
    <t>3123154836</t>
  </si>
  <si>
    <t>3125687579</t>
  </si>
  <si>
    <t>3112175336</t>
  </si>
  <si>
    <t>3144212649</t>
  </si>
  <si>
    <t>3103461147</t>
  </si>
  <si>
    <t>3124922168</t>
  </si>
  <si>
    <t>3132624120</t>
  </si>
  <si>
    <t>3143836370</t>
  </si>
  <si>
    <t>3203838723</t>
  </si>
  <si>
    <t>3125650800</t>
  </si>
  <si>
    <t>3103361617</t>
  </si>
  <si>
    <t>3164691097</t>
  </si>
  <si>
    <t>3123547867</t>
  </si>
  <si>
    <t>3125864498</t>
  </si>
  <si>
    <t>3127432103</t>
  </si>
  <si>
    <t>3134958461</t>
  </si>
  <si>
    <t>3134528512</t>
  </si>
  <si>
    <t>3138110708</t>
  </si>
  <si>
    <t>3005606926</t>
  </si>
  <si>
    <t>3158276855</t>
  </si>
  <si>
    <t>3115281150</t>
  </si>
  <si>
    <t>3123971787</t>
  </si>
  <si>
    <t>3167640859</t>
  </si>
  <si>
    <t>3142810138</t>
  </si>
  <si>
    <t>3142178971</t>
  </si>
  <si>
    <t>3128066782</t>
  </si>
  <si>
    <t>3125160347</t>
  </si>
  <si>
    <t>3202317767</t>
  </si>
  <si>
    <t>3144170070</t>
  </si>
  <si>
    <t>3138923997</t>
  </si>
  <si>
    <t>3213986820</t>
  </si>
  <si>
    <t>3144181415</t>
  </si>
  <si>
    <t>3108785005</t>
  </si>
  <si>
    <t>3123965407</t>
  </si>
  <si>
    <t>3208746412</t>
  </si>
  <si>
    <t>3212002468</t>
  </si>
  <si>
    <t>3123950781</t>
  </si>
  <si>
    <t>3133131899</t>
  </si>
  <si>
    <t>3103017431</t>
  </si>
  <si>
    <t>3112617352</t>
  </si>
  <si>
    <t>3102526194</t>
  </si>
  <si>
    <t>3138098745</t>
  </si>
  <si>
    <t>3157240376</t>
  </si>
  <si>
    <t>3123337065</t>
  </si>
  <si>
    <t>3173320711</t>
  </si>
  <si>
    <t>3144004706</t>
  </si>
  <si>
    <t>3212474026</t>
  </si>
  <si>
    <t>3167115189</t>
  </si>
  <si>
    <t>3112125401</t>
  </si>
  <si>
    <t>3202721889</t>
  </si>
  <si>
    <t>3103191016</t>
  </si>
  <si>
    <t>3125391088</t>
  </si>
  <si>
    <t>3115994128</t>
  </si>
  <si>
    <t>3114612123</t>
  </si>
  <si>
    <t>3142105296</t>
  </si>
  <si>
    <t>3183412347</t>
  </si>
  <si>
    <t>3124484234</t>
  </si>
  <si>
    <t>3002757713</t>
  </si>
  <si>
    <t>3124803449</t>
  </si>
  <si>
    <t>3142582783</t>
  </si>
  <si>
    <t>3216052692</t>
  </si>
  <si>
    <t>3112101205</t>
  </si>
  <si>
    <t>3103414691</t>
  </si>
  <si>
    <t>3213594320</t>
  </si>
  <si>
    <t>3208496147</t>
  </si>
  <si>
    <t>3123394354</t>
  </si>
  <si>
    <t>3115147231</t>
  </si>
  <si>
    <t>3103450375</t>
  </si>
  <si>
    <t>3229446329</t>
  </si>
  <si>
    <t>3108646096</t>
  </si>
  <si>
    <t>3214416571</t>
  </si>
  <si>
    <t>3143863117</t>
  </si>
  <si>
    <t>3134862556</t>
  </si>
  <si>
    <t>3002649153</t>
  </si>
  <si>
    <t>3138019975</t>
  </si>
  <si>
    <t>3213000011</t>
  </si>
  <si>
    <t>3138962089</t>
  </si>
  <si>
    <t>3115923507</t>
  </si>
  <si>
    <t>3133426368</t>
  </si>
  <si>
    <t>3232896746</t>
  </si>
  <si>
    <t>3142883254</t>
  </si>
  <si>
    <t>3142804240</t>
  </si>
  <si>
    <t>3185356143</t>
  </si>
  <si>
    <t>3133926987</t>
  </si>
  <si>
    <t>3118350579</t>
  </si>
  <si>
    <t>3103298605</t>
  </si>
  <si>
    <t>3123491947</t>
  </si>
  <si>
    <t>3102404756</t>
  </si>
  <si>
    <t>3219725956</t>
  </si>
  <si>
    <t>3123184825</t>
  </si>
  <si>
    <t>3203214660</t>
  </si>
  <si>
    <t>3202435935</t>
  </si>
  <si>
    <t>3125759269</t>
  </si>
  <si>
    <t>3138148848</t>
  </si>
  <si>
    <t>3108703899</t>
  </si>
  <si>
    <t>3158623834</t>
  </si>
  <si>
    <t>3208475243</t>
  </si>
  <si>
    <t>3165348708</t>
  </si>
  <si>
    <t>3114424962</t>
  </si>
  <si>
    <t>3138426213</t>
  </si>
  <si>
    <t>3114835680</t>
  </si>
  <si>
    <t>3124871933</t>
  </si>
  <si>
    <t>3144894351</t>
  </si>
  <si>
    <t>3202189745</t>
  </si>
  <si>
    <t>3134459109</t>
  </si>
  <si>
    <t>3143824628</t>
  </si>
  <si>
    <t>302372144</t>
  </si>
  <si>
    <t>3112663188</t>
  </si>
  <si>
    <t>3219304592</t>
  </si>
  <si>
    <t>3138694752</t>
  </si>
  <si>
    <t>3112133745</t>
  </si>
  <si>
    <t>3028283246</t>
  </si>
  <si>
    <t>3112277893</t>
  </si>
  <si>
    <t>3132513934</t>
  </si>
  <si>
    <t>3208772014</t>
  </si>
  <si>
    <t>3108745378</t>
  </si>
  <si>
    <t>3115484844</t>
  </si>
  <si>
    <t>3214794555</t>
  </si>
  <si>
    <t>3105505034</t>
  </si>
  <si>
    <t>3124642212</t>
  </si>
  <si>
    <t>3114977811</t>
  </si>
  <si>
    <t>3112171609</t>
  </si>
  <si>
    <t>3186615940</t>
  </si>
  <si>
    <t>3115371937</t>
  </si>
  <si>
    <t>3112215134</t>
  </si>
  <si>
    <t>3132004249</t>
  </si>
  <si>
    <t>3132769636</t>
  </si>
  <si>
    <t>3185702612</t>
  </si>
  <si>
    <t>3142209188</t>
  </si>
  <si>
    <t>3108787698</t>
  </si>
  <si>
    <t>3102449199</t>
  </si>
  <si>
    <t>3125488647</t>
  </si>
  <si>
    <t>3118696468</t>
  </si>
  <si>
    <t>3203438887</t>
  </si>
  <si>
    <t>3012918182</t>
  </si>
  <si>
    <t>3138512291</t>
  </si>
  <si>
    <t>3115136125</t>
  </si>
  <si>
    <t>3233246428</t>
  </si>
  <si>
    <t>3007690112</t>
  </si>
  <si>
    <t>3142135314</t>
  </si>
  <si>
    <t>3209765175</t>
  </si>
  <si>
    <t>3108024111</t>
  </si>
  <si>
    <t>3203511949</t>
  </si>
  <si>
    <t>312435486</t>
  </si>
  <si>
    <t>3132402501</t>
  </si>
  <si>
    <t>3103086374</t>
  </si>
  <si>
    <t>3134178538</t>
  </si>
  <si>
    <t>3242107252</t>
  </si>
  <si>
    <t>3107545674</t>
  </si>
  <si>
    <t>3214806819</t>
  </si>
  <si>
    <t>3138159815</t>
  </si>
  <si>
    <t>3143273787</t>
  </si>
  <si>
    <t>3123782194</t>
  </si>
  <si>
    <t>3165716090</t>
  </si>
  <si>
    <t>3102240845</t>
  </si>
  <si>
    <t>3112710796</t>
  </si>
  <si>
    <t>3212078179</t>
  </si>
  <si>
    <t>3138550553</t>
  </si>
  <si>
    <t>3132827155</t>
  </si>
  <si>
    <t>3202745853</t>
  </si>
  <si>
    <t>3123331364</t>
  </si>
  <si>
    <t>3106955287</t>
  </si>
  <si>
    <t>3228381934</t>
  </si>
  <si>
    <t>3106138271</t>
  </si>
  <si>
    <t>3114872099</t>
  </si>
  <si>
    <t>3144175679</t>
  </si>
  <si>
    <t>3176494095</t>
  </si>
  <si>
    <t>3134255537</t>
  </si>
  <si>
    <t>3144851466</t>
  </si>
  <si>
    <t>3132613538</t>
  </si>
  <si>
    <t>3142575899</t>
  </si>
  <si>
    <t>3134272362</t>
  </si>
  <si>
    <t>3009539009</t>
  </si>
  <si>
    <t>3203366003</t>
  </si>
  <si>
    <t>3214402383</t>
  </si>
  <si>
    <t>3144445847</t>
  </si>
  <si>
    <t>3166161559</t>
  </si>
  <si>
    <t>3202598419</t>
  </si>
  <si>
    <t>3125178591</t>
  </si>
  <si>
    <t>3105751795</t>
  </si>
  <si>
    <t>3228167778</t>
  </si>
  <si>
    <t>3118539672</t>
  </si>
  <si>
    <t>3202352306</t>
  </si>
  <si>
    <t>3102197227</t>
  </si>
  <si>
    <t>3204045335</t>
  </si>
  <si>
    <t>3203358761</t>
  </si>
  <si>
    <t>3134061547</t>
  </si>
  <si>
    <t>3115306925</t>
  </si>
  <si>
    <t>3142267858</t>
  </si>
  <si>
    <t>3115915954</t>
  </si>
  <si>
    <t>3102083042</t>
  </si>
  <si>
    <t>3132369594</t>
  </si>
  <si>
    <t>3152125019</t>
  </si>
  <si>
    <t>3214215675</t>
  </si>
  <si>
    <t>3232226282</t>
  </si>
  <si>
    <t>3123751141</t>
  </si>
  <si>
    <t>3124705256</t>
  </si>
  <si>
    <t>3103441405</t>
  </si>
  <si>
    <t>3143695069</t>
  </si>
  <si>
    <t>3124826341</t>
  </si>
  <si>
    <t>3125540275</t>
  </si>
  <si>
    <t>3205866079</t>
  </si>
  <si>
    <t>3105706739</t>
  </si>
  <si>
    <t>3107791592</t>
  </si>
  <si>
    <t>3222463770</t>
  </si>
  <si>
    <t>3112403221</t>
  </si>
  <si>
    <t>3134118715</t>
  </si>
  <si>
    <t>3125865027</t>
  </si>
  <si>
    <t>3202161535</t>
  </si>
  <si>
    <t>3118474142</t>
  </si>
  <si>
    <t>3213801254</t>
  </si>
  <si>
    <t>3012211660</t>
  </si>
  <si>
    <t>3013517909</t>
  </si>
  <si>
    <t>3142005257</t>
  </si>
  <si>
    <t>3103336665</t>
  </si>
  <si>
    <t>3016753680</t>
  </si>
  <si>
    <t>3112200106</t>
  </si>
  <si>
    <t>3142351566</t>
  </si>
  <si>
    <t>3137184897</t>
  </si>
  <si>
    <t>3106082766</t>
  </si>
  <si>
    <t>3138319579</t>
  </si>
  <si>
    <t>3124287075</t>
  </si>
  <si>
    <t>3112647588</t>
  </si>
  <si>
    <t>3105631080</t>
  </si>
  <si>
    <t>3103130041</t>
  </si>
  <si>
    <t>3005673136</t>
  </si>
  <si>
    <t>3133460908</t>
  </si>
  <si>
    <t>3112436834</t>
  </si>
  <si>
    <t>3143701233</t>
  </si>
  <si>
    <t>3115770203</t>
  </si>
  <si>
    <t>3112093986</t>
  </si>
  <si>
    <t>3124533622</t>
  </si>
  <si>
    <t>3144175836</t>
  </si>
  <si>
    <t>3115505938</t>
  </si>
  <si>
    <t>3244561812</t>
  </si>
  <si>
    <t>3114848815</t>
  </si>
  <si>
    <t>3144802494</t>
  </si>
  <si>
    <t>3108815744</t>
  </si>
  <si>
    <t>3123103003</t>
  </si>
  <si>
    <t>3144465289</t>
  </si>
  <si>
    <t>3138188447</t>
  </si>
  <si>
    <t>3123534636</t>
  </si>
  <si>
    <t>3123633307</t>
  </si>
  <si>
    <t>3208037938</t>
  </si>
  <si>
    <t>3114410575</t>
  </si>
  <si>
    <t>3123934208</t>
  </si>
  <si>
    <t>3132122185</t>
  </si>
  <si>
    <t>3144656700</t>
  </si>
  <si>
    <t>3143342247</t>
  </si>
  <si>
    <t>3208892793</t>
  </si>
  <si>
    <t>3107635719</t>
  </si>
  <si>
    <t>3214264396</t>
  </si>
  <si>
    <t>3107852290</t>
  </si>
  <si>
    <t>3144883869</t>
  </si>
  <si>
    <t>3138753074</t>
  </si>
  <si>
    <t>3102753224</t>
  </si>
  <si>
    <t>3204793956</t>
  </si>
  <si>
    <t>3174729625</t>
  </si>
  <si>
    <t>3208522208</t>
  </si>
  <si>
    <t>3103366648</t>
  </si>
  <si>
    <t>3213511869</t>
  </si>
  <si>
    <t>3138541451</t>
  </si>
  <si>
    <t>3204927616</t>
  </si>
  <si>
    <t>3102836322</t>
  </si>
  <si>
    <t>3124333047</t>
  </si>
  <si>
    <t>3134143848</t>
  </si>
  <si>
    <t>3125768200</t>
  </si>
  <si>
    <t>3208500062</t>
  </si>
  <si>
    <t>3125504463</t>
  </si>
  <si>
    <t>3203939153</t>
  </si>
  <si>
    <t>3208612505</t>
  </si>
  <si>
    <t>3229026199</t>
  </si>
  <si>
    <t>3115835216</t>
  </si>
  <si>
    <t>3144163537</t>
  </si>
  <si>
    <t>3108024232</t>
  </si>
  <si>
    <t>3103359683</t>
  </si>
  <si>
    <t>3134288225</t>
  </si>
  <si>
    <t>3208553705</t>
  </si>
  <si>
    <t>3112543216</t>
  </si>
  <si>
    <t>3132579746</t>
  </si>
  <si>
    <t>3115280849</t>
  </si>
  <si>
    <t>3143352126</t>
  </si>
  <si>
    <t>3107516160</t>
  </si>
  <si>
    <t>3115174707</t>
  </si>
  <si>
    <t>3165353333</t>
  </si>
  <si>
    <t>3123394898</t>
  </si>
  <si>
    <t>3102241-946</t>
  </si>
  <si>
    <t>3115235119</t>
  </si>
  <si>
    <t>3138929722</t>
  </si>
  <si>
    <t>3114853460</t>
  </si>
  <si>
    <t>3108600354</t>
  </si>
  <si>
    <t>3108840315</t>
  </si>
  <si>
    <t>3125812870</t>
  </si>
  <si>
    <t>3138598370</t>
  </si>
  <si>
    <t>3207957689</t>
  </si>
  <si>
    <t>3118988989</t>
  </si>
  <si>
    <t>3103148339</t>
  </si>
  <si>
    <t>3123387214</t>
  </si>
  <si>
    <t>3115983776</t>
  </si>
  <si>
    <t>3124522172</t>
  </si>
  <si>
    <t>3115766190</t>
  </si>
  <si>
    <t>313345790</t>
  </si>
  <si>
    <t>3108089982</t>
  </si>
  <si>
    <t>3104776019</t>
  </si>
  <si>
    <t>3103315426</t>
  </si>
  <si>
    <t>3142178430</t>
  </si>
  <si>
    <t>3228911871</t>
  </si>
  <si>
    <t>3118113237</t>
  </si>
  <si>
    <t>3132305938</t>
  </si>
  <si>
    <t>312319381</t>
  </si>
  <si>
    <t>3202714048</t>
  </si>
  <si>
    <t>3138199274</t>
  </si>
  <si>
    <t>3138880679</t>
  </si>
  <si>
    <t>3138055846</t>
  </si>
  <si>
    <t>3125404155</t>
  </si>
  <si>
    <t>3132514834</t>
  </si>
  <si>
    <t>3214549911</t>
  </si>
  <si>
    <t>3144115806</t>
  </si>
  <si>
    <t>3112700999</t>
  </si>
  <si>
    <t>3112816056</t>
  </si>
  <si>
    <t>3203062501</t>
  </si>
  <si>
    <t>3144494000</t>
  </si>
  <si>
    <t>3118141411</t>
  </si>
  <si>
    <t>3102209990</t>
  </si>
  <si>
    <t>313264992</t>
  </si>
  <si>
    <t>3209033620</t>
  </si>
  <si>
    <t>3208510863</t>
  </si>
  <si>
    <t>3239786900</t>
  </si>
  <si>
    <t>3122068589</t>
  </si>
  <si>
    <t>3112300876</t>
  </si>
  <si>
    <t>3208019262</t>
  </si>
  <si>
    <t>3014306417</t>
  </si>
  <si>
    <t>3106296325</t>
  </si>
  <si>
    <t>3138367907</t>
  </si>
  <si>
    <t>3212002339</t>
  </si>
  <si>
    <t>3102363396</t>
  </si>
  <si>
    <t>3208566485</t>
  </si>
  <si>
    <t>3102320087</t>
  </si>
  <si>
    <t>3202910445</t>
  </si>
  <si>
    <t>3132240894</t>
  </si>
  <si>
    <t>3202828430</t>
  </si>
  <si>
    <t>3102594290</t>
  </si>
  <si>
    <t>3204737019</t>
  </si>
  <si>
    <t>3043724407</t>
  </si>
  <si>
    <t>3144768428</t>
  </si>
  <si>
    <t>3103239140</t>
  </si>
  <si>
    <t>3208083807</t>
  </si>
  <si>
    <t>3115137425</t>
  </si>
  <si>
    <t>3114773237</t>
  </si>
  <si>
    <t>3104445416</t>
  </si>
  <si>
    <t>3143489949</t>
  </si>
  <si>
    <t>3112079399</t>
  </si>
  <si>
    <t>3134355882</t>
  </si>
  <si>
    <t>3115115777</t>
  </si>
  <si>
    <t>3168003843</t>
  </si>
  <si>
    <t>3123512083</t>
  </si>
  <si>
    <t>3007754188</t>
  </si>
  <si>
    <t>3207752419</t>
  </si>
  <si>
    <t>3123860072</t>
  </si>
  <si>
    <t>3134583633</t>
  </si>
  <si>
    <t>3118097221</t>
  </si>
  <si>
    <t>3105547404</t>
  </si>
  <si>
    <t>3144610508</t>
  </si>
  <si>
    <t>3214277710</t>
  </si>
  <si>
    <t>3103270556</t>
  </si>
  <si>
    <t>3118100956</t>
  </si>
  <si>
    <t>3143678319</t>
  </si>
  <si>
    <t>3124286610</t>
  </si>
  <si>
    <t>3125425112</t>
  </si>
  <si>
    <t>3212856809</t>
  </si>
  <si>
    <t>3213183551</t>
  </si>
  <si>
    <t>3112161380</t>
  </si>
  <si>
    <t>3007622512</t>
  </si>
  <si>
    <t>3124444690</t>
  </si>
  <si>
    <t>3212586082</t>
  </si>
  <si>
    <t>3115288007</t>
  </si>
  <si>
    <t>3133474921</t>
  </si>
  <si>
    <t>3143975978</t>
  </si>
  <si>
    <t>320592294</t>
  </si>
  <si>
    <t>3102101276</t>
  </si>
  <si>
    <t>3186532355</t>
  </si>
  <si>
    <t>3204464414</t>
  </si>
  <si>
    <t>3227810082</t>
  </si>
  <si>
    <t>3132177529</t>
  </si>
  <si>
    <t>3138021640</t>
  </si>
  <si>
    <t>3213703844</t>
  </si>
  <si>
    <t>3114718218</t>
  </si>
  <si>
    <t>3103643550</t>
  </si>
  <si>
    <t>3114952094</t>
  </si>
  <si>
    <t>3113392101</t>
  </si>
  <si>
    <t>3132588216</t>
  </si>
  <si>
    <t>3178931360</t>
  </si>
  <si>
    <t>3107735254</t>
  </si>
  <si>
    <t>3105648151</t>
  </si>
  <si>
    <t>3175754119</t>
  </si>
  <si>
    <t>3112336008</t>
  </si>
  <si>
    <t>3142350738</t>
  </si>
  <si>
    <t>3106745316</t>
  </si>
  <si>
    <t>3132630415</t>
  </si>
  <si>
    <t>3103303870</t>
  </si>
  <si>
    <t>3205484253</t>
  </si>
  <si>
    <t>3123724839</t>
  </si>
  <si>
    <t>3005793492</t>
  </si>
  <si>
    <t>3134835284</t>
  </si>
  <si>
    <t>3124113474</t>
  </si>
  <si>
    <t>3158431377</t>
  </si>
  <si>
    <t>3125212356</t>
  </si>
  <si>
    <t>3147258571</t>
  </si>
  <si>
    <t>31085722450</t>
  </si>
  <si>
    <t>3134676858</t>
  </si>
  <si>
    <t>3152443274</t>
  </si>
  <si>
    <t>3102413996</t>
  </si>
  <si>
    <t>3124184569</t>
  </si>
  <si>
    <t>3112263759</t>
  </si>
  <si>
    <t>3214552045</t>
  </si>
  <si>
    <t>7602283-3112796375</t>
  </si>
  <si>
    <t>3011143098</t>
  </si>
  <si>
    <t>3184559327</t>
  </si>
  <si>
    <t>3157995945</t>
  </si>
  <si>
    <t>3105501360</t>
  </si>
  <si>
    <t>3208091582</t>
  </si>
  <si>
    <t>3187627358</t>
  </si>
  <si>
    <t>3153163457</t>
  </si>
  <si>
    <t>3106805539</t>
  </si>
  <si>
    <t>3133474374</t>
  </si>
  <si>
    <t>3208373881</t>
  </si>
  <si>
    <t>3125218885</t>
  </si>
  <si>
    <t>3114921621</t>
  </si>
  <si>
    <t>3138716240</t>
  </si>
  <si>
    <t>3124784799</t>
  </si>
  <si>
    <t>3229256667</t>
  </si>
  <si>
    <t>3123756771</t>
  </si>
  <si>
    <t>3142057426</t>
  </si>
  <si>
    <t>3132074810</t>
  </si>
  <si>
    <t>3138407726</t>
  </si>
  <si>
    <t>3204770199</t>
  </si>
  <si>
    <t>7617812</t>
  </si>
  <si>
    <t>3108146323</t>
  </si>
  <si>
    <t>3108508883</t>
  </si>
  <si>
    <t>3215058205</t>
  </si>
  <si>
    <t>3123707636</t>
  </si>
  <si>
    <t>3106152139</t>
  </si>
  <si>
    <t>3158419866</t>
  </si>
  <si>
    <t>3125868934</t>
  </si>
  <si>
    <t>3108153765</t>
  </si>
  <si>
    <t>3124848016</t>
  </si>
  <si>
    <t>3158781555</t>
  </si>
  <si>
    <t>3134671668</t>
  </si>
  <si>
    <t>3125846108</t>
  </si>
  <si>
    <t>3132820774</t>
  </si>
  <si>
    <t>3118125163</t>
  </si>
  <si>
    <t>3125271999</t>
  </si>
  <si>
    <t>31230624</t>
  </si>
  <si>
    <t>3206411944</t>
  </si>
  <si>
    <t>3164604735</t>
  </si>
  <si>
    <t>3124663222</t>
  </si>
  <si>
    <t>3133214307</t>
  </si>
  <si>
    <t>3112120172</t>
  </si>
  <si>
    <t>3003689301</t>
  </si>
  <si>
    <t>3223110128</t>
  </si>
  <si>
    <t>3229517121</t>
  </si>
  <si>
    <t>3005670484</t>
  </si>
  <si>
    <t>3132586824</t>
  </si>
  <si>
    <t>3215962658</t>
  </si>
  <si>
    <t>3112720796</t>
  </si>
  <si>
    <t>3103313616</t>
  </si>
  <si>
    <t>3112020659</t>
  </si>
  <si>
    <t>3022948156</t>
  </si>
  <si>
    <t>3158261290</t>
  </si>
  <si>
    <t>3112173134</t>
  </si>
  <si>
    <t>3142988797</t>
  </si>
  <si>
    <t>3105405138</t>
  </si>
  <si>
    <t>3105625619</t>
  </si>
  <si>
    <t>3114589412</t>
  </si>
  <si>
    <t>3114402976</t>
  </si>
  <si>
    <t>3143490678</t>
  </si>
  <si>
    <t>3134308840</t>
  </si>
  <si>
    <t>3144910277</t>
  </si>
  <si>
    <t>3124804592</t>
  </si>
  <si>
    <t>3147154392</t>
  </si>
  <si>
    <t>3223550552</t>
  </si>
  <si>
    <t>3115677580</t>
  </si>
  <si>
    <t>3112230567</t>
  </si>
  <si>
    <t>3103218930</t>
  </si>
  <si>
    <t>3134805706</t>
  </si>
  <si>
    <t>3212124182</t>
  </si>
  <si>
    <t>3138144588</t>
  </si>
  <si>
    <t>3207787170</t>
  </si>
  <si>
    <t>3124816960</t>
  </si>
  <si>
    <t>3173460283</t>
  </si>
  <si>
    <t>3194853936</t>
  </si>
  <si>
    <t>3213957285</t>
  </si>
  <si>
    <t>3186627842</t>
  </si>
  <si>
    <t>3102553004</t>
  </si>
  <si>
    <t>3177143237</t>
  </si>
  <si>
    <t>3157842482</t>
  </si>
  <si>
    <t>3203448900</t>
  </si>
  <si>
    <t>3208546367</t>
  </si>
  <si>
    <t>3187232697</t>
  </si>
  <si>
    <t>3112521828</t>
  </si>
  <si>
    <t>3134083175</t>
  </si>
  <si>
    <t>3142380174</t>
  </si>
  <si>
    <t>3217080017</t>
  </si>
  <si>
    <t>3115112415</t>
  </si>
  <si>
    <t>3213380477</t>
  </si>
  <si>
    <t>3012001498</t>
  </si>
  <si>
    <t>3222646069</t>
  </si>
  <si>
    <t>3203391026</t>
  </si>
  <si>
    <t>3013904696</t>
  </si>
  <si>
    <t>3214539486</t>
  </si>
  <si>
    <t>3112325260</t>
  </si>
  <si>
    <t>3194444148</t>
  </si>
  <si>
    <t>3142192210</t>
  </si>
  <si>
    <t>3132590934</t>
  </si>
  <si>
    <t>3143940398</t>
  </si>
  <si>
    <t>3115025868</t>
  </si>
  <si>
    <t>3159913683</t>
  </si>
  <si>
    <t>3214401695</t>
  </si>
  <si>
    <t>3132595633</t>
  </si>
  <si>
    <t>3107684720</t>
  </si>
  <si>
    <t>3103089250</t>
  </si>
  <si>
    <t>3212231600</t>
  </si>
  <si>
    <t>3203889218</t>
  </si>
  <si>
    <t>3208400270</t>
  </si>
  <si>
    <t>3142940982</t>
  </si>
  <si>
    <t>3104203980</t>
  </si>
  <si>
    <t>3107807100</t>
  </si>
  <si>
    <t>3208235782</t>
  </si>
  <si>
    <t>3125854661</t>
  </si>
  <si>
    <t>3205902844</t>
  </si>
  <si>
    <t>3219314310</t>
  </si>
  <si>
    <t>3244578644</t>
  </si>
  <si>
    <t>3185156928</t>
  </si>
  <si>
    <t>3142076206</t>
  </si>
  <si>
    <t>3123204340</t>
  </si>
  <si>
    <t>3103454712</t>
  </si>
  <si>
    <t>3208859329</t>
  </si>
  <si>
    <t>3174407433</t>
  </si>
  <si>
    <t>3102622603</t>
  </si>
  <si>
    <t>3204072542</t>
  </si>
  <si>
    <t>3187771765</t>
  </si>
  <si>
    <t>3212085975</t>
  </si>
  <si>
    <t>3132973414</t>
  </si>
  <si>
    <t>3123042868</t>
  </si>
  <si>
    <t>3114645774</t>
  </si>
  <si>
    <t>3043933210</t>
  </si>
  <si>
    <t>3102613497</t>
  </si>
  <si>
    <t>3135899793</t>
  </si>
  <si>
    <t>3204585320</t>
  </si>
  <si>
    <t>3002928464</t>
  </si>
  <si>
    <t>3229424396</t>
  </si>
  <si>
    <t>7874421</t>
  </si>
  <si>
    <t>3114669731</t>
  </si>
  <si>
    <t>3214919124</t>
  </si>
  <si>
    <t>3132822312</t>
  </si>
  <si>
    <t>3023266060</t>
  </si>
  <si>
    <t>3175108596</t>
  </si>
  <si>
    <t>3204986175</t>
  </si>
  <si>
    <t>3192811889</t>
  </si>
  <si>
    <t>3214297292</t>
  </si>
  <si>
    <t>3123162114</t>
  </si>
  <si>
    <t>3214249507</t>
  </si>
  <si>
    <t>3202741796</t>
  </si>
  <si>
    <t>3208375206</t>
  </si>
  <si>
    <t>3102627484</t>
  </si>
  <si>
    <t>3124388534</t>
  </si>
  <si>
    <t>3103147628</t>
  </si>
  <si>
    <t>3214924977</t>
  </si>
  <si>
    <t>3214181902</t>
  </si>
  <si>
    <t>3005417442</t>
  </si>
  <si>
    <t>3103187127</t>
  </si>
  <si>
    <t>3213434290</t>
  </si>
  <si>
    <t>3125065385</t>
  </si>
  <si>
    <t>3208010166</t>
  </si>
  <si>
    <t>3103238710</t>
  </si>
  <si>
    <t>3173670366</t>
  </si>
  <si>
    <t>3173617338</t>
  </si>
  <si>
    <t>3229031281</t>
  </si>
  <si>
    <t>3118105709</t>
  </si>
  <si>
    <t>3504735253</t>
  </si>
  <si>
    <t>3204450710</t>
  </si>
  <si>
    <t>3192246708</t>
  </si>
  <si>
    <t>3118141492</t>
  </si>
  <si>
    <t>3114892336</t>
  </si>
  <si>
    <t>3183899909</t>
  </si>
  <si>
    <t>3222651716</t>
  </si>
  <si>
    <t>3167012367</t>
  </si>
  <si>
    <t>3122542783</t>
  </si>
  <si>
    <t>3227997976</t>
  </si>
  <si>
    <t>3152782497</t>
  </si>
  <si>
    <t>3133714405</t>
  </si>
  <si>
    <t>3219057600</t>
  </si>
  <si>
    <t>3105167440</t>
  </si>
  <si>
    <t>3138473590</t>
  </si>
  <si>
    <t>3152934773</t>
  </si>
  <si>
    <t>3134573811</t>
  </si>
  <si>
    <t>3214123527</t>
  </si>
  <si>
    <t>3134687273</t>
  </si>
  <si>
    <t>3219111698</t>
  </si>
  <si>
    <t>3134665688</t>
  </si>
  <si>
    <t>3134402567</t>
  </si>
  <si>
    <t>3012305850</t>
  </si>
  <si>
    <t>3157348372</t>
  </si>
  <si>
    <t>3108622822</t>
  </si>
  <si>
    <t>3133321090</t>
  </si>
  <si>
    <t>3228804197</t>
  </si>
  <si>
    <t>3203475404</t>
  </si>
  <si>
    <t>3225085031</t>
  </si>
  <si>
    <t>3103073642</t>
  </si>
  <si>
    <t>3118403942</t>
  </si>
  <si>
    <t>3102445015</t>
  </si>
  <si>
    <t>3107856193</t>
  </si>
  <si>
    <t>3154699809</t>
  </si>
  <si>
    <t>3213900937</t>
  </si>
  <si>
    <t>3176422069</t>
  </si>
  <si>
    <t>3115722941</t>
  </si>
  <si>
    <t>3123078415</t>
  </si>
  <si>
    <t>3102448741</t>
  </si>
  <si>
    <t>3106383879</t>
  </si>
  <si>
    <t>3012117229</t>
  </si>
  <si>
    <t>3148068611</t>
  </si>
  <si>
    <t>3214770238</t>
  </si>
  <si>
    <t>3145044426</t>
  </si>
  <si>
    <t>3124110130</t>
  </si>
  <si>
    <t>3144435391</t>
  </si>
  <si>
    <t>3002496762</t>
  </si>
  <si>
    <t>3204189511</t>
  </si>
  <si>
    <t>3212323608</t>
  </si>
  <si>
    <t>3112194852</t>
  </si>
  <si>
    <t>3132505495</t>
  </si>
  <si>
    <t>3227337867</t>
  </si>
  <si>
    <t>3212005002</t>
  </si>
  <si>
    <t>3142408647</t>
  </si>
  <si>
    <t>3175602765</t>
  </si>
  <si>
    <t>3112181924</t>
  </si>
  <si>
    <t>3212014756</t>
  </si>
  <si>
    <t>3102972489</t>
  </si>
  <si>
    <t>3214986706</t>
  </si>
  <si>
    <t>3183112423</t>
  </si>
  <si>
    <t>3138539989</t>
  </si>
  <si>
    <t>3118489445</t>
  </si>
  <si>
    <t>3118424832</t>
  </si>
  <si>
    <t>3213103595</t>
  </si>
  <si>
    <t>3137678567</t>
  </si>
  <si>
    <t>3134091503</t>
  </si>
  <si>
    <t>3124602679</t>
  </si>
  <si>
    <t>3166957304</t>
  </si>
  <si>
    <t>3123833421</t>
  </si>
  <si>
    <t>3022798712</t>
  </si>
  <si>
    <t>3028462343</t>
  </si>
  <si>
    <t>3133989128</t>
  </si>
  <si>
    <t>3144384064</t>
  </si>
  <si>
    <t>3214243987</t>
  </si>
  <si>
    <t>3178593967</t>
  </si>
  <si>
    <t>3102411283</t>
  </si>
  <si>
    <t>3208479476</t>
  </si>
  <si>
    <t>3017557176</t>
  </si>
  <si>
    <t>3023712514</t>
  </si>
  <si>
    <t>3188643927</t>
  </si>
  <si>
    <t>3208741451</t>
  </si>
  <si>
    <t>3107840544</t>
  </si>
  <si>
    <t>3118173957</t>
  </si>
  <si>
    <t>3223377388</t>
  </si>
  <si>
    <t>3204827195</t>
  </si>
  <si>
    <t>3146349525</t>
  </si>
  <si>
    <t>3138880686</t>
  </si>
  <si>
    <t>3157116846</t>
  </si>
  <si>
    <t>3224083319</t>
  </si>
  <si>
    <t>3183439413</t>
  </si>
  <si>
    <t>3164764467</t>
  </si>
  <si>
    <t>3107923680</t>
  </si>
  <si>
    <t>3214804976</t>
  </si>
  <si>
    <t>3112197557</t>
  </si>
  <si>
    <t>3133710777</t>
  </si>
  <si>
    <t>3203410808</t>
  </si>
  <si>
    <t>3187351179</t>
  </si>
  <si>
    <t>3175101912</t>
  </si>
  <si>
    <t>3024181510</t>
  </si>
  <si>
    <t>3125319409</t>
  </si>
  <si>
    <t>3212147621</t>
  </si>
  <si>
    <t>3102386285</t>
  </si>
  <si>
    <t>3178784724</t>
  </si>
  <si>
    <t>3222443090</t>
  </si>
  <si>
    <t>3112000790</t>
  </si>
  <si>
    <t>3114611986</t>
  </si>
  <si>
    <t>3102368337</t>
  </si>
  <si>
    <t>3202197742</t>
  </si>
  <si>
    <t>3218254367</t>
  </si>
  <si>
    <t>3204935073</t>
  </si>
  <si>
    <t>3107583475</t>
  </si>
  <si>
    <t>3208497401</t>
  </si>
  <si>
    <t>3138140633</t>
  </si>
  <si>
    <t>3209103368</t>
  </si>
  <si>
    <t>3232020610</t>
  </si>
  <si>
    <t>3115925051</t>
  </si>
  <si>
    <t>3132094485</t>
  </si>
  <si>
    <t>3144536090</t>
  </si>
  <si>
    <t>3107608625</t>
  </si>
  <si>
    <t>3102561315</t>
  </si>
  <si>
    <t>3138284281</t>
  </si>
  <si>
    <t>3123519009</t>
  </si>
  <si>
    <t>3118164814</t>
  </si>
  <si>
    <t>3146260620</t>
  </si>
  <si>
    <t>3229138384</t>
  </si>
  <si>
    <t>3116034832</t>
  </si>
  <si>
    <t>3142610378</t>
  </si>
  <si>
    <t>3003048871</t>
  </si>
  <si>
    <t>3115628677</t>
  </si>
  <si>
    <t>3132765978</t>
  </si>
  <si>
    <t>3132177212</t>
  </si>
  <si>
    <t>3214419987</t>
  </si>
  <si>
    <t>3006659880</t>
  </si>
  <si>
    <t>3008031132</t>
  </si>
  <si>
    <t>3168854412</t>
  </si>
  <si>
    <t>3132093909</t>
  </si>
  <si>
    <t>3142752978</t>
  </si>
  <si>
    <t>3214164818</t>
  </si>
  <si>
    <t>3102795730</t>
  </si>
  <si>
    <t>3123836129</t>
  </si>
  <si>
    <t>3134317586</t>
  </si>
  <si>
    <t>3144679745</t>
  </si>
  <si>
    <t>3118467789</t>
  </si>
  <si>
    <t>3122986279</t>
  </si>
  <si>
    <t>3124467594</t>
  </si>
  <si>
    <t>3124984947</t>
  </si>
  <si>
    <t>3143254066</t>
  </si>
  <si>
    <t>3217038295</t>
  </si>
  <si>
    <t>3123918647</t>
  </si>
  <si>
    <t>3228497459</t>
  </si>
  <si>
    <t>3219647773</t>
  </si>
  <si>
    <t>3103421586</t>
  </si>
  <si>
    <t>3115216713</t>
  </si>
  <si>
    <t>3209762360</t>
  </si>
  <si>
    <t>3144054574</t>
  </si>
  <si>
    <t>3219090946</t>
  </si>
  <si>
    <t>3123436360</t>
  </si>
  <si>
    <t>3108042658</t>
  </si>
  <si>
    <t>3118295781</t>
  </si>
  <si>
    <t>3012127799</t>
  </si>
  <si>
    <t>3115306475</t>
  </si>
  <si>
    <t>3114792981</t>
  </si>
  <si>
    <t>3203363607</t>
  </si>
  <si>
    <t>3134579880</t>
  </si>
  <si>
    <t>3125717636</t>
  </si>
  <si>
    <t>3154379472</t>
  </si>
  <si>
    <t>3104054008</t>
  </si>
  <si>
    <t>3106086323</t>
  </si>
  <si>
    <t>3124859204</t>
  </si>
  <si>
    <t>3125180815</t>
  </si>
  <si>
    <t>3125021993</t>
  </si>
  <si>
    <t>3107535341</t>
  </si>
  <si>
    <t>3142889916</t>
  </si>
  <si>
    <t>3123221738</t>
  </si>
  <si>
    <t>3133101214</t>
  </si>
  <si>
    <t>3223990563</t>
  </si>
  <si>
    <t>3214551523</t>
  </si>
  <si>
    <t>3112851804</t>
  </si>
  <si>
    <t>3125221393</t>
  </si>
  <si>
    <t>3229472176</t>
  </si>
  <si>
    <t>3134314169</t>
  </si>
  <si>
    <t>3213653163</t>
  </si>
  <si>
    <t>3217770842</t>
  </si>
  <si>
    <t>3118270638</t>
  </si>
  <si>
    <t>3134959083</t>
  </si>
  <si>
    <t>3106803349</t>
  </si>
  <si>
    <t>3102436082</t>
  </si>
  <si>
    <t>3134665612</t>
  </si>
  <si>
    <t>3112297498</t>
  </si>
  <si>
    <t>3127535230</t>
  </si>
  <si>
    <t>3168776754</t>
  </si>
  <si>
    <t>3118425444</t>
  </si>
  <si>
    <t>3123147020</t>
  </si>
  <si>
    <t>3114427140</t>
  </si>
  <si>
    <t>3144115962</t>
  </si>
  <si>
    <t>3102631005</t>
  </si>
  <si>
    <t>3216748774</t>
  </si>
  <si>
    <t>3122610378</t>
  </si>
  <si>
    <t>3222534291</t>
  </si>
  <si>
    <t>3138211833</t>
  </si>
  <si>
    <t>31544224475</t>
  </si>
  <si>
    <t>3103214192</t>
  </si>
  <si>
    <t>3114477412</t>
  </si>
  <si>
    <t>3108802086</t>
  </si>
  <si>
    <t>3155234723</t>
  </si>
  <si>
    <t>3138329232</t>
  </si>
  <si>
    <t>3114613487</t>
  </si>
  <si>
    <t>3176682151</t>
  </si>
  <si>
    <t>3102555900</t>
  </si>
  <si>
    <t>3107932712</t>
  </si>
  <si>
    <t>3115503680</t>
  </si>
  <si>
    <t>3133883142</t>
  </si>
  <si>
    <t>3118213880</t>
  </si>
  <si>
    <t>3172668272</t>
  </si>
  <si>
    <t>3107927314</t>
  </si>
  <si>
    <t>3105871888</t>
  </si>
  <si>
    <t>3116520917</t>
  </si>
  <si>
    <t>3103490858</t>
  </si>
  <si>
    <t>3114416859</t>
  </si>
  <si>
    <t>3228581308</t>
  </si>
  <si>
    <t>3105505043</t>
  </si>
  <si>
    <t>3102636208</t>
  </si>
  <si>
    <t>3103170154</t>
  </si>
  <si>
    <t>3106131338</t>
  </si>
  <si>
    <t>3212629785</t>
  </si>
  <si>
    <t>3114969421</t>
  </si>
  <si>
    <t>3123156243</t>
  </si>
  <si>
    <t>3212046001</t>
  </si>
  <si>
    <t>3046290578</t>
  </si>
  <si>
    <t>3006493162</t>
  </si>
  <si>
    <t>3125936943</t>
  </si>
  <si>
    <t>3204934744</t>
  </si>
  <si>
    <t>3133385325</t>
  </si>
  <si>
    <t>3134513233</t>
  </si>
  <si>
    <t>3212533277</t>
  </si>
  <si>
    <t>3214575179</t>
  </si>
  <si>
    <t>3123830407</t>
  </si>
  <si>
    <t>3124349375</t>
  </si>
  <si>
    <t>3182265064</t>
  </si>
  <si>
    <t>3213001215</t>
  </si>
  <si>
    <t>3133305874</t>
  </si>
  <si>
    <t>3134839924</t>
  </si>
  <si>
    <t>3123519626</t>
  </si>
  <si>
    <t>3162671136</t>
  </si>
  <si>
    <t>3124308264</t>
  </si>
  <si>
    <t>3114728541</t>
  </si>
  <si>
    <t>3115485599</t>
  </si>
  <si>
    <t>3138204215</t>
  </si>
  <si>
    <t>3125025246</t>
  </si>
  <si>
    <t>3157800201</t>
  </si>
  <si>
    <t>3219924254</t>
  </si>
  <si>
    <t>3208026096</t>
  </si>
  <si>
    <t>3114876731</t>
  </si>
  <si>
    <t>3118272420</t>
  </si>
  <si>
    <t>3112669363</t>
  </si>
  <si>
    <t>3134424689</t>
  </si>
  <si>
    <t>3042041776</t>
  </si>
  <si>
    <t>3175700301</t>
  </si>
  <si>
    <t>3178544058</t>
  </si>
  <si>
    <t>3112360629</t>
  </si>
  <si>
    <t>3102046341</t>
  </si>
  <si>
    <t>3125509455</t>
  </si>
  <si>
    <t>3233005585</t>
  </si>
  <si>
    <t>3112091122</t>
  </si>
  <si>
    <t>3105762144</t>
  </si>
  <si>
    <t>3204752195</t>
  </si>
  <si>
    <t>3125400500</t>
  </si>
  <si>
    <t>3213483403</t>
  </si>
  <si>
    <t>3142444505</t>
  </si>
  <si>
    <t>3214539903</t>
  </si>
  <si>
    <t>3232743984</t>
  </si>
  <si>
    <t>303015136</t>
  </si>
  <si>
    <t>3134962291</t>
  </si>
  <si>
    <t>3164612364</t>
  </si>
  <si>
    <t>3132248546</t>
  </si>
  <si>
    <t>3114592660</t>
  </si>
  <si>
    <t>3228429047</t>
  </si>
  <si>
    <t>3106255279</t>
  </si>
  <si>
    <t>3107818823</t>
  </si>
  <si>
    <t>3154018142</t>
  </si>
  <si>
    <t>3132225218</t>
  </si>
  <si>
    <t>3115252757</t>
  </si>
  <si>
    <t>3208081638</t>
  </si>
  <si>
    <t>3107880525</t>
  </si>
  <si>
    <t>3107659253</t>
  </si>
  <si>
    <t>3125863165</t>
  </si>
  <si>
    <t>3183248770</t>
  </si>
  <si>
    <t>3118993821</t>
  </si>
  <si>
    <t>3203241230</t>
  </si>
  <si>
    <t>3123357919</t>
  </si>
  <si>
    <t>3184933628</t>
  </si>
  <si>
    <t>3107962535</t>
  </si>
  <si>
    <t>3118369-247</t>
  </si>
  <si>
    <t>3143319899</t>
  </si>
  <si>
    <t>3112769323</t>
  </si>
  <si>
    <t>3123541380</t>
  </si>
  <si>
    <t>3108869745</t>
  </si>
  <si>
    <t>3132083842</t>
  </si>
  <si>
    <t>3115080418</t>
  </si>
  <si>
    <t>3112003174</t>
  </si>
  <si>
    <t>3124453456</t>
  </si>
  <si>
    <t>3144810593</t>
  </si>
  <si>
    <t>3177993365</t>
  </si>
  <si>
    <t>3138684655</t>
  </si>
  <si>
    <t>3112874553</t>
  </si>
  <si>
    <t>3204969499</t>
  </si>
  <si>
    <t>3133006459</t>
  </si>
  <si>
    <t>3143183783</t>
  </si>
  <si>
    <t>3118482529</t>
  </si>
  <si>
    <t>3115891280</t>
  </si>
  <si>
    <t>3103219709</t>
  </si>
  <si>
    <t>3108822098</t>
  </si>
  <si>
    <t>3202224863</t>
  </si>
  <si>
    <t>3138453696</t>
  </si>
  <si>
    <t>3108690513</t>
  </si>
  <si>
    <t>3204984750</t>
  </si>
  <si>
    <t>3134521631</t>
  </si>
  <si>
    <t>3124803726</t>
  </si>
  <si>
    <t>3002093011</t>
  </si>
  <si>
    <t>3107866958</t>
  </si>
  <si>
    <t>3132741594</t>
  </si>
  <si>
    <t>3125959210</t>
  </si>
  <si>
    <t>3108610835</t>
  </si>
  <si>
    <t>3133783537</t>
  </si>
  <si>
    <t>3204773482</t>
  </si>
  <si>
    <t>3142607831</t>
  </si>
  <si>
    <t>3132543614</t>
  </si>
  <si>
    <t>3112268950</t>
  </si>
  <si>
    <t>3112804106</t>
  </si>
  <si>
    <t>3165345889</t>
  </si>
  <si>
    <t>3173728109</t>
  </si>
  <si>
    <t>3142217053</t>
  </si>
  <si>
    <t>3114563732</t>
  </si>
  <si>
    <t>3116819288</t>
  </si>
  <si>
    <t>3115131128</t>
  </si>
  <si>
    <t>3143295014</t>
  </si>
  <si>
    <t>3156972747</t>
  </si>
  <si>
    <t>3144476269</t>
  </si>
  <si>
    <t>3182873344</t>
  </si>
  <si>
    <t>3144759166</t>
  </si>
  <si>
    <t>3134558516</t>
  </si>
  <si>
    <t>3107962189</t>
  </si>
  <si>
    <t>3105575787</t>
  </si>
  <si>
    <t>3124458525</t>
  </si>
  <si>
    <t>3144413490</t>
  </si>
  <si>
    <t>3004904620</t>
  </si>
  <si>
    <t>3229694135</t>
  </si>
  <si>
    <t>3177771273</t>
  </si>
  <si>
    <t>3123864128</t>
  </si>
  <si>
    <t>3125365823</t>
  </si>
  <si>
    <t>3114620602</t>
  </si>
  <si>
    <t>3125470539</t>
  </si>
  <si>
    <t>3232285790</t>
  </si>
  <si>
    <t>3142602399</t>
  </si>
  <si>
    <t>3115928963</t>
  </si>
  <si>
    <t>3202952241</t>
  </si>
  <si>
    <t>3226851795</t>
  </si>
  <si>
    <t>3208648547</t>
  </si>
  <si>
    <t>3108034004</t>
  </si>
  <si>
    <t>3213107061</t>
  </si>
  <si>
    <t>3213262696</t>
  </si>
  <si>
    <t>3138901159</t>
  </si>
  <si>
    <t>3115682470</t>
  </si>
  <si>
    <t>3123623161</t>
  </si>
  <si>
    <t>3107317529</t>
  </si>
  <si>
    <t>3152846836</t>
  </si>
  <si>
    <t>3144236873</t>
  </si>
  <si>
    <t>3124827373</t>
  </si>
  <si>
    <t>3142311101</t>
  </si>
  <si>
    <t>3102979911</t>
  </si>
  <si>
    <t>3112121080</t>
  </si>
  <si>
    <t>3105685157</t>
  </si>
  <si>
    <t>3118470050</t>
  </si>
  <si>
    <t>3112608528</t>
  </si>
  <si>
    <t>3112677906</t>
  </si>
  <si>
    <t>3219111598</t>
  </si>
  <si>
    <t>3114610522</t>
  </si>
  <si>
    <t>3115928840</t>
  </si>
  <si>
    <t>3112838884</t>
  </si>
  <si>
    <t>3142280900</t>
  </si>
  <si>
    <t>3163742664</t>
  </si>
  <si>
    <t>3115011139</t>
  </si>
  <si>
    <t>3112833296</t>
  </si>
  <si>
    <t>3227832509</t>
  </si>
  <si>
    <t>3143314623</t>
  </si>
  <si>
    <t>3144813921</t>
  </si>
  <si>
    <t>3204920486</t>
  </si>
  <si>
    <t>3114400147</t>
  </si>
  <si>
    <t>3212848074</t>
  </si>
  <si>
    <t>3203467425</t>
  </si>
  <si>
    <t>3223024716</t>
  </si>
  <si>
    <t>3123062510</t>
  </si>
  <si>
    <t>3114408465</t>
  </si>
  <si>
    <t>3104805122</t>
  </si>
  <si>
    <t>3228569445</t>
  </si>
  <si>
    <t>3132072768</t>
  </si>
  <si>
    <t>3114956123</t>
  </si>
  <si>
    <t>3213524885</t>
  </si>
  <si>
    <t>3144115911</t>
  </si>
  <si>
    <t>3112948339</t>
  </si>
  <si>
    <t>3118971498</t>
  </si>
  <si>
    <t>3103214382</t>
  </si>
  <si>
    <t>3134241157</t>
  </si>
  <si>
    <t>3114521453</t>
  </si>
  <si>
    <t>3132851375</t>
  </si>
  <si>
    <t>3008612145</t>
  </si>
  <si>
    <t>3107578368</t>
  </si>
  <si>
    <t>3114554069</t>
  </si>
  <si>
    <t>3108040687</t>
  </si>
  <si>
    <t>3112947308</t>
  </si>
  <si>
    <t>3213289384</t>
  </si>
  <si>
    <t>3118780205</t>
  </si>
  <si>
    <t>3112371045</t>
  </si>
  <si>
    <t>3227905792</t>
  </si>
  <si>
    <t>3103246290</t>
  </si>
  <si>
    <t>3118355580</t>
  </si>
  <si>
    <t>3142946932</t>
  </si>
  <si>
    <t>3118597292</t>
  </si>
  <si>
    <t>3112321145</t>
  </si>
  <si>
    <t>3133771272</t>
  </si>
  <si>
    <t>3143594486</t>
  </si>
  <si>
    <t>3133007145</t>
  </si>
  <si>
    <t>3227931307</t>
  </si>
  <si>
    <t>3112024807</t>
  </si>
  <si>
    <t>3138267108</t>
  </si>
  <si>
    <t>3112639448</t>
  </si>
  <si>
    <t>3134767669</t>
  </si>
  <si>
    <t>3115892542</t>
  </si>
  <si>
    <t>3125404273</t>
  </si>
  <si>
    <t>3114442723</t>
  </si>
  <si>
    <t>3102012259</t>
  </si>
  <si>
    <t>3132747290</t>
  </si>
  <si>
    <t>3102140635</t>
  </si>
  <si>
    <t>3138826645</t>
  </si>
  <si>
    <t>3114593359</t>
  </si>
  <si>
    <t>3107999903</t>
  </si>
  <si>
    <t>3112089003</t>
  </si>
  <si>
    <t>3202236931</t>
  </si>
  <si>
    <t>3202137414</t>
  </si>
  <si>
    <t>3164873834</t>
  </si>
  <si>
    <t>3115293864</t>
  </si>
  <si>
    <t>3133962014</t>
  </si>
  <si>
    <t>3112295106</t>
  </si>
  <si>
    <t>3108076835</t>
  </si>
  <si>
    <t>328000717</t>
  </si>
  <si>
    <t>3223049323</t>
  </si>
  <si>
    <t>3123976342</t>
  </si>
  <si>
    <t>3132449096</t>
  </si>
  <si>
    <t>3212977800</t>
  </si>
  <si>
    <t>3123509897</t>
  </si>
  <si>
    <t>3112232133</t>
  </si>
  <si>
    <t>3103460428</t>
  </si>
  <si>
    <t>3138443425</t>
  </si>
  <si>
    <t>3114523713</t>
  </si>
  <si>
    <t>3112083759</t>
  </si>
  <si>
    <t>3125068065</t>
  </si>
  <si>
    <t>3112192904</t>
  </si>
  <si>
    <t>3108744713</t>
  </si>
  <si>
    <t>3124036923</t>
  </si>
  <si>
    <t>3114546269</t>
  </si>
  <si>
    <t>3204827339</t>
  </si>
  <si>
    <t>3103666197</t>
  </si>
  <si>
    <t>3204174856</t>
  </si>
  <si>
    <t>3204209556</t>
  </si>
  <si>
    <t>3142383793</t>
  </si>
  <si>
    <t>3138935773</t>
  </si>
  <si>
    <t>3226833900</t>
  </si>
  <si>
    <t>3043582352</t>
  </si>
  <si>
    <t>3103280988</t>
  </si>
  <si>
    <t>3112438852</t>
  </si>
  <si>
    <t>3112616760</t>
  </si>
  <si>
    <t>3144378718</t>
  </si>
  <si>
    <t>3118225094</t>
  </si>
  <si>
    <t>3203624646</t>
  </si>
  <si>
    <t>3164817588</t>
  </si>
  <si>
    <t>3103340174</t>
  </si>
  <si>
    <t>3107540926</t>
  </si>
  <si>
    <t>3133450628</t>
  </si>
  <si>
    <t>3014404515</t>
  </si>
  <si>
    <t>3115695556</t>
  </si>
  <si>
    <t>3215485907</t>
  </si>
  <si>
    <t>3106989261</t>
  </si>
  <si>
    <t>3138154421</t>
  </si>
  <si>
    <t>3112864234</t>
  </si>
  <si>
    <t>3134933914</t>
  </si>
  <si>
    <t>3144621823</t>
  </si>
  <si>
    <t>3213089150</t>
  </si>
  <si>
    <t>3133614150</t>
  </si>
  <si>
    <t>3134204881</t>
  </si>
  <si>
    <t>3186997282</t>
  </si>
  <si>
    <t>3103997002</t>
  </si>
  <si>
    <t>3213500835</t>
  </si>
  <si>
    <t>3132038301</t>
  </si>
  <si>
    <t>3132171236</t>
  </si>
  <si>
    <t>3124512499</t>
  </si>
  <si>
    <t>3124812322</t>
  </si>
  <si>
    <t>3176433550</t>
  </si>
  <si>
    <t>3103732619</t>
  </si>
  <si>
    <t>3204510280</t>
  </si>
  <si>
    <t>3103564858</t>
  </si>
  <si>
    <t>3112130939</t>
  </si>
  <si>
    <t>3204136487</t>
  </si>
  <si>
    <t>3115098357</t>
  </si>
  <si>
    <t>3134380419</t>
  </si>
  <si>
    <t>3103318001</t>
  </si>
  <si>
    <t>3223103940</t>
  </si>
  <si>
    <t>3112315908</t>
  </si>
  <si>
    <t>3208362577</t>
  </si>
  <si>
    <t>3125376051</t>
  </si>
  <si>
    <t>3202334858</t>
  </si>
  <si>
    <t>3203589547</t>
  </si>
  <si>
    <t>3107998631</t>
  </si>
  <si>
    <t>3143992773</t>
  </si>
  <si>
    <t>3112660319</t>
  </si>
  <si>
    <t>3152324063</t>
  </si>
  <si>
    <t>3142294895</t>
  </si>
  <si>
    <t>3108542104</t>
  </si>
  <si>
    <t>3104720009</t>
  </si>
  <si>
    <t>3174110310</t>
  </si>
  <si>
    <t>3132964334</t>
  </si>
  <si>
    <t>3108522009</t>
  </si>
  <si>
    <t>3106998980</t>
  </si>
  <si>
    <t>3118519327</t>
  </si>
  <si>
    <t>3133893201</t>
  </si>
  <si>
    <t>3125039997</t>
  </si>
  <si>
    <t>3102879961</t>
  </si>
  <si>
    <t>3114798043</t>
  </si>
  <si>
    <t>3229470831</t>
  </si>
  <si>
    <t>3133196503</t>
  </si>
  <si>
    <t>3115655240</t>
  </si>
  <si>
    <t>3204298533</t>
  </si>
  <si>
    <t>3133904407</t>
  </si>
  <si>
    <t>3192139393</t>
  </si>
  <si>
    <t>3134395883</t>
  </si>
  <si>
    <t>3164303186</t>
  </si>
  <si>
    <t>3118126842</t>
  </si>
  <si>
    <t>3112423862</t>
  </si>
  <si>
    <t>3115548598</t>
  </si>
  <si>
    <t>3107648852</t>
  </si>
  <si>
    <t>3112006736</t>
  </si>
  <si>
    <t>3207682193</t>
  </si>
  <si>
    <t>3205714211</t>
  </si>
  <si>
    <t>3208552610</t>
  </si>
  <si>
    <t>3123555867</t>
  </si>
  <si>
    <t>311937720</t>
  </si>
  <si>
    <t>3212869336</t>
  </si>
  <si>
    <t>3186297210</t>
  </si>
  <si>
    <t>3143595182</t>
  </si>
  <si>
    <t>3213278907</t>
  </si>
  <si>
    <t>3113137665</t>
  </si>
  <si>
    <t>3165774299</t>
  </si>
  <si>
    <t>3112845297</t>
  </si>
  <si>
    <t>3175855350</t>
  </si>
  <si>
    <t>3114927047</t>
  </si>
  <si>
    <t>3043380136</t>
  </si>
  <si>
    <t>3204562492</t>
  </si>
  <si>
    <t>3107868374</t>
  </si>
  <si>
    <t>3183853655</t>
  </si>
  <si>
    <t>3114499483</t>
  </si>
  <si>
    <t>3132098942</t>
  </si>
  <si>
    <t>3118418588</t>
  </si>
  <si>
    <t>3138509370</t>
  </si>
  <si>
    <t>3112739685</t>
  </si>
  <si>
    <t>3203343677</t>
  </si>
  <si>
    <t>3012362503</t>
  </si>
  <si>
    <t>3138624639</t>
  </si>
  <si>
    <t>3223044629</t>
  </si>
  <si>
    <t>3115452578</t>
  </si>
  <si>
    <t>3102507715</t>
  </si>
  <si>
    <t>3115665414</t>
  </si>
  <si>
    <t>3157508102</t>
  </si>
  <si>
    <t>3142376757</t>
  </si>
  <si>
    <t>3134206486</t>
  </si>
  <si>
    <t>3126041377</t>
  </si>
  <si>
    <t>3112540228</t>
  </si>
  <si>
    <t>3144729259</t>
  </si>
  <si>
    <t>3103576200</t>
  </si>
  <si>
    <t>3114904991</t>
  </si>
  <si>
    <t>3115654032</t>
  </si>
  <si>
    <t>3183624711</t>
  </si>
  <si>
    <t>3132812985</t>
  </si>
  <si>
    <t>3132830179</t>
  </si>
  <si>
    <t>3107999478</t>
  </si>
  <si>
    <t>3202213783</t>
  </si>
  <si>
    <t>3134963425</t>
  </si>
  <si>
    <t>3125232956</t>
  </si>
  <si>
    <t>3012302248</t>
  </si>
  <si>
    <t>3114442250</t>
  </si>
  <si>
    <t>3208134950</t>
  </si>
  <si>
    <t>3112598583</t>
  </si>
  <si>
    <t>3142978590</t>
  </si>
  <si>
    <t>3138458938</t>
  </si>
  <si>
    <t>3143189983</t>
  </si>
  <si>
    <t>3115054823</t>
  </si>
  <si>
    <t>3138041271</t>
  </si>
  <si>
    <t>3106734486</t>
  </si>
  <si>
    <t>3112119202</t>
  </si>
  <si>
    <t>3147319270</t>
  </si>
  <si>
    <t>3143001365</t>
  </si>
  <si>
    <t>3142244375</t>
  </si>
  <si>
    <t>3124863328</t>
  </si>
  <si>
    <t>3143290736</t>
  </si>
  <si>
    <t>3103417933</t>
  </si>
  <si>
    <t>3127784639</t>
  </si>
  <si>
    <t>3224522145</t>
  </si>
  <si>
    <t>3203012581</t>
  </si>
  <si>
    <t>3133512577</t>
  </si>
  <si>
    <t>3107517346</t>
  </si>
  <si>
    <t>3108648443</t>
  </si>
  <si>
    <t>3508012338</t>
  </si>
  <si>
    <t>3133976606</t>
  </si>
  <si>
    <t>3114525881</t>
  </si>
  <si>
    <t>3132447244</t>
  </si>
  <si>
    <t>3115157815</t>
  </si>
  <si>
    <t>3208878567</t>
  </si>
  <si>
    <t>3102279642</t>
  </si>
  <si>
    <t>3134625820</t>
  </si>
  <si>
    <t>3107616335</t>
  </si>
  <si>
    <t>3102672373</t>
  </si>
  <si>
    <t>3124238588</t>
  </si>
  <si>
    <t>3212247998</t>
  </si>
  <si>
    <t>3208032626</t>
  </si>
  <si>
    <t>3112784546</t>
  </si>
  <si>
    <t>3202670372</t>
  </si>
  <si>
    <t>3124357077</t>
  </si>
  <si>
    <t>3142868763</t>
  </si>
  <si>
    <t>3166284980</t>
  </si>
  <si>
    <t>3003554428</t>
  </si>
  <si>
    <t>3144733180</t>
  </si>
  <si>
    <t>3112262272</t>
  </si>
  <si>
    <t>3134258964</t>
  </si>
  <si>
    <t>3123159907</t>
  </si>
  <si>
    <t>3105718965</t>
  </si>
  <si>
    <t>3186996959</t>
  </si>
  <si>
    <t>3102350234</t>
  </si>
  <si>
    <t>3103608192</t>
  </si>
  <si>
    <t>3107002513</t>
  </si>
  <si>
    <t>3112074166</t>
  </si>
  <si>
    <t>3115656885</t>
  </si>
  <si>
    <t>3113490761</t>
  </si>
  <si>
    <t>3142189429</t>
  </si>
  <si>
    <t>3124299904</t>
  </si>
  <si>
    <t>3212147817</t>
  </si>
  <si>
    <t>3142500524</t>
  </si>
  <si>
    <t>3159289989</t>
  </si>
  <si>
    <t>3208686051</t>
  </si>
  <si>
    <t>3203444391</t>
  </si>
  <si>
    <t>3103327633</t>
  </si>
  <si>
    <t>3132522904</t>
  </si>
  <si>
    <t>3115631042</t>
  </si>
  <si>
    <t>3105668870</t>
  </si>
  <si>
    <t>3103055944</t>
  </si>
  <si>
    <t>7620030</t>
  </si>
  <si>
    <t>3206944892</t>
  </si>
  <si>
    <t>3202021778</t>
  </si>
  <si>
    <t>3176394547</t>
  </si>
  <si>
    <t>3107205391</t>
  </si>
  <si>
    <t>3134232246</t>
  </si>
  <si>
    <t>3165229197</t>
  </si>
  <si>
    <t>3103373709</t>
  </si>
  <si>
    <t>3107844169</t>
  </si>
  <si>
    <t>3123130202</t>
  </si>
  <si>
    <t>3106084249</t>
  </si>
  <si>
    <t>3132836252</t>
  </si>
  <si>
    <t>3103065923</t>
  </si>
  <si>
    <t>3125013454</t>
  </si>
  <si>
    <t>3158007783</t>
  </si>
  <si>
    <t>3169922229</t>
  </si>
  <si>
    <t>3204664999</t>
  </si>
  <si>
    <t>3105256481</t>
  </si>
  <si>
    <t>3228775086</t>
  </si>
  <si>
    <t>3102709083</t>
  </si>
  <si>
    <t>3125968351</t>
  </si>
  <si>
    <t>3204891982</t>
  </si>
  <si>
    <t>3114932010</t>
  </si>
  <si>
    <t>3057904031</t>
  </si>
  <si>
    <t>3143900877</t>
  </si>
  <si>
    <t>3204966758</t>
  </si>
  <si>
    <t>3206628956</t>
  </si>
  <si>
    <t>3133488362</t>
  </si>
  <si>
    <t>3103286970</t>
  </si>
  <si>
    <t>3115121433</t>
  </si>
  <si>
    <t>3115011672</t>
  </si>
  <si>
    <t>3144331932</t>
  </si>
  <si>
    <t>3118081331</t>
  </si>
  <si>
    <t>3112275930</t>
  </si>
  <si>
    <t>3203819023</t>
  </si>
  <si>
    <t>3122131993</t>
  </si>
  <si>
    <t>3124492124</t>
  </si>
  <si>
    <t>3232181810</t>
  </si>
  <si>
    <t>3204630627</t>
  </si>
  <si>
    <t>3143573323</t>
  </si>
  <si>
    <t>3124329111</t>
  </si>
  <si>
    <t>3112760762</t>
  </si>
  <si>
    <t>3102754899</t>
  </si>
  <si>
    <t>3144615023</t>
  </si>
  <si>
    <t>3185215704</t>
  </si>
  <si>
    <t>3112743870</t>
  </si>
  <si>
    <t>3158793732</t>
  </si>
  <si>
    <t>3143682361</t>
  </si>
  <si>
    <t>3112179766</t>
  </si>
  <si>
    <t>3123939260</t>
  </si>
  <si>
    <t>3005156474</t>
  </si>
  <si>
    <t>3224154284</t>
  </si>
  <si>
    <t>3103183175</t>
  </si>
  <si>
    <t>3007280419</t>
  </si>
  <si>
    <t>3104164593</t>
  </si>
  <si>
    <t>3124612628</t>
  </si>
  <si>
    <t>3125482408</t>
  </si>
  <si>
    <t>3222222222</t>
  </si>
  <si>
    <t>3144210956</t>
  </si>
  <si>
    <t>3118972424</t>
  </si>
  <si>
    <t>3107785610</t>
  </si>
  <si>
    <t>3112937666</t>
  </si>
  <si>
    <t>3218832384</t>
  </si>
  <si>
    <t>3112284828</t>
  </si>
  <si>
    <t>3115654860</t>
  </si>
  <si>
    <t>3156975428</t>
  </si>
  <si>
    <t>3142501355</t>
  </si>
  <si>
    <t>3204932397</t>
  </si>
  <si>
    <t>3102269274</t>
  </si>
  <si>
    <t>3118195905</t>
  </si>
  <si>
    <t>3102327241</t>
  </si>
  <si>
    <t>3103095822</t>
  </si>
  <si>
    <t>310502950</t>
  </si>
  <si>
    <t>3132074102</t>
  </si>
  <si>
    <t>3115694881</t>
  </si>
  <si>
    <t>3102057674</t>
  </si>
  <si>
    <t>3142010105</t>
  </si>
  <si>
    <t>3222416880</t>
  </si>
  <si>
    <t>3222870930</t>
  </si>
  <si>
    <t>3214547091</t>
  </si>
  <si>
    <t>3138756011</t>
  </si>
  <si>
    <t>3143365523</t>
  </si>
  <si>
    <t>3133582454</t>
  </si>
  <si>
    <t>3144566968</t>
  </si>
  <si>
    <t>317348635</t>
  </si>
  <si>
    <t>3123603803</t>
  </si>
  <si>
    <t>3115216871</t>
  </si>
  <si>
    <t>3219186738</t>
  </si>
  <si>
    <t>3223782833</t>
  </si>
  <si>
    <t>311794552</t>
  </si>
  <si>
    <t>3123306013</t>
  </si>
  <si>
    <t>3138175806</t>
  </si>
  <si>
    <t>3142563360</t>
  </si>
  <si>
    <t>3157080149</t>
  </si>
  <si>
    <t>3103342159</t>
  </si>
  <si>
    <t>3212962517</t>
  </si>
  <si>
    <t>3123023094</t>
  </si>
  <si>
    <t>3134769266</t>
  </si>
  <si>
    <t>3124971737</t>
  </si>
  <si>
    <t>3118261872</t>
  </si>
  <si>
    <t>3212137261</t>
  </si>
  <si>
    <t>3102614825</t>
  </si>
  <si>
    <t>3107540684</t>
  </si>
  <si>
    <t>3118263996</t>
  </si>
  <si>
    <t>3142606606</t>
  </si>
  <si>
    <t>3164621652</t>
  </si>
  <si>
    <t>3229061967</t>
  </si>
  <si>
    <t>3115237201</t>
  </si>
  <si>
    <t>3124516589</t>
  </si>
  <si>
    <t>3212234626</t>
  </si>
  <si>
    <t>3204987700</t>
  </si>
  <si>
    <t>3145272688</t>
  </si>
  <si>
    <t>3138647775</t>
  </si>
  <si>
    <t>3104109233</t>
  </si>
  <si>
    <t>3118338930</t>
  </si>
  <si>
    <t>3106989197</t>
  </si>
  <si>
    <t>3144938666</t>
  </si>
  <si>
    <t>3143874962</t>
  </si>
  <si>
    <t>3136510859</t>
  </si>
  <si>
    <t>3108823154</t>
  </si>
  <si>
    <t>3123709396</t>
  </si>
  <si>
    <t>3118418561</t>
  </si>
  <si>
    <t>3103044603</t>
  </si>
  <si>
    <t>3143459716</t>
  </si>
  <si>
    <t>3102087792</t>
  </si>
  <si>
    <t>3123554863</t>
  </si>
  <si>
    <t>3123439320</t>
  </si>
  <si>
    <t>3132856956</t>
  </si>
  <si>
    <t>3204439488</t>
  </si>
  <si>
    <t>3227208373</t>
  </si>
  <si>
    <t>3116862886</t>
  </si>
  <si>
    <t>3214241233</t>
  </si>
  <si>
    <t>3134300704</t>
  </si>
  <si>
    <t>3106097393</t>
  </si>
  <si>
    <t>3208527209</t>
  </si>
  <si>
    <t>3204413902</t>
  </si>
  <si>
    <t>323876135</t>
  </si>
  <si>
    <t>3138538506</t>
  </si>
  <si>
    <t>3138903989</t>
  </si>
  <si>
    <t>3174358569</t>
  </si>
  <si>
    <t>3212918345</t>
  </si>
  <si>
    <t>3125560697</t>
  </si>
  <si>
    <t>3125069281</t>
  </si>
  <si>
    <t>3142476448</t>
  </si>
  <si>
    <t>3105767507</t>
  </si>
  <si>
    <t>3023287773</t>
  </si>
  <si>
    <t>3112761837</t>
  </si>
  <si>
    <t>3122603111</t>
  </si>
  <si>
    <t>3222307826</t>
  </si>
  <si>
    <t>3102032148</t>
  </si>
  <si>
    <t>3114538942</t>
  </si>
  <si>
    <t>3138738180</t>
  </si>
  <si>
    <t>3112919668</t>
  </si>
  <si>
    <t>3204469345</t>
  </si>
  <si>
    <t>3115499542</t>
  </si>
  <si>
    <t>3203913316</t>
  </si>
  <si>
    <t>3142250304</t>
  </si>
  <si>
    <t>3144194380</t>
  </si>
  <si>
    <t>3134229087</t>
  </si>
  <si>
    <t>3114431712</t>
  </si>
  <si>
    <t>3124746341</t>
  </si>
  <si>
    <t>3114861719</t>
  </si>
  <si>
    <t>3108025071</t>
  </si>
  <si>
    <t>3124823242</t>
  </si>
  <si>
    <t>3133869600</t>
  </si>
  <si>
    <t>3012390145</t>
  </si>
  <si>
    <t>3195700901</t>
  </si>
  <si>
    <t>3118424441</t>
  </si>
  <si>
    <t>3125225019</t>
  </si>
  <si>
    <t>3103050931</t>
  </si>
  <si>
    <t>3102497439</t>
  </si>
  <si>
    <t>3112089415</t>
  </si>
  <si>
    <t>3144719259</t>
  </si>
  <si>
    <t>3208152877</t>
  </si>
  <si>
    <t>7605291-</t>
  </si>
  <si>
    <t>3148033212</t>
  </si>
  <si>
    <t>3142661316</t>
  </si>
  <si>
    <t>3132848975</t>
  </si>
  <si>
    <t>3138519844</t>
  </si>
  <si>
    <t>3125539313</t>
  </si>
  <si>
    <t>3214867435</t>
  </si>
  <si>
    <t>321236573</t>
  </si>
  <si>
    <t>3138284302</t>
  </si>
  <si>
    <t>3143341050</t>
  </si>
  <si>
    <t>3114433257</t>
  </si>
  <si>
    <t>3202608700</t>
  </si>
  <si>
    <t>3208984952</t>
  </si>
  <si>
    <t>3142548802</t>
  </si>
  <si>
    <t>3125384496</t>
  </si>
  <si>
    <t>3125162390</t>
  </si>
  <si>
    <t>3114604943</t>
  </si>
  <si>
    <t>3103169932</t>
  </si>
  <si>
    <t>3123927242</t>
  </si>
  <si>
    <t>3185006366</t>
  </si>
  <si>
    <t>3153159621</t>
  </si>
  <si>
    <t>3005673784</t>
  </si>
  <si>
    <t>3208474400</t>
  </si>
  <si>
    <t>3204967436</t>
  </si>
  <si>
    <t>3108786373</t>
  </si>
  <si>
    <t>3104734460</t>
  </si>
  <si>
    <t>3107982940</t>
  </si>
  <si>
    <t>3115324851</t>
  </si>
  <si>
    <t>3102057387</t>
  </si>
  <si>
    <t>3204081952</t>
  </si>
  <si>
    <t>3103163910</t>
  </si>
  <si>
    <t>3114626768</t>
  </si>
  <si>
    <t>3134094758</t>
  </si>
  <si>
    <t>3224672361</t>
  </si>
  <si>
    <t>3228956505</t>
  </si>
  <si>
    <t>3134832250</t>
  </si>
  <si>
    <t>3144913217</t>
  </si>
  <si>
    <t>3116054034</t>
  </si>
  <si>
    <t>314208334</t>
  </si>
  <si>
    <t>3209624946</t>
  </si>
  <si>
    <t>3132247364</t>
  </si>
  <si>
    <t>3166989511</t>
  </si>
  <si>
    <t>3223452878</t>
  </si>
  <si>
    <t>3209958608</t>
  </si>
  <si>
    <t>3158820543</t>
  </si>
  <si>
    <t>3118856359</t>
  </si>
  <si>
    <t>3204186409</t>
  </si>
  <si>
    <t>3144733607</t>
  </si>
  <si>
    <t>3217341848</t>
  </si>
  <si>
    <t>3162585286</t>
  </si>
  <si>
    <t>3212213140</t>
  </si>
  <si>
    <t>3114425767</t>
  </si>
  <si>
    <t>3133381212</t>
  </si>
  <si>
    <t>3212588762</t>
  </si>
  <si>
    <t>3012051987</t>
  </si>
  <si>
    <t>3246854875</t>
  </si>
  <si>
    <t>3125622831</t>
  </si>
  <si>
    <t>3155118918</t>
  </si>
  <si>
    <t>3115359820</t>
  </si>
  <si>
    <t>3144137602</t>
  </si>
  <si>
    <t>3112197333</t>
  </si>
  <si>
    <t>3132578951</t>
  </si>
  <si>
    <t>3118268609</t>
  </si>
  <si>
    <t>3133943913</t>
  </si>
  <si>
    <t>3123021086</t>
  </si>
  <si>
    <t>3208423023</t>
  </si>
  <si>
    <t>3144437933</t>
  </si>
  <si>
    <t>3114562799</t>
  </si>
  <si>
    <t>3125874144</t>
  </si>
  <si>
    <t>3115563551</t>
  </si>
  <si>
    <t>3153171898</t>
  </si>
  <si>
    <t>3108088383</t>
  </si>
  <si>
    <t>3124494499</t>
  </si>
  <si>
    <t>3203317497</t>
  </si>
  <si>
    <t>3165299373</t>
  </si>
  <si>
    <t>3113354733</t>
  </si>
  <si>
    <t>3102173937</t>
  </si>
  <si>
    <t>3126606910</t>
  </si>
  <si>
    <t>3002156317</t>
  </si>
  <si>
    <t>3105602781</t>
  </si>
  <si>
    <t>3205702105</t>
  </si>
  <si>
    <t>3112569840</t>
  </si>
  <si>
    <t>3125759257</t>
  </si>
  <si>
    <t>3124765180</t>
  </si>
  <si>
    <t>3006614832</t>
  </si>
  <si>
    <t>3143526349</t>
  </si>
  <si>
    <t>3144135590</t>
  </si>
  <si>
    <t>3214258984</t>
  </si>
  <si>
    <t>3168986299</t>
  </si>
  <si>
    <t>3115567991</t>
  </si>
  <si>
    <t>3003576881</t>
  </si>
  <si>
    <t>3115629962</t>
  </si>
  <si>
    <t>3143434199</t>
  </si>
  <si>
    <t>3118935759</t>
  </si>
  <si>
    <t>3104236237</t>
  </si>
  <si>
    <t>3134938907</t>
  </si>
  <si>
    <t>3123929762</t>
  </si>
  <si>
    <t>3115218369</t>
  </si>
  <si>
    <t>3208060198</t>
  </si>
  <si>
    <t>3123505606</t>
  </si>
  <si>
    <t>3208401128</t>
  </si>
  <si>
    <t>3107985433</t>
  </si>
  <si>
    <t>3123641004</t>
  </si>
  <si>
    <t>3114635563</t>
  </si>
  <si>
    <t>3133201505</t>
  </si>
  <si>
    <t>3174560960</t>
  </si>
  <si>
    <t>3208205950</t>
  </si>
  <si>
    <t>3155695395</t>
  </si>
  <si>
    <t>3197955516</t>
  </si>
  <si>
    <t>3124035102</t>
  </si>
  <si>
    <t>3105587860</t>
  </si>
  <si>
    <t>3172806704</t>
  </si>
  <si>
    <t>3156021553</t>
  </si>
  <si>
    <t>3002484388</t>
  </si>
  <si>
    <t>3134818226</t>
  </si>
  <si>
    <t>3133909360</t>
  </si>
  <si>
    <t>3103435020</t>
  </si>
  <si>
    <t>3108836663</t>
  </si>
  <si>
    <t>3115771377</t>
  </si>
  <si>
    <t>3116284195</t>
  </si>
  <si>
    <t>3207887798</t>
  </si>
  <si>
    <t>3112205662</t>
  </si>
  <si>
    <t>3028354907</t>
  </si>
  <si>
    <t>3135987448</t>
  </si>
  <si>
    <t>3124805795</t>
  </si>
  <si>
    <t>3227806392</t>
  </si>
  <si>
    <t>3143131791</t>
  </si>
  <si>
    <t>3112702087</t>
  </si>
  <si>
    <t>3183598816</t>
  </si>
  <si>
    <t>3208800833</t>
  </si>
  <si>
    <t>3202719738</t>
  </si>
  <si>
    <t>3118485960</t>
  </si>
  <si>
    <t>3107899605</t>
  </si>
  <si>
    <t>3112112924</t>
  </si>
  <si>
    <t>3124922191</t>
  </si>
  <si>
    <t>3125559919</t>
  </si>
  <si>
    <t>3203399306</t>
  </si>
  <si>
    <t>3113356980</t>
  </si>
  <si>
    <t>3124030108</t>
  </si>
  <si>
    <t>3118535768</t>
  </si>
  <si>
    <t>3133198408</t>
  </si>
  <si>
    <t>3192535810</t>
  </si>
  <si>
    <t>3213117835</t>
  </si>
  <si>
    <t>3107619411</t>
  </si>
  <si>
    <t>3144762666</t>
  </si>
  <si>
    <t>3115010173</t>
  </si>
  <si>
    <t>3208337970</t>
  </si>
  <si>
    <t>3142006627</t>
  </si>
  <si>
    <t>3173007784</t>
  </si>
  <si>
    <t>3133573448</t>
  </si>
  <si>
    <t>3123032667</t>
  </si>
  <si>
    <t>3103338901</t>
  </si>
  <si>
    <t>3107537828</t>
  </si>
  <si>
    <t>3124697084</t>
  </si>
  <si>
    <t>3123541503</t>
  </si>
  <si>
    <t>3203888954</t>
  </si>
  <si>
    <t>3118543126</t>
  </si>
  <si>
    <t>3106694300</t>
  </si>
  <si>
    <t>3132314416</t>
  </si>
  <si>
    <t>3115049719</t>
  </si>
  <si>
    <t>3144433527</t>
  </si>
  <si>
    <t>3144620767</t>
  </si>
  <si>
    <t>3114825384</t>
  </si>
  <si>
    <t>3172998687</t>
  </si>
  <si>
    <t>3005746754</t>
  </si>
  <si>
    <t>3103286544</t>
  </si>
  <si>
    <t>3112400748</t>
  </si>
  <si>
    <t>3132510498</t>
  </si>
  <si>
    <t>3128108688</t>
  </si>
  <si>
    <t>3193841022</t>
  </si>
  <si>
    <t>3118614833</t>
  </si>
  <si>
    <t>3144104652</t>
  </si>
  <si>
    <t>3176420067</t>
  </si>
  <si>
    <t>3215460958</t>
  </si>
  <si>
    <t>3118481395</t>
  </si>
  <si>
    <t>3144020010</t>
  </si>
  <si>
    <t>3103292709</t>
  </si>
  <si>
    <t>3228549655</t>
  </si>
  <si>
    <t>3005396290</t>
  </si>
  <si>
    <t>3203035248</t>
  </si>
  <si>
    <t>3133142077</t>
  </si>
  <si>
    <t>3108142699</t>
  </si>
  <si>
    <t>3144826382</t>
  </si>
  <si>
    <t>3213795015</t>
  </si>
  <si>
    <t>3118362810</t>
  </si>
  <si>
    <t>3102327766</t>
  </si>
  <si>
    <t>3124315244</t>
  </si>
  <si>
    <t>3124037059</t>
  </si>
  <si>
    <t>3017153480</t>
  </si>
  <si>
    <t>3114920137</t>
  </si>
  <si>
    <t>3123381331</t>
  </si>
  <si>
    <t>3112455840</t>
  </si>
  <si>
    <t>3185935246</t>
  </si>
  <si>
    <t>3188674020</t>
  </si>
  <si>
    <t>3115267422</t>
  </si>
  <si>
    <t>3102138128</t>
  </si>
  <si>
    <t>3133854458</t>
  </si>
  <si>
    <t>3204307952</t>
  </si>
  <si>
    <t>3115004538</t>
  </si>
  <si>
    <t>3123125955</t>
  </si>
  <si>
    <t>3012319804</t>
  </si>
  <si>
    <t>312255219</t>
  </si>
  <si>
    <t>3124435115</t>
  </si>
  <si>
    <t>3003200505</t>
  </si>
  <si>
    <t>3115078846</t>
  </si>
  <si>
    <t>3108622961</t>
  </si>
  <si>
    <t>3142933728</t>
  </si>
  <si>
    <t>3115921251</t>
  </si>
  <si>
    <t>3138358818</t>
  </si>
  <si>
    <t>3007247765</t>
  </si>
  <si>
    <t>3133675023</t>
  </si>
  <si>
    <t>3203392261</t>
  </si>
  <si>
    <t>3005559974</t>
  </si>
  <si>
    <t>3176498521</t>
  </si>
  <si>
    <t>3102721732</t>
  </si>
  <si>
    <t>3112130276</t>
  </si>
  <si>
    <t>3153932999</t>
  </si>
  <si>
    <t>3162522935</t>
  </si>
  <si>
    <t>3112378579</t>
  </si>
  <si>
    <t>3143260776</t>
  </si>
  <si>
    <t>3212432270</t>
  </si>
  <si>
    <t>3003933991</t>
  </si>
  <si>
    <t>3214625060</t>
  </si>
  <si>
    <t>3103272038</t>
  </si>
  <si>
    <t>3106139140</t>
  </si>
  <si>
    <t>3209638964</t>
  </si>
  <si>
    <t>3102039803</t>
  </si>
  <si>
    <t>3115569350</t>
  </si>
  <si>
    <t>3214662143</t>
  </si>
  <si>
    <t>3112711357</t>
  </si>
  <si>
    <t>3134798682</t>
  </si>
  <si>
    <t>3023103256</t>
  </si>
  <si>
    <t>3202345622</t>
  </si>
  <si>
    <t>3143279478</t>
  </si>
  <si>
    <t>3125846426</t>
  </si>
  <si>
    <t>3138206979</t>
  </si>
  <si>
    <t>3208995624</t>
  </si>
  <si>
    <t>3142745928</t>
  </si>
  <si>
    <t>3125644034</t>
  </si>
  <si>
    <t>3052546877</t>
  </si>
  <si>
    <t>3174279146</t>
  </si>
  <si>
    <t>3203040550</t>
  </si>
  <si>
    <t>3132931785</t>
  </si>
  <si>
    <t>3228944321</t>
  </si>
  <si>
    <t>3112909642</t>
  </si>
  <si>
    <t>3103082543</t>
  </si>
  <si>
    <t>3143947687</t>
  </si>
  <si>
    <t>3143132413</t>
  </si>
  <si>
    <t>3163832621</t>
  </si>
  <si>
    <t>3134003282</t>
  </si>
  <si>
    <t>3114688822</t>
  </si>
  <si>
    <t>3016010918</t>
  </si>
  <si>
    <t>3212459174</t>
  </si>
  <si>
    <t>3132780659</t>
  </si>
  <si>
    <t>3114634783</t>
  </si>
  <si>
    <t>3104732491</t>
  </si>
  <si>
    <t>3013297758</t>
  </si>
  <si>
    <t>3223667602</t>
  </si>
  <si>
    <t>3134026367</t>
  </si>
  <si>
    <t>3125275325</t>
  </si>
  <si>
    <t>3214202733</t>
  </si>
  <si>
    <t>322947921</t>
  </si>
  <si>
    <t>3112193901</t>
  </si>
  <si>
    <t>3134363170</t>
  </si>
  <si>
    <t>3115305565</t>
  </si>
  <si>
    <t>3208372257</t>
  </si>
  <si>
    <t>3142914113</t>
  </si>
  <si>
    <t>3142471097</t>
  </si>
  <si>
    <t>3214867783</t>
  </si>
  <si>
    <t>3114955515</t>
  </si>
  <si>
    <t>3118984450</t>
  </si>
  <si>
    <t>3115895741</t>
  </si>
  <si>
    <t>3007071607</t>
  </si>
  <si>
    <t>3213224510</t>
  </si>
  <si>
    <t>3242810962</t>
  </si>
  <si>
    <t>3106258032</t>
  </si>
  <si>
    <t>3114453117</t>
  </si>
  <si>
    <t>3203249653</t>
  </si>
  <si>
    <t>3144164790</t>
  </si>
  <si>
    <t>3142196115</t>
  </si>
  <si>
    <t>3202546684</t>
  </si>
  <si>
    <t>3007346014</t>
  </si>
  <si>
    <t>3007410104</t>
  </si>
  <si>
    <t>3103456477</t>
  </si>
  <si>
    <t>3112689322</t>
  </si>
  <si>
    <t>3103173358</t>
  </si>
  <si>
    <t>3214656875</t>
  </si>
  <si>
    <t>3164931139</t>
  </si>
  <si>
    <t>3143238767</t>
  </si>
  <si>
    <t>3208371501</t>
  </si>
  <si>
    <t>3147911961</t>
  </si>
  <si>
    <t>3123224563</t>
  </si>
  <si>
    <t>3142080902</t>
  </si>
  <si>
    <t>3017564495</t>
  </si>
  <si>
    <t>3114559792</t>
  </si>
  <si>
    <t>3153226440</t>
  </si>
  <si>
    <t>3108061415</t>
  </si>
  <si>
    <t>3008271437</t>
  </si>
  <si>
    <t>3114841908</t>
  </si>
  <si>
    <t>3132423251</t>
  </si>
  <si>
    <t>3124495994</t>
  </si>
  <si>
    <t>3157875425</t>
  </si>
  <si>
    <t>3204995235</t>
  </si>
  <si>
    <t>3115541402</t>
  </si>
  <si>
    <t>3102368076</t>
  </si>
  <si>
    <t>3115985027</t>
  </si>
  <si>
    <t>3106198153</t>
  </si>
  <si>
    <t>3202589198</t>
  </si>
  <si>
    <t>3123694301</t>
  </si>
  <si>
    <t>3206775803</t>
  </si>
  <si>
    <t>3202314048</t>
  </si>
  <si>
    <t>3204991544</t>
  </si>
  <si>
    <t>3142471530</t>
  </si>
  <si>
    <t>3153137697</t>
  </si>
  <si>
    <t>3156542583</t>
  </si>
  <si>
    <t>3112125905</t>
  </si>
  <si>
    <t>3103488260</t>
  </si>
  <si>
    <t>3142426485</t>
  </si>
  <si>
    <t>3112406094</t>
  </si>
  <si>
    <t>3107725651</t>
  </si>
  <si>
    <t>3112104414</t>
  </si>
  <si>
    <t>3209842235</t>
  </si>
  <si>
    <t>3125212443</t>
  </si>
  <si>
    <t>3124481814</t>
  </si>
  <si>
    <t>3158094284</t>
  </si>
  <si>
    <t>3203426661</t>
  </si>
  <si>
    <t>3172240801</t>
  </si>
  <si>
    <t>3102070905</t>
  </si>
  <si>
    <t>3134502738</t>
  </si>
  <si>
    <t>3133345633</t>
  </si>
  <si>
    <t>3112947528</t>
  </si>
  <si>
    <t>3144711931</t>
  </si>
  <si>
    <t>3134536720</t>
  </si>
  <si>
    <t>3123050244</t>
  </si>
  <si>
    <t>3158342048</t>
  </si>
  <si>
    <t>3115910007</t>
  </si>
  <si>
    <t>3102588482</t>
  </si>
  <si>
    <t>3105851873</t>
  </si>
  <si>
    <t>3222330314</t>
  </si>
  <si>
    <t>3125615357</t>
  </si>
  <si>
    <t>3176492444</t>
  </si>
  <si>
    <t>3218246111</t>
  </si>
  <si>
    <t>3114771134</t>
  </si>
  <si>
    <t>3166997344</t>
  </si>
  <si>
    <t>3132843678</t>
  </si>
  <si>
    <t>3212073112</t>
  </si>
  <si>
    <t>3115885919</t>
  </si>
  <si>
    <t>3124639346</t>
  </si>
  <si>
    <t>3144637314</t>
  </si>
  <si>
    <t>3123709092</t>
  </si>
  <si>
    <t>3133583645</t>
  </si>
  <si>
    <t>3155593842</t>
  </si>
  <si>
    <t>3133533113</t>
  </si>
  <si>
    <t>3209879011</t>
  </si>
  <si>
    <t>3223260288</t>
  </si>
  <si>
    <t>3125505599</t>
  </si>
  <si>
    <t>3219946765</t>
  </si>
  <si>
    <t>3057525566</t>
  </si>
  <si>
    <t>3112171571</t>
  </si>
  <si>
    <t>3196295717</t>
  </si>
  <si>
    <t>3203424474</t>
  </si>
  <si>
    <t>3006700732</t>
  </si>
  <si>
    <t>3115919903</t>
  </si>
  <si>
    <t>3223589684</t>
  </si>
  <si>
    <t>3112969127</t>
  </si>
  <si>
    <t>3226824280</t>
  </si>
  <si>
    <t>3142980771</t>
  </si>
  <si>
    <t>3123838118</t>
  </si>
  <si>
    <t>3103031521</t>
  </si>
  <si>
    <t>3123789670</t>
  </si>
  <si>
    <t>3125545157</t>
  </si>
  <si>
    <t>3144522471</t>
  </si>
  <si>
    <t>3138928041</t>
  </si>
  <si>
    <t>3118300976</t>
  </si>
  <si>
    <t>3118679782</t>
  </si>
  <si>
    <t>3102383920</t>
  </si>
  <si>
    <t>3124783379</t>
  </si>
  <si>
    <t>3186319030</t>
  </si>
  <si>
    <t>3118396803</t>
  </si>
  <si>
    <t>3112289610</t>
  </si>
  <si>
    <t>3107855744</t>
  </si>
  <si>
    <t>3142210968</t>
  </si>
  <si>
    <t>3103293466</t>
  </si>
  <si>
    <t>3142980059</t>
  </si>
  <si>
    <t>3118268885</t>
  </si>
  <si>
    <t>3102247355</t>
  </si>
  <si>
    <t>3186239012</t>
  </si>
  <si>
    <t>3112628763</t>
  </si>
  <si>
    <t>3138511566</t>
  </si>
  <si>
    <t>3162845310</t>
  </si>
  <si>
    <t>3142354652</t>
  </si>
  <si>
    <t>3125215205</t>
  </si>
  <si>
    <t>3142183771</t>
  </si>
  <si>
    <t>3105182006</t>
  </si>
  <si>
    <t>3158176115</t>
  </si>
  <si>
    <t>3107540337</t>
  </si>
  <si>
    <t>3142196426</t>
  </si>
  <si>
    <t>3138176532</t>
  </si>
  <si>
    <t>3152790414</t>
  </si>
  <si>
    <t>3115130050</t>
  </si>
  <si>
    <t>3125939740</t>
  </si>
  <si>
    <t>3103137065</t>
  </si>
  <si>
    <t>3208535363</t>
  </si>
  <si>
    <t>3118904157</t>
  </si>
  <si>
    <t>3208418796</t>
  </si>
  <si>
    <t>3104584931</t>
  </si>
  <si>
    <t>3112675618</t>
  </si>
  <si>
    <t>3203047732</t>
  </si>
  <si>
    <t>3138078297</t>
  </si>
  <si>
    <t>3115267980</t>
  </si>
  <si>
    <t>3102063903</t>
  </si>
  <si>
    <t>3182202730</t>
  </si>
  <si>
    <t>3134188723</t>
  </si>
  <si>
    <t>3212263672</t>
  </si>
  <si>
    <t>3125718463</t>
  </si>
  <si>
    <t>3168408770</t>
  </si>
  <si>
    <t>3214741531</t>
  </si>
  <si>
    <t>3212332039</t>
  </si>
  <si>
    <t>3202529946</t>
  </si>
  <si>
    <t>3125365519</t>
  </si>
  <si>
    <t>3118324348</t>
  </si>
  <si>
    <t>3124160745</t>
  </si>
  <si>
    <t>3105798399</t>
  </si>
  <si>
    <t>3143697180</t>
  </si>
  <si>
    <t>3143075148</t>
  </si>
  <si>
    <t>3114675978</t>
  </si>
  <si>
    <t>3228908482</t>
  </si>
  <si>
    <t>3114561750</t>
  </si>
  <si>
    <t>3134733818</t>
  </si>
  <si>
    <t>3103486665</t>
  </si>
  <si>
    <t>3134525500</t>
  </si>
  <si>
    <t>3123144236</t>
  </si>
  <si>
    <t>3146361573</t>
  </si>
  <si>
    <t>3115262086</t>
  </si>
  <si>
    <t>3103222924</t>
  </si>
  <si>
    <t>3138284226</t>
  </si>
  <si>
    <t>3202740350</t>
  </si>
  <si>
    <t>3138151684</t>
  </si>
  <si>
    <t>3144351903</t>
  </si>
  <si>
    <t>3102623635</t>
  </si>
  <si>
    <t>3123253418</t>
  </si>
  <si>
    <t>3144189603</t>
  </si>
  <si>
    <t>3133226837</t>
  </si>
  <si>
    <t>3142618727</t>
  </si>
  <si>
    <t>3144766986</t>
  </si>
  <si>
    <t>3203415085</t>
  </si>
  <si>
    <t>3158315676</t>
  </si>
  <si>
    <t>3124357625</t>
  </si>
  <si>
    <t>3217208044</t>
  </si>
  <si>
    <t>3178873958</t>
  </si>
  <si>
    <t>3132799664</t>
  </si>
  <si>
    <t>3112103100</t>
  </si>
  <si>
    <t>3106419166</t>
  </si>
  <si>
    <t>3118040548</t>
  </si>
  <si>
    <t>3103314736</t>
  </si>
  <si>
    <t>3153040712</t>
  </si>
  <si>
    <t>3142222629</t>
  </si>
  <si>
    <t>3188172006</t>
  </si>
  <si>
    <t>3112465211</t>
  </si>
  <si>
    <t>3229755602</t>
  </si>
  <si>
    <t>3144463135</t>
  </si>
  <si>
    <t>3203570345</t>
  </si>
  <si>
    <t>3125361881</t>
  </si>
  <si>
    <t>3215993316</t>
  </si>
  <si>
    <t>3005674647</t>
  </si>
  <si>
    <t>3112536844</t>
  </si>
  <si>
    <t>3114640996</t>
  </si>
  <si>
    <t>3214591520</t>
  </si>
  <si>
    <t>3022634572</t>
  </si>
  <si>
    <t>3133449438</t>
  </si>
  <si>
    <t>3172596182</t>
  </si>
  <si>
    <t>3158041904</t>
  </si>
  <si>
    <t>3141690592</t>
  </si>
  <si>
    <t>3004504010</t>
  </si>
  <si>
    <t>3134429345</t>
  </si>
  <si>
    <t>3107507645</t>
  </si>
  <si>
    <t>3107882209</t>
  </si>
  <si>
    <t>3203591595</t>
  </si>
  <si>
    <t>3142946119</t>
  </si>
  <si>
    <t>3135286518</t>
  </si>
  <si>
    <t>3219282535</t>
  </si>
  <si>
    <t>3208746342</t>
  </si>
  <si>
    <t>3214964588</t>
  </si>
  <si>
    <t>3208883511</t>
  </si>
  <si>
    <t>3123564785</t>
  </si>
  <si>
    <t>3204521449</t>
  </si>
  <si>
    <t>3115329523</t>
  </si>
  <si>
    <t>3144490658</t>
  </si>
  <si>
    <t>3125932179</t>
  </si>
  <si>
    <t>3134559324</t>
  </si>
  <si>
    <t>3102515230</t>
  </si>
  <si>
    <t>3134268261</t>
  </si>
  <si>
    <t>3133929026</t>
  </si>
  <si>
    <t>3115907411</t>
  </si>
  <si>
    <t>3108516174</t>
  </si>
  <si>
    <t>3046825661</t>
  </si>
  <si>
    <t>3108716072</t>
  </si>
  <si>
    <t>3125886639</t>
  </si>
  <si>
    <t>3134542257</t>
  </si>
  <si>
    <t>3174465323</t>
  </si>
  <si>
    <t>3219177499</t>
  </si>
  <si>
    <t>3115263580</t>
  </si>
  <si>
    <t>3229364023</t>
  </si>
  <si>
    <t>3208426861</t>
  </si>
  <si>
    <t>3004286267</t>
  </si>
  <si>
    <t>3105717725</t>
  </si>
  <si>
    <t>3102524607</t>
  </si>
  <si>
    <t>3138513785</t>
  </si>
  <si>
    <t>3208352926</t>
  </si>
  <si>
    <t>3215035918</t>
  </si>
  <si>
    <t>3138297607</t>
  </si>
  <si>
    <t>3102534870</t>
  </si>
  <si>
    <t>3012621851</t>
  </si>
  <si>
    <t>3123144787</t>
  </si>
  <si>
    <t>3142149442</t>
  </si>
  <si>
    <t>3144448487</t>
  </si>
  <si>
    <t>3112532644</t>
  </si>
  <si>
    <t>3132433607</t>
  </si>
  <si>
    <t>3102822438</t>
  </si>
  <si>
    <t>3155279473</t>
  </si>
  <si>
    <t>3214634601</t>
  </si>
  <si>
    <t>3123100224</t>
  </si>
  <si>
    <t>3202969208</t>
  </si>
  <si>
    <t>3012880349</t>
  </si>
  <si>
    <t>3118573730</t>
  </si>
  <si>
    <t>3124917926</t>
  </si>
  <si>
    <t>3123670859</t>
  </si>
  <si>
    <t>311340500</t>
  </si>
  <si>
    <t>3118120077</t>
  </si>
  <si>
    <t>3103762249</t>
  </si>
  <si>
    <t>3103256467</t>
  </si>
  <si>
    <t>3203900511</t>
  </si>
  <si>
    <t>3174246866</t>
  </si>
  <si>
    <t>3223605511</t>
  </si>
  <si>
    <t>3123501243</t>
  </si>
  <si>
    <t>3228349642</t>
  </si>
  <si>
    <t>3229462175</t>
  </si>
  <si>
    <t>3125841274</t>
  </si>
  <si>
    <t>3142373509</t>
  </si>
  <si>
    <t>3143803645</t>
  </si>
  <si>
    <t>3204645169</t>
  </si>
  <si>
    <t>3102316853</t>
  </si>
  <si>
    <t>3173659212</t>
  </si>
  <si>
    <t>3203395022</t>
  </si>
  <si>
    <t>3174243224</t>
  </si>
  <si>
    <t>3117003302</t>
  </si>
  <si>
    <t>3142301294</t>
  </si>
  <si>
    <t>3134535332</t>
  </si>
  <si>
    <t>3167230656</t>
  </si>
  <si>
    <t>3144306744</t>
  </si>
  <si>
    <t>3103190544</t>
  </si>
  <si>
    <t>3103379643</t>
  </si>
  <si>
    <t>3105596413</t>
  </si>
  <si>
    <t>3138603461</t>
  </si>
  <si>
    <t>3102182328</t>
  </si>
  <si>
    <t>3143123812</t>
  </si>
  <si>
    <t>3144741135</t>
  </si>
  <si>
    <t>3125126401</t>
  </si>
  <si>
    <t>3112107410</t>
  </si>
  <si>
    <t>3108852821</t>
  </si>
  <si>
    <t>3123553553</t>
  </si>
  <si>
    <t>3112016431</t>
  </si>
  <si>
    <t>3124921701</t>
  </si>
  <si>
    <t>3164970565</t>
  </si>
  <si>
    <t>3138170866</t>
  </si>
  <si>
    <t>3125743879</t>
  </si>
  <si>
    <t>3113242115</t>
  </si>
  <si>
    <t>3133694742</t>
  </si>
  <si>
    <t>3114230621</t>
  </si>
  <si>
    <t>3118608010</t>
  </si>
  <si>
    <t>3214582005</t>
  </si>
  <si>
    <t>3209313815</t>
  </si>
  <si>
    <t>3173182479</t>
  </si>
  <si>
    <t>3106497057</t>
  </si>
  <si>
    <t>3118140524</t>
  </si>
  <si>
    <t>3115671591</t>
  </si>
  <si>
    <t>3123284173</t>
  </si>
  <si>
    <t>3138947417</t>
  </si>
  <si>
    <t>3138148133</t>
  </si>
  <si>
    <t>3014853139</t>
  </si>
  <si>
    <t>3106442030</t>
  </si>
  <si>
    <t>3144916401</t>
  </si>
  <si>
    <t>3186036557</t>
  </si>
  <si>
    <t>3112891611</t>
  </si>
  <si>
    <t>3215619658</t>
  </si>
  <si>
    <t>3133932151</t>
  </si>
  <si>
    <t>3202324998</t>
  </si>
  <si>
    <t>3012879786</t>
  </si>
  <si>
    <t>3213235907</t>
  </si>
  <si>
    <t>3102341125</t>
  </si>
  <si>
    <t>3106194173</t>
  </si>
  <si>
    <t>3202505039</t>
  </si>
  <si>
    <t>3204032030</t>
  </si>
  <si>
    <t>3204907085</t>
  </si>
  <si>
    <t>3217927424</t>
  </si>
  <si>
    <t>3123224731</t>
  </si>
  <si>
    <t>3123678458</t>
  </si>
  <si>
    <t>3203857721</t>
  </si>
  <si>
    <t>3204819468</t>
  </si>
  <si>
    <t>3185890117</t>
  </si>
  <si>
    <t>3204948045</t>
  </si>
  <si>
    <t>3115444518</t>
  </si>
  <si>
    <t>3118746515</t>
  </si>
  <si>
    <t>3213017548</t>
  </si>
  <si>
    <t>3125283322</t>
  </si>
  <si>
    <t>3115335548</t>
  </si>
  <si>
    <t>3144753996</t>
  </si>
  <si>
    <t>3132622218</t>
  </si>
  <si>
    <t>3167775323</t>
  </si>
  <si>
    <t>3102539500</t>
  </si>
  <si>
    <t>3118131310</t>
  </si>
  <si>
    <t>3133908501</t>
  </si>
  <si>
    <t>3103312616</t>
  </si>
  <si>
    <t>3209454397</t>
  </si>
  <si>
    <t>3124698783</t>
  </si>
  <si>
    <t>3152090155</t>
  </si>
  <si>
    <t>3124305992</t>
  </si>
  <si>
    <t>3219604764</t>
  </si>
  <si>
    <t>3107688342</t>
  </si>
  <si>
    <t>3142985813</t>
  </si>
  <si>
    <t>3209349065</t>
  </si>
  <si>
    <t>3144447443</t>
  </si>
  <si>
    <t>3143052492</t>
  </si>
  <si>
    <t>3167173917</t>
  </si>
  <si>
    <t>3134967883</t>
  </si>
  <si>
    <t>3106180500</t>
  </si>
  <si>
    <t>3112411844</t>
  </si>
  <si>
    <t>3152124902</t>
  </si>
  <si>
    <t>3182123618</t>
  </si>
  <si>
    <t>3115470049</t>
  </si>
  <si>
    <t>3223460885</t>
  </si>
  <si>
    <t>3168340182</t>
  </si>
  <si>
    <t>313490408</t>
  </si>
  <si>
    <t>3133802621</t>
  </si>
  <si>
    <t>3203020054</t>
  </si>
  <si>
    <t>3125515784</t>
  </si>
  <si>
    <t>3166281526</t>
  </si>
  <si>
    <t>3232069483</t>
  </si>
  <si>
    <t>3202081892</t>
  </si>
  <si>
    <t>3123668974</t>
  </si>
  <si>
    <t>3138931816</t>
  </si>
  <si>
    <t>3118053243</t>
  </si>
  <si>
    <t>3114713987</t>
  </si>
  <si>
    <t>3144181806</t>
  </si>
  <si>
    <t>3125813944</t>
  </si>
  <si>
    <t>3114635705</t>
  </si>
  <si>
    <t>3118064945</t>
  </si>
  <si>
    <t>3209445401</t>
  </si>
  <si>
    <t>3125185500</t>
  </si>
  <si>
    <t>3203923683</t>
  </si>
  <si>
    <t>3112178661</t>
  </si>
  <si>
    <t>3134402052</t>
  </si>
  <si>
    <t>3114549928</t>
  </si>
  <si>
    <t>3105707645</t>
  </si>
  <si>
    <t>3148357710</t>
  </si>
  <si>
    <t>3102387964</t>
  </si>
  <si>
    <t>3147975223</t>
  </si>
  <si>
    <t>3124367334</t>
  </si>
  <si>
    <t>3183772582</t>
  </si>
  <si>
    <t>3208246602</t>
  </si>
  <si>
    <t>3125879153</t>
  </si>
  <si>
    <t>3103049598</t>
  </si>
  <si>
    <t>3105826798</t>
  </si>
  <si>
    <t>3016027922</t>
  </si>
  <si>
    <t>3002178265</t>
  </si>
  <si>
    <t>3112187893</t>
  </si>
  <si>
    <t>3012148669</t>
  </si>
  <si>
    <t>3125382143</t>
  </si>
  <si>
    <t>3015020903</t>
  </si>
  <si>
    <t>3103461877</t>
  </si>
  <si>
    <t>3103446431</t>
  </si>
  <si>
    <t>3104716750</t>
  </si>
  <si>
    <t>3165005779</t>
  </si>
  <si>
    <t>3016418447</t>
  </si>
  <si>
    <t>3103399835</t>
  </si>
  <si>
    <t>3114949372</t>
  </si>
  <si>
    <t>3108186394</t>
  </si>
  <si>
    <t>3102674842</t>
  </si>
  <si>
    <t>3208003107</t>
  </si>
  <si>
    <t>3125719866</t>
  </si>
  <si>
    <t>3112232578</t>
  </si>
  <si>
    <t>3124546807</t>
  </si>
  <si>
    <t>3133863219</t>
  </si>
  <si>
    <t>3114852554</t>
  </si>
  <si>
    <t>3113208126</t>
  </si>
  <si>
    <t>3138004365</t>
  </si>
  <si>
    <t>3026334261</t>
  </si>
  <si>
    <t>3118434879</t>
  </si>
  <si>
    <t>3157668177</t>
  </si>
  <si>
    <t>3107230478</t>
  </si>
  <si>
    <t>3202759978</t>
  </si>
  <si>
    <t>3112788948</t>
  </si>
  <si>
    <t>3012308605</t>
  </si>
  <si>
    <t>3202079063</t>
  </si>
  <si>
    <t>3106397286</t>
  </si>
  <si>
    <t>3166452728</t>
  </si>
  <si>
    <t>3123775871</t>
  </si>
  <si>
    <t>3112374743</t>
  </si>
  <si>
    <t>3108110059</t>
  </si>
  <si>
    <t>3209896743</t>
  </si>
  <si>
    <t>3213109459</t>
  </si>
  <si>
    <t>3114454713</t>
  </si>
  <si>
    <t>3125516408</t>
  </si>
  <si>
    <t>3229020011</t>
  </si>
  <si>
    <t>3112343280</t>
  </si>
  <si>
    <t>3118938862</t>
  </si>
  <si>
    <t>3112955944</t>
  </si>
  <si>
    <t>3204132324</t>
  </si>
  <si>
    <t>3125235054</t>
  </si>
  <si>
    <t>3132527006</t>
  </si>
  <si>
    <t>3114413722</t>
  </si>
  <si>
    <t>3144734712</t>
  </si>
  <si>
    <t>3112471252</t>
  </si>
  <si>
    <t>3186056072</t>
  </si>
  <si>
    <t>3143748041</t>
  </si>
  <si>
    <t>3222181192</t>
  </si>
  <si>
    <t>3045464016</t>
  </si>
  <si>
    <t>3213489636</t>
  </si>
  <si>
    <t>3155926138</t>
  </si>
  <si>
    <t>3002732117</t>
  </si>
  <si>
    <t>3113532199</t>
  </si>
  <si>
    <t>3123459221</t>
  </si>
  <si>
    <t>3105571719</t>
  </si>
  <si>
    <t>3113511010</t>
  </si>
  <si>
    <t>3102084398</t>
  </si>
  <si>
    <t>3025946461</t>
  </si>
  <si>
    <t>3144167359</t>
  </si>
  <si>
    <t>3133944855</t>
  </si>
  <si>
    <t>3144270598</t>
  </si>
  <si>
    <t>3114587051</t>
  </si>
  <si>
    <t>3112322655</t>
  </si>
  <si>
    <t>3232153164</t>
  </si>
  <si>
    <t>3143363524</t>
  </si>
  <si>
    <t>3003585210</t>
  </si>
  <si>
    <t>3114560580</t>
  </si>
  <si>
    <t>3229453810</t>
  </si>
  <si>
    <t>3115268102</t>
  </si>
  <si>
    <t>3123416366</t>
  </si>
  <si>
    <t>3125610082</t>
  </si>
  <si>
    <t>3112447882</t>
  </si>
  <si>
    <t>3142116146</t>
  </si>
  <si>
    <t>3105132194</t>
  </si>
  <si>
    <t>3163344406</t>
  </si>
  <si>
    <t>3105784279</t>
  </si>
  <si>
    <t>3023266059</t>
  </si>
  <si>
    <t>3186425506</t>
  </si>
  <si>
    <t>3204080243</t>
  </si>
  <si>
    <t>3186237338</t>
  </si>
  <si>
    <t>3133589611</t>
  </si>
  <si>
    <t>3229138904</t>
  </si>
  <si>
    <t>3142231538</t>
  </si>
  <si>
    <t>3214341232</t>
  </si>
  <si>
    <t>3105612771</t>
  </si>
  <si>
    <t>3118127961</t>
  </si>
  <si>
    <t>3123881577</t>
  </si>
  <si>
    <t>3212814492</t>
  </si>
  <si>
    <t>3143444948</t>
  </si>
  <si>
    <t>32403803</t>
  </si>
  <si>
    <t>3223170093</t>
  </si>
  <si>
    <t>3112218699</t>
  </si>
  <si>
    <t>3108947326</t>
  </si>
  <si>
    <t>3208669500</t>
  </si>
  <si>
    <t>3102039287</t>
  </si>
  <si>
    <t>3103273144</t>
  </si>
  <si>
    <t>3124345639</t>
  </si>
  <si>
    <t>3114408059</t>
  </si>
  <si>
    <t>3102738625</t>
  </si>
  <si>
    <t>3138258005</t>
  </si>
  <si>
    <t>3214351298</t>
  </si>
  <si>
    <t>3132752870</t>
  </si>
  <si>
    <t>3142021941</t>
  </si>
  <si>
    <t>3165790710</t>
  </si>
  <si>
    <t>3133705626</t>
  </si>
  <si>
    <t>3203291245</t>
  </si>
  <si>
    <t>3142846640</t>
  </si>
  <si>
    <t>3115492946</t>
  </si>
  <si>
    <t>3102145542</t>
  </si>
  <si>
    <t>3166915485</t>
  </si>
  <si>
    <t>3209996176</t>
  </si>
  <si>
    <t>3214886260</t>
  </si>
  <si>
    <t>3138473285</t>
  </si>
  <si>
    <t>3017904192</t>
  </si>
  <si>
    <t>3112410488</t>
  </si>
  <si>
    <t>3112850303</t>
  </si>
  <si>
    <t>3208804968</t>
  </si>
  <si>
    <t>3143320971</t>
  </si>
  <si>
    <t>3203013253</t>
  </si>
  <si>
    <t>3123508885</t>
  </si>
  <si>
    <t>3117164515</t>
  </si>
  <si>
    <t>3208740400</t>
  </si>
  <si>
    <t>3132636319</t>
  </si>
  <si>
    <t>3206382978</t>
  </si>
  <si>
    <t>3166191509</t>
  </si>
  <si>
    <t>3222827767</t>
  </si>
  <si>
    <t>3227450763</t>
  </si>
  <si>
    <t>3202638734</t>
  </si>
  <si>
    <t>3223319204</t>
  </si>
  <si>
    <t>3132482325</t>
  </si>
  <si>
    <t>3134905921</t>
  </si>
  <si>
    <t>3212616971</t>
  </si>
  <si>
    <t>3213009256</t>
  </si>
  <si>
    <t>3115221883</t>
  </si>
  <si>
    <t>3144669332</t>
  </si>
  <si>
    <t>3123357401</t>
  </si>
  <si>
    <t>3118764595</t>
  </si>
  <si>
    <t>3102159221</t>
  </si>
  <si>
    <t>3208408702</t>
  </si>
  <si>
    <t>3114930457</t>
  </si>
  <si>
    <t>3227330202</t>
  </si>
  <si>
    <t>3124765331</t>
  </si>
  <si>
    <t>3118127162</t>
  </si>
  <si>
    <t>3106196115</t>
  </si>
  <si>
    <t>3152921721</t>
  </si>
  <si>
    <t>3114959876</t>
  </si>
  <si>
    <t>3115760821</t>
  </si>
  <si>
    <t>3202393560</t>
  </si>
  <si>
    <t>3164144111</t>
  </si>
  <si>
    <t>3133497894</t>
  </si>
  <si>
    <t>3103437829</t>
  </si>
  <si>
    <t>3134566470</t>
  </si>
  <si>
    <t>3143806577</t>
  </si>
  <si>
    <t>3112118459</t>
  </si>
  <si>
    <t>3165069919</t>
  </si>
  <si>
    <t>3136512322</t>
  </si>
  <si>
    <t>3146779257</t>
  </si>
  <si>
    <t>3142235901</t>
  </si>
  <si>
    <t>3045228990</t>
  </si>
  <si>
    <t>3108768745</t>
  </si>
  <si>
    <t>3192604352</t>
  </si>
  <si>
    <t>3102882548</t>
  </si>
  <si>
    <t>3133745169</t>
  </si>
  <si>
    <t>3159262914</t>
  </si>
  <si>
    <t>3102823998</t>
  </si>
  <si>
    <t>3133658744</t>
  </si>
  <si>
    <t>3183795846</t>
  </si>
  <si>
    <t>3133438676</t>
  </si>
  <si>
    <t>3133001894</t>
  </si>
  <si>
    <t>3213397539</t>
  </si>
  <si>
    <t>3133550566</t>
  </si>
  <si>
    <t>3102033696</t>
  </si>
  <si>
    <t>3133736942</t>
  </si>
  <si>
    <t>3102326248</t>
  </si>
  <si>
    <t>3213481786</t>
  </si>
  <si>
    <t>3125315710</t>
  </si>
  <si>
    <t>3138923072</t>
  </si>
  <si>
    <t>3138128063</t>
  </si>
  <si>
    <t>3133653164</t>
  </si>
  <si>
    <t>3143037037</t>
  </si>
  <si>
    <t>3143727482</t>
  </si>
  <si>
    <t>3115127825</t>
  </si>
  <si>
    <t>3102624861</t>
  </si>
  <si>
    <t>3142466091</t>
  </si>
  <si>
    <t>3163140960</t>
  </si>
  <si>
    <t>3124212205</t>
  </si>
  <si>
    <t>3123126174</t>
  </si>
  <si>
    <t>312471054</t>
  </si>
  <si>
    <t>3115879682</t>
  </si>
  <si>
    <t>3168301609</t>
  </si>
  <si>
    <t>3208021365</t>
  </si>
  <si>
    <t>3107711248</t>
  </si>
  <si>
    <t>3124712879</t>
  </si>
  <si>
    <t>3112647304</t>
  </si>
  <si>
    <t>3138428082</t>
  </si>
  <si>
    <t>3138818704</t>
  </si>
  <si>
    <t>3213912779</t>
  </si>
  <si>
    <t>3125548411</t>
  </si>
  <si>
    <t>3213539474</t>
  </si>
  <si>
    <t>3114844425</t>
  </si>
  <si>
    <t>3204856984</t>
  </si>
  <si>
    <t>3112964937</t>
  </si>
  <si>
    <t>3112901684</t>
  </si>
  <si>
    <t>3103262698</t>
  </si>
  <si>
    <t>3013681677</t>
  </si>
  <si>
    <t>3209794214</t>
  </si>
  <si>
    <t>3124346765</t>
  </si>
  <si>
    <t>3013676879</t>
  </si>
  <si>
    <t>3147999852</t>
  </si>
  <si>
    <t>3124086232</t>
  </si>
  <si>
    <t>3167493917</t>
  </si>
  <si>
    <t>3174396099</t>
  </si>
  <si>
    <t>3143146651</t>
  </si>
  <si>
    <t>3165214513</t>
  </si>
  <si>
    <t>3214045674</t>
  </si>
  <si>
    <t>3006481010</t>
  </si>
  <si>
    <t>3006115994</t>
  </si>
  <si>
    <t>3102690012</t>
  </si>
  <si>
    <t>3112319419</t>
  </si>
  <si>
    <t>3105857458</t>
  </si>
  <si>
    <t>3203052675</t>
  </si>
  <si>
    <t>3007775656</t>
  </si>
  <si>
    <t>3183186971</t>
  </si>
  <si>
    <t>3142361552</t>
  </si>
  <si>
    <t>3108121778</t>
  </si>
  <si>
    <t>3183140446</t>
  </si>
  <si>
    <t>3132643579</t>
  </si>
  <si>
    <t>3124534214</t>
  </si>
  <si>
    <t>3133540716</t>
  </si>
  <si>
    <t>3115621162</t>
  </si>
  <si>
    <t>3006297122</t>
  </si>
  <si>
    <t>3134524440</t>
  </si>
  <si>
    <t>3108801219</t>
  </si>
  <si>
    <t>3112308708</t>
  </si>
  <si>
    <t>3166177876</t>
  </si>
  <si>
    <t>3143301716</t>
  </si>
  <si>
    <t>3142501186</t>
  </si>
  <si>
    <t>3115812070</t>
  </si>
  <si>
    <t>3143955672</t>
  </si>
  <si>
    <t>3155367626</t>
  </si>
  <si>
    <t>3138607031</t>
  </si>
  <si>
    <t>3108185662</t>
  </si>
  <si>
    <t>3202711642</t>
  </si>
  <si>
    <t>3134199932</t>
  </si>
  <si>
    <t>3102328576</t>
  </si>
  <si>
    <t>3202362678</t>
  </si>
  <si>
    <t>3213165863</t>
  </si>
  <si>
    <t>3214720834</t>
  </si>
  <si>
    <t>3138342629</t>
  </si>
  <si>
    <t>3134563204</t>
  </si>
  <si>
    <t>3142094574</t>
  </si>
  <si>
    <t>3102257230</t>
  </si>
  <si>
    <t>3153425195</t>
  </si>
  <si>
    <t>3132481459</t>
  </si>
  <si>
    <t>3165274184</t>
  </si>
  <si>
    <t>3138060442</t>
  </si>
  <si>
    <t>3163049366</t>
  </si>
  <si>
    <t>3203372094</t>
  </si>
  <si>
    <t>3132070128</t>
  </si>
  <si>
    <t>3155500117</t>
  </si>
  <si>
    <t>3132092409</t>
  </si>
  <si>
    <t>3102188297</t>
  </si>
  <si>
    <t>3202701826</t>
  </si>
  <si>
    <t>3204976056</t>
  </si>
  <si>
    <t>3102268493</t>
  </si>
  <si>
    <t>3125860282</t>
  </si>
  <si>
    <t>3143621293</t>
  </si>
  <si>
    <t>3102857763</t>
  </si>
  <si>
    <t>3015187912</t>
  </si>
  <si>
    <t>3134684618</t>
  </si>
  <si>
    <t>3004079211</t>
  </si>
  <si>
    <t>3105798043</t>
  </si>
  <si>
    <t>3108147721</t>
  </si>
  <si>
    <t>3204095023</t>
  </si>
  <si>
    <t>3203023138</t>
  </si>
  <si>
    <t>3225102460</t>
  </si>
  <si>
    <t>3176415598</t>
  </si>
  <si>
    <t>3103419373</t>
  </si>
  <si>
    <t>3124561040</t>
  </si>
  <si>
    <t>3112924257</t>
  </si>
  <si>
    <t>3158818670</t>
  </si>
  <si>
    <t>3102615338</t>
  </si>
  <si>
    <t>3123532734</t>
  </si>
  <si>
    <t>3173995514</t>
  </si>
  <si>
    <t>3124806946</t>
  </si>
  <si>
    <t>3115040517</t>
  </si>
  <si>
    <t>3118873689</t>
  </si>
  <si>
    <t>3209006442</t>
  </si>
  <si>
    <t>3108001419</t>
  </si>
  <si>
    <t>3196960701</t>
  </si>
  <si>
    <t>3125826749</t>
  </si>
  <si>
    <t>3174336877</t>
  </si>
  <si>
    <t>3133875329</t>
  </si>
  <si>
    <t>3112783016</t>
  </si>
  <si>
    <t>0000000</t>
  </si>
  <si>
    <t>3142442902</t>
  </si>
  <si>
    <t>3114919019</t>
  </si>
  <si>
    <t>3203449990</t>
  </si>
  <si>
    <t>3114683786</t>
  </si>
  <si>
    <t>3105545496</t>
  </si>
  <si>
    <t>3133262183</t>
  </si>
  <si>
    <t>3163031699</t>
  </si>
  <si>
    <t>3214496935</t>
  </si>
  <si>
    <t>3005954312</t>
  </si>
  <si>
    <t>3124623405</t>
  </si>
  <si>
    <t>3112325697</t>
  </si>
  <si>
    <t>3134416477</t>
  </si>
  <si>
    <t>3114834250</t>
  </si>
  <si>
    <t>3102502538</t>
  </si>
  <si>
    <t>3105775886</t>
  </si>
  <si>
    <t>3188355345</t>
  </si>
  <si>
    <t>3142934249</t>
  </si>
  <si>
    <t>3115747160</t>
  </si>
  <si>
    <t>3133927910</t>
  </si>
  <si>
    <t>3006918155</t>
  </si>
  <si>
    <t>3143405458</t>
  </si>
  <si>
    <t>3114686758</t>
  </si>
  <si>
    <t>3133484447</t>
  </si>
  <si>
    <t>3112731394</t>
  </si>
  <si>
    <t>3132849771</t>
  </si>
  <si>
    <t>3133512581</t>
  </si>
  <si>
    <t>3202934279</t>
  </si>
  <si>
    <t>3103373689</t>
  </si>
  <si>
    <t>3204262605</t>
  </si>
  <si>
    <t>3102103885</t>
  </si>
  <si>
    <t>3204434173</t>
  </si>
  <si>
    <t>3115874121</t>
  </si>
  <si>
    <t>3197924942</t>
  </si>
  <si>
    <t>3102093199</t>
  </si>
  <si>
    <t>3005563702</t>
  </si>
  <si>
    <t>3132084518</t>
  </si>
  <si>
    <t>3166259425</t>
  </si>
  <si>
    <t>3103007682</t>
  </si>
  <si>
    <t>3002920511</t>
  </si>
  <si>
    <t>3143267753</t>
  </si>
  <si>
    <t>3203994064</t>
  </si>
  <si>
    <t>3134060256</t>
  </si>
  <si>
    <t>3009636775</t>
  </si>
  <si>
    <t>3138987310</t>
  </si>
  <si>
    <t>3142940343</t>
  </si>
  <si>
    <t>3166242959</t>
  </si>
  <si>
    <t>3115069298</t>
  </si>
  <si>
    <t>3114771999</t>
  </si>
  <si>
    <t>3112101391</t>
  </si>
  <si>
    <t>3108778335</t>
  </si>
  <si>
    <t>3153417723</t>
  </si>
  <si>
    <t>3126087693</t>
  </si>
  <si>
    <t>3054131623</t>
  </si>
  <si>
    <t>3229080604</t>
  </si>
  <si>
    <t>3186497842</t>
  </si>
  <si>
    <t>3158537677</t>
  </si>
  <si>
    <t>3138375970</t>
  </si>
  <si>
    <t>3168434396</t>
  </si>
  <si>
    <t>3134708307</t>
  </si>
  <si>
    <t>3208574710</t>
  </si>
  <si>
    <t>3202612812</t>
  </si>
  <si>
    <t>3138874107</t>
  </si>
  <si>
    <t>3115627151</t>
  </si>
  <si>
    <t>3104048488</t>
  </si>
  <si>
    <t>3222220030</t>
  </si>
  <si>
    <t>3208574237</t>
  </si>
  <si>
    <t>3002063190</t>
  </si>
  <si>
    <t>3165273469</t>
  </si>
  <si>
    <t>3204468049</t>
  </si>
  <si>
    <t>3112090529</t>
  </si>
  <si>
    <t>3204630554</t>
  </si>
  <si>
    <t>3138959122</t>
  </si>
  <si>
    <t>3204759117</t>
  </si>
  <si>
    <t>3133986006</t>
  </si>
  <si>
    <t>3013153430</t>
  </si>
  <si>
    <t>3112630898</t>
  </si>
  <si>
    <t>3133475473</t>
  </si>
  <si>
    <t>3204965141</t>
  </si>
  <si>
    <t>3125638050</t>
  </si>
  <si>
    <t>3107681306</t>
  </si>
  <si>
    <t>3118572867</t>
  </si>
  <si>
    <t>3165714275</t>
  </si>
  <si>
    <t>3153933842</t>
  </si>
  <si>
    <t>3115554116</t>
  </si>
  <si>
    <t>3114418377</t>
  </si>
  <si>
    <t>3114413912</t>
  </si>
  <si>
    <t>3214183506</t>
  </si>
  <si>
    <t>3192081127</t>
  </si>
  <si>
    <t>3208001113</t>
  </si>
  <si>
    <t>3134251122</t>
  </si>
  <si>
    <t>3103720713</t>
  </si>
  <si>
    <t>3028530679</t>
  </si>
  <si>
    <t>3108639146</t>
  </si>
  <si>
    <t>3102234424</t>
  </si>
  <si>
    <t>3107825437</t>
  </si>
  <si>
    <t>3106088453</t>
  </si>
  <si>
    <t>3165207005</t>
  </si>
  <si>
    <t>3006952957</t>
  </si>
  <si>
    <t>3134768993</t>
  </si>
  <si>
    <t>3202205215</t>
  </si>
  <si>
    <t>3228303684</t>
  </si>
  <si>
    <t>3115766943</t>
  </si>
  <si>
    <t>3013588315</t>
  </si>
  <si>
    <t>3153610772</t>
  </si>
  <si>
    <t>3114473270</t>
  </si>
  <si>
    <t>3115588795</t>
  </si>
  <si>
    <t>3135389992</t>
  </si>
  <si>
    <t>3133932586</t>
  </si>
  <si>
    <t>3168239992</t>
  </si>
  <si>
    <t>3134942763</t>
  </si>
  <si>
    <t>3108030345</t>
  </si>
  <si>
    <t>3125838752</t>
  </si>
  <si>
    <t>3114821308</t>
  </si>
  <si>
    <t>3213422644</t>
  </si>
  <si>
    <t>3204951618</t>
  </si>
  <si>
    <t>3155139181</t>
  </si>
  <si>
    <t>3202468232</t>
  </si>
  <si>
    <t>3112872583</t>
  </si>
  <si>
    <t>3227000192</t>
  </si>
  <si>
    <t>3133873393</t>
  </si>
  <si>
    <t>3124690435</t>
  </si>
  <si>
    <t>3213961830</t>
  </si>
  <si>
    <t>3115311273</t>
  </si>
  <si>
    <t>3502640343</t>
  </si>
  <si>
    <t>3128948893</t>
  </si>
  <si>
    <t>3158554467</t>
  </si>
  <si>
    <t>3107612488</t>
  </si>
  <si>
    <t>3115025016</t>
  </si>
  <si>
    <t>3108839242</t>
  </si>
  <si>
    <t>3207894309</t>
  </si>
  <si>
    <t>3004524162</t>
  </si>
  <si>
    <t>3103250715</t>
  </si>
  <si>
    <t>3115719425</t>
  </si>
  <si>
    <t>3002594948</t>
  </si>
  <si>
    <t>3058262801</t>
  </si>
  <si>
    <t>3118354136</t>
  </si>
  <si>
    <t>3017875265</t>
  </si>
  <si>
    <t>3173792339</t>
  </si>
  <si>
    <t>3124579914</t>
  </si>
  <si>
    <t>3173315934</t>
  </si>
  <si>
    <t>3138893574</t>
  </si>
  <si>
    <t>3213017522</t>
  </si>
  <si>
    <t>3142525926</t>
  </si>
  <si>
    <t>3132893356</t>
  </si>
  <si>
    <t>3012378341</t>
  </si>
  <si>
    <t>3185719850</t>
  </si>
  <si>
    <t>3144405375</t>
  </si>
  <si>
    <t>3209632750</t>
  </si>
  <si>
    <t>3134914928</t>
  </si>
  <si>
    <t>3132108652</t>
  </si>
  <si>
    <t>3165541445</t>
  </si>
  <si>
    <t>3126184420</t>
  </si>
  <si>
    <t>3222015450</t>
  </si>
  <si>
    <t>3003756205</t>
  </si>
  <si>
    <t>3115138400</t>
  </si>
  <si>
    <t>3174080224</t>
  </si>
  <si>
    <t>3153085661</t>
  </si>
  <si>
    <t>3125361897</t>
  </si>
  <si>
    <t>3204140376</t>
  </si>
  <si>
    <t>3154455993</t>
  </si>
  <si>
    <t>3016376687</t>
  </si>
  <si>
    <t>3125428480</t>
  </si>
  <si>
    <t>3105379505</t>
  </si>
  <si>
    <t>3114611660</t>
  </si>
  <si>
    <t>3138794805</t>
  </si>
  <si>
    <t>3212392367</t>
  </si>
  <si>
    <t>3212171057</t>
  </si>
  <si>
    <t>3208805144</t>
  </si>
  <si>
    <t>3176912769</t>
  </si>
  <si>
    <t>3124299574</t>
  </si>
  <si>
    <t>3102800742</t>
  </si>
  <si>
    <t>3202947040</t>
  </si>
  <si>
    <t>3204962054</t>
  </si>
  <si>
    <t>3133532969</t>
  </si>
  <si>
    <t>3114520432</t>
  </si>
  <si>
    <t>3208004707</t>
  </si>
  <si>
    <t>3112006279</t>
  </si>
  <si>
    <t>3102492530</t>
  </si>
  <si>
    <t>3178600233</t>
  </si>
  <si>
    <t>3143612591</t>
  </si>
  <si>
    <t>3112477401</t>
  </si>
  <si>
    <t>3158808322</t>
  </si>
  <si>
    <t>3204497229</t>
  </si>
  <si>
    <t>3202577819</t>
  </si>
  <si>
    <t>3213696881</t>
  </si>
  <si>
    <t>3124928620</t>
  </si>
  <si>
    <t>3138753979</t>
  </si>
  <si>
    <t>3232912151</t>
  </si>
  <si>
    <t>3125164343</t>
  </si>
  <si>
    <t>3102081779</t>
  </si>
  <si>
    <t>3112425994</t>
  </si>
  <si>
    <t>3132410736</t>
  </si>
  <si>
    <t>3134153346</t>
  </si>
  <si>
    <t>3104582596</t>
  </si>
  <si>
    <t>3143195923</t>
  </si>
  <si>
    <t>3144483914</t>
  </si>
  <si>
    <t>3204595250</t>
  </si>
  <si>
    <t>3144429617</t>
  </si>
  <si>
    <t>3174339373</t>
  </si>
  <si>
    <t>3143728159</t>
  </si>
  <si>
    <t>3176753614</t>
  </si>
  <si>
    <t>3112850249</t>
  </si>
  <si>
    <t>3144051728</t>
  </si>
  <si>
    <t>3105618403</t>
  </si>
  <si>
    <t>3114783605</t>
  </si>
  <si>
    <t>3132117761</t>
  </si>
  <si>
    <t>3137867181</t>
  </si>
  <si>
    <t>3115238211</t>
  </si>
  <si>
    <t>3043580803</t>
  </si>
  <si>
    <t>3232932217</t>
  </si>
  <si>
    <t>3134265533</t>
  </si>
  <si>
    <t>3124157158</t>
  </si>
  <si>
    <t>3118232734</t>
  </si>
  <si>
    <t>3202367424</t>
  </si>
  <si>
    <t>3213084209</t>
  </si>
  <si>
    <t>3208004430</t>
  </si>
  <si>
    <t>3115016895</t>
  </si>
  <si>
    <t>3202933906</t>
  </si>
  <si>
    <t>3115214949</t>
  </si>
  <si>
    <t>3132814761</t>
  </si>
  <si>
    <t>3104754705</t>
  </si>
  <si>
    <t>3007424685</t>
  </si>
  <si>
    <t>3006454051</t>
  </si>
  <si>
    <t>3002660300</t>
  </si>
  <si>
    <t>3004833307</t>
  </si>
  <si>
    <t>3004582126</t>
  </si>
  <si>
    <t>3228560237</t>
  </si>
  <si>
    <t>3125903308</t>
  </si>
  <si>
    <t>3212798354</t>
  </si>
  <si>
    <t>3152825613</t>
  </si>
  <si>
    <t>3118451487</t>
  </si>
  <si>
    <t>3142811678</t>
  </si>
  <si>
    <t>3102078090</t>
  </si>
  <si>
    <t>3203226014</t>
  </si>
  <si>
    <t>3142078453</t>
  </si>
  <si>
    <t>3222401948</t>
  </si>
  <si>
    <t>3105186163</t>
  </si>
  <si>
    <t>3004663695</t>
  </si>
  <si>
    <t>3144404258</t>
  </si>
  <si>
    <t>3112903856</t>
  </si>
  <si>
    <t>3205610915</t>
  </si>
  <si>
    <t>3234871792</t>
  </si>
  <si>
    <t>3102658697</t>
  </si>
  <si>
    <t>3118993384</t>
  </si>
  <si>
    <t>3106010224</t>
  </si>
  <si>
    <t>3123147680</t>
  </si>
  <si>
    <t>3142716623</t>
  </si>
  <si>
    <t>3144928425</t>
  </si>
  <si>
    <t>3204831422</t>
  </si>
  <si>
    <t>3152423938</t>
  </si>
  <si>
    <t>3125978955</t>
  </si>
  <si>
    <t>3214056977</t>
  </si>
  <si>
    <t>3102098029</t>
  </si>
  <si>
    <t>3102814893</t>
  </si>
  <si>
    <t>3144727199</t>
  </si>
  <si>
    <t>3204771681</t>
  </si>
  <si>
    <t>3184590011</t>
  </si>
  <si>
    <t>3157024882</t>
  </si>
  <si>
    <t>3112283432</t>
  </si>
  <si>
    <t>3132236481</t>
  </si>
  <si>
    <t>3102302586</t>
  </si>
  <si>
    <t>3143332098</t>
  </si>
  <si>
    <t>3172988063</t>
  </si>
  <si>
    <t>3133749138</t>
  </si>
  <si>
    <t>3143764831</t>
  </si>
  <si>
    <t>3102155144</t>
  </si>
  <si>
    <t>3167412181</t>
  </si>
  <si>
    <t>3183350291</t>
  </si>
  <si>
    <t>3025276019</t>
  </si>
  <si>
    <t>3167658224</t>
  </si>
  <si>
    <t>3107741996</t>
  </si>
  <si>
    <t>3158527109</t>
  </si>
  <si>
    <t>3212435586</t>
  </si>
  <si>
    <t>3203146762</t>
  </si>
  <si>
    <t>3213680310</t>
  </si>
  <si>
    <t>3238749464</t>
  </si>
  <si>
    <t>3185507906</t>
  </si>
  <si>
    <t>3330445044</t>
  </si>
  <si>
    <t>3112662817</t>
  </si>
  <si>
    <t>3125875068</t>
  </si>
  <si>
    <t>3115068609</t>
  </si>
  <si>
    <t>3042034430</t>
  </si>
  <si>
    <t>3105602791</t>
  </si>
  <si>
    <t>3206105749</t>
  </si>
  <si>
    <t>3138262057</t>
  </si>
  <si>
    <t>3153745353</t>
  </si>
  <si>
    <t>3185873422</t>
  </si>
  <si>
    <t>3102455435</t>
  </si>
  <si>
    <t>3213201951</t>
  </si>
  <si>
    <t>3125311811</t>
  </si>
  <si>
    <t>3005666395</t>
  </si>
  <si>
    <t>3016587117</t>
  </si>
  <si>
    <t>3167484756</t>
  </si>
  <si>
    <t>3123563118</t>
  </si>
  <si>
    <t>3233041229</t>
  </si>
  <si>
    <t>3224834330</t>
  </si>
  <si>
    <t>3144826677</t>
  </si>
  <si>
    <t>3144024511</t>
  </si>
  <si>
    <t>3132710543</t>
  </si>
  <si>
    <t>3175115741</t>
  </si>
  <si>
    <t>3133790547</t>
  </si>
  <si>
    <t>3202717276</t>
  </si>
  <si>
    <t>3167861538</t>
  </si>
  <si>
    <t>3174539762</t>
  </si>
  <si>
    <t>3144726633</t>
  </si>
  <si>
    <t>3176801573</t>
  </si>
  <si>
    <t>3102943316</t>
  </si>
  <si>
    <t>3142389957</t>
  </si>
  <si>
    <t>3175908733</t>
  </si>
  <si>
    <t>3012059619</t>
  </si>
  <si>
    <t>3125093012</t>
  </si>
  <si>
    <t>3145159154</t>
  </si>
  <si>
    <t>3102691619</t>
  </si>
  <si>
    <t>3157345150</t>
  </si>
  <si>
    <t>3015324933</t>
  </si>
  <si>
    <t>3143133563</t>
  </si>
  <si>
    <t>3115712581</t>
  </si>
  <si>
    <t>3144670825</t>
  </si>
  <si>
    <t>3174782694</t>
  </si>
  <si>
    <t>3016479119</t>
  </si>
  <si>
    <t>3107863577</t>
  </si>
  <si>
    <t>3142196651</t>
  </si>
  <si>
    <t>3138544316</t>
  </si>
  <si>
    <t>3204572433</t>
  </si>
  <si>
    <t>3115173450</t>
  </si>
  <si>
    <t>3124334906</t>
  </si>
  <si>
    <t>3156135847</t>
  </si>
  <si>
    <t>3125792046</t>
  </si>
  <si>
    <t>3004122939</t>
  </si>
  <si>
    <t>3142170842</t>
  </si>
  <si>
    <t>3115063395</t>
  </si>
  <si>
    <t>3212886540</t>
  </si>
  <si>
    <t>3135737879</t>
  </si>
  <si>
    <t>3124323001</t>
  </si>
  <si>
    <t>3227337128</t>
  </si>
  <si>
    <t>3228837549</t>
  </si>
  <si>
    <t>3205600072</t>
  </si>
  <si>
    <t>3108123604</t>
  </si>
  <si>
    <t>3178533946</t>
  </si>
  <si>
    <t>3154893463</t>
  </si>
  <si>
    <t>2852400</t>
  </si>
  <si>
    <t>3208566752</t>
  </si>
  <si>
    <t>7603303</t>
  </si>
  <si>
    <t>3219068397</t>
  </si>
  <si>
    <t>7852091</t>
  </si>
  <si>
    <t>3108521096</t>
  </si>
  <si>
    <t>7793295</t>
  </si>
  <si>
    <t>3115571410</t>
  </si>
  <si>
    <t>3134573260</t>
  </si>
  <si>
    <t>2902688</t>
  </si>
  <si>
    <t>3107555912</t>
  </si>
  <si>
    <t>7617149</t>
  </si>
  <si>
    <t>3203710947</t>
  </si>
  <si>
    <t>7638128</t>
  </si>
  <si>
    <t>3133299407</t>
  </si>
  <si>
    <t>6460505</t>
  </si>
  <si>
    <t>3134190862</t>
  </si>
  <si>
    <t>7603869</t>
  </si>
  <si>
    <t>4810700</t>
  </si>
  <si>
    <t>7603691-3107740527</t>
  </si>
  <si>
    <t>7600109</t>
  </si>
  <si>
    <t>6540999</t>
  </si>
  <si>
    <t>3222525965</t>
  </si>
  <si>
    <t>7053060</t>
  </si>
  <si>
    <t>6012600783</t>
  </si>
  <si>
    <t>3187288064</t>
  </si>
  <si>
    <t>3225911939</t>
  </si>
  <si>
    <t>6084848</t>
  </si>
  <si>
    <t>3102363776</t>
  </si>
  <si>
    <t>7602243-3106098735</t>
  </si>
  <si>
    <t>3209651765</t>
  </si>
  <si>
    <t>2810553-3157651110</t>
  </si>
  <si>
    <t>7604067-3133773549</t>
  </si>
  <si>
    <t>7604277</t>
  </si>
  <si>
    <t>3173005855</t>
  </si>
  <si>
    <t>7603114</t>
  </si>
  <si>
    <t>3144721934</t>
  </si>
  <si>
    <t>7451414</t>
  </si>
  <si>
    <t>3152367909</t>
  </si>
  <si>
    <t>3183727274</t>
  </si>
  <si>
    <t>3108784721</t>
  </si>
  <si>
    <t>6501220</t>
  </si>
  <si>
    <t>CL 39 BIS 29 34</t>
  </si>
  <si>
    <t>4846000-3208656583</t>
  </si>
  <si>
    <t>6018770840</t>
  </si>
  <si>
    <t>7627323-3123790007</t>
  </si>
  <si>
    <t>6014176696</t>
  </si>
  <si>
    <t>3114814051</t>
  </si>
  <si>
    <t>7638361</t>
  </si>
  <si>
    <t>3153283327</t>
  </si>
  <si>
    <t>3104789727</t>
  </si>
  <si>
    <t>3174235977</t>
  </si>
  <si>
    <t>3104761358</t>
  </si>
  <si>
    <t>3228173781</t>
  </si>
  <si>
    <t>3142986855</t>
  </si>
  <si>
    <t>3176572857</t>
  </si>
  <si>
    <t>3007758815</t>
  </si>
  <si>
    <t>3203809574</t>
  </si>
  <si>
    <t>2850185</t>
  </si>
  <si>
    <t>3153162653</t>
  </si>
  <si>
    <t>7869219</t>
  </si>
  <si>
    <t>7400246 - 3158988156</t>
  </si>
  <si>
    <t>3217583539</t>
  </si>
  <si>
    <t>3153162121</t>
  </si>
  <si>
    <t>3164703546</t>
  </si>
  <si>
    <t>7441565/6850</t>
  </si>
  <si>
    <t>3114775427</t>
  </si>
  <si>
    <t>7602669-3125116501</t>
  </si>
  <si>
    <t>3123045315</t>
  </si>
  <si>
    <t>3138150403</t>
  </si>
  <si>
    <t>7602319</t>
  </si>
  <si>
    <t>3118262562</t>
  </si>
  <si>
    <t>3224073931</t>
  </si>
  <si>
    <t>3016138557</t>
  </si>
  <si>
    <t>3125090917</t>
  </si>
  <si>
    <t>3114818333</t>
  </si>
  <si>
    <t>3168679062</t>
  </si>
  <si>
    <t>7621627</t>
  </si>
  <si>
    <t>3164986887</t>
  </si>
  <si>
    <t>3103040526</t>
  </si>
  <si>
    <t>3124573876</t>
  </si>
  <si>
    <t>3203395246</t>
  </si>
  <si>
    <t>7627804</t>
  </si>
  <si>
    <t>7602512</t>
  </si>
  <si>
    <t>3114439411</t>
  </si>
  <si>
    <t>3123098502</t>
  </si>
  <si>
    <t>3103071072</t>
  </si>
  <si>
    <t>3138850725</t>
  </si>
  <si>
    <t>3153738015</t>
  </si>
  <si>
    <t>7606977-3153344231</t>
  </si>
  <si>
    <t>3105128059</t>
  </si>
  <si>
    <t>3209964539</t>
  </si>
  <si>
    <t>3204529525</t>
  </si>
  <si>
    <t>3133386201</t>
  </si>
  <si>
    <t>7628255</t>
  </si>
  <si>
    <t>3138083676</t>
  </si>
  <si>
    <t>7605585-3204925513</t>
  </si>
  <si>
    <t>3158953325</t>
  </si>
  <si>
    <t>3202072811</t>
  </si>
  <si>
    <t>3114535259</t>
  </si>
  <si>
    <t>3223069403</t>
  </si>
  <si>
    <t>3123116434</t>
  </si>
  <si>
    <t>310858731</t>
  </si>
  <si>
    <t>3208527287</t>
  </si>
  <si>
    <t>3144106532</t>
  </si>
  <si>
    <t>7623145</t>
  </si>
  <si>
    <t>3185528089</t>
  </si>
  <si>
    <t>7628049--3103421296</t>
  </si>
  <si>
    <t>3115291306</t>
  </si>
  <si>
    <t>3209522902</t>
  </si>
  <si>
    <t>7611088</t>
  </si>
  <si>
    <t>3153692954</t>
  </si>
  <si>
    <t>7623882</t>
  </si>
  <si>
    <t>3234900301</t>
  </si>
  <si>
    <t>7424525</t>
  </si>
  <si>
    <t>3187129203</t>
  </si>
  <si>
    <t>8267750</t>
  </si>
  <si>
    <t>3102412281</t>
  </si>
  <si>
    <t>3102618260</t>
  </si>
  <si>
    <t>6001600</t>
  </si>
  <si>
    <t>3138283035</t>
  </si>
  <si>
    <t>7953000</t>
  </si>
  <si>
    <t>3204034507</t>
  </si>
  <si>
    <t>3504254846</t>
  </si>
  <si>
    <t>3044117780</t>
  </si>
  <si>
    <t>3123867156</t>
  </si>
  <si>
    <t>3232949809</t>
  </si>
  <si>
    <t>6087626820</t>
  </si>
  <si>
    <t>3217832438</t>
  </si>
  <si>
    <t>5169036</t>
  </si>
  <si>
    <t>3226429749</t>
  </si>
  <si>
    <t>3134671249</t>
  </si>
  <si>
    <t>4194949</t>
  </si>
  <si>
    <t>3219756130</t>
  </si>
  <si>
    <t>3204980443</t>
  </si>
  <si>
    <t>5765122</t>
  </si>
  <si>
    <t>5219000-</t>
  </si>
  <si>
    <t>5702727-2601</t>
  </si>
  <si>
    <t>6014172858</t>
  </si>
  <si>
    <t>(571)4056464</t>
  </si>
  <si>
    <t>7447520</t>
  </si>
  <si>
    <t>3134222465</t>
  </si>
  <si>
    <t>0312472300</t>
  </si>
  <si>
    <t>3134590530</t>
  </si>
  <si>
    <t>3759600</t>
  </si>
  <si>
    <t>3122657315</t>
  </si>
  <si>
    <t>6502200</t>
  </si>
  <si>
    <t>3383724-3383725</t>
  </si>
  <si>
    <t>2456880</t>
  </si>
  <si>
    <t>2670410</t>
  </si>
  <si>
    <t>7638000-7638001</t>
  </si>
  <si>
    <t>3203504004</t>
  </si>
  <si>
    <t>7700529</t>
  </si>
  <si>
    <t>2521103</t>
  </si>
  <si>
    <t>7700100-5633</t>
  </si>
  <si>
    <t>3112187248</t>
  </si>
  <si>
    <t>3134668777</t>
  </si>
  <si>
    <t>6110983</t>
  </si>
  <si>
    <t>3215392358</t>
  </si>
  <si>
    <t>3168211358</t>
  </si>
  <si>
    <t>3112816205</t>
  </si>
  <si>
    <t>3203332062</t>
  </si>
  <si>
    <t>6464330</t>
  </si>
  <si>
    <t>33144704842</t>
  </si>
  <si>
    <t>3104799278</t>
  </si>
  <si>
    <t>3609660</t>
  </si>
  <si>
    <t>3267600</t>
  </si>
  <si>
    <t>3106369861</t>
  </si>
  <si>
    <t>3693300</t>
  </si>
  <si>
    <t>3176551080</t>
  </si>
  <si>
    <t>3168745573</t>
  </si>
  <si>
    <t>6582840</t>
  </si>
  <si>
    <t>7624019</t>
  </si>
  <si>
    <t>2339747</t>
  </si>
  <si>
    <t>3152095549</t>
  </si>
  <si>
    <t>4311044</t>
  </si>
  <si>
    <t>3118083502</t>
  </si>
  <si>
    <t>6658992</t>
  </si>
  <si>
    <t>3188020759</t>
  </si>
  <si>
    <t>3125750026</t>
  </si>
  <si>
    <t>3132494992</t>
  </si>
  <si>
    <t>7407708</t>
  </si>
  <si>
    <t>3500060</t>
  </si>
  <si>
    <t>7706796</t>
  </si>
  <si>
    <t>3649777-3649</t>
  </si>
  <si>
    <t>3656000</t>
  </si>
  <si>
    <t>6373838</t>
  </si>
  <si>
    <t>2752944</t>
  </si>
  <si>
    <t>6087638412</t>
  </si>
  <si>
    <t>6022856030</t>
  </si>
  <si>
    <t>7602888</t>
  </si>
  <si>
    <t>7606288</t>
  </si>
  <si>
    <t>3177039026</t>
  </si>
  <si>
    <t>3105762781</t>
  </si>
  <si>
    <t>3106463974</t>
  </si>
  <si>
    <t>3144113013</t>
  </si>
  <si>
    <t>3204907096</t>
  </si>
  <si>
    <t>7424676</t>
  </si>
  <si>
    <t>3107513935</t>
  </si>
  <si>
    <t>7602596</t>
  </si>
  <si>
    <t>3105788203</t>
  </si>
  <si>
    <t>7604701-3103489328</t>
  </si>
  <si>
    <t>7611491</t>
  </si>
  <si>
    <t>3157888994</t>
  </si>
  <si>
    <t>3176682462</t>
  </si>
  <si>
    <t>3158388058</t>
  </si>
  <si>
    <t>2496270</t>
  </si>
  <si>
    <t>3042901205</t>
  </si>
  <si>
    <t>3133959819</t>
  </si>
  <si>
    <t>3104288227</t>
  </si>
  <si>
    <t>7604749</t>
  </si>
  <si>
    <t>3214532330</t>
  </si>
  <si>
    <t>3336026076</t>
  </si>
  <si>
    <t>7604756-7631448</t>
  </si>
  <si>
    <t>3133445590</t>
  </si>
  <si>
    <t>3133088576</t>
  </si>
  <si>
    <t>3183584949</t>
  </si>
  <si>
    <t>3212018102</t>
  </si>
  <si>
    <t>3203987231</t>
  </si>
  <si>
    <t>3114473290</t>
  </si>
  <si>
    <t>7628766</t>
  </si>
  <si>
    <t>3229486364</t>
  </si>
  <si>
    <t>8016741</t>
  </si>
  <si>
    <t>3112159534</t>
  </si>
  <si>
    <t>3102073462</t>
  </si>
  <si>
    <t>3132094755</t>
  </si>
  <si>
    <t>3133608042</t>
  </si>
  <si>
    <t>3134500376</t>
  </si>
  <si>
    <t>3162943132</t>
  </si>
  <si>
    <t>3144112846</t>
  </si>
  <si>
    <t>3158222252 -7623238</t>
  </si>
  <si>
    <t>3138172699</t>
  </si>
  <si>
    <t>3132844333</t>
  </si>
  <si>
    <t>3133895082</t>
  </si>
  <si>
    <t>3124490348</t>
  </si>
  <si>
    <t>3222247616</t>
  </si>
  <si>
    <t>3104128910</t>
  </si>
  <si>
    <t>3214536105</t>
  </si>
  <si>
    <t>3162344583</t>
  </si>
  <si>
    <t>7444474</t>
  </si>
  <si>
    <t>3144119226</t>
  </si>
  <si>
    <t>3232096048</t>
  </si>
  <si>
    <t>7606309</t>
  </si>
  <si>
    <t>3142568652</t>
  </si>
  <si>
    <t>3134051723</t>
  </si>
  <si>
    <t>3175004263</t>
  </si>
  <si>
    <t>3102087056</t>
  </si>
  <si>
    <t>3164677724</t>
  </si>
  <si>
    <t>3108784545</t>
  </si>
  <si>
    <t>3214228853</t>
  </si>
  <si>
    <t>3203994080</t>
  </si>
  <si>
    <t>3865880</t>
  </si>
  <si>
    <t>3204123696</t>
  </si>
  <si>
    <t>3143950884-7623893</t>
  </si>
  <si>
    <t>3157962164</t>
  </si>
  <si>
    <t>315316848</t>
  </si>
  <si>
    <t>6013266595</t>
  </si>
  <si>
    <t>3233019198</t>
  </si>
  <si>
    <t>3142348369</t>
  </si>
  <si>
    <t>3202331053</t>
  </si>
  <si>
    <t>7430990</t>
  </si>
  <si>
    <t>3125172513</t>
  </si>
  <si>
    <t>3112169301</t>
  </si>
  <si>
    <t>3142016577</t>
  </si>
  <si>
    <t>3138309064</t>
  </si>
  <si>
    <t>3204954093</t>
  </si>
  <si>
    <t>3174995109</t>
  </si>
  <si>
    <t>3124339885</t>
  </si>
  <si>
    <t>3202752133</t>
  </si>
  <si>
    <t>3114591524</t>
  </si>
  <si>
    <t>302516499</t>
  </si>
  <si>
    <t>3012878760</t>
  </si>
  <si>
    <t>3158560851</t>
  </si>
  <si>
    <t>3144500555</t>
  </si>
  <si>
    <t>3112174549</t>
  </si>
  <si>
    <t>3143595318</t>
  </si>
  <si>
    <t>3115656736</t>
  </si>
  <si>
    <t>3134129980</t>
  </si>
  <si>
    <t>3112359413-3105514839</t>
  </si>
  <si>
    <t>3138798884</t>
  </si>
  <si>
    <t>3204169324</t>
  </si>
  <si>
    <t>3115011036</t>
  </si>
  <si>
    <t>7850739</t>
  </si>
  <si>
    <t>3112933418</t>
  </si>
  <si>
    <t>3188269814</t>
  </si>
  <si>
    <t>7422793</t>
  </si>
  <si>
    <t>3228241226</t>
  </si>
  <si>
    <t>3164464668</t>
  </si>
  <si>
    <t>601630246</t>
  </si>
  <si>
    <t>3104812908</t>
  </si>
  <si>
    <t>3144580191</t>
  </si>
  <si>
    <t>3103222924-3202746474</t>
  </si>
  <si>
    <t>7638829</t>
  </si>
  <si>
    <t>3005707933</t>
  </si>
  <si>
    <t>3209644247</t>
  </si>
  <si>
    <t>3134170774</t>
  </si>
  <si>
    <t>3203340887</t>
  </si>
  <si>
    <t>3144854633</t>
  </si>
  <si>
    <t>3212063014</t>
  </si>
  <si>
    <t>3143943650</t>
  </si>
  <si>
    <t>6377978</t>
  </si>
  <si>
    <t>3108614250</t>
  </si>
  <si>
    <t>3138178056</t>
  </si>
  <si>
    <t>6017449877</t>
  </si>
  <si>
    <t>3223560000</t>
  </si>
  <si>
    <t>7628531</t>
  </si>
  <si>
    <t>3002085357</t>
  </si>
  <si>
    <t>3115068625</t>
  </si>
  <si>
    <t>3104808318</t>
  </si>
  <si>
    <t>3108840274</t>
  </si>
  <si>
    <t>3102135136</t>
  </si>
  <si>
    <t>7603535</t>
  </si>
  <si>
    <t>3124603913</t>
  </si>
  <si>
    <t>3124401372</t>
  </si>
  <si>
    <t>3118236431</t>
  </si>
  <si>
    <t>3112689619</t>
  </si>
  <si>
    <t>318.065667</t>
  </si>
  <si>
    <t>3142277260</t>
  </si>
  <si>
    <t>3143259863</t>
  </si>
  <si>
    <t>3142429118</t>
  </si>
  <si>
    <t>3212016182</t>
  </si>
  <si>
    <t>7614587-3208530719</t>
  </si>
  <si>
    <t>3148121910</t>
  </si>
  <si>
    <t>3212332592</t>
  </si>
  <si>
    <t>3006742393</t>
  </si>
  <si>
    <t>3132937783</t>
  </si>
  <si>
    <t>3223104783</t>
  </si>
  <si>
    <t>7628430</t>
  </si>
  <si>
    <t>3144119191</t>
  </si>
  <si>
    <t>3214613297</t>
  </si>
  <si>
    <t>3103423849</t>
  </si>
  <si>
    <t>3108537493</t>
  </si>
  <si>
    <t>3103029597</t>
  </si>
  <si>
    <t>3124742249</t>
  </si>
  <si>
    <t>3213517561</t>
  </si>
  <si>
    <t>3144709297</t>
  </si>
  <si>
    <t>3159262914-3107515166</t>
  </si>
  <si>
    <t>3168675748</t>
  </si>
  <si>
    <t>3113372368</t>
  </si>
  <si>
    <t>3209887966</t>
  </si>
  <si>
    <t>3214707763</t>
  </si>
  <si>
    <t>3144695407</t>
  </si>
  <si>
    <t>7614195</t>
  </si>
  <si>
    <t>3204893856</t>
  </si>
  <si>
    <t>3203501181</t>
  </si>
  <si>
    <t>3115990784</t>
  </si>
  <si>
    <t>3164013979</t>
  </si>
  <si>
    <t>3166942230</t>
  </si>
  <si>
    <t>3112847986</t>
  </si>
  <si>
    <t>3214144084</t>
  </si>
  <si>
    <t>3103042213</t>
  </si>
  <si>
    <t>3103171406</t>
  </si>
  <si>
    <t>3138136341</t>
  </si>
  <si>
    <t>4078646-3203448117</t>
  </si>
  <si>
    <t>3204400887</t>
  </si>
  <si>
    <t>3102741470</t>
  </si>
  <si>
    <t>3112635672</t>
  </si>
  <si>
    <t>3115003066</t>
  </si>
  <si>
    <t>3012523420</t>
  </si>
  <si>
    <t>3132825182</t>
  </si>
  <si>
    <t>3212541085</t>
  </si>
  <si>
    <t>3182384818</t>
  </si>
  <si>
    <t>3103492273</t>
  </si>
  <si>
    <t>3203023623</t>
  </si>
  <si>
    <t>3102982812</t>
  </si>
  <si>
    <t>8891641</t>
  </si>
  <si>
    <t>3218903919</t>
  </si>
  <si>
    <t>3138528487</t>
  </si>
  <si>
    <t>3182615968</t>
  </si>
  <si>
    <t>3124782500</t>
  </si>
  <si>
    <t>3213384647</t>
  </si>
  <si>
    <t>6076915342</t>
  </si>
  <si>
    <t>3112851797</t>
  </si>
  <si>
    <t>3005572151</t>
  </si>
  <si>
    <t>3143867571</t>
  </si>
  <si>
    <t>7605065-3164698340</t>
  </si>
  <si>
    <t>3134318152-7625516</t>
  </si>
  <si>
    <t>3203950419</t>
  </si>
  <si>
    <t>311456279</t>
  </si>
  <si>
    <t>3112378516-3112335827</t>
  </si>
  <si>
    <t>3103351117</t>
  </si>
  <si>
    <t>3118486453</t>
  </si>
  <si>
    <t>3125822560</t>
  </si>
  <si>
    <t>3115602527</t>
  </si>
  <si>
    <t>7720040</t>
  </si>
  <si>
    <t>7612101</t>
  </si>
  <si>
    <t>3204119246</t>
  </si>
  <si>
    <t>3118858555</t>
  </si>
  <si>
    <t>3118115678</t>
  </si>
  <si>
    <t>3153072799</t>
  </si>
  <si>
    <t>3144701494</t>
  </si>
  <si>
    <t>3123771360</t>
  </si>
  <si>
    <t>3143896293</t>
  </si>
  <si>
    <t>3108142180</t>
  </si>
  <si>
    <t>3144445866</t>
  </si>
  <si>
    <t>3143126008</t>
  </si>
  <si>
    <t>3204366912</t>
  </si>
  <si>
    <t>3112032509</t>
  </si>
  <si>
    <t>3142109007</t>
  </si>
  <si>
    <t>3106780722</t>
  </si>
  <si>
    <t>3146599892</t>
  </si>
  <si>
    <t>3103497667</t>
  </si>
  <si>
    <t>3208559042</t>
  </si>
  <si>
    <t>3108786921</t>
  </si>
  <si>
    <t>3102057623</t>
  </si>
  <si>
    <t>3124821556</t>
  </si>
  <si>
    <t>3214684709</t>
  </si>
  <si>
    <t>3114982439</t>
  </si>
  <si>
    <t>3134005030</t>
  </si>
  <si>
    <t>3113365566</t>
  </si>
  <si>
    <t>3133766569</t>
  </si>
  <si>
    <t>3204167044</t>
  </si>
  <si>
    <t>3204085743</t>
  </si>
  <si>
    <t>3167504593</t>
  </si>
  <si>
    <t>6013232994</t>
  </si>
  <si>
    <t>3133471354</t>
  </si>
  <si>
    <t>3124470510</t>
  </si>
  <si>
    <t>3114516716</t>
  </si>
  <si>
    <t>3124845621</t>
  </si>
  <si>
    <t>3214496782</t>
  </si>
  <si>
    <t>3122577700</t>
  </si>
  <si>
    <t>3144513571</t>
  </si>
  <si>
    <t>3158570853</t>
  </si>
  <si>
    <t>3214485107</t>
  </si>
  <si>
    <t>3214224024</t>
  </si>
  <si>
    <t>3193162488</t>
  </si>
  <si>
    <t>3108846311</t>
  </si>
  <si>
    <t>3107951845</t>
  </si>
  <si>
    <t>3133908861</t>
  </si>
  <si>
    <t>3124792541</t>
  </si>
  <si>
    <t>3132092019</t>
  </si>
  <si>
    <t>3134780477</t>
  </si>
  <si>
    <t>3142576326</t>
  </si>
  <si>
    <t>3132918971</t>
  </si>
  <si>
    <t>3123709794</t>
  </si>
  <si>
    <t>3102117504</t>
  </si>
  <si>
    <t>3223039164</t>
  </si>
  <si>
    <t>3102931804</t>
  </si>
  <si>
    <t>3102471417</t>
  </si>
  <si>
    <t>3102557754</t>
  </si>
  <si>
    <t>3106886843</t>
  </si>
  <si>
    <t>3115521014</t>
  </si>
  <si>
    <t>3125966739</t>
  </si>
  <si>
    <t>3112403060</t>
  </si>
  <si>
    <t>3108872594</t>
  </si>
  <si>
    <t>3118080601</t>
  </si>
  <si>
    <t>3123759459</t>
  </si>
  <si>
    <t>3127805965</t>
  </si>
  <si>
    <t>3138928711</t>
  </si>
  <si>
    <t>3123269231</t>
  </si>
  <si>
    <t>3043364036</t>
  </si>
  <si>
    <t>3133001472</t>
  </si>
  <si>
    <t>3204298939</t>
  </si>
  <si>
    <t>3102400956</t>
  </si>
  <si>
    <t>3103161781</t>
  </si>
  <si>
    <t>3142521310</t>
  </si>
  <si>
    <t>3112699104</t>
  </si>
  <si>
    <t>3102102885</t>
  </si>
  <si>
    <t>3124417979</t>
  </si>
  <si>
    <t>3112123019</t>
  </si>
  <si>
    <t>3214211877</t>
  </si>
  <si>
    <t>3012908095</t>
  </si>
  <si>
    <t>3144438001</t>
  </si>
  <si>
    <t>3112109398</t>
  </si>
  <si>
    <t>3124457876</t>
  </si>
  <si>
    <t>3223145558</t>
  </si>
  <si>
    <t>3123866778</t>
  </si>
  <si>
    <t>3105863899</t>
  </si>
  <si>
    <t>3222664266</t>
  </si>
  <si>
    <t>3112152195</t>
  </si>
  <si>
    <t>3012309066</t>
  </si>
  <si>
    <t>3112643471</t>
  </si>
  <si>
    <t>3133102085</t>
  </si>
  <si>
    <t>3123506715</t>
  </si>
  <si>
    <t>3134112500</t>
  </si>
  <si>
    <t>3103405091</t>
  </si>
  <si>
    <t>3132484697</t>
  </si>
  <si>
    <t>3103115358</t>
  </si>
  <si>
    <t>3209380293</t>
  </si>
  <si>
    <t>3002504156</t>
  </si>
  <si>
    <t>3202296055</t>
  </si>
  <si>
    <t>3112002684</t>
  </si>
  <si>
    <t>3014596729</t>
  </si>
  <si>
    <t>3103084430</t>
  </si>
  <si>
    <t>3133973061</t>
  </si>
  <si>
    <t>3173686397</t>
  </si>
  <si>
    <t>3003400080</t>
  </si>
  <si>
    <t>3123741691</t>
  </si>
  <si>
    <t>3208332000</t>
  </si>
  <si>
    <t>3205421882</t>
  </si>
  <si>
    <t>3172345713</t>
  </si>
  <si>
    <t>3143951669</t>
  </si>
  <si>
    <t>3102682617</t>
  </si>
  <si>
    <t>3133931766</t>
  </si>
  <si>
    <t>3022476348</t>
  </si>
  <si>
    <t>3235863534</t>
  </si>
  <si>
    <t>3108503505</t>
  </si>
  <si>
    <t>3108025215</t>
  </si>
  <si>
    <t>3226399959</t>
  </si>
  <si>
    <t>3118087872</t>
  </si>
  <si>
    <t>3013719742</t>
  </si>
  <si>
    <t>3208538838</t>
  </si>
  <si>
    <t>3124403015</t>
  </si>
  <si>
    <t>3208017289</t>
  </si>
  <si>
    <t>3212028490</t>
  </si>
  <si>
    <t>3133955049</t>
  </si>
  <si>
    <t>3203965874</t>
  </si>
  <si>
    <t>6043123</t>
  </si>
  <si>
    <t>3114827051</t>
  </si>
  <si>
    <t>3174302959</t>
  </si>
  <si>
    <t>3132069394</t>
  </si>
  <si>
    <t>3114511885</t>
  </si>
  <si>
    <t>3204462737</t>
  </si>
  <si>
    <t>3108680965</t>
  </si>
  <si>
    <t>3008689201</t>
  </si>
  <si>
    <t>3176416313</t>
  </si>
  <si>
    <t>3155601010</t>
  </si>
  <si>
    <t>3112384814</t>
  </si>
  <si>
    <t>3165249580</t>
  </si>
  <si>
    <t>3143755049</t>
  </si>
  <si>
    <t>6087700557</t>
  </si>
  <si>
    <t>3107623780</t>
  </si>
  <si>
    <t>3143082756</t>
  </si>
  <si>
    <t>3112188726</t>
  </si>
  <si>
    <t>3167436228</t>
  </si>
  <si>
    <t>3184936241</t>
  </si>
  <si>
    <t>3105255934</t>
  </si>
  <si>
    <t>3133667540</t>
  </si>
  <si>
    <t>3155531099</t>
  </si>
  <si>
    <t>3112093354</t>
  </si>
  <si>
    <t>3108698886</t>
  </si>
  <si>
    <t>3173934200</t>
  </si>
  <si>
    <t>3125587943</t>
  </si>
  <si>
    <t>3104959012</t>
  </si>
  <si>
    <t>3108808849</t>
  </si>
  <si>
    <t>3125174974</t>
  </si>
  <si>
    <t>3214433290</t>
  </si>
  <si>
    <t>3155205559</t>
  </si>
  <si>
    <t>3138261396</t>
  </si>
  <si>
    <t>3112947423</t>
  </si>
  <si>
    <t>3232914505</t>
  </si>
  <si>
    <t>3144119082</t>
  </si>
  <si>
    <t>3165207161</t>
  </si>
  <si>
    <t>3214245135</t>
  </si>
  <si>
    <t>3208367281</t>
  </si>
  <si>
    <t>3125464273</t>
  </si>
  <si>
    <t>3123399410</t>
  </si>
  <si>
    <t>3147878639</t>
  </si>
  <si>
    <t>3208013923</t>
  </si>
  <si>
    <t>3214516735</t>
  </si>
  <si>
    <t>3162409245</t>
  </si>
  <si>
    <t>3108023979</t>
  </si>
  <si>
    <t>3226801457</t>
  </si>
  <si>
    <t>3202714427</t>
  </si>
  <si>
    <t>3124557392</t>
  </si>
  <si>
    <t>3165085985</t>
  </si>
  <si>
    <t>3112283531-3125460852</t>
  </si>
  <si>
    <t>3102425962</t>
  </si>
  <si>
    <t>3144513124</t>
  </si>
  <si>
    <t>3142598986</t>
  </si>
  <si>
    <t>3112812618</t>
  </si>
  <si>
    <t>3124420057</t>
  </si>
  <si>
    <t>3214857683</t>
  </si>
  <si>
    <t>3112094123</t>
  </si>
  <si>
    <t>3118703979</t>
  </si>
  <si>
    <t>3103043636</t>
  </si>
  <si>
    <t>3203394486</t>
  </si>
  <si>
    <t>3188275220</t>
  </si>
  <si>
    <t>3123798627</t>
  </si>
  <si>
    <t>3112781317</t>
  </si>
  <si>
    <t>3013828830</t>
  </si>
  <si>
    <t>3102467427</t>
  </si>
  <si>
    <t>3125548344</t>
  </si>
  <si>
    <t>3208882741</t>
  </si>
  <si>
    <t>3219836515</t>
  </si>
  <si>
    <t>3112148064</t>
  </si>
  <si>
    <t>3118992953</t>
  </si>
  <si>
    <t>3167562441</t>
  </si>
  <si>
    <t>3214779003</t>
  </si>
  <si>
    <t>3142325205</t>
  </si>
  <si>
    <t>3153458097</t>
  </si>
  <si>
    <t>3108595458</t>
  </si>
  <si>
    <t>3115135995</t>
  </si>
  <si>
    <t>3118897206</t>
  </si>
  <si>
    <t>3118205043</t>
  </si>
  <si>
    <t>3138370666</t>
  </si>
  <si>
    <t>3105292802</t>
  </si>
  <si>
    <t>3143014724</t>
  </si>
  <si>
    <t>3103281180</t>
  </si>
  <si>
    <t>3202329718</t>
  </si>
  <si>
    <t>3115637127</t>
  </si>
  <si>
    <t>3188171055</t>
  </si>
  <si>
    <t>3142208344</t>
  </si>
  <si>
    <t>3103083978</t>
  </si>
  <si>
    <t>3208339494</t>
  </si>
  <si>
    <t>3042450659</t>
  </si>
  <si>
    <t>31085217707</t>
  </si>
  <si>
    <t>3185965459</t>
  </si>
  <si>
    <t>3125828534</t>
  </si>
  <si>
    <t>3186033526</t>
  </si>
  <si>
    <t>3107873716</t>
  </si>
  <si>
    <t>3132256299</t>
  </si>
  <si>
    <t>3144718468</t>
  </si>
  <si>
    <t>3204055630</t>
  </si>
  <si>
    <t>3138836428</t>
  </si>
  <si>
    <t>3204316889</t>
  </si>
  <si>
    <t>3213331389</t>
  </si>
  <si>
    <t>3108574629</t>
  </si>
  <si>
    <t>3174254535</t>
  </si>
  <si>
    <t>3053181777</t>
  </si>
  <si>
    <t>3212079206</t>
  </si>
  <si>
    <t>3114888032</t>
  </si>
  <si>
    <t>3132381516</t>
  </si>
  <si>
    <t>3144436215</t>
  </si>
  <si>
    <t>3115321415</t>
  </si>
  <si>
    <t>3115071628</t>
  </si>
  <si>
    <t>3114864553</t>
  </si>
  <si>
    <t>3134416512</t>
  </si>
  <si>
    <t>3104942267</t>
  </si>
  <si>
    <t>3112029564</t>
  </si>
  <si>
    <t>3208552616</t>
  </si>
  <si>
    <t>3212344842</t>
  </si>
  <si>
    <t>3118325866</t>
  </si>
  <si>
    <t>3132868714</t>
  </si>
  <si>
    <t>3142622596</t>
  </si>
  <si>
    <t>7560838</t>
  </si>
  <si>
    <t>3137209551</t>
  </si>
  <si>
    <t>3208141311</t>
  </si>
  <si>
    <t>3182222090</t>
  </si>
  <si>
    <t>3134533693</t>
  </si>
  <si>
    <t>3206325558</t>
  </si>
  <si>
    <t>3124371505</t>
  </si>
  <si>
    <t>3164049271</t>
  </si>
  <si>
    <t>3125396415</t>
  </si>
  <si>
    <t>3045456847</t>
  </si>
  <si>
    <t>3102566823</t>
  </si>
  <si>
    <t>3204104441</t>
  </si>
  <si>
    <t>3142054184</t>
  </si>
  <si>
    <t>3123250004</t>
  </si>
  <si>
    <t>3228421265</t>
  </si>
  <si>
    <t>3112227136</t>
  </si>
  <si>
    <t>3104829482</t>
  </si>
  <si>
    <t>3168774775</t>
  </si>
  <si>
    <t>3226585342</t>
  </si>
  <si>
    <t>3156018785</t>
  </si>
  <si>
    <t>3142996631</t>
  </si>
  <si>
    <t>3135970057</t>
  </si>
  <si>
    <t>3045376049</t>
  </si>
  <si>
    <t>3202812952</t>
  </si>
  <si>
    <t>3112378080</t>
  </si>
  <si>
    <t>3213464496</t>
  </si>
  <si>
    <t>3202603150</t>
  </si>
  <si>
    <t>3117665514</t>
  </si>
  <si>
    <t>3203432432</t>
  </si>
  <si>
    <t>3203145775</t>
  </si>
  <si>
    <t>3153170070</t>
  </si>
  <si>
    <t>3102241373</t>
  </si>
  <si>
    <t>3115964882</t>
  </si>
  <si>
    <t>3202576126</t>
  </si>
  <si>
    <t>3104730625</t>
  </si>
  <si>
    <t>3222178757</t>
  </si>
  <si>
    <t>3132589720</t>
  </si>
  <si>
    <t>3246852177</t>
  </si>
  <si>
    <t>3206304267</t>
  </si>
  <si>
    <t>3224579431</t>
  </si>
  <si>
    <t>3104881765</t>
  </si>
  <si>
    <t>3203004439</t>
  </si>
  <si>
    <t>3103101354</t>
  </si>
  <si>
    <t>3044603801</t>
  </si>
  <si>
    <t>3124354049</t>
  </si>
  <si>
    <t>3123387817</t>
  </si>
  <si>
    <t>3212073400</t>
  </si>
  <si>
    <t>3123511134</t>
  </si>
  <si>
    <t>3204394262</t>
  </si>
  <si>
    <t>3222863850</t>
  </si>
  <si>
    <t>3115592309</t>
  </si>
  <si>
    <t>3017892976</t>
  </si>
  <si>
    <t>3207950415</t>
  </si>
  <si>
    <t>3143723023</t>
  </si>
  <si>
    <t>3103432846</t>
  </si>
  <si>
    <t>3006397794</t>
  </si>
  <si>
    <t>3144153520</t>
  </si>
  <si>
    <t>3206076724</t>
  </si>
  <si>
    <t>7657904</t>
  </si>
  <si>
    <t>3134096749</t>
  </si>
  <si>
    <t>3108187424</t>
  </si>
  <si>
    <t>3208502538</t>
  </si>
  <si>
    <t>3108727861</t>
  </si>
  <si>
    <t>3165206772</t>
  </si>
  <si>
    <t>3102158202</t>
  </si>
  <si>
    <t>3105796170</t>
  </si>
  <si>
    <t>3178340321</t>
  </si>
  <si>
    <t>3187956099</t>
  </si>
  <si>
    <t>300647029</t>
  </si>
  <si>
    <t>3157902192</t>
  </si>
  <si>
    <t>3133746473</t>
  </si>
  <si>
    <t>3134663759</t>
  </si>
  <si>
    <t>3205992236</t>
  </si>
  <si>
    <t>3213829837</t>
  </si>
  <si>
    <t>3133246950</t>
  </si>
  <si>
    <t>3241076656</t>
  </si>
  <si>
    <t>7638222</t>
  </si>
  <si>
    <t>3108516420</t>
  </si>
  <si>
    <t>6044482000</t>
  </si>
  <si>
    <t>3142946894</t>
  </si>
  <si>
    <t>3173640298</t>
  </si>
  <si>
    <t>3217760282</t>
  </si>
  <si>
    <t>3142699760</t>
  </si>
  <si>
    <t>3204649791</t>
  </si>
  <si>
    <t>3106752710</t>
  </si>
  <si>
    <t>3202648352</t>
  </si>
  <si>
    <t>3144858039</t>
  </si>
  <si>
    <t>3153209780</t>
  </si>
  <si>
    <t>3024606764</t>
  </si>
  <si>
    <t>3124323778</t>
  </si>
  <si>
    <t>3118547127</t>
  </si>
  <si>
    <t>3108619096</t>
  </si>
  <si>
    <t>3208716986</t>
  </si>
  <si>
    <t>3114674464</t>
  </si>
  <si>
    <t>3214518264</t>
  </si>
  <si>
    <t>3133407437</t>
  </si>
  <si>
    <t>3213880465</t>
  </si>
  <si>
    <t>3125093979</t>
  </si>
  <si>
    <t>3208012661</t>
  </si>
  <si>
    <t>3112524151</t>
  </si>
  <si>
    <t>3143574813</t>
  </si>
  <si>
    <t>3132484576</t>
  </si>
  <si>
    <t>3133815059</t>
  </si>
  <si>
    <t>3103361589</t>
  </si>
  <si>
    <t>3138887524</t>
  </si>
  <si>
    <t>3187166364</t>
  </si>
  <si>
    <t>3016356316</t>
  </si>
  <si>
    <t>3132218640</t>
  </si>
  <si>
    <t>3213977529</t>
  </si>
  <si>
    <t>3132071565</t>
  </si>
  <si>
    <t>3182723559</t>
  </si>
  <si>
    <t>3506120411</t>
  </si>
  <si>
    <t>3167589130</t>
  </si>
  <si>
    <t>3202713105</t>
  </si>
  <si>
    <t>3145189724</t>
  </si>
  <si>
    <t>3142904578</t>
  </si>
  <si>
    <t>3144009844</t>
  </si>
  <si>
    <t>3502464016</t>
  </si>
  <si>
    <t>3134222981</t>
  </si>
  <si>
    <t>3123131486</t>
  </si>
  <si>
    <t>3208611490</t>
  </si>
  <si>
    <t>3168652904</t>
  </si>
  <si>
    <t>3102512274</t>
  </si>
  <si>
    <t>3208247110</t>
  </si>
  <si>
    <t>3134359995</t>
  </si>
  <si>
    <t>3112301991</t>
  </si>
  <si>
    <t>6012019444</t>
  </si>
  <si>
    <t>3014382479</t>
  </si>
  <si>
    <t>3123034328</t>
  </si>
  <si>
    <t>3102401799</t>
  </si>
  <si>
    <t>3102699486</t>
  </si>
  <si>
    <t>3143437846</t>
  </si>
  <si>
    <t>3223052481</t>
  </si>
  <si>
    <t>3166452308</t>
  </si>
  <si>
    <t>3043851276</t>
  </si>
  <si>
    <t>3123362816</t>
  </si>
  <si>
    <t>3138832521</t>
  </si>
  <si>
    <t>3186794111</t>
  </si>
  <si>
    <t>3124829133</t>
  </si>
  <si>
    <t>3103530900</t>
  </si>
  <si>
    <t>3164310949</t>
  </si>
  <si>
    <t>3017757657</t>
  </si>
  <si>
    <t>3118538615</t>
  </si>
  <si>
    <t>3004370459</t>
  </si>
  <si>
    <t>3142334622</t>
  </si>
  <si>
    <t>3142948898</t>
  </si>
  <si>
    <t>3104788452</t>
  </si>
  <si>
    <t>3135864781</t>
  </si>
  <si>
    <t>3202726496</t>
  </si>
  <si>
    <t>3118349281</t>
  </si>
  <si>
    <t>3125210791</t>
  </si>
  <si>
    <t>3124314604</t>
  </si>
  <si>
    <t>3107753835</t>
  </si>
  <si>
    <t>3209393261</t>
  </si>
  <si>
    <t>3132531069</t>
  </si>
  <si>
    <t>3006623114</t>
  </si>
  <si>
    <t>3028617214</t>
  </si>
  <si>
    <t>3223443974</t>
  </si>
  <si>
    <t>3212240877</t>
  </si>
  <si>
    <t>3158171674</t>
  </si>
  <si>
    <t>3227011126</t>
  </si>
  <si>
    <t>3225975602</t>
  </si>
  <si>
    <t>3133691101</t>
  </si>
  <si>
    <t>3102797609</t>
  </si>
  <si>
    <t>3223078147</t>
  </si>
  <si>
    <t>3167394007</t>
  </si>
  <si>
    <t>3113869436</t>
  </si>
  <si>
    <t>3005695078</t>
  </si>
  <si>
    <t>3167295909</t>
  </si>
  <si>
    <t>3115791889</t>
  </si>
  <si>
    <t>3112961531</t>
  </si>
  <si>
    <t>3106804745</t>
  </si>
  <si>
    <t>3125368617</t>
  </si>
  <si>
    <t>3125586633</t>
  </si>
  <si>
    <t>3229748296</t>
  </si>
  <si>
    <t>3132800357</t>
  </si>
  <si>
    <t>3132042604</t>
  </si>
  <si>
    <t>605369905</t>
  </si>
  <si>
    <t>3125445026</t>
  </si>
  <si>
    <t>3223915347</t>
  </si>
  <si>
    <t>3229765783</t>
  </si>
  <si>
    <t>3157421269</t>
  </si>
  <si>
    <t>3229119522</t>
  </si>
  <si>
    <t>3118718220</t>
  </si>
  <si>
    <t>3142654914</t>
  </si>
  <si>
    <t>3116483132</t>
  </si>
  <si>
    <t>3167806477</t>
  </si>
  <si>
    <t>3142584108</t>
  </si>
  <si>
    <t>3209174701</t>
  </si>
  <si>
    <t>3025114805</t>
  </si>
  <si>
    <t>3208269527</t>
  </si>
  <si>
    <t>3212566409</t>
  </si>
  <si>
    <t>3222860433</t>
  </si>
  <si>
    <t>3161073186</t>
  </si>
  <si>
    <t>3115426743</t>
  </si>
  <si>
    <t>3124825741</t>
  </si>
  <si>
    <t>3209075740</t>
  </si>
  <si>
    <t>3112574495</t>
  </si>
  <si>
    <t>3107811565</t>
  </si>
  <si>
    <t>3202693019</t>
  </si>
  <si>
    <t>3115736313</t>
  </si>
  <si>
    <t>3016556056</t>
  </si>
  <si>
    <t>3147253877</t>
  </si>
  <si>
    <t>3102749672</t>
  </si>
  <si>
    <t>3132720197</t>
  </si>
  <si>
    <t>3195750046</t>
  </si>
  <si>
    <t>3222220094</t>
  </si>
  <si>
    <t>3114330003</t>
  </si>
  <si>
    <t>3106794110</t>
  </si>
  <si>
    <t>3214430252</t>
  </si>
  <si>
    <t>3123324127</t>
  </si>
  <si>
    <t>3209739429</t>
  </si>
  <si>
    <t>3203665743</t>
  </si>
  <si>
    <t>3186242676</t>
  </si>
  <si>
    <t>3106771083</t>
  </si>
  <si>
    <t>3137097146</t>
  </si>
  <si>
    <t>3214500424</t>
  </si>
  <si>
    <t>3138642299</t>
  </si>
  <si>
    <t>3213107311</t>
  </si>
  <si>
    <t>3222788043</t>
  </si>
  <si>
    <t>3123182325</t>
  </si>
  <si>
    <t>3112603427</t>
  </si>
  <si>
    <t>3114939694</t>
  </si>
  <si>
    <t>3133328727</t>
  </si>
  <si>
    <t>3124636980</t>
  </si>
  <si>
    <t>3025426065</t>
  </si>
  <si>
    <t>3222940159</t>
  </si>
  <si>
    <t>3213810622</t>
  </si>
  <si>
    <t>3125393421</t>
  </si>
  <si>
    <t>3204380520</t>
  </si>
  <si>
    <t>3114458253</t>
  </si>
  <si>
    <t>3203512571</t>
  </si>
  <si>
    <t>3108535032</t>
  </si>
  <si>
    <t>3104310024</t>
  </si>
  <si>
    <t>3126860384</t>
  </si>
  <si>
    <t>3134271824</t>
  </si>
  <si>
    <t>3223564583</t>
  </si>
  <si>
    <t>3142319020</t>
  </si>
  <si>
    <t>3235118780</t>
  </si>
  <si>
    <t>3214520493</t>
  </si>
  <si>
    <t>3103930939</t>
  </si>
  <si>
    <t>3155121650</t>
  </si>
  <si>
    <t>3138392642</t>
  </si>
  <si>
    <t>3143246761</t>
  </si>
  <si>
    <t>3152878935</t>
  </si>
  <si>
    <t>3195180280</t>
  </si>
  <si>
    <t>3227323028</t>
  </si>
  <si>
    <t>3222807227</t>
  </si>
  <si>
    <t>3124056960</t>
  </si>
  <si>
    <t>3118713782</t>
  </si>
  <si>
    <t>3204190284</t>
  </si>
  <si>
    <t>3202527666</t>
  </si>
  <si>
    <t>3222241286</t>
  </si>
  <si>
    <t>3208924605</t>
  </si>
  <si>
    <t>3132268721</t>
  </si>
  <si>
    <t>3212158791</t>
  </si>
  <si>
    <t>3202365188</t>
  </si>
  <si>
    <t>3043406819</t>
  </si>
  <si>
    <t>3219279899</t>
  </si>
  <si>
    <t>3203580259</t>
  </si>
  <si>
    <t>3123506985</t>
  </si>
  <si>
    <t>3112538951</t>
  </si>
  <si>
    <t>3214842874</t>
  </si>
  <si>
    <t>3045590266</t>
  </si>
  <si>
    <t>3118665332</t>
  </si>
  <si>
    <t>3223783770</t>
  </si>
  <si>
    <t>3205985570</t>
  </si>
  <si>
    <t>3136834902</t>
  </si>
  <si>
    <t>3213927655</t>
  </si>
  <si>
    <t>3103098697</t>
  </si>
  <si>
    <t>3214452251</t>
  </si>
  <si>
    <t>3112916492</t>
  </si>
  <si>
    <t>3204073573</t>
  </si>
  <si>
    <t>3115601535</t>
  </si>
  <si>
    <t>3147646808</t>
  </si>
  <si>
    <t>3112504434</t>
  </si>
  <si>
    <t>3115066157</t>
  </si>
  <si>
    <t>3222288997</t>
  </si>
  <si>
    <t>3104790982</t>
  </si>
  <si>
    <t>3228645248</t>
  </si>
  <si>
    <t>3112279604</t>
  </si>
  <si>
    <t>3124803478</t>
  </si>
  <si>
    <t>3144488179</t>
  </si>
  <si>
    <t>3012356767</t>
  </si>
  <si>
    <t>3143527917</t>
  </si>
  <si>
    <t>3205579591</t>
  </si>
  <si>
    <t>3007467117</t>
  </si>
  <si>
    <t>3223987381</t>
  </si>
  <si>
    <t>3232265827</t>
  </si>
  <si>
    <t>3212321920</t>
  </si>
  <si>
    <t>3228308258</t>
  </si>
  <si>
    <t>3115628620</t>
  </si>
  <si>
    <t>3209046702</t>
  </si>
  <si>
    <t>3123806380</t>
  </si>
  <si>
    <t>3112312925</t>
  </si>
  <si>
    <t>3157661279</t>
  </si>
  <si>
    <t>3203535115</t>
  </si>
  <si>
    <t>3203707788</t>
  </si>
  <si>
    <t>3227160338</t>
  </si>
  <si>
    <t>3104594633</t>
  </si>
  <si>
    <t>3213004264</t>
  </si>
  <si>
    <t>3004595809</t>
  </si>
  <si>
    <t>3219174698</t>
  </si>
  <si>
    <t>3202320370</t>
  </si>
  <si>
    <t>3214162300</t>
  </si>
  <si>
    <t>3212114767</t>
  </si>
  <si>
    <t>3214052720</t>
  </si>
  <si>
    <t>3232314197</t>
  </si>
  <si>
    <t>3219994023</t>
  </si>
  <si>
    <t>3219140852</t>
  </si>
  <si>
    <t>3212012756</t>
  </si>
  <si>
    <t>3208364438</t>
  </si>
  <si>
    <t>3124586310</t>
  </si>
  <si>
    <t>3104628155</t>
  </si>
  <si>
    <t>3224091784</t>
  </si>
  <si>
    <t>3023719993</t>
  </si>
  <si>
    <t>3118266154</t>
  </si>
  <si>
    <t>3137845801</t>
  </si>
  <si>
    <t>3242172364</t>
  </si>
  <si>
    <t>3212803649</t>
  </si>
  <si>
    <t>3003397974</t>
  </si>
  <si>
    <t>3224033797</t>
  </si>
  <si>
    <t>3168949247</t>
  </si>
  <si>
    <t>3108891090</t>
  </si>
  <si>
    <t>3203479686</t>
  </si>
  <si>
    <t>3176897591</t>
  </si>
  <si>
    <t>3102531325</t>
  </si>
  <si>
    <t>3104836113</t>
  </si>
  <si>
    <t>3197328505</t>
  </si>
  <si>
    <t>3124525702</t>
  </si>
  <si>
    <t>3212148546</t>
  </si>
  <si>
    <t>3114553736</t>
  </si>
  <si>
    <t>3104785332</t>
  </si>
  <si>
    <t>3123063694</t>
  </si>
  <si>
    <t>3103858025</t>
  </si>
  <si>
    <t>3214340710</t>
  </si>
  <si>
    <t>3204157463</t>
  </si>
  <si>
    <t>3219167457</t>
  </si>
  <si>
    <t>3118443571</t>
  </si>
  <si>
    <t>3105358289</t>
  </si>
  <si>
    <t>3138633214</t>
  </si>
  <si>
    <t>3143449580</t>
  </si>
  <si>
    <t>3214709605</t>
  </si>
  <si>
    <t>3229497340</t>
  </si>
  <si>
    <t>3138280695</t>
  </si>
  <si>
    <t>3102086992</t>
  </si>
  <si>
    <t>3214282987</t>
  </si>
  <si>
    <t>3224684594</t>
  </si>
  <si>
    <t>3219608391</t>
  </si>
  <si>
    <t>3192932095</t>
  </si>
  <si>
    <t>3144222754</t>
  </si>
  <si>
    <t>3042044983</t>
  </si>
  <si>
    <t>3102954087</t>
  </si>
  <si>
    <t>3125184994</t>
  </si>
  <si>
    <t>3213992700</t>
  </si>
  <si>
    <t>3213287838</t>
  </si>
  <si>
    <t>3226853260</t>
  </si>
  <si>
    <t>3112453258</t>
  </si>
  <si>
    <t>3142962308</t>
  </si>
  <si>
    <t>3135312864</t>
  </si>
  <si>
    <t>3219948722</t>
  </si>
  <si>
    <t>3223821046</t>
  </si>
  <si>
    <t>3202818983</t>
  </si>
  <si>
    <t>3154637856</t>
  </si>
  <si>
    <t>3223125081</t>
  </si>
  <si>
    <t>3172974092</t>
  </si>
  <si>
    <t>3229076062</t>
  </si>
  <si>
    <t>3124803962</t>
  </si>
  <si>
    <t>3204283818</t>
  </si>
  <si>
    <t>3214076796</t>
  </si>
  <si>
    <t>3142855412</t>
  </si>
  <si>
    <t>3224061324</t>
  </si>
  <si>
    <t>3219508992</t>
  </si>
  <si>
    <t>3134866226</t>
  </si>
  <si>
    <t>3123286924</t>
  </si>
  <si>
    <t>3125977411</t>
  </si>
  <si>
    <t>3118242881</t>
  </si>
  <si>
    <t>3229051912</t>
  </si>
  <si>
    <t>3126177203</t>
  </si>
  <si>
    <t>3143551319</t>
  </si>
  <si>
    <t>3174040699</t>
  </si>
  <si>
    <t>3144189279</t>
  </si>
  <si>
    <t>3115950780</t>
  </si>
  <si>
    <t>3133692009</t>
  </si>
  <si>
    <t>3008005200</t>
  </si>
  <si>
    <t>3204065985</t>
  </si>
  <si>
    <t>3143826627</t>
  </si>
  <si>
    <t>3138424961</t>
  </si>
  <si>
    <t>3212616692</t>
  </si>
  <si>
    <t>3102722773</t>
  </si>
  <si>
    <t>3123191241</t>
  </si>
  <si>
    <t>3223886474</t>
  </si>
  <si>
    <t>3228910474</t>
  </si>
  <si>
    <t>3103461279</t>
  </si>
  <si>
    <t>3114943602</t>
  </si>
  <si>
    <t>3106879951</t>
  </si>
  <si>
    <t>3228526569</t>
  </si>
  <si>
    <t>3208377244</t>
  </si>
  <si>
    <t>3143386634</t>
  </si>
  <si>
    <t>3118938367</t>
  </si>
  <si>
    <t>3209631361</t>
  </si>
  <si>
    <t>3143610668</t>
  </si>
  <si>
    <t>3104279014</t>
  </si>
  <si>
    <t>3167190148</t>
  </si>
  <si>
    <t>3115597536</t>
  </si>
  <si>
    <t>3219966627</t>
  </si>
  <si>
    <t>3142313918</t>
  </si>
  <si>
    <t>3133052890</t>
  </si>
  <si>
    <t>3205768298</t>
  </si>
  <si>
    <t>3192447810</t>
  </si>
  <si>
    <t>3133703538</t>
  </si>
  <si>
    <t>3102740674</t>
  </si>
  <si>
    <t>3134258469</t>
  </si>
  <si>
    <t>3112859965</t>
  </si>
  <si>
    <t>3212089184</t>
  </si>
  <si>
    <t>3125667287</t>
  </si>
  <si>
    <t>3123163596</t>
  </si>
  <si>
    <t>3223214662</t>
  </si>
  <si>
    <t>3143517633</t>
  </si>
  <si>
    <t>3107901466</t>
  </si>
  <si>
    <t>3185273478</t>
  </si>
  <si>
    <t>3106803666</t>
  </si>
  <si>
    <t>3133708092</t>
  </si>
  <si>
    <t>3204655905</t>
  </si>
  <si>
    <t>3223135884</t>
  </si>
  <si>
    <t>3208476175</t>
  </si>
  <si>
    <t>3142007859</t>
  </si>
  <si>
    <t>3147131088</t>
  </si>
  <si>
    <t>3118388391</t>
  </si>
  <si>
    <t>3229264305</t>
  </si>
  <si>
    <t>3213976754</t>
  </si>
  <si>
    <t>3123527789</t>
  </si>
  <si>
    <t>3125129609</t>
  </si>
  <si>
    <t>3143162170</t>
  </si>
  <si>
    <t>3007748992</t>
  </si>
  <si>
    <t>3166045812</t>
  </si>
  <si>
    <t>3222521873</t>
  </si>
  <si>
    <t>3144386980</t>
  </si>
  <si>
    <t>3103757599</t>
  </si>
  <si>
    <t>3203691024</t>
  </si>
  <si>
    <t>3219654411</t>
  </si>
  <si>
    <t>3202145134</t>
  </si>
  <si>
    <t>3104160871</t>
  </si>
  <si>
    <t>3214387046</t>
  </si>
  <si>
    <t>3107481719</t>
  </si>
  <si>
    <t>3118515284</t>
  </si>
  <si>
    <t>3133704574</t>
  </si>
  <si>
    <t>3209901946</t>
  </si>
  <si>
    <t>3102212721</t>
  </si>
  <si>
    <t>3146035788</t>
  </si>
  <si>
    <t>3212104940</t>
  </si>
  <si>
    <t>3202176026</t>
  </si>
  <si>
    <t>3132621236</t>
  </si>
  <si>
    <t>3228874567</t>
  </si>
  <si>
    <t>3126440121</t>
  </si>
  <si>
    <t>3133283123</t>
  </si>
  <si>
    <t>3213054332</t>
  </si>
  <si>
    <t>3208627508</t>
  </si>
  <si>
    <t>3103275167</t>
  </si>
  <si>
    <t>3229150297</t>
  </si>
  <si>
    <t>3122226615</t>
  </si>
  <si>
    <t>3213025678</t>
  </si>
  <si>
    <t>3213968884</t>
  </si>
  <si>
    <t>3208449360</t>
  </si>
  <si>
    <t>3232332693</t>
  </si>
  <si>
    <t>3213965767</t>
  </si>
  <si>
    <t>3228223917</t>
  </si>
  <si>
    <t>3015681056</t>
  </si>
  <si>
    <t>3224525364</t>
  </si>
  <si>
    <t>3228899744</t>
  </si>
  <si>
    <t>3203316596</t>
  </si>
  <si>
    <t>3004213522</t>
  </si>
  <si>
    <t>3217093030</t>
  </si>
  <si>
    <t>3146391572</t>
  </si>
  <si>
    <t>3135712057</t>
  </si>
  <si>
    <t>3154371211</t>
  </si>
  <si>
    <t>3117947074</t>
  </si>
  <si>
    <t>3173151733</t>
  </si>
  <si>
    <t>3106972802</t>
  </si>
  <si>
    <t>3142103461</t>
  </si>
  <si>
    <t>3229515098</t>
  </si>
  <si>
    <t>3133818193</t>
  </si>
  <si>
    <t>3105292987</t>
  </si>
  <si>
    <t>3229341509</t>
  </si>
  <si>
    <t>3125896674</t>
  </si>
  <si>
    <t>3203538994</t>
  </si>
  <si>
    <t>3124234546</t>
  </si>
  <si>
    <t>3115465371</t>
  </si>
  <si>
    <t>3053181792</t>
  </si>
  <si>
    <t>3214748328</t>
  </si>
  <si>
    <t>3224585149</t>
  </si>
  <si>
    <t>3114996774</t>
  </si>
  <si>
    <t>3234426130</t>
  </si>
  <si>
    <t>3208869435</t>
  </si>
  <si>
    <t>3143681513</t>
  </si>
  <si>
    <t>3228256486</t>
  </si>
  <si>
    <t>3134371641</t>
  </si>
  <si>
    <t>3156414168</t>
  </si>
  <si>
    <t>310784544</t>
  </si>
  <si>
    <t>3203058931</t>
  </si>
  <si>
    <t>3105683098</t>
  </si>
  <si>
    <t>3213131174</t>
  </si>
  <si>
    <t>3224266706</t>
  </si>
  <si>
    <t>3227311108</t>
  </si>
  <si>
    <t>3134789305</t>
  </si>
  <si>
    <t>3102184707</t>
  </si>
  <si>
    <t>3103272977</t>
  </si>
  <si>
    <t>3213039054</t>
  </si>
  <si>
    <t>3125209184</t>
  </si>
  <si>
    <t>3123294594</t>
  </si>
  <si>
    <t>3104603490</t>
  </si>
  <si>
    <t>3219068135</t>
  </si>
  <si>
    <t>3015189396</t>
  </si>
  <si>
    <t>3157608454</t>
  </si>
  <si>
    <t>3043480386</t>
  </si>
  <si>
    <t>3205598695</t>
  </si>
  <si>
    <t>3227933210</t>
  </si>
  <si>
    <t>3103397295</t>
  </si>
  <si>
    <t>3053547353</t>
  </si>
  <si>
    <t>3222275372</t>
  </si>
  <si>
    <t>3104650422</t>
  </si>
  <si>
    <t>3007192210</t>
  </si>
  <si>
    <t>3228614888</t>
  </si>
  <si>
    <t>3115222139</t>
  </si>
  <si>
    <t>3212578174</t>
  </si>
  <si>
    <t>3138497367</t>
  </si>
  <si>
    <t>3102990439</t>
  </si>
  <si>
    <t>3136121454</t>
  </si>
  <si>
    <t>3203467507</t>
  </si>
  <si>
    <t>3143784685</t>
  </si>
  <si>
    <t>3204754286</t>
  </si>
  <si>
    <t>3104766184</t>
  </si>
  <si>
    <t>3023085092</t>
  </si>
  <si>
    <t>3108741710</t>
  </si>
  <si>
    <t>3212474231</t>
  </si>
  <si>
    <t>3002510557</t>
  </si>
  <si>
    <t>3155522422</t>
  </si>
  <si>
    <t>3132950381</t>
  </si>
  <si>
    <t>3118741784</t>
  </si>
  <si>
    <t>3114597850</t>
  </si>
  <si>
    <t>3188960728</t>
  </si>
  <si>
    <t>3143768213</t>
  </si>
  <si>
    <t>3206797881</t>
  </si>
  <si>
    <t>3209180329</t>
  </si>
  <si>
    <t>3222686935</t>
  </si>
  <si>
    <t>3136655179</t>
  </si>
  <si>
    <t>3124359074</t>
  </si>
  <si>
    <t>3105828039</t>
  </si>
  <si>
    <t>3116371030</t>
  </si>
  <si>
    <t>3132383498</t>
  </si>
  <si>
    <t>3132470820</t>
  </si>
  <si>
    <t>3214706908</t>
  </si>
  <si>
    <t>3223357397</t>
  </si>
  <si>
    <t>3204330543</t>
  </si>
  <si>
    <t>3203884783</t>
  </si>
  <si>
    <t>3116975218</t>
  </si>
  <si>
    <t>3232903545</t>
  </si>
  <si>
    <t>3104237470</t>
  </si>
  <si>
    <t>3123044156</t>
  </si>
  <si>
    <t>3227192977</t>
  </si>
  <si>
    <t>3005564472</t>
  </si>
  <si>
    <t>3148043623</t>
  </si>
  <si>
    <t>3133434635</t>
  </si>
  <si>
    <t>3147447189</t>
  </si>
  <si>
    <t>3214743640</t>
  </si>
  <si>
    <t>3133154780</t>
  </si>
  <si>
    <t>3108737344</t>
  </si>
  <si>
    <t>3132131963</t>
  </si>
  <si>
    <t>3209086399</t>
  </si>
  <si>
    <t>3112118180</t>
  </si>
  <si>
    <t>3202975121</t>
  </si>
  <si>
    <t>3138490874</t>
  </si>
  <si>
    <t>3227037805</t>
  </si>
  <si>
    <t>3213400208</t>
  </si>
  <si>
    <t>3134321180</t>
  </si>
  <si>
    <t>3112942943</t>
  </si>
  <si>
    <t>3222620202</t>
  </si>
  <si>
    <t>3112219053</t>
  </si>
  <si>
    <t>3223736101</t>
  </si>
  <si>
    <t>3145684247</t>
  </si>
  <si>
    <t>3212423673</t>
  </si>
  <si>
    <t>3143487562</t>
  </si>
  <si>
    <t>3222616692</t>
  </si>
  <si>
    <t>3227874076</t>
  </si>
  <si>
    <t>3103082742</t>
  </si>
  <si>
    <t>3102234090</t>
  </si>
  <si>
    <t>3166276482</t>
  </si>
  <si>
    <t>3222280727</t>
  </si>
  <si>
    <t>3213121543</t>
  </si>
  <si>
    <t>3134578540</t>
  </si>
  <si>
    <t>3134724441</t>
  </si>
  <si>
    <t>3222595551</t>
  </si>
  <si>
    <t>3212648005</t>
  </si>
  <si>
    <t>3212774585</t>
  </si>
  <si>
    <t>3017972268</t>
  </si>
  <si>
    <t>3219118941</t>
  </si>
  <si>
    <t>3143894822</t>
  </si>
  <si>
    <t>3126626857</t>
  </si>
  <si>
    <t>3186993176</t>
  </si>
  <si>
    <t>3138239560</t>
  </si>
  <si>
    <t>3105781002</t>
  </si>
  <si>
    <t>3222294345</t>
  </si>
  <si>
    <t>3228390080</t>
  </si>
  <si>
    <t>3232514733</t>
  </si>
  <si>
    <t>3124206275</t>
  </si>
  <si>
    <t>3144584320</t>
  </si>
  <si>
    <t>3228107597</t>
  </si>
  <si>
    <t>3152017660</t>
  </si>
  <si>
    <t>3138784784</t>
  </si>
  <si>
    <t>3144572420</t>
  </si>
  <si>
    <t>3102961074</t>
  </si>
  <si>
    <t>3115625358</t>
  </si>
  <si>
    <t>3209402012</t>
  </si>
  <si>
    <t>3202666078</t>
  </si>
  <si>
    <t>3203340991</t>
  </si>
  <si>
    <t>3136183630</t>
  </si>
  <si>
    <t>3175596645</t>
  </si>
  <si>
    <t>3213079082</t>
  </si>
  <si>
    <t>3208447483</t>
  </si>
  <si>
    <t>3128995646</t>
  </si>
  <si>
    <t>3187903784</t>
  </si>
  <si>
    <t>3016443644</t>
  </si>
  <si>
    <t>3102379627</t>
  </si>
  <si>
    <t>320217645</t>
  </si>
  <si>
    <t>3138839673</t>
  </si>
  <si>
    <t>3112093290</t>
  </si>
  <si>
    <t>3214570246</t>
  </si>
  <si>
    <t>3204118456</t>
  </si>
  <si>
    <t>3203693958</t>
  </si>
  <si>
    <t>3228775067</t>
  </si>
  <si>
    <t>3123195485</t>
  </si>
  <si>
    <t>3208566739</t>
  </si>
  <si>
    <t>3103290617</t>
  </si>
  <si>
    <t>3213318334</t>
  </si>
  <si>
    <t>3147581706</t>
  </si>
  <si>
    <t>3105749607</t>
  </si>
  <si>
    <t>3223760895</t>
  </si>
  <si>
    <t>3114577182</t>
  </si>
  <si>
    <t>3144344143</t>
  </si>
  <si>
    <t>3104673396</t>
  </si>
  <si>
    <t>3125224346</t>
  </si>
  <si>
    <t>3133244967</t>
  </si>
  <si>
    <t>3227177522</t>
  </si>
  <si>
    <t>3025910743</t>
  </si>
  <si>
    <t>3229465269</t>
  </si>
  <si>
    <t>3186383875</t>
  </si>
  <si>
    <t>3203500913</t>
  </si>
  <si>
    <t>3214486333</t>
  </si>
  <si>
    <t>3142737694</t>
  </si>
  <si>
    <t>3204301474</t>
  </si>
  <si>
    <t>3224810182</t>
  </si>
  <si>
    <t>3142744638</t>
  </si>
  <si>
    <t>3247364317</t>
  </si>
  <si>
    <t>3107634211</t>
  </si>
  <si>
    <t>3168726138</t>
  </si>
  <si>
    <t>3202266766</t>
  </si>
  <si>
    <t>3223246969</t>
  </si>
  <si>
    <t>3142186295</t>
  </si>
  <si>
    <t>3173623978</t>
  </si>
  <si>
    <t>3014344600</t>
  </si>
  <si>
    <t>3202442175</t>
  </si>
  <si>
    <t>3142146788</t>
  </si>
  <si>
    <t>3007662165</t>
  </si>
  <si>
    <t>3203936977</t>
  </si>
  <si>
    <t>3209128036</t>
  </si>
  <si>
    <t>3138795087</t>
  </si>
  <si>
    <t>3105661181</t>
  </si>
  <si>
    <t>3015262637</t>
  </si>
  <si>
    <t>3223217559</t>
  </si>
  <si>
    <t>3176709266</t>
  </si>
  <si>
    <t>3124996254</t>
  </si>
  <si>
    <t>3006551448</t>
  </si>
  <si>
    <t>3184414633</t>
  </si>
  <si>
    <t>3103442559</t>
  </si>
  <si>
    <t>3154193729</t>
  </si>
  <si>
    <t>3124898837</t>
  </si>
  <si>
    <t>3123625672</t>
  </si>
  <si>
    <t>3214621226</t>
  </si>
  <si>
    <t>3025525894</t>
  </si>
  <si>
    <t>3166658462</t>
  </si>
  <si>
    <t>3186256671</t>
  </si>
  <si>
    <t>3003040574</t>
  </si>
  <si>
    <t>3196249524</t>
  </si>
  <si>
    <t>3133286074</t>
  </si>
  <si>
    <t>3005511182</t>
  </si>
  <si>
    <t>3214609351</t>
  </si>
  <si>
    <t>3102613249</t>
  </si>
  <si>
    <t>3043270275</t>
  </si>
  <si>
    <t>3142047735</t>
  </si>
  <si>
    <t>3204470206</t>
  </si>
  <si>
    <t>3132487101</t>
  </si>
  <si>
    <t>3043306127</t>
  </si>
  <si>
    <t>3174799202</t>
  </si>
  <si>
    <t>3213827904</t>
  </si>
  <si>
    <t>3112549106</t>
  </si>
  <si>
    <t>3118234423</t>
  </si>
  <si>
    <t>3123768562</t>
  </si>
  <si>
    <t>3124097416</t>
  </si>
  <si>
    <t>3112617804</t>
  </si>
  <si>
    <t>3195900646</t>
  </si>
  <si>
    <t>3125794021</t>
  </si>
  <si>
    <t>3108088533</t>
  </si>
  <si>
    <t>3232915408</t>
  </si>
  <si>
    <t>3122319985</t>
  </si>
  <si>
    <t>3154962061</t>
  </si>
  <si>
    <t>3107708494</t>
  </si>
  <si>
    <t>3142428135</t>
  </si>
  <si>
    <t>3105701450</t>
  </si>
  <si>
    <t>3114930043</t>
  </si>
  <si>
    <t>3133211118</t>
  </si>
  <si>
    <t>3204786193</t>
  </si>
  <si>
    <t>3103013516</t>
  </si>
  <si>
    <t>3182793395</t>
  </si>
  <si>
    <t>3163196319</t>
  </si>
  <si>
    <t>3213405695</t>
  </si>
  <si>
    <t>3195180979</t>
  </si>
  <si>
    <t>3005416718</t>
  </si>
  <si>
    <t>3134061265</t>
  </si>
  <si>
    <t>3142683925</t>
  </si>
  <si>
    <t>3142706103</t>
  </si>
  <si>
    <t>3102951348</t>
  </si>
  <si>
    <t>3123084860</t>
  </si>
  <si>
    <t>3112770820</t>
  </si>
  <si>
    <t>3132431342</t>
  </si>
  <si>
    <t>3118694505</t>
  </si>
  <si>
    <t>3145883997</t>
  </si>
  <si>
    <t>3144938861</t>
  </si>
  <si>
    <t>3103117143</t>
  </si>
  <si>
    <t>3005328565</t>
  </si>
  <si>
    <t>3222293508</t>
  </si>
  <si>
    <t>3217829734</t>
  </si>
  <si>
    <t>3012803341</t>
  </si>
  <si>
    <t>3114513934</t>
  </si>
  <si>
    <t>3208026222</t>
  </si>
  <si>
    <t>3002489936</t>
  </si>
  <si>
    <t>3112020030</t>
  </si>
  <si>
    <t>3205966531</t>
  </si>
  <si>
    <t>3209379008</t>
  </si>
  <si>
    <t>3229362758</t>
  </si>
  <si>
    <t>3102416299</t>
  </si>
  <si>
    <t>3158652804</t>
  </si>
  <si>
    <t>3156659405</t>
  </si>
  <si>
    <t>3212414858</t>
  </si>
  <si>
    <t>3008120617</t>
  </si>
  <si>
    <t>3143168828</t>
  </si>
  <si>
    <t>3142318437</t>
  </si>
  <si>
    <t>3114560949</t>
  </si>
  <si>
    <t>3215984583</t>
  </si>
  <si>
    <t>3102383290</t>
  </si>
  <si>
    <t>3203299728</t>
  </si>
  <si>
    <t>3197671877</t>
  </si>
  <si>
    <t>3204253365</t>
  </si>
  <si>
    <t>3143464208</t>
  </si>
  <si>
    <t>3134667730</t>
  </si>
  <si>
    <t>3103588037</t>
  </si>
  <si>
    <t>3112008203</t>
  </si>
  <si>
    <t>3123950540</t>
  </si>
  <si>
    <t>3156797490</t>
  </si>
  <si>
    <t>3107640078</t>
  </si>
  <si>
    <t>3007971855</t>
  </si>
  <si>
    <t>3123306536</t>
  </si>
  <si>
    <t>3133534642</t>
  </si>
  <si>
    <t>3133231670</t>
  </si>
  <si>
    <t>3185088473</t>
  </si>
  <si>
    <t>3153189334</t>
  </si>
  <si>
    <t>3057270584</t>
  </si>
  <si>
    <t>3144411586</t>
  </si>
  <si>
    <t>3144284489</t>
  </si>
  <si>
    <t>3173743687</t>
  </si>
  <si>
    <t>3102489996</t>
  </si>
  <si>
    <t>3014711585</t>
  </si>
  <si>
    <t>3132482296</t>
  </si>
  <si>
    <t>3213881757</t>
  </si>
  <si>
    <t>3112100785</t>
  </si>
  <si>
    <t>3194020710</t>
  </si>
  <si>
    <t>3002750030</t>
  </si>
  <si>
    <t>3044716386</t>
  </si>
  <si>
    <t>3125976318</t>
  </si>
  <si>
    <t>3167379432</t>
  </si>
  <si>
    <t>3224010979</t>
  </si>
  <si>
    <t>3138730507</t>
  </si>
  <si>
    <t>3103063657</t>
  </si>
  <si>
    <t>3118899772</t>
  </si>
  <si>
    <t>3124368388</t>
  </si>
  <si>
    <t>3134141256</t>
  </si>
  <si>
    <t>3188769587</t>
  </si>
  <si>
    <t>3204093033</t>
  </si>
  <si>
    <t>3142814556</t>
  </si>
  <si>
    <t>3132943247</t>
  </si>
  <si>
    <t>3125021117</t>
  </si>
  <si>
    <t>3115303392</t>
  </si>
  <si>
    <t>3213701700</t>
  </si>
  <si>
    <t>3154016497</t>
  </si>
  <si>
    <t>3194094393</t>
  </si>
  <si>
    <t>3202720462</t>
  </si>
  <si>
    <t>3208587470</t>
  </si>
  <si>
    <t>3213718561</t>
  </si>
  <si>
    <t>3142937635</t>
  </si>
  <si>
    <t>3202741750</t>
  </si>
  <si>
    <t>3132853310</t>
  </si>
  <si>
    <t>3112028398</t>
  </si>
  <si>
    <t>3208743604</t>
  </si>
  <si>
    <t>3134957400</t>
  </si>
  <si>
    <t>3142016594</t>
  </si>
  <si>
    <t>3114601177</t>
  </si>
  <si>
    <t>3126217512</t>
  </si>
  <si>
    <t>3184593580</t>
  </si>
  <si>
    <t>3004064490</t>
  </si>
  <si>
    <t>3208516426</t>
  </si>
  <si>
    <t>3153627047</t>
  </si>
  <si>
    <t>3108025001</t>
  </si>
  <si>
    <t>3016587779</t>
  </si>
  <si>
    <t>3124030485</t>
  </si>
  <si>
    <t>3202051684</t>
  </si>
  <si>
    <t>321289922</t>
  </si>
  <si>
    <t>3022282911</t>
  </si>
  <si>
    <t>3204884614</t>
  </si>
  <si>
    <t>3154234326</t>
  </si>
  <si>
    <t>3175984370</t>
  </si>
  <si>
    <t>3024905929</t>
  </si>
  <si>
    <t>3242305618</t>
  </si>
  <si>
    <t>3155309029</t>
  </si>
  <si>
    <t>3112738024</t>
  </si>
  <si>
    <t>3102470533</t>
  </si>
  <si>
    <t>3153946967</t>
  </si>
  <si>
    <t>3118579659</t>
  </si>
  <si>
    <t>3174813359</t>
  </si>
  <si>
    <t>3125648990</t>
  </si>
  <si>
    <t>3203229254</t>
  </si>
  <si>
    <t>3222311271</t>
  </si>
  <si>
    <t>3164079891</t>
  </si>
  <si>
    <t>3014377093</t>
  </si>
  <si>
    <t>3208212789</t>
  </si>
  <si>
    <t>3107897751</t>
  </si>
  <si>
    <t>3150487649</t>
  </si>
  <si>
    <t>3117368143</t>
  </si>
  <si>
    <t>3213806325</t>
  </si>
  <si>
    <t>3108037213</t>
  </si>
  <si>
    <t>3118876780</t>
  </si>
  <si>
    <t>3247955833</t>
  </si>
  <si>
    <t>3212509204</t>
  </si>
  <si>
    <t>3143389713</t>
  </si>
  <si>
    <t>3115277607</t>
  </si>
  <si>
    <t>3212747102</t>
  </si>
  <si>
    <t>3144350116</t>
  </si>
  <si>
    <t>3003263369</t>
  </si>
  <si>
    <t>3134213222</t>
  </si>
  <si>
    <t>3134400296</t>
  </si>
  <si>
    <t>3208332118</t>
  </si>
  <si>
    <t>3102592888</t>
  </si>
  <si>
    <t>3192825256</t>
  </si>
  <si>
    <t>3144679176</t>
  </si>
  <si>
    <t>3118501763</t>
  </si>
  <si>
    <t>3107638641</t>
  </si>
  <si>
    <t>3115705371</t>
  </si>
  <si>
    <t>3204222931</t>
  </si>
  <si>
    <t>3104814981</t>
  </si>
  <si>
    <t>3133468882</t>
  </si>
  <si>
    <t>3132373361</t>
  </si>
  <si>
    <t>3114688316</t>
  </si>
  <si>
    <t>3228505329</t>
  </si>
  <si>
    <t>3123358930</t>
  </si>
  <si>
    <t>3104380869</t>
  </si>
  <si>
    <t>3003458218</t>
  </si>
  <si>
    <t>3176520264</t>
  </si>
  <si>
    <t>3229448131</t>
  </si>
  <si>
    <t>3142475261</t>
  </si>
  <si>
    <t>3102838072</t>
  </si>
  <si>
    <t>3106091611</t>
  </si>
  <si>
    <t>3212677969</t>
  </si>
  <si>
    <t>3102215759</t>
  </si>
  <si>
    <t>3138671331</t>
  </si>
  <si>
    <t>3204735947</t>
  </si>
  <si>
    <t>3232016578</t>
  </si>
  <si>
    <t>3194497640</t>
  </si>
  <si>
    <t>3123873004</t>
  </si>
  <si>
    <t>3212934204</t>
  </si>
  <si>
    <t>3112498485</t>
  </si>
  <si>
    <t>3208318555</t>
  </si>
  <si>
    <t>3188269811</t>
  </si>
  <si>
    <t>3203464363</t>
  </si>
  <si>
    <t>3125289564</t>
  </si>
  <si>
    <t>3205983710</t>
  </si>
  <si>
    <t>3113030190</t>
  </si>
  <si>
    <t>3183808612</t>
  </si>
  <si>
    <t>3209687612</t>
  </si>
  <si>
    <t>3142609823</t>
  </si>
  <si>
    <t>3122056576</t>
  </si>
  <si>
    <t>3103162979</t>
  </si>
  <si>
    <t>3203416771</t>
  </si>
  <si>
    <t>3207969138</t>
  </si>
  <si>
    <t>3103295484</t>
  </si>
  <si>
    <t>3058177069</t>
  </si>
  <si>
    <t>3204197454</t>
  </si>
  <si>
    <t>3142592554</t>
  </si>
  <si>
    <t>3134203482</t>
  </si>
  <si>
    <t>3166966654</t>
  </si>
  <si>
    <t>3227499687</t>
  </si>
  <si>
    <t>3155814271</t>
  </si>
  <si>
    <t>3197531140</t>
  </si>
  <si>
    <t>3103933559</t>
  </si>
  <si>
    <t>3108144302</t>
  </si>
  <si>
    <t>3222645986</t>
  </si>
  <si>
    <t>3142117309</t>
  </si>
  <si>
    <t>3117332218</t>
  </si>
  <si>
    <t>3183335759</t>
  </si>
  <si>
    <t>3136269272</t>
  </si>
  <si>
    <t>3125969582</t>
  </si>
  <si>
    <t>3212259837</t>
  </si>
  <si>
    <t>3132526739</t>
  </si>
  <si>
    <t>3175148411</t>
  </si>
  <si>
    <t>3156423516</t>
  </si>
  <si>
    <t>3209128278</t>
  </si>
  <si>
    <t>3164534484</t>
  </si>
  <si>
    <t>3114789976</t>
  </si>
  <si>
    <t>3214570902</t>
  </si>
  <si>
    <t>3138893801</t>
  </si>
  <si>
    <t>3016626372</t>
  </si>
  <si>
    <t>3183250322</t>
  </si>
  <si>
    <t>3143701497</t>
  </si>
  <si>
    <t>3166282796</t>
  </si>
  <si>
    <t>3123535070</t>
  </si>
  <si>
    <t>3133348040</t>
  </si>
  <si>
    <t>3214528642</t>
  </si>
  <si>
    <t>3142978318</t>
  </si>
  <si>
    <t>3115192017</t>
  </si>
  <si>
    <t>3006473029</t>
  </si>
  <si>
    <t>3194074976</t>
  </si>
  <si>
    <t>3202606585</t>
  </si>
  <si>
    <t>3202286969</t>
  </si>
  <si>
    <t>3118402750</t>
  </si>
  <si>
    <t>3016364021</t>
  </si>
  <si>
    <t>3166181778</t>
  </si>
  <si>
    <t>3142978062</t>
  </si>
  <si>
    <t>3154165951</t>
  </si>
  <si>
    <t>3125493530</t>
  </si>
  <si>
    <t>3222064132</t>
  </si>
  <si>
    <t>3222294427</t>
  </si>
  <si>
    <t>3222181140</t>
  </si>
  <si>
    <t>3214232579</t>
  </si>
  <si>
    <t>3143154324</t>
  </si>
  <si>
    <t>3104851397</t>
  </si>
  <si>
    <t>3212210205</t>
  </si>
  <si>
    <t>3224227993</t>
  </si>
  <si>
    <t>3214749392</t>
  </si>
  <si>
    <t>3228760575</t>
  </si>
  <si>
    <t>3142721215</t>
  </si>
  <si>
    <t>3154656127</t>
  </si>
  <si>
    <t>3102658208</t>
  </si>
  <si>
    <t>3112828453</t>
  </si>
  <si>
    <t>3102911561</t>
  </si>
  <si>
    <t>3045648961</t>
  </si>
  <si>
    <t>3197477230</t>
  </si>
  <si>
    <t>3043788081</t>
  </si>
  <si>
    <t>3024688645</t>
  </si>
  <si>
    <t>3102615128</t>
  </si>
  <si>
    <t>3015859321</t>
  </si>
  <si>
    <t>3213062772</t>
  </si>
  <si>
    <t>3212906073</t>
  </si>
  <si>
    <t>3124849024</t>
  </si>
  <si>
    <t>3203963307</t>
  </si>
  <si>
    <t>3228792760</t>
  </si>
  <si>
    <t>3026445610</t>
  </si>
  <si>
    <t>3232447854</t>
  </si>
  <si>
    <t>3206630256</t>
  </si>
  <si>
    <t>3222753076</t>
  </si>
  <si>
    <t>3222361586</t>
  </si>
  <si>
    <t>3108056768</t>
  </si>
  <si>
    <t>3125373415</t>
  </si>
  <si>
    <t>3227968261</t>
  </si>
  <si>
    <t>3208802431</t>
  </si>
  <si>
    <t>3135832800</t>
  </si>
  <si>
    <t>3166713801</t>
  </si>
  <si>
    <t>3124184607</t>
  </si>
  <si>
    <t>3102201456</t>
  </si>
  <si>
    <t>3114501599</t>
  </si>
  <si>
    <t>3145199668</t>
  </si>
  <si>
    <t>3107530879</t>
  </si>
  <si>
    <t>3204458894</t>
  </si>
  <si>
    <t>3118622753</t>
  </si>
  <si>
    <t>3204647362</t>
  </si>
  <si>
    <t>3143657481</t>
  </si>
  <si>
    <t>3138214905</t>
  </si>
  <si>
    <t>3124015093</t>
  </si>
  <si>
    <t>3138113519</t>
  </si>
  <si>
    <t>3026733267</t>
  </si>
  <si>
    <t>3208580162</t>
  </si>
  <si>
    <t>3227687562</t>
  </si>
  <si>
    <t>3229799784</t>
  </si>
  <si>
    <t>3104642408</t>
  </si>
  <si>
    <t>3142187948</t>
  </si>
  <si>
    <t>3134066702</t>
  </si>
  <si>
    <t>3225987884</t>
  </si>
  <si>
    <t>3107434593</t>
  </si>
  <si>
    <t>3124282846</t>
  </si>
  <si>
    <t>3115814220</t>
  </si>
  <si>
    <t>3136978612</t>
  </si>
  <si>
    <t>3106743697</t>
  </si>
  <si>
    <t>3105543758</t>
  </si>
  <si>
    <t>31444459308</t>
  </si>
  <si>
    <t>3125314038</t>
  </si>
  <si>
    <t>3203315190</t>
  </si>
  <si>
    <t>3112082974</t>
  </si>
  <si>
    <t>3204986822</t>
  </si>
  <si>
    <t>3138349847</t>
  </si>
  <si>
    <t>3114925723</t>
  </si>
  <si>
    <t>3015852842</t>
  </si>
  <si>
    <t>3142312055</t>
  </si>
  <si>
    <t>3202072254</t>
  </si>
  <si>
    <t>3125357051</t>
  </si>
  <si>
    <t>3115620492</t>
  </si>
  <si>
    <t>3105828548</t>
  </si>
  <si>
    <t>3124946181</t>
  </si>
  <si>
    <t>3123047174</t>
  </si>
  <si>
    <t>3204334701</t>
  </si>
  <si>
    <t>3104819433</t>
  </si>
  <si>
    <t>3105885233</t>
  </si>
  <si>
    <t>3219201635</t>
  </si>
  <si>
    <t>3103072715</t>
  </si>
  <si>
    <t>3133668652</t>
  </si>
  <si>
    <t>3014574943</t>
  </si>
  <si>
    <t>3213274876</t>
  </si>
  <si>
    <t>3203099083</t>
  </si>
  <si>
    <t>3125305802</t>
  </si>
  <si>
    <t>3214811392</t>
  </si>
  <si>
    <t>3125762765</t>
  </si>
  <si>
    <t>3143515740</t>
  </si>
  <si>
    <t>3222529054</t>
  </si>
  <si>
    <t>3167545874</t>
  </si>
  <si>
    <t>3208445462</t>
  </si>
  <si>
    <t>3115209481</t>
  </si>
  <si>
    <t>3144316254</t>
  </si>
  <si>
    <t>3214937814</t>
  </si>
  <si>
    <t>3112319690</t>
  </si>
  <si>
    <t>3107604506</t>
  </si>
  <si>
    <t>3104805265</t>
  </si>
  <si>
    <t>3226152573</t>
  </si>
  <si>
    <t>3142774358</t>
  </si>
  <si>
    <t>3115083321</t>
  </si>
  <si>
    <t>3213729371</t>
  </si>
  <si>
    <t>3102099640</t>
  </si>
  <si>
    <t>3125385866</t>
  </si>
  <si>
    <t>3103171922</t>
  </si>
  <si>
    <t>3207325898</t>
  </si>
  <si>
    <t>3147733572</t>
  </si>
  <si>
    <t>3104894738</t>
  </si>
  <si>
    <t>3214182207</t>
  </si>
  <si>
    <t>3123032808</t>
  </si>
  <si>
    <t>3142396169</t>
  </si>
  <si>
    <t>3176812799</t>
  </si>
  <si>
    <t>3114451212</t>
  </si>
  <si>
    <t>3505617131</t>
  </si>
  <si>
    <t>3102652898</t>
  </si>
  <si>
    <t>3158206673</t>
  </si>
  <si>
    <t>3104279409</t>
  </si>
  <si>
    <t>3204840050</t>
  </si>
  <si>
    <t>3138400444</t>
  </si>
  <si>
    <t>3114697857</t>
  </si>
  <si>
    <t>3124003610</t>
  </si>
  <si>
    <t>3144100597</t>
  </si>
  <si>
    <t>3134547415</t>
  </si>
  <si>
    <t>3144791318</t>
  </si>
  <si>
    <t>3132089747</t>
  </si>
  <si>
    <t>3123556836</t>
  </si>
  <si>
    <t>3102698989</t>
  </si>
  <si>
    <t>3001613553</t>
  </si>
  <si>
    <t>3102153150</t>
  </si>
  <si>
    <t>3102746586</t>
  </si>
  <si>
    <t>3005772451</t>
  </si>
  <si>
    <t>3118829407</t>
  </si>
  <si>
    <t>3123637560</t>
  </si>
  <si>
    <t>3123807573</t>
  </si>
  <si>
    <t>3132908838</t>
  </si>
  <si>
    <t>3114634510</t>
  </si>
  <si>
    <t>3142210576</t>
  </si>
  <si>
    <t>3213815414</t>
  </si>
  <si>
    <t>3142686310</t>
  </si>
  <si>
    <t>3102179278</t>
  </si>
  <si>
    <t>3103789625</t>
  </si>
  <si>
    <t>3118756490</t>
  </si>
  <si>
    <t>3232294183</t>
  </si>
  <si>
    <t>3105545120</t>
  </si>
  <si>
    <t>3213509030</t>
  </si>
  <si>
    <t>3028403581</t>
  </si>
  <si>
    <t>3212802097</t>
  </si>
  <si>
    <t>3218754535</t>
  </si>
  <si>
    <t>3219643730</t>
  </si>
  <si>
    <t>3102700279</t>
  </si>
  <si>
    <t>3228182885</t>
  </si>
  <si>
    <t>3102771611</t>
  </si>
  <si>
    <t>3203969578</t>
  </si>
  <si>
    <t>3123237996</t>
  </si>
  <si>
    <t>3232512634</t>
  </si>
  <si>
    <t>3133189133</t>
  </si>
  <si>
    <t>3112903963</t>
  </si>
  <si>
    <t>3208589203</t>
  </si>
  <si>
    <t>3202762015</t>
  </si>
  <si>
    <t>3202584071</t>
  </si>
  <si>
    <t>3232731509</t>
  </si>
  <si>
    <t>3162595445</t>
  </si>
  <si>
    <t>3054274252</t>
  </si>
  <si>
    <t>3204625289</t>
  </si>
  <si>
    <t>3103387036</t>
  </si>
  <si>
    <t>3028580950</t>
  </si>
  <si>
    <t>3134109398</t>
  </si>
  <si>
    <t>3114689007</t>
  </si>
  <si>
    <t>3125052227</t>
  </si>
  <si>
    <t>3124436802</t>
  </si>
  <si>
    <t>3155867086</t>
  </si>
  <si>
    <t>3112048110</t>
  </si>
  <si>
    <t>3182962604</t>
  </si>
  <si>
    <t>3142351240</t>
  </si>
  <si>
    <t>3202215922</t>
  </si>
  <si>
    <t>3212023452</t>
  </si>
  <si>
    <t>3222444214</t>
  </si>
  <si>
    <t>3143232840</t>
  </si>
  <si>
    <t>3203788070</t>
  </si>
  <si>
    <t>3144170459</t>
  </si>
  <si>
    <t>3208705631</t>
  </si>
  <si>
    <t>3152392596</t>
  </si>
  <si>
    <t>3044960889</t>
  </si>
  <si>
    <t>3115840035</t>
  </si>
  <si>
    <t>3219767522</t>
  </si>
  <si>
    <t>3127320870</t>
  </si>
  <si>
    <t>3204789746</t>
  </si>
  <si>
    <t>3105897274</t>
  </si>
  <si>
    <t>3219458408</t>
  </si>
  <si>
    <t>3247125352</t>
  </si>
  <si>
    <t>3102911553</t>
  </si>
  <si>
    <t>3165397596</t>
  </si>
  <si>
    <t>3209345024</t>
  </si>
  <si>
    <t>3024014352</t>
  </si>
  <si>
    <t>3133090993</t>
  </si>
  <si>
    <t>3016706105</t>
  </si>
  <si>
    <t>3222652554</t>
  </si>
  <si>
    <t>3112122715</t>
  </si>
  <si>
    <t>3125839902</t>
  </si>
  <si>
    <t>3123115542</t>
  </si>
  <si>
    <t>3229445680</t>
  </si>
  <si>
    <t>3043091485</t>
  </si>
  <si>
    <t>3105288515</t>
  </si>
  <si>
    <t>3123547279</t>
  </si>
  <si>
    <t>3219665789</t>
  </si>
  <si>
    <t>3209339806</t>
  </si>
  <si>
    <t>3143526459</t>
  </si>
  <si>
    <t>3222516224</t>
  </si>
  <si>
    <t>3214792548</t>
  </si>
  <si>
    <t>3123285780</t>
  </si>
  <si>
    <t>3112367819</t>
  </si>
  <si>
    <t>3212721101</t>
  </si>
  <si>
    <t>3143578120</t>
  </si>
  <si>
    <t>3213984966</t>
  </si>
  <si>
    <t>3105771595</t>
  </si>
  <si>
    <t>3203936627</t>
  </si>
  <si>
    <t>3134764000</t>
  </si>
  <si>
    <t>3206225586</t>
  </si>
  <si>
    <t>3133983560</t>
  </si>
  <si>
    <t>3204393746</t>
  </si>
  <si>
    <t>3219647022</t>
  </si>
  <si>
    <t>3133183651</t>
  </si>
  <si>
    <t>3042919198</t>
  </si>
  <si>
    <t>3144391641</t>
  </si>
  <si>
    <t>3102085296</t>
  </si>
  <si>
    <t>3209094185</t>
  </si>
  <si>
    <t>3209094186</t>
  </si>
  <si>
    <t>3124052764</t>
  </si>
  <si>
    <t>3157669491</t>
  </si>
  <si>
    <t>3103345902</t>
  </si>
  <si>
    <t>3103341418</t>
  </si>
  <si>
    <t>311225585</t>
  </si>
  <si>
    <t>3209228133</t>
  </si>
  <si>
    <t>3203191981</t>
  </si>
  <si>
    <t>3213459865</t>
  </si>
  <si>
    <t>3209524803</t>
  </si>
  <si>
    <t>3226403918</t>
  </si>
  <si>
    <t>3209636156</t>
  </si>
  <si>
    <t>3134831360</t>
  </si>
  <si>
    <t>3228285918</t>
  </si>
  <si>
    <t>3103037007</t>
  </si>
  <si>
    <t>3105620487</t>
  </si>
  <si>
    <t>3222548260</t>
  </si>
  <si>
    <t>3208028860</t>
  </si>
  <si>
    <t>3118627079</t>
  </si>
  <si>
    <t>3223961598</t>
  </si>
  <si>
    <t>3213283290</t>
  </si>
  <si>
    <t>3045841457</t>
  </si>
  <si>
    <t>3115283271</t>
  </si>
  <si>
    <t>3212343262</t>
  </si>
  <si>
    <t>3115333113</t>
  </si>
  <si>
    <t>3202367825</t>
  </si>
  <si>
    <t>3208405927</t>
  </si>
  <si>
    <t>3125051752</t>
  </si>
  <si>
    <t>3138388486</t>
  </si>
  <si>
    <t>3107993355</t>
  </si>
  <si>
    <t>3102980954</t>
  </si>
  <si>
    <t>3152730037</t>
  </si>
  <si>
    <t>3187853929</t>
  </si>
  <si>
    <t>3222565366</t>
  </si>
  <si>
    <t>3213652699</t>
  </si>
  <si>
    <t>3124451782</t>
  </si>
  <si>
    <t>3124209655</t>
  </si>
  <si>
    <t>3157907169</t>
  </si>
  <si>
    <t>3115037709</t>
  </si>
  <si>
    <t>3104858042</t>
  </si>
  <si>
    <t>3224029306</t>
  </si>
  <si>
    <t>3226351997</t>
  </si>
  <si>
    <t>3224785383</t>
  </si>
  <si>
    <t>3206876802</t>
  </si>
  <si>
    <t>3124654990</t>
  </si>
  <si>
    <t>3001698823</t>
  </si>
  <si>
    <t>3138846657</t>
  </si>
  <si>
    <t>3124902986</t>
  </si>
  <si>
    <t>3202269561</t>
  </si>
  <si>
    <t>3132223773</t>
  </si>
  <si>
    <t>3124248532</t>
  </si>
  <si>
    <t>3186391541</t>
  </si>
  <si>
    <t>3132667823</t>
  </si>
  <si>
    <t>3115506193</t>
  </si>
  <si>
    <t>3216189165</t>
  </si>
  <si>
    <t>3195611676</t>
  </si>
  <si>
    <t>3115589160</t>
  </si>
  <si>
    <t>3007864125</t>
  </si>
  <si>
    <t>3224119266</t>
  </si>
  <si>
    <t>3112489516</t>
  </si>
  <si>
    <t>3223022423</t>
  </si>
  <si>
    <t>3132484207</t>
  </si>
  <si>
    <t>3102294273</t>
  </si>
  <si>
    <t>3132617000</t>
  </si>
  <si>
    <t>3144791389</t>
  </si>
  <si>
    <t>3219408599</t>
  </si>
  <si>
    <t>3103384217</t>
  </si>
  <si>
    <t>3106294731</t>
  </si>
  <si>
    <t>3103466160</t>
  </si>
  <si>
    <t>3153465999</t>
  </si>
  <si>
    <t>3138467916</t>
  </si>
  <si>
    <t>3107547194</t>
  </si>
  <si>
    <t>3143334876</t>
  </si>
  <si>
    <t>3142575585</t>
  </si>
  <si>
    <t>3218516224</t>
  </si>
  <si>
    <t>3125648838</t>
  </si>
  <si>
    <t>3002900359</t>
  </si>
  <si>
    <t>3134805839</t>
  </si>
  <si>
    <t>3108115093</t>
  </si>
  <si>
    <t>3113393760</t>
  </si>
  <si>
    <t>3132465270</t>
  </si>
  <si>
    <t>3212064725</t>
  </si>
  <si>
    <t>3144472822</t>
  </si>
  <si>
    <t>3102486569</t>
  </si>
  <si>
    <t>3219550837</t>
  </si>
  <si>
    <t>3144395526</t>
  </si>
  <si>
    <t>3219460612</t>
  </si>
  <si>
    <t>3112062894</t>
  </si>
  <si>
    <t>3105720344</t>
  </si>
  <si>
    <t>3125848536</t>
  </si>
  <si>
    <t>3206709151</t>
  </si>
  <si>
    <t>3166659125</t>
  </si>
  <si>
    <t>3115288289</t>
  </si>
  <si>
    <t>3138902823</t>
  </si>
  <si>
    <t>3118875842</t>
  </si>
  <si>
    <t>3118201141</t>
  </si>
  <si>
    <t>3224535578</t>
  </si>
  <si>
    <t>3203796541</t>
  </si>
  <si>
    <t>3133585948</t>
  </si>
  <si>
    <t>3143644049</t>
  </si>
  <si>
    <t>3123346469</t>
  </si>
  <si>
    <t>3227342822</t>
  </si>
  <si>
    <t>3114705570</t>
  </si>
  <si>
    <t>3125704368</t>
  </si>
  <si>
    <t>3107575462</t>
  </si>
  <si>
    <t>3125619870</t>
  </si>
  <si>
    <t>3102605753</t>
  </si>
  <si>
    <t>3143436592</t>
  </si>
  <si>
    <t>3142812117</t>
  </si>
  <si>
    <t>3103497264</t>
  </si>
  <si>
    <t>3103257404</t>
  </si>
  <si>
    <t>3115418907</t>
  </si>
  <si>
    <t>3212483513</t>
  </si>
  <si>
    <t>3222461815</t>
  </si>
  <si>
    <t>3138571729</t>
  </si>
  <si>
    <t>3115372616</t>
  </si>
  <si>
    <t>3242069380</t>
  </si>
  <si>
    <t>3132534932</t>
  </si>
  <si>
    <t>3114633786</t>
  </si>
  <si>
    <t>3156006550</t>
  </si>
  <si>
    <t>3103639198</t>
  </si>
  <si>
    <t>3105796972</t>
  </si>
  <si>
    <t>3228250585</t>
  </si>
  <si>
    <t>3202087896</t>
  </si>
  <si>
    <t>3187770657</t>
  </si>
  <si>
    <t>3224493969</t>
  </si>
  <si>
    <t>3212111841</t>
  </si>
  <si>
    <t>3113679363</t>
  </si>
  <si>
    <t>3143265622</t>
  </si>
  <si>
    <t>3134287893</t>
  </si>
  <si>
    <t>3138226869</t>
  </si>
  <si>
    <t>3006009581</t>
  </si>
  <si>
    <t>3204457344</t>
  </si>
  <si>
    <t>3214592644</t>
  </si>
  <si>
    <t>3212156219</t>
  </si>
  <si>
    <t>3103034149</t>
  </si>
  <si>
    <t>3107785980</t>
  </si>
  <si>
    <t>3202242063</t>
  </si>
  <si>
    <t>3108248295</t>
  </si>
  <si>
    <t>3224568088</t>
  </si>
  <si>
    <t>3045395873</t>
  </si>
  <si>
    <t>3203135655</t>
  </si>
  <si>
    <t>3183879247</t>
  </si>
  <si>
    <t>3005328989</t>
  </si>
  <si>
    <t>3212834742</t>
  </si>
  <si>
    <t>3229282850</t>
  </si>
  <si>
    <t>3102807551</t>
  </si>
  <si>
    <t>3004161518</t>
  </si>
  <si>
    <t>3228694480</t>
  </si>
  <si>
    <t>3104900868</t>
  </si>
  <si>
    <t>3046143577</t>
  </si>
  <si>
    <t>3214534831</t>
  </si>
  <si>
    <t>3156873453</t>
  </si>
  <si>
    <t>3107623728</t>
  </si>
  <si>
    <t>3124442786</t>
  </si>
  <si>
    <t>3214565560</t>
  </si>
  <si>
    <t>3138859634</t>
  </si>
  <si>
    <t>3214922306</t>
  </si>
  <si>
    <t>3112130889</t>
  </si>
  <si>
    <t>3102017608</t>
  </si>
  <si>
    <t>3223107861</t>
  </si>
  <si>
    <t>3105653340</t>
  </si>
  <si>
    <t>3133431725</t>
  </si>
  <si>
    <t>3102877544</t>
  </si>
  <si>
    <t>3104865216</t>
  </si>
  <si>
    <t>3142352707</t>
  </si>
  <si>
    <t>3015322014</t>
  </si>
  <si>
    <t>3213310142</t>
  </si>
  <si>
    <t>3125848999</t>
  </si>
  <si>
    <t>3058955270</t>
  </si>
  <si>
    <t>3233265167</t>
  </si>
  <si>
    <t>3208755707</t>
  </si>
  <si>
    <t>3209467395</t>
  </si>
  <si>
    <t>3213647889</t>
  </si>
  <si>
    <t>3102540382</t>
  </si>
  <si>
    <t>3208093116</t>
  </si>
  <si>
    <t>3006994052</t>
  </si>
  <si>
    <t>3192316314</t>
  </si>
  <si>
    <t>3143536073</t>
  </si>
  <si>
    <t>3125410207</t>
  </si>
  <si>
    <t>3123191397</t>
  </si>
  <si>
    <t>3105722464</t>
  </si>
  <si>
    <t>3123163527</t>
  </si>
  <si>
    <t>3233441498</t>
  </si>
  <si>
    <t>3112151572</t>
  </si>
  <si>
    <t>3125602031</t>
  </si>
  <si>
    <t>321395405</t>
  </si>
  <si>
    <t>3206645464</t>
  </si>
  <si>
    <t>3105707945</t>
  </si>
  <si>
    <t>3222648632</t>
  </si>
  <si>
    <t>3124681835</t>
  </si>
  <si>
    <t>3209320273</t>
  </si>
  <si>
    <t>3102673818</t>
  </si>
  <si>
    <t>3102006934</t>
  </si>
  <si>
    <t>3107768525</t>
  </si>
  <si>
    <t>3144628905</t>
  </si>
  <si>
    <t>3125250200</t>
  </si>
  <si>
    <t>3144038273</t>
  </si>
  <si>
    <t>3132078189</t>
  </si>
  <si>
    <t>3114460866</t>
  </si>
  <si>
    <t>3235858485</t>
  </si>
  <si>
    <t>3173967230</t>
  </si>
  <si>
    <t>3105269089</t>
  </si>
  <si>
    <t>3115655734</t>
  </si>
  <si>
    <t>3123198923</t>
  </si>
  <si>
    <t>3132646343</t>
  </si>
  <si>
    <t>3213394356</t>
  </si>
  <si>
    <t>3138770100</t>
  </si>
  <si>
    <t>3213172596</t>
  </si>
  <si>
    <t>3202772452</t>
  </si>
  <si>
    <t>3102981531</t>
  </si>
  <si>
    <t>3202386398</t>
  </si>
  <si>
    <t>3118160802</t>
  </si>
  <si>
    <t>3113885803</t>
  </si>
  <si>
    <t>3132697145</t>
  </si>
  <si>
    <t>31888260778</t>
  </si>
  <si>
    <t>3204420797</t>
  </si>
  <si>
    <t>3144427257</t>
  </si>
  <si>
    <t>3125589664</t>
  </si>
  <si>
    <t>3125544418</t>
  </si>
  <si>
    <t>3206958822</t>
  </si>
  <si>
    <t>3103359559</t>
  </si>
  <si>
    <t>3172895254</t>
  </si>
  <si>
    <t>3142500646</t>
  </si>
  <si>
    <t>3142827181</t>
  </si>
  <si>
    <t>3133324014</t>
  </si>
  <si>
    <t>3116612964</t>
  </si>
  <si>
    <t>3138457184</t>
  </si>
  <si>
    <t>314377431</t>
  </si>
  <si>
    <t>3506622593</t>
  </si>
  <si>
    <t>3114935891</t>
  </si>
  <si>
    <t>3213645448</t>
  </si>
  <si>
    <t>3124763962</t>
  </si>
  <si>
    <t>3143626210</t>
  </si>
  <si>
    <t>3222172367</t>
  </si>
  <si>
    <t>3102463989</t>
  </si>
  <si>
    <t>3212483571</t>
  </si>
  <si>
    <t>3204595419</t>
  </si>
  <si>
    <t>3219597034</t>
  </si>
  <si>
    <t>3138993732</t>
  </si>
  <si>
    <t>3228239076</t>
  </si>
  <si>
    <t>3167249499</t>
  </si>
  <si>
    <t>3167450717</t>
  </si>
  <si>
    <t>3123787290</t>
  </si>
  <si>
    <t>3144180924</t>
  </si>
  <si>
    <t>3212485853</t>
  </si>
  <si>
    <t>3173614744</t>
  </si>
  <si>
    <t>3103167871</t>
  </si>
  <si>
    <t>3017396358</t>
  </si>
  <si>
    <t>3103417071</t>
  </si>
  <si>
    <t>3103792688</t>
  </si>
  <si>
    <t>3102156161</t>
  </si>
  <si>
    <t>3112107991</t>
  </si>
  <si>
    <t>3143013423</t>
  </si>
  <si>
    <t>3148448761</t>
  </si>
  <si>
    <t>3125239631</t>
  </si>
  <si>
    <t>3209444155</t>
  </si>
  <si>
    <t>3133304342</t>
  </si>
  <si>
    <t>3112706637</t>
  </si>
  <si>
    <t>3222118308</t>
  </si>
  <si>
    <t>3142770356</t>
  </si>
  <si>
    <t>3142089936</t>
  </si>
  <si>
    <t>3012881370</t>
  </si>
  <si>
    <t>3118005634</t>
  </si>
  <si>
    <t>3108638277</t>
  </si>
  <si>
    <t>3134974653</t>
  </si>
  <si>
    <t>3213000691</t>
  </si>
  <si>
    <t>3101258997</t>
  </si>
  <si>
    <t>3143408180</t>
  </si>
  <si>
    <t>3114992191</t>
  </si>
  <si>
    <t>3133804121</t>
  </si>
  <si>
    <t>3044574365</t>
  </si>
  <si>
    <t>3144710403</t>
  </si>
  <si>
    <t>3214396130</t>
  </si>
  <si>
    <t>3107899513</t>
  </si>
  <si>
    <t>3208802674</t>
  </si>
  <si>
    <t>3142466582</t>
  </si>
  <si>
    <t>3003998834</t>
  </si>
  <si>
    <t>3133587911</t>
  </si>
  <si>
    <t>3213746822</t>
  </si>
  <si>
    <t>3115913742</t>
  </si>
  <si>
    <t>3125557401</t>
  </si>
  <si>
    <t>3014645528</t>
  </si>
  <si>
    <t>3209153315</t>
  </si>
  <si>
    <t>3213586044</t>
  </si>
  <si>
    <t>3213580539</t>
  </si>
  <si>
    <t>3118209988</t>
  </si>
  <si>
    <t>3148943204</t>
  </si>
  <si>
    <t>3143036205</t>
  </si>
  <si>
    <t>3132774355</t>
  </si>
  <si>
    <t>3118313554</t>
  </si>
  <si>
    <t>3208629016</t>
  </si>
  <si>
    <t>3133778782</t>
  </si>
  <si>
    <t>3214025732</t>
  </si>
  <si>
    <t>3176757475</t>
  </si>
  <si>
    <t>3142349567</t>
  </si>
  <si>
    <t>3102851925</t>
  </si>
  <si>
    <t>3133841958</t>
  </si>
  <si>
    <t>3107101552</t>
  </si>
  <si>
    <t>3008816595</t>
  </si>
  <si>
    <t>3212465581</t>
  </si>
  <si>
    <t>3146013039</t>
  </si>
  <si>
    <t>3142902395</t>
  </si>
  <si>
    <t>3102205287</t>
  </si>
  <si>
    <t>3114444916</t>
  </si>
  <si>
    <t>3214475133</t>
  </si>
  <si>
    <t>3112031012</t>
  </si>
  <si>
    <t>3102136730</t>
  </si>
  <si>
    <t>3208790706</t>
  </si>
  <si>
    <t>3212327164</t>
  </si>
  <si>
    <t>3142569507</t>
  </si>
  <si>
    <t>3183559547</t>
  </si>
  <si>
    <t>3208184588</t>
  </si>
  <si>
    <t>3147280931</t>
  </si>
  <si>
    <t>3214114722</t>
  </si>
  <si>
    <t>3102434456</t>
  </si>
  <si>
    <t>3107577813</t>
  </si>
  <si>
    <t>3114686149</t>
  </si>
  <si>
    <t>3102006008</t>
  </si>
  <si>
    <t>3106508091</t>
  </si>
  <si>
    <t>3105150765</t>
  </si>
  <si>
    <t>3112695301</t>
  </si>
  <si>
    <t>3115402108</t>
  </si>
  <si>
    <t>3102790247</t>
  </si>
  <si>
    <t>3126727417</t>
  </si>
  <si>
    <t>3219442001</t>
  </si>
  <si>
    <t>3214109524</t>
  </si>
  <si>
    <t>3133644049</t>
  </si>
  <si>
    <t>3133897103</t>
  </si>
  <si>
    <t>3213196393</t>
  </si>
  <si>
    <t>3164376994</t>
  </si>
  <si>
    <t>3133461656</t>
  </si>
  <si>
    <t>3142686196</t>
  </si>
  <si>
    <t>3103452681</t>
  </si>
  <si>
    <t>3118234467</t>
  </si>
  <si>
    <t>3104769572</t>
  </si>
  <si>
    <t>3123913515</t>
  </si>
  <si>
    <t>3175345390</t>
  </si>
  <si>
    <t>3108100138</t>
  </si>
  <si>
    <t>3115066737</t>
  </si>
  <si>
    <t>3219187807</t>
  </si>
  <si>
    <t>3144454982</t>
  </si>
  <si>
    <t>3133492996</t>
  </si>
  <si>
    <t>3132548199</t>
  </si>
  <si>
    <t>3123596595</t>
  </si>
  <si>
    <t>3108525123</t>
  </si>
  <si>
    <t>3114561204</t>
  </si>
  <si>
    <t>3124671335</t>
  </si>
  <si>
    <t>3227028113</t>
  </si>
  <si>
    <t>3133864382</t>
  </si>
  <si>
    <t>3138512233</t>
  </si>
  <si>
    <t>3214981600</t>
  </si>
  <si>
    <t>3185544352</t>
  </si>
  <si>
    <t>3125748715</t>
  </si>
  <si>
    <t>3134845094</t>
  </si>
  <si>
    <t>3217805234</t>
  </si>
  <si>
    <t>3115130270</t>
  </si>
  <si>
    <t>3202710495</t>
  </si>
  <si>
    <t>3107858796</t>
  </si>
  <si>
    <t>3106081409</t>
  </si>
  <si>
    <t>3124314211</t>
  </si>
  <si>
    <t>3112662643</t>
  </si>
  <si>
    <t>3144289616</t>
  </si>
  <si>
    <t>3123401655</t>
  </si>
  <si>
    <t>3115738088</t>
  </si>
  <si>
    <t>3123330032</t>
  </si>
  <si>
    <t>3202901461</t>
  </si>
  <si>
    <t>3118274071</t>
  </si>
  <si>
    <t>3148594049</t>
  </si>
  <si>
    <t>3138599050</t>
  </si>
  <si>
    <t>3115379492</t>
  </si>
  <si>
    <t>3213951198</t>
  </si>
  <si>
    <t>3108145253</t>
  </si>
  <si>
    <t>3112977880</t>
  </si>
  <si>
    <t>3208723829</t>
  </si>
  <si>
    <t>3118419978</t>
  </si>
  <si>
    <t>3133567614</t>
  </si>
  <si>
    <t>3215993241</t>
  </si>
  <si>
    <t>3172594078</t>
  </si>
  <si>
    <t>3124088724</t>
  </si>
  <si>
    <t>3105252716</t>
  </si>
  <si>
    <t>3114951681</t>
  </si>
  <si>
    <t>3103238339</t>
  </si>
  <si>
    <t>3166294787</t>
  </si>
  <si>
    <t>3003050704</t>
  </si>
  <si>
    <t>3126494171</t>
  </si>
  <si>
    <t>3132599020</t>
  </si>
  <si>
    <t>3115994042</t>
  </si>
  <si>
    <t>3202272078</t>
  </si>
  <si>
    <t>3132778870</t>
  </si>
  <si>
    <t>3233082254</t>
  </si>
  <si>
    <t>3212112703</t>
  </si>
  <si>
    <t>3138046545</t>
  </si>
  <si>
    <t>3173095870</t>
  </si>
  <si>
    <t>3193651022</t>
  </si>
  <si>
    <t>3104591828</t>
  </si>
  <si>
    <t>3212304679</t>
  </si>
  <si>
    <t>3212291336</t>
  </si>
  <si>
    <t>3125529282</t>
  </si>
  <si>
    <t>3134671529</t>
  </si>
  <si>
    <t>3134137121</t>
  </si>
  <si>
    <t>3133784108</t>
  </si>
  <si>
    <t>3133434531</t>
  </si>
  <si>
    <t>3208624020</t>
  </si>
  <si>
    <t>3223411688</t>
  </si>
  <si>
    <t>3134537341</t>
  </si>
  <si>
    <t>3212933568</t>
  </si>
  <si>
    <t>3144512430</t>
  </si>
  <si>
    <t>3187219850</t>
  </si>
  <si>
    <t>3118734253</t>
  </si>
  <si>
    <t>3145213447</t>
  </si>
  <si>
    <t>3185444086</t>
  </si>
  <si>
    <t>3132958841</t>
  </si>
  <si>
    <t>3208864951</t>
  </si>
  <si>
    <t>3144171991</t>
  </si>
  <si>
    <t>3138643159</t>
  </si>
  <si>
    <t>3215638069</t>
  </si>
  <si>
    <t>3213185227</t>
  </si>
  <si>
    <t>3167593572</t>
  </si>
  <si>
    <t>3213827731</t>
  </si>
  <si>
    <t>3102707390</t>
  </si>
  <si>
    <t>3133860956</t>
  </si>
  <si>
    <t>3208764363</t>
  </si>
  <si>
    <t>3209664928</t>
  </si>
  <si>
    <t>3214791022</t>
  </si>
  <si>
    <t>3223556563</t>
  </si>
  <si>
    <t>3209151763</t>
  </si>
  <si>
    <t>3123154227</t>
  </si>
  <si>
    <t>3142108493</t>
  </si>
  <si>
    <t>3114465514</t>
  </si>
  <si>
    <t>3012127854</t>
  </si>
  <si>
    <t>3134187573</t>
  </si>
  <si>
    <t>3138890976</t>
  </si>
  <si>
    <t>3104874315</t>
  </si>
  <si>
    <t>3132785640</t>
  </si>
  <si>
    <t>3112805533</t>
  </si>
  <si>
    <t>3142979172</t>
  </si>
  <si>
    <t>3102873931</t>
  </si>
  <si>
    <t>3107856082</t>
  </si>
  <si>
    <t>3123521863</t>
  </si>
  <si>
    <t>3223573869</t>
  </si>
  <si>
    <t>3107811945</t>
  </si>
  <si>
    <t>3104229884</t>
  </si>
  <si>
    <t>3138338536</t>
  </si>
  <si>
    <t>3106690877</t>
  </si>
  <si>
    <t>3212666243</t>
  </si>
  <si>
    <t>3204115523</t>
  </si>
  <si>
    <t>3142219027</t>
  </si>
  <si>
    <t>3134612570</t>
  </si>
  <si>
    <t>3144748222</t>
  </si>
  <si>
    <t>3228758223</t>
  </si>
  <si>
    <t>3118771683</t>
  </si>
  <si>
    <t>3214612199</t>
  </si>
  <si>
    <t>3143469880</t>
  </si>
  <si>
    <t>3142279806</t>
  </si>
  <si>
    <t>3118926288</t>
  </si>
  <si>
    <t>3202621033</t>
  </si>
  <si>
    <t>3123636925</t>
  </si>
  <si>
    <t>3112446337</t>
  </si>
  <si>
    <t>3114660077</t>
  </si>
  <si>
    <t>3005619434</t>
  </si>
  <si>
    <t>3124329044</t>
  </si>
  <si>
    <t>3147223824</t>
  </si>
  <si>
    <t>3208247591</t>
  </si>
  <si>
    <t>3118929028</t>
  </si>
  <si>
    <t>3108614053</t>
  </si>
  <si>
    <t>3123304902</t>
  </si>
  <si>
    <t>3204993285</t>
  </si>
  <si>
    <t>3144902039</t>
  </si>
  <si>
    <t>3204489469</t>
  </si>
  <si>
    <t>3114506030</t>
  </si>
  <si>
    <t>3227995983</t>
  </si>
  <si>
    <t>3217055480</t>
  </si>
  <si>
    <t>3208035026</t>
  </si>
  <si>
    <t>3203812218</t>
  </si>
  <si>
    <t>3167098030</t>
  </si>
  <si>
    <t>3118582026</t>
  </si>
  <si>
    <t>3123014861</t>
  </si>
  <si>
    <t>3143388532</t>
  </si>
  <si>
    <t>3103361743</t>
  </si>
  <si>
    <t>3115309181</t>
  </si>
  <si>
    <t>3015172799</t>
  </si>
  <si>
    <t>3112434617</t>
  </si>
  <si>
    <t>3144035839</t>
  </si>
  <si>
    <t>3114474452</t>
  </si>
  <si>
    <t>3102882433</t>
  </si>
  <si>
    <t>3115157109</t>
  </si>
  <si>
    <t>3133011104</t>
  </si>
  <si>
    <t>3108687880</t>
  </si>
  <si>
    <t>3105538878</t>
  </si>
  <si>
    <t>3102276244</t>
  </si>
  <si>
    <t>3107929747</t>
  </si>
  <si>
    <t>3118076237</t>
  </si>
  <si>
    <t>3112887932</t>
  </si>
  <si>
    <t>3138111026</t>
  </si>
  <si>
    <t>3118059799</t>
  </si>
  <si>
    <t>3202873135</t>
  </si>
  <si>
    <t>3012222848</t>
  </si>
  <si>
    <t>3103022427</t>
  </si>
  <si>
    <t>3144077772</t>
  </si>
  <si>
    <t>3123965179</t>
  </si>
  <si>
    <t>320660760</t>
  </si>
  <si>
    <t>3138935725</t>
  </si>
  <si>
    <t>3192068499</t>
  </si>
  <si>
    <t>3142272002</t>
  </si>
  <si>
    <t>3225616162</t>
  </si>
  <si>
    <t>3143026647</t>
  </si>
  <si>
    <t>3185937529</t>
  </si>
  <si>
    <t>3143013634</t>
  </si>
  <si>
    <t>3232903944</t>
  </si>
  <si>
    <t>3124506324</t>
  </si>
  <si>
    <t>3118313323</t>
  </si>
  <si>
    <t>3133303115</t>
  </si>
  <si>
    <t>3207683126</t>
  </si>
  <si>
    <t>3223727801</t>
  </si>
  <si>
    <t>3204511524</t>
  </si>
  <si>
    <t>3114449147</t>
  </si>
  <si>
    <t>3172502164</t>
  </si>
  <si>
    <t>3023738787</t>
  </si>
  <si>
    <t>3112667246</t>
  </si>
  <si>
    <t>3168739063</t>
  </si>
  <si>
    <t>3138339480</t>
  </si>
  <si>
    <t>3144759912</t>
  </si>
  <si>
    <t>3209706906</t>
  </si>
  <si>
    <t>3212381137</t>
  </si>
  <si>
    <t>3114602389</t>
  </si>
  <si>
    <t>3197539055</t>
  </si>
  <si>
    <t>3144918916</t>
  </si>
  <si>
    <t>3202043999</t>
  </si>
  <si>
    <t>3212501940</t>
  </si>
  <si>
    <t>3112781631</t>
  </si>
  <si>
    <t>3134499390</t>
  </si>
  <si>
    <t>3144341218</t>
  </si>
  <si>
    <t>3168683782</t>
  </si>
  <si>
    <t>3132297958</t>
  </si>
  <si>
    <t>3143587336</t>
  </si>
  <si>
    <t>3023805611</t>
  </si>
  <si>
    <t>3159260251</t>
  </si>
  <si>
    <t>3125433619</t>
  </si>
  <si>
    <t>3118519210</t>
  </si>
  <si>
    <t>3212525906</t>
  </si>
  <si>
    <t>3123049629</t>
  </si>
  <si>
    <t>3204116133</t>
  </si>
  <si>
    <t>3112496683</t>
  </si>
  <si>
    <t>3209026895</t>
  </si>
  <si>
    <t>3135562540</t>
  </si>
  <si>
    <t>3125379416</t>
  </si>
  <si>
    <t>3115654248</t>
  </si>
  <si>
    <t>3166262387</t>
  </si>
  <si>
    <t>3028479096</t>
  </si>
  <si>
    <t>3133511711</t>
  </si>
  <si>
    <t>3212589432</t>
  </si>
  <si>
    <t>3184018036</t>
  </si>
  <si>
    <t>3143628235</t>
  </si>
  <si>
    <t>3133312759</t>
  </si>
  <si>
    <t>3232190279</t>
  </si>
  <si>
    <t>3208218876</t>
  </si>
  <si>
    <t>3123604940</t>
  </si>
  <si>
    <t>3124004219</t>
  </si>
  <si>
    <t>3212531465</t>
  </si>
  <si>
    <t>3108014418</t>
  </si>
  <si>
    <t>3225712707</t>
  </si>
  <si>
    <t>3102496620</t>
  </si>
  <si>
    <t>3114540968</t>
  </si>
  <si>
    <t>3115362979</t>
  </si>
  <si>
    <t>3114775620</t>
  </si>
  <si>
    <t>3202154740</t>
  </si>
  <si>
    <t>3115393026</t>
  </si>
  <si>
    <t>3124347549</t>
  </si>
  <si>
    <t>3124468390</t>
  </si>
  <si>
    <t>3195523285</t>
  </si>
  <si>
    <t>3185285609</t>
  </si>
  <si>
    <t>3118287504</t>
  </si>
  <si>
    <t>3124597081</t>
  </si>
  <si>
    <t>3143928029</t>
  </si>
  <si>
    <t>3132798398</t>
  </si>
  <si>
    <t>3132294748</t>
  </si>
  <si>
    <t>3208483992</t>
  </si>
  <si>
    <t>3102981587</t>
  </si>
  <si>
    <t>3115973610</t>
  </si>
  <si>
    <t>3222023889</t>
  </si>
  <si>
    <t>3124383595</t>
  </si>
  <si>
    <t>3115447841</t>
  </si>
  <si>
    <t>3142735183</t>
  </si>
  <si>
    <t>3125009879</t>
  </si>
  <si>
    <t>3214627453</t>
  </si>
  <si>
    <t>3212529128</t>
  </si>
  <si>
    <t>3115555274</t>
  </si>
  <si>
    <t>3114768921</t>
  </si>
  <si>
    <t>3125408021</t>
  </si>
  <si>
    <t>312412617</t>
  </si>
  <si>
    <t>3204980414</t>
  </si>
  <si>
    <t>3142483640</t>
  </si>
  <si>
    <t>3107895034</t>
  </si>
  <si>
    <t>3008157737</t>
  </si>
  <si>
    <t>3195689900</t>
  </si>
  <si>
    <t>3124949784</t>
  </si>
  <si>
    <t>3115734563</t>
  </si>
  <si>
    <t>3138635187</t>
  </si>
  <si>
    <t>3232830345</t>
  </si>
  <si>
    <t>3133633728</t>
  </si>
  <si>
    <t>3124372847</t>
  </si>
  <si>
    <t>3219045131</t>
  </si>
  <si>
    <t>3209054087</t>
  </si>
  <si>
    <t>3204980831</t>
  </si>
  <si>
    <t>3114522847</t>
  </si>
  <si>
    <t>3188144928</t>
  </si>
  <si>
    <t>3102860972</t>
  </si>
  <si>
    <t>3102458334</t>
  </si>
  <si>
    <t>3133046897</t>
  </si>
  <si>
    <t>3194654283</t>
  </si>
  <si>
    <t>3214992325</t>
  </si>
  <si>
    <t>3124315165</t>
  </si>
  <si>
    <t>3115023621</t>
  </si>
  <si>
    <t>3204554540</t>
  </si>
  <si>
    <t>3227348397</t>
  </si>
  <si>
    <t>3222638450</t>
  </si>
  <si>
    <t>3138755394</t>
  </si>
  <si>
    <t>3219785601</t>
  </si>
  <si>
    <t>3125103412</t>
  </si>
  <si>
    <t>3172982713</t>
  </si>
  <si>
    <t>3166205177</t>
  </si>
  <si>
    <t>3124931941</t>
  </si>
  <si>
    <t>3212610431</t>
  </si>
  <si>
    <t>3125123758</t>
  </si>
  <si>
    <t>3118293830</t>
  </si>
  <si>
    <t>3125823452</t>
  </si>
  <si>
    <t>3208743627</t>
  </si>
  <si>
    <t>3115985678</t>
  </si>
  <si>
    <t>3102604481</t>
  </si>
  <si>
    <t>3144509492</t>
  </si>
  <si>
    <t>3102541348</t>
  </si>
  <si>
    <t>3124845352</t>
  </si>
  <si>
    <t>3042453353</t>
  </si>
  <si>
    <t>3124239732</t>
  </si>
  <si>
    <t>3102941472</t>
  </si>
  <si>
    <t>3134876966</t>
  </si>
  <si>
    <t>3218147456</t>
  </si>
  <si>
    <t>3208718088</t>
  </si>
  <si>
    <t>3115940807</t>
  </si>
  <si>
    <t>3108131904</t>
  </si>
  <si>
    <t>3107967150</t>
  </si>
  <si>
    <t>3132281343</t>
  </si>
  <si>
    <t>3208606018</t>
  </si>
  <si>
    <t>3204244005</t>
  </si>
  <si>
    <t>3138494546</t>
  </si>
  <si>
    <t>3115009979</t>
  </si>
  <si>
    <t>3214462611</t>
  </si>
  <si>
    <t>3213478545</t>
  </si>
  <si>
    <t>3117657511</t>
  </si>
  <si>
    <t>3152051164</t>
  </si>
  <si>
    <t>3125680280</t>
  </si>
  <si>
    <t>3123167306</t>
  </si>
  <si>
    <t>3202943343</t>
  </si>
  <si>
    <t>3208960882</t>
  </si>
  <si>
    <t>3123296670</t>
  </si>
  <si>
    <t>3144498285</t>
  </si>
  <si>
    <t>3229023156</t>
  </si>
  <si>
    <t>3142693159</t>
  </si>
  <si>
    <t>3115105715</t>
  </si>
  <si>
    <t>3183815930</t>
  </si>
  <si>
    <t>3125592169</t>
  </si>
  <si>
    <t>3102790992</t>
  </si>
  <si>
    <t>3125804716</t>
  </si>
  <si>
    <t>3122679964</t>
  </si>
  <si>
    <t>3106196108</t>
  </si>
  <si>
    <t>3138643581</t>
  </si>
  <si>
    <t>3143092550</t>
  </si>
  <si>
    <t>3102065058</t>
  </si>
  <si>
    <t>3124490171</t>
  </si>
  <si>
    <t>3123260946</t>
  </si>
  <si>
    <t>3123074819</t>
  </si>
  <si>
    <t>3223865509</t>
  </si>
  <si>
    <t>3178538684</t>
  </si>
  <si>
    <t>3118816462</t>
  </si>
  <si>
    <t>3016596596</t>
  </si>
  <si>
    <t>3142233192</t>
  </si>
  <si>
    <t>3202282246</t>
  </si>
  <si>
    <t>3102192824</t>
  </si>
  <si>
    <t>3204822672</t>
  </si>
  <si>
    <t>3134871832</t>
  </si>
  <si>
    <t>3102612377</t>
  </si>
  <si>
    <t>3125660611</t>
  </si>
  <si>
    <t>3213708164</t>
  </si>
  <si>
    <t>3106665395</t>
  </si>
  <si>
    <t>3153107711</t>
  </si>
  <si>
    <t>3212211823</t>
  </si>
  <si>
    <t>3142649424</t>
  </si>
  <si>
    <t>320809443</t>
  </si>
  <si>
    <t>3108060896</t>
  </si>
  <si>
    <t>3123502635</t>
  </si>
  <si>
    <t>3166358362</t>
  </si>
  <si>
    <t>3203639767</t>
  </si>
  <si>
    <t>3144791884</t>
  </si>
  <si>
    <t>3233074734</t>
  </si>
  <si>
    <t>3114166242</t>
  </si>
  <si>
    <t>3003601834</t>
  </si>
  <si>
    <t>3115723403</t>
  </si>
  <si>
    <t>3205927825</t>
  </si>
  <si>
    <t>3133016362</t>
  </si>
  <si>
    <t>3026675255</t>
  </si>
  <si>
    <t>3138665858</t>
  </si>
  <si>
    <t>3115830256</t>
  </si>
  <si>
    <t>3134379679</t>
  </si>
  <si>
    <t>3188826078</t>
  </si>
  <si>
    <t>3204539524</t>
  </si>
  <si>
    <t>3164474583</t>
  </si>
  <si>
    <t>3102714541</t>
  </si>
  <si>
    <t>3138353241</t>
  </si>
  <si>
    <t>3125763008</t>
  </si>
  <si>
    <t>3204583808</t>
  </si>
  <si>
    <t>3133417860</t>
  </si>
  <si>
    <t>3125720527</t>
  </si>
  <si>
    <t>3112398244</t>
  </si>
  <si>
    <t>3138985690</t>
  </si>
  <si>
    <t>3124961938</t>
  </si>
  <si>
    <t>3185326807</t>
  </si>
  <si>
    <t>3213494921</t>
  </si>
  <si>
    <t>3125627314</t>
  </si>
  <si>
    <t>3123141742</t>
  </si>
  <si>
    <t>3246825074</t>
  </si>
  <si>
    <t>3208102534</t>
  </si>
  <si>
    <t>3143521252</t>
  </si>
  <si>
    <t>3134692810</t>
  </si>
  <si>
    <t>3202784737</t>
  </si>
  <si>
    <t>3212643561</t>
  </si>
  <si>
    <t>3102347851</t>
  </si>
  <si>
    <t>3125715393</t>
  </si>
  <si>
    <t>3134839120</t>
  </si>
  <si>
    <t>3142523552</t>
  </si>
  <si>
    <t>3118818012</t>
  </si>
  <si>
    <t>3208831894</t>
  </si>
  <si>
    <t>3145237385</t>
  </si>
  <si>
    <t>3118886166</t>
  </si>
  <si>
    <t>3214260277</t>
  </si>
  <si>
    <t>3138487961</t>
  </si>
  <si>
    <t>3224099372</t>
  </si>
  <si>
    <t>3213504253</t>
  </si>
  <si>
    <t>3108109607</t>
  </si>
  <si>
    <t>3214876735</t>
  </si>
  <si>
    <t>3238109784</t>
  </si>
  <si>
    <t>3224314562</t>
  </si>
  <si>
    <t>3204227815</t>
  </si>
  <si>
    <t>3186320163</t>
  </si>
  <si>
    <t>3133990550</t>
  </si>
  <si>
    <t>3102540151</t>
  </si>
  <si>
    <t>3203857474</t>
  </si>
  <si>
    <t>3202356300</t>
  </si>
  <si>
    <t>3233234329</t>
  </si>
  <si>
    <t>3023551254</t>
  </si>
  <si>
    <t>3124757492</t>
  </si>
  <si>
    <t>3102446601</t>
  </si>
  <si>
    <t>3177352486</t>
  </si>
  <si>
    <t>3155855917</t>
  </si>
  <si>
    <t>3209356380</t>
  </si>
  <si>
    <t>3124521207</t>
  </si>
  <si>
    <t>3203950444</t>
  </si>
  <si>
    <t>3213024945</t>
  </si>
  <si>
    <t>3138745891</t>
  </si>
  <si>
    <t>3208503369</t>
  </si>
  <si>
    <t>3144168924</t>
  </si>
  <si>
    <t>3142981072</t>
  </si>
  <si>
    <t>3146152322</t>
  </si>
  <si>
    <t>3123027238</t>
  </si>
  <si>
    <t>3144311667</t>
  </si>
  <si>
    <t>3105575713</t>
  </si>
  <si>
    <t>3202523678</t>
  </si>
  <si>
    <t>3203082303</t>
  </si>
  <si>
    <t>3124462687</t>
  </si>
  <si>
    <t>3124604924</t>
  </si>
  <si>
    <t>3174601854</t>
  </si>
  <si>
    <t>3186148107</t>
  </si>
  <si>
    <t>3222544457</t>
  </si>
  <si>
    <t>3183319283</t>
  </si>
  <si>
    <t>3117214627</t>
  </si>
  <si>
    <t>3177177939</t>
  </si>
  <si>
    <t>3214627924</t>
  </si>
  <si>
    <t>3112779080</t>
  </si>
  <si>
    <t>3227764192</t>
  </si>
  <si>
    <t>3142321531</t>
  </si>
  <si>
    <t>3125560712</t>
  </si>
  <si>
    <t>3012913208</t>
  </si>
  <si>
    <t>3208603408</t>
  </si>
  <si>
    <t>3134614961</t>
  </si>
  <si>
    <t>3165135367</t>
  </si>
  <si>
    <t>3148438693</t>
  </si>
  <si>
    <t>3104188182</t>
  </si>
  <si>
    <t>3175706592</t>
  </si>
  <si>
    <t>3124867589</t>
  </si>
  <si>
    <t>3204220725</t>
  </si>
  <si>
    <t>3142408151</t>
  </si>
  <si>
    <t>3194555708</t>
  </si>
  <si>
    <t>3168960555</t>
  </si>
  <si>
    <t>3123344932</t>
  </si>
  <si>
    <t>3123888927</t>
  </si>
  <si>
    <t>3214415008</t>
  </si>
  <si>
    <t>3213866167</t>
  </si>
  <si>
    <t>3045594437</t>
  </si>
  <si>
    <t>3132141112</t>
  </si>
  <si>
    <t>3163827206</t>
  </si>
  <si>
    <t>3143409417</t>
  </si>
  <si>
    <t>3125939279</t>
  </si>
  <si>
    <t>3125316762</t>
  </si>
  <si>
    <t>3193428354</t>
  </si>
  <si>
    <t>3118234409</t>
  </si>
  <si>
    <t>3107592873</t>
  </si>
  <si>
    <t>3164308493</t>
  </si>
  <si>
    <t>3125202984</t>
  </si>
  <si>
    <t>3142739254</t>
  </si>
  <si>
    <t>3046634621</t>
  </si>
  <si>
    <t>3133920103</t>
  </si>
  <si>
    <t>3213599792</t>
  </si>
  <si>
    <t>3107500596</t>
  </si>
  <si>
    <t>315895923</t>
  </si>
  <si>
    <t>3142160812</t>
  </si>
  <si>
    <t>3112352435</t>
  </si>
  <si>
    <t>3204417676</t>
  </si>
  <si>
    <t>3133344162</t>
  </si>
  <si>
    <t>3023748079</t>
  </si>
  <si>
    <t>3105742781</t>
  </si>
  <si>
    <t>3133288513</t>
  </si>
  <si>
    <t>3144445383</t>
  </si>
  <si>
    <t>3134684464</t>
  </si>
  <si>
    <t>3115415624</t>
  </si>
  <si>
    <t>3138216235</t>
  </si>
  <si>
    <t>3194363865</t>
  </si>
  <si>
    <t>3105827200</t>
  </si>
  <si>
    <t>3134555927</t>
  </si>
  <si>
    <t>3117260756</t>
  </si>
  <si>
    <t>3112577919</t>
  </si>
  <si>
    <t>3023537212</t>
  </si>
  <si>
    <t>3142274946</t>
  </si>
  <si>
    <t>3104953116</t>
  </si>
  <si>
    <t>3114809881</t>
  </si>
  <si>
    <t>3133385485</t>
  </si>
  <si>
    <t>3118188895</t>
  </si>
  <si>
    <t>3123380184</t>
  </si>
  <si>
    <t>3144545169</t>
  </si>
  <si>
    <t>3124836330</t>
  </si>
  <si>
    <t>3212272168</t>
  </si>
  <si>
    <t>3144442424</t>
  </si>
  <si>
    <t>3105339484</t>
  </si>
  <si>
    <t>3204042991</t>
  </si>
  <si>
    <t>3222122906</t>
  </si>
  <si>
    <t>3213334538</t>
  </si>
  <si>
    <t>3226367173</t>
  </si>
  <si>
    <t>3133474424</t>
  </si>
  <si>
    <t>3213406421</t>
  </si>
  <si>
    <t>3132789755</t>
  </si>
  <si>
    <t>3108858266</t>
  </si>
  <si>
    <t>3203592787</t>
  </si>
  <si>
    <t>3209753852</t>
  </si>
  <si>
    <t>3212163618</t>
  </si>
  <si>
    <t>3208096974</t>
  </si>
  <si>
    <t>3134563571</t>
  </si>
  <si>
    <t>3202617196</t>
  </si>
  <si>
    <t>3202205403</t>
  </si>
  <si>
    <t>3124653536</t>
  </si>
  <si>
    <t>3219122416</t>
  </si>
  <si>
    <t>3132472766</t>
  </si>
  <si>
    <t>3212925501</t>
  </si>
  <si>
    <t>3112618696</t>
  </si>
  <si>
    <t>3125153645</t>
  </si>
  <si>
    <t>3143252686</t>
  </si>
  <si>
    <t>3107808329</t>
  </si>
  <si>
    <t>3112492236</t>
  </si>
  <si>
    <t>3202049135</t>
  </si>
  <si>
    <t>3183785170</t>
  </si>
  <si>
    <t>3103490859</t>
  </si>
  <si>
    <t>3227332744</t>
  </si>
  <si>
    <t>3115226181</t>
  </si>
  <si>
    <t>3124439567</t>
  </si>
  <si>
    <t>3182344319</t>
  </si>
  <si>
    <t>3124581087</t>
  </si>
  <si>
    <t>3213291395</t>
  </si>
  <si>
    <t>3222655932</t>
  </si>
  <si>
    <t>3143503464</t>
  </si>
  <si>
    <t>3137441242</t>
  </si>
  <si>
    <t>3166495923</t>
  </si>
  <si>
    <t>3204089009</t>
  </si>
  <si>
    <t>3133966237</t>
  </si>
  <si>
    <t>3162334987</t>
  </si>
  <si>
    <t>3107400171</t>
  </si>
  <si>
    <t>3133352201</t>
  </si>
  <si>
    <t>3229093283</t>
  </si>
  <si>
    <t>3219743237</t>
  </si>
  <si>
    <t>3044734738</t>
  </si>
  <si>
    <t>3222431567</t>
  </si>
  <si>
    <t>3134118371</t>
  </si>
  <si>
    <t>3222075549</t>
  </si>
  <si>
    <t>3202632665</t>
  </si>
  <si>
    <t>3212483470</t>
  </si>
  <si>
    <t>3223087776</t>
  </si>
  <si>
    <t>3144624936</t>
  </si>
  <si>
    <t>3112874148</t>
  </si>
  <si>
    <t>3165333999</t>
  </si>
  <si>
    <t>3203243307</t>
  </si>
  <si>
    <t>3166986024</t>
  </si>
  <si>
    <t>3183880282</t>
  </si>
  <si>
    <t>3142215593</t>
  </si>
  <si>
    <t>3118820156</t>
  </si>
  <si>
    <t>3114875562</t>
  </si>
  <si>
    <t>3205863485</t>
  </si>
  <si>
    <t>3188529440</t>
  </si>
  <si>
    <t>3114554520</t>
  </si>
  <si>
    <t>3143803151</t>
  </si>
  <si>
    <t>3176231240</t>
  </si>
  <si>
    <t>3112644081</t>
  </si>
  <si>
    <t>3203304091</t>
  </si>
  <si>
    <t>3143041932</t>
  </si>
  <si>
    <t>3248757791</t>
  </si>
  <si>
    <t>3016085364</t>
  </si>
  <si>
    <t>3112226886</t>
  </si>
  <si>
    <t>3143583817</t>
  </si>
  <si>
    <t>3112060751</t>
  </si>
  <si>
    <t>3124031646</t>
  </si>
  <si>
    <t>3173709864</t>
  </si>
  <si>
    <t>3222238756</t>
  </si>
  <si>
    <t>3123925579</t>
  </si>
  <si>
    <t>3213164643</t>
  </si>
  <si>
    <t>3215096129</t>
  </si>
  <si>
    <t>3108541553</t>
  </si>
  <si>
    <t>3228085630</t>
  </si>
  <si>
    <t>3133253983</t>
  </si>
  <si>
    <t>3124919547</t>
  </si>
  <si>
    <t>3115027767</t>
  </si>
  <si>
    <t>3014802530</t>
  </si>
  <si>
    <t>3112195989</t>
  </si>
  <si>
    <t>3212215676</t>
  </si>
  <si>
    <t>3107129743</t>
  </si>
  <si>
    <t>3202279444</t>
  </si>
  <si>
    <t>3102970869</t>
  </si>
  <si>
    <t>3105508680</t>
  </si>
  <si>
    <t>3102836519</t>
  </si>
  <si>
    <t>3138233700</t>
  </si>
  <si>
    <t>3125215082</t>
  </si>
  <si>
    <t>3103177715</t>
  </si>
  <si>
    <t>3103348901</t>
  </si>
  <si>
    <t>3202085229</t>
  </si>
  <si>
    <t>3158240262</t>
  </si>
  <si>
    <t>3107995110</t>
  </si>
  <si>
    <t>3013711865</t>
  </si>
  <si>
    <t>3125600728</t>
  </si>
  <si>
    <t>3012953602</t>
  </si>
  <si>
    <t>3112267832</t>
  </si>
  <si>
    <t>3136784842</t>
  </si>
  <si>
    <t>3105822277</t>
  </si>
  <si>
    <t>3144501086</t>
  </si>
  <si>
    <t>3134078327</t>
  </si>
  <si>
    <t>3188709832</t>
  </si>
  <si>
    <t>3202945689</t>
  </si>
  <si>
    <t>3125582120</t>
  </si>
  <si>
    <t>3205189222</t>
  </si>
  <si>
    <t>3213662921</t>
  </si>
  <si>
    <t>3138326610</t>
  </si>
  <si>
    <t>3144550706</t>
  </si>
  <si>
    <t>3112415832</t>
  </si>
  <si>
    <t>3219237288</t>
  </si>
  <si>
    <t>3115034611</t>
  </si>
  <si>
    <t>3218245399</t>
  </si>
  <si>
    <t>3115646071</t>
  </si>
  <si>
    <t>3106894259</t>
  </si>
  <si>
    <t>3108012664</t>
  </si>
  <si>
    <t>3195753107</t>
  </si>
  <si>
    <t>3213045817</t>
  </si>
  <si>
    <t>3046355178</t>
  </si>
  <si>
    <t>3213423530</t>
  </si>
  <si>
    <t>3144523844</t>
  </si>
  <si>
    <t>3222376287</t>
  </si>
  <si>
    <t>3118005737</t>
  </si>
  <si>
    <t>3142945951</t>
  </si>
  <si>
    <t>3142788210</t>
  </si>
  <si>
    <t>3156324675</t>
  </si>
  <si>
    <t>3143324909</t>
  </si>
  <si>
    <t>3124067067</t>
  </si>
  <si>
    <t>3007460394</t>
  </si>
  <si>
    <t>3222137829</t>
  </si>
  <si>
    <t>3222381311</t>
  </si>
  <si>
    <t>3219598258</t>
  </si>
  <si>
    <t>3178316099</t>
  </si>
  <si>
    <t>3214947825</t>
  </si>
  <si>
    <t>3215096952</t>
  </si>
  <si>
    <t>3227764117</t>
  </si>
  <si>
    <t>3212467247</t>
  </si>
  <si>
    <t>3208333161</t>
  </si>
  <si>
    <t>3015724326</t>
  </si>
  <si>
    <t>3158244801</t>
  </si>
  <si>
    <t>3204294219</t>
  </si>
  <si>
    <t>3138048744</t>
  </si>
  <si>
    <t>3176907161</t>
  </si>
  <si>
    <t>3126247219</t>
  </si>
  <si>
    <t>3213840374</t>
  </si>
  <si>
    <t>3132320550</t>
  </si>
  <si>
    <t>3133622725</t>
  </si>
  <si>
    <t>3112384544</t>
  </si>
  <si>
    <t>3204571019</t>
  </si>
  <si>
    <t>3016108973</t>
  </si>
  <si>
    <t>3115986130</t>
  </si>
  <si>
    <t>3183887323</t>
  </si>
  <si>
    <t>3105577385</t>
  </si>
  <si>
    <t>3136368726</t>
  </si>
  <si>
    <t>3104116792</t>
  </si>
  <si>
    <t>3202520988</t>
  </si>
  <si>
    <t>3205551246</t>
  </si>
  <si>
    <t>3115418311</t>
  </si>
  <si>
    <t>3223516952</t>
  </si>
  <si>
    <t>3145256903</t>
  </si>
  <si>
    <t>3133640888</t>
  </si>
  <si>
    <t>3166196080</t>
  </si>
  <si>
    <t>3208254366</t>
  </si>
  <si>
    <t>3103103780</t>
  </si>
  <si>
    <t>3214666370</t>
  </si>
  <si>
    <t>3022388037</t>
  </si>
  <si>
    <t>3222117645</t>
  </si>
  <si>
    <t>3204329037</t>
  </si>
  <si>
    <t>3132703478</t>
  </si>
  <si>
    <t>3123555908</t>
  </si>
  <si>
    <t>3143303084</t>
  </si>
  <si>
    <t>3105858293</t>
  </si>
  <si>
    <t>3205700060</t>
  </si>
  <si>
    <t>3144856660</t>
  </si>
  <si>
    <t>3125806190</t>
  </si>
  <si>
    <t>3213009193</t>
  </si>
  <si>
    <t>3229438752</t>
  </si>
  <si>
    <t>3112612618</t>
  </si>
  <si>
    <t>3229265044</t>
  </si>
  <si>
    <t>3202465689</t>
  </si>
  <si>
    <t>3138616692</t>
  </si>
  <si>
    <t>3244580113</t>
  </si>
  <si>
    <t>3022413222</t>
  </si>
  <si>
    <t>3212788039</t>
  </si>
  <si>
    <t>3202067151</t>
  </si>
  <si>
    <t>3212400218</t>
  </si>
  <si>
    <t>3227202752</t>
  </si>
  <si>
    <t>3107723919</t>
  </si>
  <si>
    <t>3114827714</t>
  </si>
  <si>
    <t>3204662678</t>
  </si>
  <si>
    <t>3144160664</t>
  </si>
  <si>
    <t>3133647980</t>
  </si>
  <si>
    <t>3214262647</t>
  </si>
  <si>
    <t>3219314468</t>
  </si>
  <si>
    <t>3136542359</t>
  </si>
  <si>
    <t>3114868133</t>
  </si>
  <si>
    <t>3133745881</t>
  </si>
  <si>
    <t>3005706920</t>
  </si>
  <si>
    <t>3115304380</t>
  </si>
  <si>
    <t>3125800550</t>
  </si>
  <si>
    <t>3178956542</t>
  </si>
  <si>
    <t>3142519449</t>
  </si>
  <si>
    <t>3106134103</t>
  </si>
  <si>
    <t>3137799236</t>
  </si>
  <si>
    <t>3115343209</t>
  </si>
  <si>
    <t>3132911321</t>
  </si>
  <si>
    <t>3218555363</t>
  </si>
  <si>
    <t>3156184690</t>
  </si>
  <si>
    <t>3105558571</t>
  </si>
  <si>
    <t>3204374610</t>
  </si>
  <si>
    <t>3123166449</t>
  </si>
  <si>
    <t>3205147643</t>
  </si>
  <si>
    <t>3208149324</t>
  </si>
  <si>
    <t>3045940707</t>
  </si>
  <si>
    <t>3004336781</t>
  </si>
  <si>
    <t>3204702708</t>
  </si>
  <si>
    <t>3203633633</t>
  </si>
  <si>
    <t>3102928065</t>
  </si>
  <si>
    <t>3125749282</t>
  </si>
  <si>
    <t>3108194580</t>
  </si>
  <si>
    <t>3123274933</t>
  </si>
  <si>
    <t>3107625949</t>
  </si>
  <si>
    <t>3115282930</t>
  </si>
  <si>
    <t>3204012392</t>
  </si>
  <si>
    <t>3145237131</t>
  </si>
  <si>
    <t>3022985815</t>
  </si>
  <si>
    <t>3124588347</t>
  </si>
  <si>
    <t>3158491419</t>
  </si>
  <si>
    <t>3203469496</t>
  </si>
  <si>
    <t>3105722615</t>
  </si>
  <si>
    <t>3212828251</t>
  </si>
  <si>
    <t>3125767336</t>
  </si>
  <si>
    <t>3143043164</t>
  </si>
  <si>
    <t>3118147791</t>
  </si>
  <si>
    <t>3114419425</t>
  </si>
  <si>
    <t>3133589607</t>
  </si>
  <si>
    <t>3233040022</t>
  </si>
  <si>
    <t>3202130423</t>
  </si>
  <si>
    <t>3102304146</t>
  </si>
  <si>
    <t>3182299578</t>
  </si>
  <si>
    <t>3132490954</t>
  </si>
  <si>
    <t>3112612669</t>
  </si>
  <si>
    <t>3202121272</t>
  </si>
  <si>
    <t>3112931069</t>
  </si>
  <si>
    <t>3208138900</t>
  </si>
  <si>
    <t>3143010868</t>
  </si>
  <si>
    <t>3207985272</t>
  </si>
  <si>
    <t>3125779648</t>
  </si>
  <si>
    <t>3142758069</t>
  </si>
  <si>
    <t>3132520186</t>
  </si>
  <si>
    <t>3136768590</t>
  </si>
  <si>
    <t>3143978413</t>
  </si>
  <si>
    <t>3219620795</t>
  </si>
  <si>
    <t>3124181563</t>
  </si>
  <si>
    <t>3132304680</t>
  </si>
  <si>
    <t>3212398132</t>
  </si>
  <si>
    <t>3176883138</t>
  </si>
  <si>
    <t>3123159919</t>
  </si>
  <si>
    <t>3223022366</t>
  </si>
  <si>
    <t>3202365470</t>
  </si>
  <si>
    <t>3114717904</t>
  </si>
  <si>
    <t>3104816816</t>
  </si>
  <si>
    <t>3135049372</t>
  </si>
  <si>
    <t>3102604870</t>
  </si>
  <si>
    <t>3178952060</t>
  </si>
  <si>
    <t>3166243166</t>
  </si>
  <si>
    <t>3103089321</t>
  </si>
  <si>
    <t>3508678848</t>
  </si>
  <si>
    <t>3153376365</t>
  </si>
  <si>
    <t>3219128927</t>
  </si>
  <si>
    <t>3102924078</t>
  </si>
  <si>
    <t>3114661407</t>
  </si>
  <si>
    <t>3102296667</t>
  </si>
  <si>
    <t>3202659838</t>
  </si>
  <si>
    <t>3102332643</t>
  </si>
  <si>
    <t>3124243147</t>
  </si>
  <si>
    <t>3143848396</t>
  </si>
  <si>
    <t>3118306453</t>
  </si>
  <si>
    <t>3132205457</t>
  </si>
  <si>
    <t>3125882371</t>
  </si>
  <si>
    <t>3115623159</t>
  </si>
  <si>
    <t>314959451</t>
  </si>
  <si>
    <t>3134517367</t>
  </si>
  <si>
    <t>3138936210</t>
  </si>
  <si>
    <t>3124585077</t>
  </si>
  <si>
    <t>3195849175</t>
  </si>
  <si>
    <t>3226522639</t>
  </si>
  <si>
    <t>3112088294</t>
  </si>
  <si>
    <t>3202377977</t>
  </si>
  <si>
    <t>3124428384</t>
  </si>
  <si>
    <t>3124195707</t>
  </si>
  <si>
    <t>3223213325</t>
  </si>
  <si>
    <t>3003137026</t>
  </si>
  <si>
    <t>3138353453</t>
  </si>
  <si>
    <t>3142549350</t>
  </si>
  <si>
    <t>3015452896</t>
  </si>
  <si>
    <t>3112359517</t>
  </si>
  <si>
    <t>3123800810</t>
  </si>
  <si>
    <t>3117287916</t>
  </si>
  <si>
    <t>3219771908</t>
  </si>
  <si>
    <t>3138245667</t>
  </si>
  <si>
    <t>3123299048</t>
  </si>
  <si>
    <t>3142832309</t>
  </si>
  <si>
    <t>3125960892</t>
  </si>
  <si>
    <t>3203371112</t>
  </si>
  <si>
    <t>3144275541</t>
  </si>
  <si>
    <t>3214796746</t>
  </si>
  <si>
    <t>3219788213</t>
  </si>
  <si>
    <t>3212764000</t>
  </si>
  <si>
    <t>3202396672</t>
  </si>
  <si>
    <t>3102943598</t>
  </si>
  <si>
    <t>3208868515</t>
  </si>
  <si>
    <t>3142478577</t>
  </si>
  <si>
    <t>3004728077</t>
  </si>
  <si>
    <t>3118397914</t>
  </si>
  <si>
    <t>3108807863</t>
  </si>
  <si>
    <t>3124947065</t>
  </si>
  <si>
    <t>3112473330</t>
  </si>
  <si>
    <t>3124944614</t>
  </si>
  <si>
    <t>3214861004</t>
  </si>
  <si>
    <t>3125395163</t>
  </si>
  <si>
    <t>3132266849</t>
  </si>
  <si>
    <t>3114939598</t>
  </si>
  <si>
    <t>3118652209</t>
  </si>
  <si>
    <t>3118180337</t>
  </si>
  <si>
    <t>3234892704</t>
  </si>
  <si>
    <t>3112601746</t>
  </si>
  <si>
    <t>3204919367</t>
  </si>
  <si>
    <t>3105640945</t>
  </si>
  <si>
    <t>3043769689</t>
  </si>
  <si>
    <t>3112268591</t>
  </si>
  <si>
    <t>3144697975</t>
  </si>
  <si>
    <t>3144023205</t>
  </si>
  <si>
    <t>3222033605</t>
  </si>
  <si>
    <t>3142327882</t>
  </si>
  <si>
    <t>3107652323</t>
  </si>
  <si>
    <t>3118441934</t>
  </si>
  <si>
    <t>3107116218</t>
  </si>
  <si>
    <t>3154561330</t>
  </si>
  <si>
    <t>3196946505</t>
  </si>
  <si>
    <t>3115711676</t>
  </si>
  <si>
    <t>3102846483</t>
  </si>
  <si>
    <t>3214056166</t>
  </si>
  <si>
    <t>3203061716</t>
  </si>
  <si>
    <t>3213195176</t>
  </si>
  <si>
    <t>3142819613</t>
  </si>
  <si>
    <t>3208937044</t>
  </si>
  <si>
    <t>3133694993</t>
  </si>
  <si>
    <t>3204694548</t>
  </si>
  <si>
    <t>313304732</t>
  </si>
  <si>
    <t>3207685706</t>
  </si>
  <si>
    <t>3138653090</t>
  </si>
  <si>
    <t>3157043042</t>
  </si>
  <si>
    <t>3168427648</t>
  </si>
  <si>
    <t>3144010822</t>
  </si>
  <si>
    <t>3227522522</t>
  </si>
  <si>
    <t>3142620315</t>
  </si>
  <si>
    <t>3212261314</t>
  </si>
  <si>
    <t>3202854656</t>
  </si>
  <si>
    <t>3142288681</t>
  </si>
  <si>
    <t>3118221623</t>
  </si>
  <si>
    <t>3133823986</t>
  </si>
  <si>
    <t>3207464065</t>
  </si>
  <si>
    <t>3177112035</t>
  </si>
  <si>
    <t>3105534305</t>
  </si>
  <si>
    <t>3123426375</t>
  </si>
  <si>
    <t>3212525772</t>
  </si>
  <si>
    <t>3208801098</t>
  </si>
  <si>
    <t>3125345496</t>
  </si>
  <si>
    <t>3124188586</t>
  </si>
  <si>
    <t>3138722756</t>
  </si>
  <si>
    <t>3115090775</t>
  </si>
  <si>
    <t>3102361869</t>
  </si>
  <si>
    <t>3202248719</t>
  </si>
  <si>
    <t>3124918452</t>
  </si>
  <si>
    <t>3217173483</t>
  </si>
  <si>
    <t>3219721843</t>
  </si>
  <si>
    <t>3504186837</t>
  </si>
  <si>
    <t>3213001680</t>
  </si>
  <si>
    <t>3125348044</t>
  </si>
  <si>
    <t>3204403756</t>
  </si>
  <si>
    <t>3214293228</t>
  </si>
  <si>
    <t>3135791685</t>
  </si>
  <si>
    <t>3115836851</t>
  </si>
  <si>
    <t>3133413184</t>
  </si>
  <si>
    <t>3232899940</t>
  </si>
  <si>
    <t>3225813496</t>
  </si>
  <si>
    <t>3124818082</t>
  </si>
  <si>
    <t>3166980519</t>
  </si>
  <si>
    <t>3115094480</t>
  </si>
  <si>
    <t>3142965874</t>
  </si>
  <si>
    <t>3213527402</t>
  </si>
  <si>
    <t>3223317437</t>
  </si>
  <si>
    <t>3118352646</t>
  </si>
  <si>
    <t>3214753070</t>
  </si>
  <si>
    <t>3108561304</t>
  </si>
  <si>
    <t>3152929917</t>
  </si>
  <si>
    <t>3144080856</t>
  </si>
  <si>
    <t>3107595253</t>
  </si>
  <si>
    <t>3115013648</t>
  </si>
  <si>
    <t>3133336681</t>
  </si>
  <si>
    <t>3134778207</t>
  </si>
  <si>
    <t>3142287976</t>
  </si>
  <si>
    <t>3125918022</t>
  </si>
  <si>
    <t>3105470793</t>
  </si>
  <si>
    <t>3133128657</t>
  </si>
  <si>
    <t>3167821154</t>
  </si>
  <si>
    <t>3143782921</t>
  </si>
  <si>
    <t>3113753759</t>
  </si>
  <si>
    <t>3043708710</t>
  </si>
  <si>
    <t>3172871925</t>
  </si>
  <si>
    <t>3124459848</t>
  </si>
  <si>
    <t>3208680789</t>
  </si>
  <si>
    <t>3208469857</t>
  </si>
  <si>
    <t>3123947041</t>
  </si>
  <si>
    <t>3118599364</t>
  </si>
  <si>
    <t>3202239297</t>
  </si>
  <si>
    <t>3102363232</t>
  </si>
  <si>
    <t>3165374630</t>
  </si>
  <si>
    <t>3217390139</t>
  </si>
  <si>
    <t>3106132416</t>
  </si>
  <si>
    <t>3133820343</t>
  </si>
  <si>
    <t>3229465189</t>
  </si>
  <si>
    <t>3214157208</t>
  </si>
  <si>
    <t>3214616898</t>
  </si>
  <si>
    <t>3144749175</t>
  </si>
  <si>
    <t>3138404155</t>
  </si>
  <si>
    <t>3138287702</t>
  </si>
  <si>
    <t>3143953132</t>
  </si>
  <si>
    <t>3138720958</t>
  </si>
  <si>
    <t>3214967682</t>
  </si>
  <si>
    <t>3209437338</t>
  </si>
  <si>
    <t>3104822314</t>
  </si>
  <si>
    <t>3125400071</t>
  </si>
  <si>
    <t>3134902206</t>
  </si>
  <si>
    <t>3132793487</t>
  </si>
  <si>
    <t>3186061473</t>
  </si>
  <si>
    <t>3205876811</t>
  </si>
  <si>
    <t>3118939274</t>
  </si>
  <si>
    <t>3123286572</t>
  </si>
  <si>
    <t>3123365751</t>
  </si>
  <si>
    <t>3222509019</t>
  </si>
  <si>
    <t>3112558467</t>
  </si>
  <si>
    <t>3023488908</t>
  </si>
  <si>
    <t>3202279170</t>
  </si>
  <si>
    <t>3108861654</t>
  </si>
  <si>
    <t>3202210555</t>
  </si>
  <si>
    <t>3222440319</t>
  </si>
  <si>
    <t>3224578189</t>
  </si>
  <si>
    <t>3108727959</t>
  </si>
  <si>
    <t>3208002011</t>
  </si>
  <si>
    <t>3132673002</t>
  </si>
  <si>
    <t>3202208958</t>
  </si>
  <si>
    <t>3104600171</t>
  </si>
  <si>
    <t>3228530557</t>
  </si>
  <si>
    <t>3124048597</t>
  </si>
  <si>
    <t>3217852004</t>
  </si>
  <si>
    <t>3163150459</t>
  </si>
  <si>
    <t>3204317752</t>
  </si>
  <si>
    <t>3106258076</t>
  </si>
  <si>
    <t>3215590072</t>
  </si>
  <si>
    <t>3209766858</t>
  </si>
  <si>
    <t>3041314096</t>
  </si>
  <si>
    <t>3202176604</t>
  </si>
  <si>
    <t>3142041527</t>
  </si>
  <si>
    <t>3227312032</t>
  </si>
  <si>
    <t>3136205800</t>
  </si>
  <si>
    <t>3186939147</t>
  </si>
  <si>
    <t>3103230827</t>
  </si>
  <si>
    <t>3132462899</t>
  </si>
  <si>
    <t>3116828815</t>
  </si>
  <si>
    <t>3144011119</t>
  </si>
  <si>
    <t>3115859493</t>
  </si>
  <si>
    <t>3152243934</t>
  </si>
  <si>
    <t>3186225377</t>
  </si>
  <si>
    <t>3118120268</t>
  </si>
  <si>
    <t>3118542804</t>
  </si>
  <si>
    <t>3138758704</t>
  </si>
  <si>
    <t>3102611542</t>
  </si>
  <si>
    <t>3203142838</t>
  </si>
  <si>
    <t>3204481216</t>
  </si>
  <si>
    <t>3227884022</t>
  </si>
  <si>
    <t>3213099190</t>
  </si>
  <si>
    <t>3143654766</t>
  </si>
  <si>
    <t>3133392771</t>
  </si>
  <si>
    <t>3144567619</t>
  </si>
  <si>
    <t>3003884372</t>
  </si>
  <si>
    <t>3102966371</t>
  </si>
  <si>
    <t>3144077005</t>
  </si>
  <si>
    <t>3123792313</t>
  </si>
  <si>
    <t>3164170123</t>
  </si>
  <si>
    <t>3125068473</t>
  </si>
  <si>
    <t>3142159460</t>
  </si>
  <si>
    <t>3508628969</t>
  </si>
  <si>
    <t>3213892955</t>
  </si>
  <si>
    <t>3204693391</t>
  </si>
  <si>
    <t>3232061185</t>
  </si>
  <si>
    <t>3115724242</t>
  </si>
  <si>
    <t>3214822061</t>
  </si>
  <si>
    <t>3143552307</t>
  </si>
  <si>
    <t>3103290498</t>
  </si>
  <si>
    <t>3142189537</t>
  </si>
  <si>
    <t>3041090018</t>
  </si>
  <si>
    <t>3102647666</t>
  </si>
  <si>
    <t>3123393297</t>
  </si>
  <si>
    <t>3223695860</t>
  </si>
  <si>
    <t>3217105509</t>
  </si>
  <si>
    <t>3012486067</t>
  </si>
  <si>
    <t>3227658165</t>
  </si>
  <si>
    <t>3112204939</t>
  </si>
  <si>
    <t>3245067901</t>
  </si>
  <si>
    <t>3202390865</t>
  </si>
  <si>
    <t>3206967875</t>
  </si>
  <si>
    <t>3105520668</t>
  </si>
  <si>
    <t>3202034943</t>
  </si>
  <si>
    <t>3144834631</t>
  </si>
  <si>
    <t>3227407145</t>
  </si>
  <si>
    <t>3106807926</t>
  </si>
  <si>
    <t>3209847507</t>
  </si>
  <si>
    <t>3123691423</t>
  </si>
  <si>
    <t>3106891014</t>
  </si>
  <si>
    <t>3133153741</t>
  </si>
  <si>
    <t>3213793497</t>
  </si>
  <si>
    <t>3202417651</t>
  </si>
  <si>
    <t>3143271452</t>
  </si>
  <si>
    <t>3102472777</t>
  </si>
  <si>
    <t>3203151243</t>
  </si>
  <si>
    <t>3212909106</t>
  </si>
  <si>
    <t>3143489257</t>
  </si>
  <si>
    <t>3228521805</t>
  </si>
  <si>
    <t>3142141291</t>
  </si>
  <si>
    <t>3105424260</t>
  </si>
  <si>
    <t>3104883557</t>
  </si>
  <si>
    <t>3132471933</t>
  </si>
  <si>
    <t>3212772160</t>
  </si>
  <si>
    <t>3132235620</t>
  </si>
  <si>
    <t>3142645413</t>
  </si>
  <si>
    <t>3104816942</t>
  </si>
  <si>
    <t>3202645912</t>
  </si>
  <si>
    <t>3117806988</t>
  </si>
  <si>
    <t>3212634335</t>
  </si>
  <si>
    <t>3229436781</t>
  </si>
  <si>
    <t>3142234434</t>
  </si>
  <si>
    <t>3132061317</t>
  </si>
  <si>
    <t>3108900351</t>
  </si>
  <si>
    <t>3124660417</t>
  </si>
  <si>
    <t>3115074847</t>
  </si>
  <si>
    <t>3134534679</t>
  </si>
  <si>
    <t>3105619762</t>
  </si>
  <si>
    <t>3213207251</t>
  </si>
  <si>
    <t>3102901461</t>
  </si>
  <si>
    <t>3174245277</t>
  </si>
  <si>
    <t>3223480683</t>
  </si>
  <si>
    <t>3214896217</t>
  </si>
  <si>
    <t>3187031235</t>
  </si>
  <si>
    <t>3203565488</t>
  </si>
  <si>
    <t>3208801789</t>
  </si>
  <si>
    <t>3133490565</t>
  </si>
  <si>
    <t>3228862020</t>
  </si>
  <si>
    <t>3132851663</t>
  </si>
  <si>
    <t>3208816554</t>
  </si>
  <si>
    <t>3138580262</t>
  </si>
  <si>
    <t>3102968334</t>
  </si>
  <si>
    <t>3224117354</t>
  </si>
  <si>
    <t>3212308210</t>
  </si>
  <si>
    <t>3142270489</t>
  </si>
  <si>
    <t>3202304644</t>
  </si>
  <si>
    <t>3105920952</t>
  </si>
  <si>
    <t>3138086434</t>
  </si>
  <si>
    <t>3123481065</t>
  </si>
  <si>
    <t>3232497203</t>
  </si>
  <si>
    <t>3142099291</t>
  </si>
  <si>
    <t>3124315179</t>
  </si>
  <si>
    <t>3223459005</t>
  </si>
  <si>
    <t>3134704981</t>
  </si>
  <si>
    <t>3124934321</t>
  </si>
  <si>
    <t>3133219605</t>
  </si>
  <si>
    <t>3112039806</t>
  </si>
  <si>
    <t>3232260398</t>
  </si>
  <si>
    <t>3125955855</t>
  </si>
  <si>
    <t>3193136410</t>
  </si>
  <si>
    <t>3102274926</t>
  </si>
  <si>
    <t>3112569683</t>
  </si>
  <si>
    <t>3107805825</t>
  </si>
  <si>
    <t>3005249074</t>
  </si>
  <si>
    <t>3143992661</t>
  </si>
  <si>
    <t>3123809090</t>
  </si>
  <si>
    <t>3163969753</t>
  </si>
  <si>
    <t>3226810549</t>
  </si>
  <si>
    <t>3102219826</t>
  </si>
  <si>
    <t>3142705656</t>
  </si>
  <si>
    <t>3232076698</t>
  </si>
  <si>
    <t>3175818755</t>
  </si>
  <si>
    <t>3138637437</t>
  </si>
  <si>
    <t>3213458221</t>
  </si>
  <si>
    <t>3159261850</t>
  </si>
  <si>
    <t>3222869002</t>
  </si>
  <si>
    <t>3124418199</t>
  </si>
  <si>
    <t>3118731004</t>
  </si>
  <si>
    <t>3213221972</t>
  </si>
  <si>
    <t>3205868135</t>
  </si>
  <si>
    <t>3118860107</t>
  </si>
  <si>
    <t>3143574125</t>
  </si>
  <si>
    <t>3112287868</t>
  </si>
  <si>
    <t>3203066157</t>
  </si>
  <si>
    <t>3143984471</t>
  </si>
  <si>
    <t>3112582250</t>
  </si>
  <si>
    <t>3142888964</t>
  </si>
  <si>
    <t>3114403790</t>
  </si>
  <si>
    <t>3143246064</t>
  </si>
  <si>
    <t>3107670321</t>
  </si>
  <si>
    <t>3125867868</t>
  </si>
  <si>
    <t>3222662780</t>
  </si>
  <si>
    <t>3203463980</t>
  </si>
  <si>
    <t>3118275738</t>
  </si>
  <si>
    <t>3208990564</t>
  </si>
  <si>
    <t>3112620223</t>
  </si>
  <si>
    <t>3166199697</t>
  </si>
  <si>
    <t>3112607642</t>
  </si>
  <si>
    <t>3222444169</t>
  </si>
  <si>
    <t>3143914949</t>
  </si>
  <si>
    <t>3112481267</t>
  </si>
  <si>
    <t>3175151219</t>
  </si>
  <si>
    <t>3113707834</t>
  </si>
  <si>
    <t>3213318463</t>
  </si>
  <si>
    <t>3208312427</t>
  </si>
  <si>
    <t>3212834520</t>
  </si>
  <si>
    <t>3124598862</t>
  </si>
  <si>
    <t>3124247673</t>
  </si>
  <si>
    <t>313336477</t>
  </si>
  <si>
    <t>3228903223</t>
  </si>
  <si>
    <t>3214570120</t>
  </si>
  <si>
    <t>3142463534</t>
  </si>
  <si>
    <t>3144102321</t>
  </si>
  <si>
    <t>3003537464</t>
  </si>
  <si>
    <t>3144339190</t>
  </si>
  <si>
    <t>3203794822</t>
  </si>
  <si>
    <t>3209040862</t>
  </si>
  <si>
    <t>3115876174</t>
  </si>
  <si>
    <t>3107773837</t>
  </si>
  <si>
    <t>3122856697</t>
  </si>
  <si>
    <t>3219470343</t>
  </si>
  <si>
    <t>3142979952</t>
  </si>
  <si>
    <t>3212487373</t>
  </si>
  <si>
    <t>3223562726</t>
  </si>
  <si>
    <t>3202212171</t>
  </si>
  <si>
    <t>3214695473</t>
  </si>
  <si>
    <t>3138409229</t>
  </si>
  <si>
    <t>3112543341</t>
  </si>
  <si>
    <t>3158625026</t>
  </si>
  <si>
    <t>3003504175</t>
  </si>
  <si>
    <t>3223855644</t>
  </si>
  <si>
    <t>3045288360</t>
  </si>
  <si>
    <t>3112566386</t>
  </si>
  <si>
    <t>3214018335</t>
  </si>
  <si>
    <t>3223712516</t>
  </si>
  <si>
    <t>3102601047</t>
  </si>
  <si>
    <t>3212974634</t>
  </si>
  <si>
    <t>3112577848</t>
  </si>
  <si>
    <t>3177756486</t>
  </si>
  <si>
    <t>3144907988</t>
  </si>
  <si>
    <t>3123075068</t>
  </si>
  <si>
    <t>3118871164</t>
  </si>
  <si>
    <t>3123838620</t>
  </si>
  <si>
    <t>3223753011</t>
  </si>
  <si>
    <t>3214213912</t>
  </si>
  <si>
    <t>3142039610</t>
  </si>
  <si>
    <t>3213672041</t>
  </si>
  <si>
    <t>3133138206</t>
  </si>
  <si>
    <t>3146741774</t>
  </si>
  <si>
    <t>3142566773</t>
  </si>
  <si>
    <t>3138581670</t>
  </si>
  <si>
    <t>3212303602</t>
  </si>
  <si>
    <t>3137939923</t>
  </si>
  <si>
    <t>3118221585</t>
  </si>
  <si>
    <t>3183095151</t>
  </si>
  <si>
    <t>3123937015</t>
  </si>
  <si>
    <t>3208216918</t>
  </si>
  <si>
    <t>3134957969</t>
  </si>
  <si>
    <t>3138825267</t>
  </si>
  <si>
    <t>3118398235</t>
  </si>
  <si>
    <t>3118813666</t>
  </si>
  <si>
    <t>3007907231</t>
  </si>
  <si>
    <t>3108666455</t>
  </si>
  <si>
    <t>3212521329</t>
  </si>
  <si>
    <t>320861440</t>
  </si>
  <si>
    <t>3106086064</t>
  </si>
  <si>
    <t>3142303674</t>
  </si>
  <si>
    <t>3103577889</t>
  </si>
  <si>
    <t>3214621007</t>
  </si>
  <si>
    <t>3226246415</t>
  </si>
  <si>
    <t>3209132595</t>
  </si>
  <si>
    <t>3203348069</t>
  </si>
  <si>
    <t>3142913483</t>
  </si>
  <si>
    <t>3022486588</t>
  </si>
  <si>
    <t>3204786491</t>
  </si>
  <si>
    <t>3103256735</t>
  </si>
  <si>
    <t>3133435024</t>
  </si>
  <si>
    <t>3123567919</t>
  </si>
  <si>
    <t>3209902263</t>
  </si>
  <si>
    <t>3203624467</t>
  </si>
  <si>
    <t>3124250226</t>
  </si>
  <si>
    <t>3153032794</t>
  </si>
  <si>
    <t>3208316402</t>
  </si>
  <si>
    <t>3203192041</t>
  </si>
  <si>
    <t>3102323796</t>
  </si>
  <si>
    <t>3224698527</t>
  </si>
  <si>
    <t>3142411296</t>
  </si>
  <si>
    <t>3168489898</t>
  </si>
  <si>
    <t>3143682268</t>
  </si>
  <si>
    <t>3215004435</t>
  </si>
  <si>
    <t>3133447586</t>
  </si>
  <si>
    <t>3144307056</t>
  </si>
  <si>
    <t>3112098163</t>
  </si>
  <si>
    <t>3214296541</t>
  </si>
  <si>
    <t>3209002118</t>
  </si>
  <si>
    <t>3212805679</t>
  </si>
  <si>
    <t>3209889855</t>
  </si>
  <si>
    <t>3204571925</t>
  </si>
  <si>
    <t>3202837246</t>
  </si>
  <si>
    <t>3124244846</t>
  </si>
  <si>
    <t>3224680515</t>
  </si>
  <si>
    <t>3118560945</t>
  </si>
  <si>
    <t>3114900271</t>
  </si>
  <si>
    <t>3157354292</t>
  </si>
  <si>
    <t>3223860729</t>
  </si>
  <si>
    <t>3222814158</t>
  </si>
  <si>
    <t>3212526567</t>
  </si>
  <si>
    <t>3012104380</t>
  </si>
  <si>
    <t>3105856263</t>
  </si>
  <si>
    <t>3203618551</t>
  </si>
  <si>
    <t>3143223233</t>
  </si>
  <si>
    <t>3115607767</t>
  </si>
  <si>
    <t>3113628173</t>
  </si>
  <si>
    <t>3016837147</t>
  </si>
  <si>
    <t>3105046073</t>
  </si>
  <si>
    <t>3223663540</t>
  </si>
  <si>
    <t>3203201134</t>
  </si>
  <si>
    <t>3212911160</t>
  </si>
  <si>
    <t>3016325404</t>
  </si>
  <si>
    <t>3118920776</t>
  </si>
  <si>
    <t>3152131128</t>
  </si>
  <si>
    <t>3105675606</t>
  </si>
  <si>
    <t>3132838425</t>
  </si>
  <si>
    <t>3222690623</t>
  </si>
  <si>
    <t>3213741375</t>
  </si>
  <si>
    <t>3122769877</t>
  </si>
  <si>
    <t>3209627285</t>
  </si>
  <si>
    <t>3204415498</t>
  </si>
  <si>
    <t>3118335692</t>
  </si>
  <si>
    <t>3174028215</t>
  </si>
  <si>
    <t>3227955897</t>
  </si>
  <si>
    <t>3228864707</t>
  </si>
  <si>
    <t>3106789469</t>
  </si>
  <si>
    <t>3202945681</t>
  </si>
  <si>
    <t>3219829757</t>
  </si>
  <si>
    <t>3167782161</t>
  </si>
  <si>
    <t>3224298439</t>
  </si>
  <si>
    <t>3208985652</t>
  </si>
  <si>
    <t>3227660086</t>
  </si>
  <si>
    <t>3223590509</t>
  </si>
  <si>
    <t>3118316414</t>
  </si>
  <si>
    <t>3148446425</t>
  </si>
  <si>
    <t>3115456401</t>
  </si>
  <si>
    <t>3114564773</t>
  </si>
  <si>
    <t>3213978019</t>
  </si>
  <si>
    <t>3025905210</t>
  </si>
  <si>
    <t>3204158930</t>
  </si>
  <si>
    <t>3114990059</t>
  </si>
  <si>
    <t>3124007571</t>
  </si>
  <si>
    <t>3157981010</t>
  </si>
  <si>
    <t>3002871790</t>
  </si>
  <si>
    <t>3143567359</t>
  </si>
  <si>
    <t>3213145331</t>
  </si>
  <si>
    <t>3144497213</t>
  </si>
  <si>
    <t>3214413807</t>
  </si>
  <si>
    <t>3125807388</t>
  </si>
  <si>
    <t>3005507484</t>
  </si>
  <si>
    <t>3115792562</t>
  </si>
  <si>
    <t>3103576649</t>
  </si>
  <si>
    <t>3146248798</t>
  </si>
  <si>
    <t>3229418992</t>
  </si>
  <si>
    <t>3228590200</t>
  </si>
  <si>
    <t>3143801236</t>
  </si>
  <si>
    <t>3125300142</t>
  </si>
  <si>
    <t>3212707279</t>
  </si>
  <si>
    <t>3115702384</t>
  </si>
  <si>
    <t>3104650769</t>
  </si>
  <si>
    <t>3148650283</t>
  </si>
  <si>
    <t>3155947235</t>
  </si>
  <si>
    <t>3123153707</t>
  </si>
  <si>
    <t>3142703067</t>
  </si>
  <si>
    <t>3219237412</t>
  </si>
  <si>
    <t>321562479</t>
  </si>
  <si>
    <t>3132005186</t>
  </si>
  <si>
    <t>3213928609</t>
  </si>
  <si>
    <t>3134133758</t>
  </si>
  <si>
    <t>3108003219</t>
  </si>
  <si>
    <t>3016250548</t>
  </si>
  <si>
    <t>3142722277</t>
  </si>
  <si>
    <t>3133612535</t>
  </si>
  <si>
    <t>3117408448</t>
  </si>
  <si>
    <t>3214175735</t>
  </si>
  <si>
    <t>3152878106</t>
  </si>
  <si>
    <t>3228543638</t>
  </si>
  <si>
    <t>3212939613</t>
  </si>
  <si>
    <t>3118818072</t>
  </si>
  <si>
    <t>3007755818</t>
  </si>
  <si>
    <t>3203562424</t>
  </si>
  <si>
    <t>3106326555</t>
  </si>
  <si>
    <t>3022533703</t>
  </si>
  <si>
    <t>3143980732</t>
  </si>
  <si>
    <t>3166240503</t>
  </si>
  <si>
    <t>3003652219</t>
  </si>
  <si>
    <t>3042451541</t>
  </si>
  <si>
    <t>3133117298</t>
  </si>
  <si>
    <t>3158361246</t>
  </si>
  <si>
    <t>3114976060</t>
  </si>
  <si>
    <t>3148551357</t>
  </si>
  <si>
    <t>3214187035</t>
  </si>
  <si>
    <t>3112377237</t>
  </si>
  <si>
    <t>3125034427</t>
  </si>
  <si>
    <t>3102626680</t>
  </si>
  <si>
    <t>3144242965</t>
  </si>
  <si>
    <t>3126349278</t>
  </si>
  <si>
    <t>3144860172</t>
  </si>
  <si>
    <t>3144628241</t>
  </si>
  <si>
    <t>3204465039</t>
  </si>
  <si>
    <t>3113102699</t>
  </si>
  <si>
    <t>3202470201</t>
  </si>
  <si>
    <t>3209690787</t>
  </si>
  <si>
    <t>3202158048</t>
  </si>
  <si>
    <t>3219810318</t>
  </si>
  <si>
    <t>3204571480</t>
  </si>
  <si>
    <t>3188183942</t>
  </si>
  <si>
    <t>3137724782</t>
  </si>
  <si>
    <t>3112592357</t>
  </si>
  <si>
    <t>3014847629</t>
  </si>
  <si>
    <t>3143079177</t>
  </si>
  <si>
    <t>3015590670</t>
  </si>
  <si>
    <t>3138439962</t>
  </si>
  <si>
    <t>3144891898</t>
  </si>
  <si>
    <t>3219649558</t>
  </si>
  <si>
    <t>3118612196</t>
  </si>
  <si>
    <t>3108241187</t>
  </si>
  <si>
    <t>3124817849</t>
  </si>
  <si>
    <t>3203602095</t>
  </si>
  <si>
    <t>3115635186</t>
  </si>
  <si>
    <t>3132689893</t>
  </si>
  <si>
    <t>3103169698</t>
  </si>
  <si>
    <t>3006852540</t>
  </si>
  <si>
    <t>3115813718</t>
  </si>
  <si>
    <t>3192316383</t>
  </si>
  <si>
    <t>3138015736</t>
  </si>
  <si>
    <t>3132683137</t>
  </si>
  <si>
    <t>3104776669</t>
  </si>
  <si>
    <t>3115875895</t>
  </si>
  <si>
    <t>3132705352</t>
  </si>
  <si>
    <t>3163160714</t>
  </si>
  <si>
    <t>3125558015</t>
  </si>
  <si>
    <t>3114915321</t>
  </si>
  <si>
    <t>3233277220</t>
  </si>
  <si>
    <t>3124774057</t>
  </si>
  <si>
    <t>3214683746</t>
  </si>
  <si>
    <t>3202082440</t>
  </si>
  <si>
    <t>3186497788</t>
  </si>
  <si>
    <t>3213233306</t>
  </si>
  <si>
    <t>3223118778</t>
  </si>
  <si>
    <t>3007096552</t>
  </si>
  <si>
    <t>3108662812</t>
  </si>
  <si>
    <t>3143877199</t>
  </si>
  <si>
    <t>3007596679</t>
  </si>
  <si>
    <t>3142733047</t>
  </si>
  <si>
    <t>3106071948</t>
  </si>
  <si>
    <t>3204720128</t>
  </si>
  <si>
    <t>3142627866</t>
  </si>
  <si>
    <t>3142483450</t>
  </si>
  <si>
    <t>3132218640 / 3208516082</t>
  </si>
  <si>
    <t>3112314613</t>
  </si>
  <si>
    <t>3118341160</t>
  </si>
  <si>
    <t>3213802132</t>
  </si>
  <si>
    <t>3112648119</t>
  </si>
  <si>
    <t>3173812720</t>
  </si>
  <si>
    <t>3163913261</t>
  </si>
  <si>
    <t>3132595215</t>
  </si>
  <si>
    <t>3164077997</t>
  </si>
  <si>
    <t>3108035421</t>
  </si>
  <si>
    <t>3175498003</t>
  </si>
  <si>
    <t>3224653288</t>
  </si>
  <si>
    <t>3203411515</t>
  </si>
  <si>
    <t>3177040758</t>
  </si>
  <si>
    <t>3202771371</t>
  </si>
  <si>
    <t>3143968581</t>
  </si>
  <si>
    <t>3143595509</t>
  </si>
  <si>
    <t>3222330202</t>
  </si>
  <si>
    <t>3227579086</t>
  </si>
  <si>
    <t>3102174839</t>
  </si>
  <si>
    <t>3102562790</t>
  </si>
  <si>
    <t>3138355304</t>
  </si>
  <si>
    <t>3124436413</t>
  </si>
  <si>
    <t>3218404083</t>
  </si>
  <si>
    <t>3105221829</t>
  </si>
  <si>
    <t>3115763472</t>
  </si>
  <si>
    <t>3132137953</t>
  </si>
  <si>
    <t>3138149618</t>
  </si>
  <si>
    <t>3118575671</t>
  </si>
  <si>
    <t>3123098799</t>
  </si>
  <si>
    <t>3155838403</t>
  </si>
  <si>
    <t>3012271660</t>
  </si>
  <si>
    <t>3115087919</t>
  </si>
  <si>
    <t>3213577554</t>
  </si>
  <si>
    <t>3144002791</t>
  </si>
  <si>
    <t>3173594611</t>
  </si>
  <si>
    <t>3213401829</t>
  </si>
  <si>
    <t>3133162426</t>
  </si>
  <si>
    <t>3214575789</t>
  </si>
  <si>
    <t>3196012490</t>
  </si>
  <si>
    <t>3153625036</t>
  </si>
  <si>
    <t>3214391617</t>
  </si>
  <si>
    <t>3209353765</t>
  </si>
  <si>
    <t>3102913444</t>
  </si>
  <si>
    <t>3138258508</t>
  </si>
  <si>
    <t>3044600395</t>
  </si>
  <si>
    <t>3213049074</t>
  </si>
  <si>
    <t>3114971342</t>
  </si>
  <si>
    <t>3107808832</t>
  </si>
  <si>
    <t>3222523094</t>
  </si>
  <si>
    <t>3124740973</t>
  </si>
  <si>
    <t>3133000644</t>
  </si>
  <si>
    <t>3164900268</t>
  </si>
  <si>
    <t>3115720869</t>
  </si>
  <si>
    <t>3165329377</t>
  </si>
  <si>
    <t>3132253411</t>
  </si>
  <si>
    <t>3102877992</t>
  </si>
  <si>
    <t>3205969449</t>
  </si>
  <si>
    <t>3209445584</t>
  </si>
  <si>
    <t>3108516628</t>
  </si>
  <si>
    <t>3213225334</t>
  </si>
  <si>
    <t>3214562421</t>
  </si>
  <si>
    <t>3186900138</t>
  </si>
  <si>
    <t>3007325061</t>
  </si>
  <si>
    <t>3212862303</t>
  </si>
  <si>
    <t>3124325324</t>
  </si>
  <si>
    <t>3134399548</t>
  </si>
  <si>
    <t>3224795091</t>
  </si>
  <si>
    <t>3232071887</t>
  </si>
  <si>
    <t>3058162282</t>
  </si>
  <si>
    <t>3133634532</t>
  </si>
  <si>
    <t>3112444523</t>
  </si>
  <si>
    <t>3156393018</t>
  </si>
  <si>
    <t>3192422504</t>
  </si>
  <si>
    <t>3222171058</t>
  </si>
  <si>
    <t>3168671507</t>
  </si>
  <si>
    <t>3123406985</t>
  </si>
  <si>
    <t>3213327592</t>
  </si>
  <si>
    <t>3214843754</t>
  </si>
  <si>
    <t>3209003624</t>
  </si>
  <si>
    <t>3142602559</t>
  </si>
  <si>
    <t>3228414755</t>
  </si>
  <si>
    <t>3138922096</t>
  </si>
  <si>
    <t>3205763771</t>
  </si>
  <si>
    <t>3214164344</t>
  </si>
  <si>
    <t>3107852593</t>
  </si>
  <si>
    <t>3203165686</t>
  </si>
  <si>
    <t>3124538975</t>
  </si>
  <si>
    <t>3203809624</t>
  </si>
  <si>
    <t>3224151840</t>
  </si>
  <si>
    <t>3112231986</t>
  </si>
  <si>
    <t>3108047532</t>
  </si>
  <si>
    <t>3123709821</t>
  </si>
  <si>
    <t>3103509380</t>
  </si>
  <si>
    <t>3157170870</t>
  </si>
  <si>
    <t>3144918910</t>
  </si>
  <si>
    <t>3153783341</t>
  </si>
  <si>
    <t>3133598037</t>
  </si>
  <si>
    <t>3155247309</t>
  </si>
  <si>
    <t>3132231877</t>
  </si>
  <si>
    <t>3104772737</t>
  </si>
  <si>
    <t>3219020444</t>
  </si>
  <si>
    <t>3133433703</t>
  </si>
  <si>
    <t>3102572269</t>
  </si>
  <si>
    <t>3105852951</t>
  </si>
  <si>
    <t>3202449959</t>
  </si>
  <si>
    <t>3118560499</t>
  </si>
  <si>
    <t>3167859638</t>
  </si>
  <si>
    <t>3138248350</t>
  </si>
  <si>
    <t>3124591652</t>
  </si>
  <si>
    <t>3203532158</t>
  </si>
  <si>
    <t>3224175057</t>
  </si>
  <si>
    <t>3123307396</t>
  </si>
  <si>
    <t>3203548787</t>
  </si>
  <si>
    <t>3124054014</t>
  </si>
  <si>
    <t>3208588311</t>
  </si>
  <si>
    <t>3232305196</t>
  </si>
  <si>
    <t>3043392766</t>
  </si>
  <si>
    <t>3223596026</t>
  </si>
  <si>
    <t>3125006366</t>
  </si>
  <si>
    <t>3214947464</t>
  </si>
  <si>
    <t>3102570373</t>
  </si>
  <si>
    <t>3112605820</t>
  </si>
  <si>
    <t>3118422683</t>
  </si>
  <si>
    <t>3222188614</t>
  </si>
  <si>
    <t>3143417384</t>
  </si>
  <si>
    <t>3144648205</t>
  </si>
  <si>
    <t>3124057446</t>
  </si>
  <si>
    <t>3133633218</t>
  </si>
  <si>
    <t>3143252442</t>
  </si>
  <si>
    <t>3182886893</t>
  </si>
  <si>
    <t>3202111449</t>
  </si>
  <si>
    <t>3138971843</t>
  </si>
  <si>
    <t>3125512673</t>
  </si>
  <si>
    <t>3202042327</t>
  </si>
  <si>
    <t>3124999170</t>
  </si>
  <si>
    <t>3133409452</t>
  </si>
  <si>
    <t>3229422591</t>
  </si>
  <si>
    <t>3144452530</t>
  </si>
  <si>
    <t>3213326841</t>
  </si>
  <si>
    <t>3104374123</t>
  </si>
  <si>
    <t>3142020327</t>
  </si>
  <si>
    <t>3144150156</t>
  </si>
  <si>
    <t>3225915406</t>
  </si>
  <si>
    <t>3144697163</t>
  </si>
  <si>
    <t>3004493087</t>
  </si>
  <si>
    <t>3209628155</t>
  </si>
  <si>
    <t>3124393657</t>
  </si>
  <si>
    <t>3208423238</t>
  </si>
  <si>
    <t>3103031159</t>
  </si>
  <si>
    <t>3138731671</t>
  </si>
  <si>
    <t>3137884445</t>
  </si>
  <si>
    <t>3132392071</t>
  </si>
  <si>
    <t>3104789368</t>
  </si>
  <si>
    <t>3138091088</t>
  </si>
  <si>
    <t>3104057275</t>
  </si>
  <si>
    <t>3202938461</t>
  </si>
  <si>
    <t>3227454385</t>
  </si>
  <si>
    <t>3202973930</t>
  </si>
  <si>
    <t>3136104731</t>
  </si>
  <si>
    <t>3134526619</t>
  </si>
  <si>
    <t>3187189424</t>
  </si>
  <si>
    <t>3105523276</t>
  </si>
  <si>
    <t>3132958016</t>
  </si>
  <si>
    <t>3204342283</t>
  </si>
  <si>
    <t>3135000262</t>
  </si>
  <si>
    <t>3124140190</t>
  </si>
  <si>
    <t>3223284442</t>
  </si>
  <si>
    <t>3144800313</t>
  </si>
  <si>
    <t>3107121889</t>
  </si>
  <si>
    <t>3207158301</t>
  </si>
  <si>
    <t>3213055394</t>
  </si>
  <si>
    <t>3125207730</t>
  </si>
  <si>
    <t>3146601854</t>
  </si>
  <si>
    <t>3046290530</t>
  </si>
  <si>
    <t>313274925</t>
  </si>
  <si>
    <t>3222109934</t>
  </si>
  <si>
    <t>3133545887</t>
  </si>
  <si>
    <t>3133771582</t>
  </si>
  <si>
    <t>3194537343</t>
  </si>
  <si>
    <t>3187190117</t>
  </si>
  <si>
    <t>3212235349</t>
  </si>
  <si>
    <t>3217078724</t>
  </si>
  <si>
    <t>3208790425</t>
  </si>
  <si>
    <t>3232431934</t>
  </si>
  <si>
    <t>3134558476</t>
  </si>
  <si>
    <t>3142923826</t>
  </si>
  <si>
    <t>3134798197</t>
  </si>
  <si>
    <t>3107900232</t>
  </si>
  <si>
    <t>3156579380</t>
  </si>
  <si>
    <t>3112412918</t>
  </si>
  <si>
    <t>3134414791</t>
  </si>
  <si>
    <t>3144057124</t>
  </si>
  <si>
    <t>3202496078</t>
  </si>
  <si>
    <t>3133791449</t>
  </si>
  <si>
    <t>3042564781</t>
  </si>
  <si>
    <t>3188236788</t>
  </si>
  <si>
    <t>3226812502</t>
  </si>
  <si>
    <t>3242668306</t>
  </si>
  <si>
    <t>3042056682</t>
  </si>
  <si>
    <t>3118455421</t>
  </si>
  <si>
    <t>3114004070</t>
  </si>
  <si>
    <t>3046263887</t>
  </si>
  <si>
    <t>3133426207</t>
  </si>
  <si>
    <t>3219526340</t>
  </si>
  <si>
    <t>3186931408</t>
  </si>
  <si>
    <t>3142740839</t>
  </si>
  <si>
    <t>3167781002</t>
  </si>
  <si>
    <t>3242027533</t>
  </si>
  <si>
    <t>3142586488</t>
  </si>
  <si>
    <t>3125276973</t>
  </si>
  <si>
    <t>3144302451</t>
  </si>
  <si>
    <t>3104331749</t>
  </si>
  <si>
    <t>314280876</t>
  </si>
  <si>
    <t>3213663693</t>
  </si>
  <si>
    <t>3214557924</t>
  </si>
  <si>
    <t>3103126521</t>
  </si>
  <si>
    <t>3212836842</t>
  </si>
  <si>
    <t>3143229901</t>
  </si>
  <si>
    <t>3108633678</t>
  </si>
  <si>
    <t>3115190837</t>
  </si>
  <si>
    <t>3125011230</t>
  </si>
  <si>
    <t>3209029814</t>
  </si>
  <si>
    <t>3144134406</t>
  </si>
  <si>
    <t>3107847664</t>
  </si>
  <si>
    <t>3147782617</t>
  </si>
  <si>
    <t>3195182655</t>
  </si>
  <si>
    <t>3134230650</t>
  </si>
  <si>
    <t>3105708344</t>
  </si>
  <si>
    <t>3209754681</t>
  </si>
  <si>
    <t>3142567250</t>
  </si>
  <si>
    <t>3214580190</t>
  </si>
  <si>
    <t>3114128314</t>
  </si>
  <si>
    <t>3142605407</t>
  </si>
  <si>
    <t>3124062273</t>
  </si>
  <si>
    <t>3208306137</t>
  </si>
  <si>
    <t>3132026701</t>
  </si>
  <si>
    <t>3156867586</t>
  </si>
  <si>
    <t>3204253131</t>
  </si>
  <si>
    <t>3106881175</t>
  </si>
  <si>
    <t>3123723225</t>
  </si>
  <si>
    <t>3108790433</t>
  </si>
  <si>
    <t>3115045064</t>
  </si>
  <si>
    <t>3203360364</t>
  </si>
  <si>
    <t>3214710330</t>
  </si>
  <si>
    <t>3123628458</t>
  </si>
  <si>
    <t>3209750592</t>
  </si>
  <si>
    <t>3115280680</t>
  </si>
  <si>
    <t>3208427804</t>
  </si>
  <si>
    <t>3214629219</t>
  </si>
  <si>
    <t>3174952167</t>
  </si>
  <si>
    <t>3203043510</t>
  </si>
  <si>
    <t>3214805140</t>
  </si>
  <si>
    <t>3184370047</t>
  </si>
  <si>
    <t>3118369327</t>
  </si>
  <si>
    <t>3187876865</t>
  </si>
  <si>
    <t>3118347199</t>
  </si>
  <si>
    <t>3108070131</t>
  </si>
  <si>
    <t>3146124840</t>
  </si>
  <si>
    <t>3209751988</t>
  </si>
  <si>
    <t>3213369917</t>
  </si>
  <si>
    <t>3028312699</t>
  </si>
  <si>
    <t>3142674512</t>
  </si>
  <si>
    <t>3222203154</t>
  </si>
  <si>
    <t>3217697648</t>
  </si>
  <si>
    <t>3219960698</t>
  </si>
  <si>
    <t>3204509434</t>
  </si>
  <si>
    <t>3123372956</t>
  </si>
  <si>
    <t>3125264488</t>
  </si>
  <si>
    <t>3124011322</t>
  </si>
  <si>
    <t>3132891850</t>
  </si>
  <si>
    <t>3003605800</t>
  </si>
  <si>
    <t>3124763372</t>
  </si>
  <si>
    <t>3219375104</t>
  </si>
  <si>
    <t>3006401263</t>
  </si>
  <si>
    <t>3115131972</t>
  </si>
  <si>
    <t>3107636091</t>
  </si>
  <si>
    <t>3203320349</t>
  </si>
  <si>
    <t>3106257692</t>
  </si>
  <si>
    <t>3218013195</t>
  </si>
  <si>
    <t>3115575802</t>
  </si>
  <si>
    <t>3105851045</t>
  </si>
  <si>
    <t>3125671955</t>
  </si>
  <si>
    <t>3216211754</t>
  </si>
  <si>
    <t>3138947911</t>
  </si>
  <si>
    <t>3115697854</t>
  </si>
  <si>
    <t>3204592240</t>
  </si>
  <si>
    <t>3229697863</t>
  </si>
  <si>
    <t>3116750938</t>
  </si>
  <si>
    <t>3209317267</t>
  </si>
  <si>
    <t>3102163689</t>
  </si>
  <si>
    <t>3138722014</t>
  </si>
  <si>
    <t>3114170475</t>
  </si>
  <si>
    <t>3202765606</t>
  </si>
  <si>
    <t>3142222232</t>
  </si>
  <si>
    <t>3135921589</t>
  </si>
  <si>
    <t>3213910577</t>
  </si>
  <si>
    <t>3133995772</t>
  </si>
  <si>
    <t>3148886857</t>
  </si>
  <si>
    <t>3223103241</t>
  </si>
  <si>
    <t>3228310556</t>
  </si>
  <si>
    <t>3142947965</t>
  </si>
  <si>
    <t>3214322415</t>
  </si>
  <si>
    <t>3103332101</t>
  </si>
  <si>
    <t>3104844422</t>
  </si>
  <si>
    <t>3208362338</t>
  </si>
  <si>
    <t>3163731398</t>
  </si>
  <si>
    <t>3115911648</t>
  </si>
  <si>
    <t>3142307237</t>
  </si>
  <si>
    <t>3150624086</t>
  </si>
  <si>
    <t>3124721946</t>
  </si>
  <si>
    <t>3124307444</t>
  </si>
  <si>
    <t>3203327436</t>
  </si>
  <si>
    <t>3005420121</t>
  </si>
  <si>
    <t>3016796416</t>
  </si>
  <si>
    <t>3203854759</t>
  </si>
  <si>
    <t>3203801330</t>
  </si>
  <si>
    <t>3203396115</t>
  </si>
  <si>
    <t>3208598205</t>
  </si>
  <si>
    <t>3202861276</t>
  </si>
  <si>
    <t>3212400779</t>
  </si>
  <si>
    <t>3224068451</t>
  </si>
  <si>
    <t>3115826475</t>
  </si>
  <si>
    <t>3202312733</t>
  </si>
  <si>
    <t>3134254808</t>
  </si>
  <si>
    <t>3225343295</t>
  </si>
  <si>
    <t>3028652655</t>
  </si>
  <si>
    <t>3219652548</t>
  </si>
  <si>
    <t>3103081520</t>
  </si>
  <si>
    <t>3133829939</t>
  </si>
  <si>
    <t>3203910531</t>
  </si>
  <si>
    <t>3112616299</t>
  </si>
  <si>
    <t>3228203716</t>
  </si>
  <si>
    <t>3213396257</t>
  </si>
  <si>
    <t>3223743574</t>
  </si>
  <si>
    <t>3204531930</t>
  </si>
  <si>
    <t>3167597133</t>
  </si>
  <si>
    <t>3209338398</t>
  </si>
  <si>
    <t>3108189601</t>
  </si>
  <si>
    <t>3107536664</t>
  </si>
  <si>
    <t>3213524524</t>
  </si>
  <si>
    <t>3148056262</t>
  </si>
  <si>
    <t>3202064863</t>
  </si>
  <si>
    <t>3224373914</t>
  </si>
  <si>
    <t>3219115558</t>
  </si>
  <si>
    <t>3194490279</t>
  </si>
  <si>
    <t>3223353429</t>
  </si>
  <si>
    <t>3214086229</t>
  </si>
  <si>
    <t>3223777984</t>
  </si>
  <si>
    <t>3148426696</t>
  </si>
  <si>
    <t>3123001867</t>
  </si>
  <si>
    <t>3227669195</t>
  </si>
  <si>
    <t>3138719203</t>
  </si>
  <si>
    <t>3229360346</t>
  </si>
  <si>
    <t>3115223157</t>
  </si>
  <si>
    <t>3223795514</t>
  </si>
  <si>
    <t>3118314600</t>
  </si>
  <si>
    <t>3212260773</t>
  </si>
  <si>
    <t>3118744767</t>
  </si>
  <si>
    <t>3002608783</t>
  </si>
  <si>
    <t>3125200806</t>
  </si>
  <si>
    <t>3204941303</t>
  </si>
  <si>
    <t>3208560061</t>
  </si>
  <si>
    <t>3204919179</t>
  </si>
  <si>
    <t>3222815333</t>
  </si>
  <si>
    <t>3214954041</t>
  </si>
  <si>
    <t>3114849424</t>
  </si>
  <si>
    <t>3173483195</t>
  </si>
  <si>
    <t>3102481359</t>
  </si>
  <si>
    <t>3209490342</t>
  </si>
  <si>
    <t>3013350811</t>
  </si>
  <si>
    <t>3148757973</t>
  </si>
  <si>
    <t>3124583069</t>
  </si>
  <si>
    <t>3112216257</t>
  </si>
  <si>
    <t>3138125722</t>
  </si>
  <si>
    <t>3216378652</t>
  </si>
  <si>
    <t>3227402542</t>
  </si>
  <si>
    <t>3132224773</t>
  </si>
  <si>
    <t>3112355640</t>
  </si>
  <si>
    <t>3143782815</t>
  </si>
  <si>
    <t>3213166577</t>
  </si>
  <si>
    <t>3102536096</t>
  </si>
  <si>
    <t>3133458008</t>
  </si>
  <si>
    <t>3124485123</t>
  </si>
  <si>
    <t>3142514833</t>
  </si>
  <si>
    <t>3125756477</t>
  </si>
  <si>
    <t>3124279134</t>
  </si>
  <si>
    <t>3142314500</t>
  </si>
  <si>
    <t>3144341297</t>
  </si>
  <si>
    <t>3177001484</t>
  </si>
  <si>
    <t>3144043642</t>
  </si>
  <si>
    <t>3214297517</t>
  </si>
  <si>
    <t>3014602509</t>
  </si>
  <si>
    <t>3108876734</t>
  </si>
  <si>
    <t>3122471702</t>
  </si>
  <si>
    <t>3102019778</t>
  </si>
  <si>
    <t>3207669767</t>
  </si>
  <si>
    <t>3133552212</t>
  </si>
  <si>
    <t>3006368205</t>
  </si>
  <si>
    <t>3215460935</t>
  </si>
  <si>
    <t>3136262131</t>
  </si>
  <si>
    <t>3222247648</t>
  </si>
  <si>
    <t>3142409625</t>
  </si>
  <si>
    <t>3105584447</t>
  </si>
  <si>
    <t>3015892311</t>
  </si>
  <si>
    <t>3193260850</t>
  </si>
  <si>
    <t>3156622775</t>
  </si>
  <si>
    <t>3167765324</t>
  </si>
  <si>
    <t>3152179379</t>
  </si>
  <si>
    <t>3227788434</t>
  </si>
  <si>
    <t>3132495125</t>
  </si>
  <si>
    <t>3202479956</t>
  </si>
  <si>
    <t>3114996601</t>
  </si>
  <si>
    <t>3134847020</t>
  </si>
  <si>
    <t>3153078903</t>
  </si>
  <si>
    <t>3504602024</t>
  </si>
  <si>
    <t>3213642723</t>
  </si>
  <si>
    <t>3108564936</t>
  </si>
  <si>
    <t>3106502627</t>
  </si>
  <si>
    <t>3214601486</t>
  </si>
  <si>
    <t>3116634335</t>
  </si>
  <si>
    <t>3045949720</t>
  </si>
  <si>
    <t>3209858832</t>
  </si>
  <si>
    <t>3138083237</t>
  </si>
  <si>
    <t>3185620172</t>
  </si>
  <si>
    <t>3125958311</t>
  </si>
  <si>
    <t>3102792785</t>
  </si>
  <si>
    <t>3138995026</t>
  </si>
  <si>
    <t>3143164494</t>
  </si>
  <si>
    <t>3133808289</t>
  </si>
  <si>
    <t>3208531925</t>
  </si>
  <si>
    <t>3142830875</t>
  </si>
  <si>
    <t>3134040231</t>
  </si>
  <si>
    <t>3105781138</t>
  </si>
  <si>
    <t>3219855145</t>
  </si>
  <si>
    <t>3223468931</t>
  </si>
  <si>
    <t>3143834741</t>
  </si>
  <si>
    <t>3105816378</t>
  </si>
  <si>
    <t>3124631223</t>
  </si>
  <si>
    <t>3123732692</t>
  </si>
  <si>
    <t>3227705887</t>
  </si>
  <si>
    <t>3209111224</t>
  </si>
  <si>
    <t>3045682775</t>
  </si>
  <si>
    <t>3104789938</t>
  </si>
  <si>
    <t>3132726294</t>
  </si>
  <si>
    <t>3143520159</t>
  </si>
  <si>
    <t>3227758456</t>
  </si>
  <si>
    <t>3123385549</t>
  </si>
  <si>
    <t>3112491348</t>
  </si>
  <si>
    <t>3146046855</t>
  </si>
  <si>
    <t>3165293683</t>
  </si>
  <si>
    <t>3213261368</t>
  </si>
  <si>
    <t>3224572395</t>
  </si>
  <si>
    <t>3245609699</t>
  </si>
  <si>
    <t>3229403008</t>
  </si>
  <si>
    <t>3184253325</t>
  </si>
  <si>
    <t>3235228809</t>
  </si>
  <si>
    <t>3219585438</t>
  </si>
  <si>
    <t>3108082957</t>
  </si>
  <si>
    <t>3206040705</t>
  </si>
  <si>
    <t>3104891318</t>
  </si>
  <si>
    <t>3134494140</t>
  </si>
  <si>
    <t>3227252533</t>
  </si>
  <si>
    <t>3106803897</t>
  </si>
  <si>
    <t>3115250790</t>
  </si>
  <si>
    <t>3124442443</t>
  </si>
  <si>
    <t>3137905873</t>
  </si>
  <si>
    <t>3044880712</t>
  </si>
  <si>
    <t>3202912555</t>
  </si>
  <si>
    <t>3105811739</t>
  </si>
  <si>
    <t>3046014482</t>
  </si>
  <si>
    <t>3223447695</t>
  </si>
  <si>
    <t>3143400390</t>
  </si>
  <si>
    <t>3213234091</t>
  </si>
  <si>
    <t>3102839648</t>
  </si>
  <si>
    <t>3219721807</t>
  </si>
  <si>
    <t>3144041567</t>
  </si>
  <si>
    <t>3222408903</t>
  </si>
  <si>
    <t>3112930538</t>
  </si>
  <si>
    <t>3202910254</t>
  </si>
  <si>
    <t>3114500795</t>
  </si>
  <si>
    <t>3134865304</t>
  </si>
  <si>
    <t>3115642716</t>
  </si>
  <si>
    <t>3133996289</t>
  </si>
  <si>
    <t>3125321025</t>
  </si>
  <si>
    <t>3212437294</t>
  </si>
  <si>
    <t>3138896466</t>
  </si>
  <si>
    <t>3118698747</t>
  </si>
  <si>
    <t>3203987897</t>
  </si>
  <si>
    <t>3115039353</t>
  </si>
  <si>
    <t>3104709578</t>
  </si>
  <si>
    <t>3142450230</t>
  </si>
  <si>
    <t>3132752076</t>
  </si>
  <si>
    <t>3223711466</t>
  </si>
  <si>
    <t>3103210110</t>
  </si>
  <si>
    <t>3214353529</t>
  </si>
  <si>
    <t>3223976232</t>
  </si>
  <si>
    <t>3138958953</t>
  </si>
  <si>
    <t>3223197496</t>
  </si>
  <si>
    <t>3204559673</t>
  </si>
  <si>
    <t>3102113007</t>
  </si>
  <si>
    <t>3223965289</t>
  </si>
  <si>
    <t>3147756297</t>
  </si>
  <si>
    <t>3103007904</t>
  </si>
  <si>
    <t>3204407581</t>
  </si>
  <si>
    <t>3045553318</t>
  </si>
  <si>
    <t>3214820873</t>
  </si>
  <si>
    <t>3203256387</t>
  </si>
  <si>
    <t>3194678618</t>
  </si>
  <si>
    <t>3203466707</t>
  </si>
  <si>
    <t>3022801646</t>
  </si>
  <si>
    <t>3222596053</t>
  </si>
  <si>
    <t>3143574261</t>
  </si>
  <si>
    <t>3186788339</t>
  </si>
  <si>
    <t>3206618191</t>
  </si>
  <si>
    <t>3022579288</t>
  </si>
  <si>
    <t>3142875682</t>
  </si>
  <si>
    <t>3012803866</t>
  </si>
  <si>
    <t>3165780769</t>
  </si>
  <si>
    <t>3208309054</t>
  </si>
  <si>
    <t>3205839753</t>
  </si>
  <si>
    <t>3214663012</t>
  </si>
  <si>
    <t>3025823821</t>
  </si>
  <si>
    <t>3138494007</t>
  </si>
  <si>
    <t>3124111478</t>
  </si>
  <si>
    <t>3134507394</t>
  </si>
  <si>
    <t>3222116395</t>
  </si>
  <si>
    <t>3162251568</t>
  </si>
  <si>
    <t>3153074585</t>
  </si>
  <si>
    <t>3205790321</t>
  </si>
  <si>
    <t>3228017399</t>
  </si>
  <si>
    <t>3132023253</t>
  </si>
  <si>
    <t>3222219456</t>
  </si>
  <si>
    <t>3143921263</t>
  </si>
  <si>
    <t>3228650250</t>
  </si>
  <si>
    <t>3134603098</t>
  </si>
  <si>
    <t>3227601172</t>
  </si>
  <si>
    <t>3222255885</t>
  </si>
  <si>
    <t>3122624514</t>
  </si>
  <si>
    <t>3218971846</t>
  </si>
  <si>
    <t>3143637293</t>
  </si>
  <si>
    <t>3135861688</t>
  </si>
  <si>
    <t>3205943188</t>
  </si>
  <si>
    <t>3215709194</t>
  </si>
  <si>
    <t>3209113221</t>
  </si>
  <si>
    <t>3213697493</t>
  </si>
  <si>
    <t>3102949193</t>
  </si>
  <si>
    <t>3158003415</t>
  </si>
  <si>
    <t>3102870794</t>
  </si>
  <si>
    <t>3228913752</t>
  </si>
  <si>
    <t>3138410827</t>
  </si>
  <si>
    <t>3138390223</t>
  </si>
  <si>
    <t>3233678536</t>
  </si>
  <si>
    <t>3143939901</t>
  </si>
  <si>
    <t>3114847351</t>
  </si>
  <si>
    <t>3105857309</t>
  </si>
  <si>
    <t>3202857405</t>
  </si>
  <si>
    <t>3112603186</t>
  </si>
  <si>
    <t>3213775078</t>
  </si>
  <si>
    <t>3168879757</t>
  </si>
  <si>
    <t>3223573399</t>
  </si>
  <si>
    <t>3209479463</t>
  </si>
  <si>
    <t>3133929662</t>
  </si>
  <si>
    <t>3142486967</t>
  </si>
  <si>
    <t>3185609150</t>
  </si>
  <si>
    <t>3203964286</t>
  </si>
  <si>
    <t>3112201066</t>
  </si>
  <si>
    <t>3222426767</t>
  </si>
  <si>
    <t>3212839207</t>
  </si>
  <si>
    <t>3108609510</t>
  </si>
  <si>
    <t>3193130344</t>
  </si>
  <si>
    <t>3227898942</t>
  </si>
  <si>
    <t>3004335652</t>
  </si>
  <si>
    <t>3114635912</t>
  </si>
  <si>
    <t>3203277061</t>
  </si>
  <si>
    <t>3104831111</t>
  </si>
  <si>
    <t>3144399823</t>
  </si>
  <si>
    <t>3114939881</t>
  </si>
  <si>
    <t>3144380902</t>
  </si>
  <si>
    <t>3204646821</t>
  </si>
  <si>
    <t>3046620817</t>
  </si>
  <si>
    <t>3204480596</t>
  </si>
  <si>
    <t>3182969529</t>
  </si>
  <si>
    <t>3106140973</t>
  </si>
  <si>
    <t>3112173758</t>
  </si>
  <si>
    <t>3102861715</t>
  </si>
  <si>
    <t>3203376109</t>
  </si>
  <si>
    <t>3185855363</t>
  </si>
  <si>
    <t>3115632943</t>
  </si>
  <si>
    <t>3222506902</t>
  </si>
  <si>
    <t>3154568011</t>
  </si>
  <si>
    <t>3148576096</t>
  </si>
  <si>
    <t>3144803091</t>
  </si>
  <si>
    <t>3213364012</t>
  </si>
  <si>
    <t>3165352428</t>
  </si>
  <si>
    <t>3138382630</t>
  </si>
  <si>
    <t>3006939695</t>
  </si>
  <si>
    <t>3134693447</t>
  </si>
  <si>
    <t>3124515869</t>
  </si>
  <si>
    <t>3105875808</t>
  </si>
  <si>
    <t>3125589438</t>
  </si>
  <si>
    <t>3147216346</t>
  </si>
  <si>
    <t>3208788631</t>
  </si>
  <si>
    <t>3102411706</t>
  </si>
  <si>
    <t>3147867335</t>
  </si>
  <si>
    <t>3213362928</t>
  </si>
  <si>
    <t>3204076092</t>
  </si>
  <si>
    <t>3138196083</t>
  </si>
  <si>
    <t>3143225148</t>
  </si>
  <si>
    <t>3203013877</t>
  </si>
  <si>
    <t>3113227584</t>
  </si>
  <si>
    <t>3122568660</t>
  </si>
  <si>
    <t>3124312220</t>
  </si>
  <si>
    <t>3209716842</t>
  </si>
  <si>
    <t>3002477212</t>
  </si>
  <si>
    <t>3108108936</t>
  </si>
  <si>
    <t>3202477303</t>
  </si>
  <si>
    <t>3224404246</t>
  </si>
  <si>
    <t>3144803725</t>
  </si>
  <si>
    <t>1052413281</t>
  </si>
  <si>
    <t>3148930047</t>
  </si>
  <si>
    <t>3102985758</t>
  </si>
  <si>
    <t>3232035336</t>
  </si>
  <si>
    <t>3138375582</t>
  </si>
  <si>
    <t>3175883445</t>
  </si>
  <si>
    <t>3204125894</t>
  </si>
  <si>
    <t>3118381836</t>
  </si>
  <si>
    <t>3228180144</t>
  </si>
  <si>
    <t>3222629038</t>
  </si>
  <si>
    <t>3214083393</t>
  </si>
  <si>
    <t>3202286859</t>
  </si>
  <si>
    <t>3202221310</t>
  </si>
  <si>
    <t>3192271390</t>
  </si>
  <si>
    <t>3209934227</t>
  </si>
  <si>
    <t>3107221587</t>
  </si>
  <si>
    <t>3219975029</t>
  </si>
  <si>
    <t>3125465675</t>
  </si>
  <si>
    <t>3214914856</t>
  </si>
  <si>
    <t>3209166381</t>
  </si>
  <si>
    <t>3214051276</t>
  </si>
  <si>
    <t>3223437904</t>
  </si>
  <si>
    <t>3136496006</t>
  </si>
  <si>
    <t>3203397939</t>
  </si>
  <si>
    <t>3202054402</t>
  </si>
  <si>
    <t>3224777255</t>
  </si>
  <si>
    <t>3178553521</t>
  </si>
  <si>
    <t>3196457155</t>
  </si>
  <si>
    <t>3202425822</t>
  </si>
  <si>
    <t>3228375813</t>
  </si>
  <si>
    <t>3122418124</t>
  </si>
  <si>
    <t>3204854914</t>
  </si>
  <si>
    <t>3228516278</t>
  </si>
  <si>
    <t>3219857455</t>
  </si>
  <si>
    <t>3006651873</t>
  </si>
  <si>
    <t>3114848922</t>
  </si>
  <si>
    <t>3142218669</t>
  </si>
  <si>
    <t>3128839273</t>
  </si>
  <si>
    <t>3226393941</t>
  </si>
  <si>
    <t>3204110254</t>
  </si>
  <si>
    <t>3214297307</t>
  </si>
  <si>
    <t>3229357784</t>
  </si>
  <si>
    <t>3125024009</t>
  </si>
  <si>
    <t>3144273666</t>
  </si>
  <si>
    <t>3125196583</t>
  </si>
  <si>
    <t>3223791784</t>
  </si>
  <si>
    <t>3103325148</t>
  </si>
  <si>
    <t>3005522100</t>
  </si>
  <si>
    <t>3209066981</t>
  </si>
  <si>
    <t>3217855003</t>
  </si>
  <si>
    <t>3132814071</t>
  </si>
  <si>
    <t>3142694589</t>
  </si>
  <si>
    <t>3123259872</t>
  </si>
  <si>
    <t>3142564332</t>
  </si>
  <si>
    <t>3208803285</t>
  </si>
  <si>
    <t>3104809580</t>
  </si>
  <si>
    <t>3219652404</t>
  </si>
  <si>
    <t>3229010668</t>
  </si>
  <si>
    <t>3209461611</t>
  </si>
  <si>
    <t>3209560780</t>
  </si>
  <si>
    <t>3014532565</t>
  </si>
  <si>
    <t>3127036939</t>
  </si>
  <si>
    <t>3118914916</t>
  </si>
  <si>
    <t>3222428240</t>
  </si>
  <si>
    <t>3103353652</t>
  </si>
  <si>
    <t>3197431528</t>
  </si>
  <si>
    <t>3219657649</t>
  </si>
  <si>
    <t>3123385296</t>
  </si>
  <si>
    <t>3233224535</t>
  </si>
  <si>
    <t>3115940005</t>
  </si>
  <si>
    <t>3106396108</t>
  </si>
  <si>
    <t>3203340720</t>
  </si>
  <si>
    <t>3185290241</t>
  </si>
  <si>
    <t>3228767581</t>
  </si>
  <si>
    <t>3124772418</t>
  </si>
  <si>
    <t>3205710027</t>
  </si>
  <si>
    <t>3124453050</t>
  </si>
  <si>
    <t>3143420595</t>
  </si>
  <si>
    <t>3103764751</t>
  </si>
  <si>
    <t>3156924445</t>
  </si>
  <si>
    <t>3143443217</t>
  </si>
  <si>
    <t>3118818342</t>
  </si>
  <si>
    <t>3133315469</t>
  </si>
  <si>
    <t>3147658011</t>
  </si>
  <si>
    <t>3118212986</t>
  </si>
  <si>
    <t>3138448987</t>
  </si>
  <si>
    <t>3202813107</t>
  </si>
  <si>
    <t>3125740170</t>
  </si>
  <si>
    <t>3224234915</t>
  </si>
  <si>
    <t>3013305323</t>
  </si>
  <si>
    <t>3156040553</t>
  </si>
  <si>
    <t>3203734233</t>
  </si>
  <si>
    <t>3185224841</t>
  </si>
  <si>
    <t>3203115859</t>
  </si>
  <si>
    <t>3158135501</t>
  </si>
  <si>
    <t>3107951954</t>
  </si>
  <si>
    <t>3134256076</t>
  </si>
  <si>
    <t>3113342437</t>
  </si>
  <si>
    <t>3133107641</t>
  </si>
  <si>
    <t>3506428244</t>
  </si>
  <si>
    <t>3203840814</t>
  </si>
  <si>
    <t>3125437229</t>
  </si>
  <si>
    <t>3143525895</t>
  </si>
  <si>
    <t>3144076285</t>
  </si>
  <si>
    <t>3226559309</t>
  </si>
  <si>
    <t>3134631634</t>
  </si>
  <si>
    <t>3228294666</t>
  </si>
  <si>
    <t>3144230092</t>
  </si>
  <si>
    <t>3146908850</t>
  </si>
  <si>
    <t>3112310667</t>
  </si>
  <si>
    <t>3106773846</t>
  </si>
  <si>
    <t>3112936873</t>
  </si>
  <si>
    <t>3214579663</t>
  </si>
  <si>
    <t>3112868219</t>
  </si>
  <si>
    <t>3204568983</t>
  </si>
  <si>
    <t>3112520065</t>
  </si>
  <si>
    <t>3204198215</t>
  </si>
  <si>
    <t>3177007430</t>
  </si>
  <si>
    <t>3115870753</t>
  </si>
  <si>
    <t>3134465201</t>
  </si>
  <si>
    <t>3223054097</t>
  </si>
  <si>
    <t>3108828015</t>
  </si>
  <si>
    <t>3133024409</t>
  </si>
  <si>
    <t>3107160332</t>
  </si>
  <si>
    <t>3224082168</t>
  </si>
  <si>
    <t>3206170506</t>
  </si>
  <si>
    <t>3114676510</t>
  </si>
  <si>
    <t>3112243896</t>
  </si>
  <si>
    <t>3114436031</t>
  </si>
  <si>
    <t>3143012274</t>
  </si>
  <si>
    <t>3135676540</t>
  </si>
  <si>
    <t>3222264243</t>
  </si>
  <si>
    <t>3124620652</t>
  </si>
  <si>
    <t>3224407192</t>
  </si>
  <si>
    <t>3108786563</t>
  </si>
  <si>
    <t>3203326223</t>
  </si>
  <si>
    <t>3186323761</t>
  </si>
  <si>
    <t>3218187422</t>
  </si>
  <si>
    <t>3112708153</t>
  </si>
  <si>
    <t>3222313671</t>
  </si>
  <si>
    <t>3104455501</t>
  </si>
  <si>
    <t>3133817298</t>
  </si>
  <si>
    <t>3108162584</t>
  </si>
  <si>
    <t>3142359291</t>
  </si>
  <si>
    <t>3143762255</t>
  </si>
  <si>
    <t>3204886934</t>
  </si>
  <si>
    <t>3115512253</t>
  </si>
  <si>
    <t>3228226929</t>
  </si>
  <si>
    <t>3143346945</t>
  </si>
  <si>
    <t>3228388149</t>
  </si>
  <si>
    <t>3176767678</t>
  </si>
  <si>
    <t>3203177235</t>
  </si>
  <si>
    <t>3112086734</t>
  </si>
  <si>
    <t>3123265803</t>
  </si>
  <si>
    <t>3144289438</t>
  </si>
  <si>
    <t>312797566</t>
  </si>
  <si>
    <t>3124934612</t>
  </si>
  <si>
    <t>3174970062</t>
  </si>
  <si>
    <t>3166384090</t>
  </si>
  <si>
    <t>3148023546</t>
  </si>
  <si>
    <t>3134021458</t>
  </si>
  <si>
    <t>3213669986</t>
  </si>
  <si>
    <t>3228946818</t>
  </si>
  <si>
    <t>3017917041</t>
  </si>
  <si>
    <t>3003044537</t>
  </si>
  <si>
    <t>3219392963</t>
  </si>
  <si>
    <t>3138800993</t>
  </si>
  <si>
    <t>3218287227</t>
  </si>
  <si>
    <t>3222263880</t>
  </si>
  <si>
    <t>3116817593</t>
  </si>
  <si>
    <t>3209023370</t>
  </si>
  <si>
    <t>3208578880</t>
  </si>
  <si>
    <t>3147778772</t>
  </si>
  <si>
    <t>3144676089</t>
  </si>
  <si>
    <t>3138393914</t>
  </si>
  <si>
    <t>3217854984</t>
  </si>
  <si>
    <t>3138965739</t>
  </si>
  <si>
    <t>3208253214</t>
  </si>
  <si>
    <t>3134139164</t>
  </si>
  <si>
    <t>3185346553</t>
  </si>
  <si>
    <t>3012561624</t>
  </si>
  <si>
    <t>3238069767</t>
  </si>
  <si>
    <t>3234415603</t>
  </si>
  <si>
    <t>3228893574</t>
  </si>
  <si>
    <t>3106877999</t>
  </si>
  <si>
    <t>3134023897</t>
  </si>
  <si>
    <t>3196037489</t>
  </si>
  <si>
    <t>3104947573</t>
  </si>
  <si>
    <t>3028316678</t>
  </si>
  <si>
    <t>3125631773</t>
  </si>
  <si>
    <t>3144787306</t>
  </si>
  <si>
    <t>3103183717</t>
  </si>
  <si>
    <t>3202860054</t>
  </si>
  <si>
    <t>3223612975</t>
  </si>
  <si>
    <t>3229550712</t>
  </si>
  <si>
    <t>3116105381</t>
  </si>
  <si>
    <t>3132573997</t>
  </si>
  <si>
    <t>3212398100</t>
  </si>
  <si>
    <t>3223139738</t>
  </si>
  <si>
    <t>3107406403</t>
  </si>
  <si>
    <t>3229056570</t>
  </si>
  <si>
    <t>3222938356</t>
  </si>
  <si>
    <t>3144501241</t>
  </si>
  <si>
    <t>3219695817</t>
  </si>
  <si>
    <t>3133617816</t>
  </si>
  <si>
    <t>3103561314</t>
  </si>
  <si>
    <t>3202043061</t>
  </si>
  <si>
    <t>3143852901</t>
  </si>
  <si>
    <t>3228859078</t>
  </si>
  <si>
    <t>3136441124</t>
  </si>
  <si>
    <t>3143517258</t>
  </si>
  <si>
    <t>3209008342</t>
  </si>
  <si>
    <t>3117073996</t>
  </si>
  <si>
    <t>3125689376</t>
  </si>
  <si>
    <t>3204123022</t>
  </si>
  <si>
    <t>3222688447</t>
  </si>
  <si>
    <t>3103229722</t>
  </si>
  <si>
    <t>3204152120</t>
  </si>
  <si>
    <t>3125384632</t>
  </si>
  <si>
    <t>3132504937</t>
  </si>
  <si>
    <t>3152529263</t>
  </si>
  <si>
    <t>3113454769</t>
  </si>
  <si>
    <t>3203535110</t>
  </si>
  <si>
    <t>3208020859</t>
  </si>
  <si>
    <t>3143272670</t>
  </si>
  <si>
    <t>3188673108</t>
  </si>
  <si>
    <t>3134265824</t>
  </si>
  <si>
    <t>3213430139</t>
  </si>
  <si>
    <t>3219682105</t>
  </si>
  <si>
    <t>3112591819</t>
  </si>
  <si>
    <t>3202141106</t>
  </si>
  <si>
    <t>3123700681</t>
  </si>
  <si>
    <t>3123124044</t>
  </si>
  <si>
    <t>3112866256</t>
  </si>
  <si>
    <t>3193951670</t>
  </si>
  <si>
    <t>3102093632</t>
  </si>
  <si>
    <t>3186037573</t>
  </si>
  <si>
    <t>3209954263</t>
  </si>
  <si>
    <t>3143780990</t>
  </si>
  <si>
    <t>3107011803</t>
  </si>
  <si>
    <t>3102049579</t>
  </si>
  <si>
    <t>3112311010</t>
  </si>
  <si>
    <t>3226343927</t>
  </si>
  <si>
    <t>3114006298</t>
  </si>
  <si>
    <t>3207450164</t>
  </si>
  <si>
    <t>3223930339</t>
  </si>
  <si>
    <t>3106187552</t>
  </si>
  <si>
    <t>3135423396</t>
  </si>
  <si>
    <t>3118273598</t>
  </si>
  <si>
    <t>3042763187</t>
  </si>
  <si>
    <t>3102442661</t>
  </si>
  <si>
    <t>3227340710</t>
  </si>
  <si>
    <t>3212586815</t>
  </si>
  <si>
    <t>3222679113</t>
  </si>
  <si>
    <t>3167792778</t>
  </si>
  <si>
    <t>3133590437</t>
  </si>
  <si>
    <t>322820489</t>
  </si>
  <si>
    <t>3202441723</t>
  </si>
  <si>
    <t>3125163761</t>
  </si>
  <si>
    <t>3213164535</t>
  </si>
  <si>
    <t>3112231334</t>
  </si>
  <si>
    <t>3126738289</t>
  </si>
  <si>
    <t>3114551337</t>
  </si>
  <si>
    <t>3108132917</t>
  </si>
  <si>
    <t>3138675608</t>
  </si>
  <si>
    <t>3134021109</t>
  </si>
  <si>
    <t>3118333166</t>
  </si>
  <si>
    <t>3208635246</t>
  </si>
  <si>
    <t>3185684889</t>
  </si>
  <si>
    <t>3046715867</t>
  </si>
  <si>
    <t>3102329627</t>
  </si>
  <si>
    <t>3102310861</t>
  </si>
  <si>
    <t>3233955528</t>
  </si>
  <si>
    <t>3134898488</t>
  </si>
  <si>
    <t>3014618797</t>
  </si>
  <si>
    <t>3203598568</t>
  </si>
  <si>
    <t>3202753342</t>
  </si>
  <si>
    <t>3115770167</t>
  </si>
  <si>
    <t>3163621146</t>
  </si>
  <si>
    <t>3112184692</t>
  </si>
  <si>
    <t>3144324468</t>
  </si>
  <si>
    <t>3125826387</t>
  </si>
  <si>
    <t>3208295592</t>
  </si>
  <si>
    <t>3125319517</t>
  </si>
  <si>
    <t>3143738254</t>
  </si>
  <si>
    <t>3219111606</t>
  </si>
  <si>
    <t>3214559212</t>
  </si>
  <si>
    <t>3226430760</t>
  </si>
  <si>
    <t>3125812381</t>
  </si>
  <si>
    <t>3132971998</t>
  </si>
  <si>
    <t>3214476215</t>
  </si>
  <si>
    <t>3209210894</t>
  </si>
  <si>
    <t>3112879192</t>
  </si>
  <si>
    <t>3205739829</t>
  </si>
  <si>
    <t>3132259094</t>
  </si>
  <si>
    <t>3184025671</t>
  </si>
  <si>
    <t>3154198872</t>
  </si>
  <si>
    <t>3178542446</t>
  </si>
  <si>
    <t>3507146027</t>
  </si>
  <si>
    <t>3144706266</t>
  </si>
  <si>
    <t>3112414049</t>
  </si>
  <si>
    <t>3045560565</t>
  </si>
  <si>
    <t>3223640151</t>
  </si>
  <si>
    <t>3105684629</t>
  </si>
  <si>
    <t>3143204528</t>
  </si>
  <si>
    <t>3219520183</t>
  </si>
  <si>
    <t>3209060759</t>
  </si>
  <si>
    <t>3212220100</t>
  </si>
  <si>
    <t>3223612865</t>
  </si>
  <si>
    <t>3114796913</t>
  </si>
  <si>
    <t>3213237727</t>
  </si>
  <si>
    <t>3133095482</t>
  </si>
  <si>
    <t>3208441800</t>
  </si>
  <si>
    <t>3134863670</t>
  </si>
  <si>
    <t>3108372842</t>
  </si>
  <si>
    <t>3134140467</t>
  </si>
  <si>
    <t>3133167253</t>
  </si>
  <si>
    <t>3227338730</t>
  </si>
  <si>
    <t>3124594846</t>
  </si>
  <si>
    <t>3102359564</t>
  </si>
  <si>
    <t>3102860044</t>
  </si>
  <si>
    <t>3016102981</t>
  </si>
  <si>
    <t>3222649456</t>
  </si>
  <si>
    <t>3218691923</t>
  </si>
  <si>
    <t>3204303841</t>
  </si>
  <si>
    <t>3212959268</t>
  </si>
  <si>
    <t>3118620221</t>
  </si>
  <si>
    <t>3124037827</t>
  </si>
  <si>
    <t>3223627313</t>
  </si>
  <si>
    <t>3123630566</t>
  </si>
  <si>
    <t>3204320904</t>
  </si>
  <si>
    <t>3124737891</t>
  </si>
  <si>
    <t>3214898577</t>
  </si>
  <si>
    <t>3012137626</t>
  </si>
  <si>
    <t>3242354014</t>
  </si>
  <si>
    <t>3143238822</t>
  </si>
  <si>
    <t>3209989533</t>
  </si>
  <si>
    <t>3132979701</t>
  </si>
  <si>
    <t>3108852169</t>
  </si>
  <si>
    <t>3132205167</t>
  </si>
  <si>
    <t>3142483384</t>
  </si>
  <si>
    <t>3203145067</t>
  </si>
  <si>
    <t>3209198879</t>
  </si>
  <si>
    <t>3007081984</t>
  </si>
  <si>
    <t>3224063081</t>
  </si>
  <si>
    <t>3135686949</t>
  </si>
  <si>
    <t>3124035710</t>
  </si>
  <si>
    <t>3153205545</t>
  </si>
  <si>
    <t>3106259569</t>
  </si>
  <si>
    <t>3133261331</t>
  </si>
  <si>
    <t>3138295328</t>
  </si>
  <si>
    <t>3219438513</t>
  </si>
  <si>
    <t>3138935446</t>
  </si>
  <si>
    <t>3178841733</t>
  </si>
  <si>
    <t>3025688570</t>
  </si>
  <si>
    <t>3114560682</t>
  </si>
  <si>
    <t>3193184422</t>
  </si>
  <si>
    <t>3108571895</t>
  </si>
  <si>
    <t>3213939775</t>
  </si>
  <si>
    <t>3123247523</t>
  </si>
  <si>
    <t>3113600654</t>
  </si>
  <si>
    <t>3132545341</t>
  </si>
  <si>
    <t>3138279791</t>
  </si>
  <si>
    <t>3118991139</t>
  </si>
  <si>
    <t>3202937246</t>
  </si>
  <si>
    <t>3132081113</t>
  </si>
  <si>
    <t>3162500860</t>
  </si>
  <si>
    <t>3105022144</t>
  </si>
  <si>
    <t>3202743741</t>
  </si>
  <si>
    <t>3204820921</t>
  </si>
  <si>
    <t>3125555099</t>
  </si>
  <si>
    <t>3142342644</t>
  </si>
  <si>
    <t>3142156199</t>
  </si>
  <si>
    <t>3176220723</t>
  </si>
  <si>
    <t>3124882717</t>
  </si>
  <si>
    <t>3187423015</t>
  </si>
  <si>
    <t>3124719617</t>
  </si>
  <si>
    <t>3103330074</t>
  </si>
  <si>
    <t>3143085676</t>
  </si>
  <si>
    <t>3143640786</t>
  </si>
  <si>
    <t>3214288022</t>
  </si>
  <si>
    <t>3223210090</t>
  </si>
  <si>
    <t>3105828821</t>
  </si>
  <si>
    <t>3227103384</t>
  </si>
  <si>
    <t>3102829763</t>
  </si>
  <si>
    <t>3118693072</t>
  </si>
  <si>
    <t>3187590389</t>
  </si>
  <si>
    <t>3232507828</t>
  </si>
  <si>
    <t>3227028197</t>
  </si>
  <si>
    <t>3134991991</t>
  </si>
  <si>
    <t>3133207670</t>
  </si>
  <si>
    <t>3195684080</t>
  </si>
  <si>
    <t>3102933001</t>
  </si>
  <si>
    <t>3232842868</t>
  </si>
  <si>
    <t>3165328959</t>
  </si>
  <si>
    <t>3154970155</t>
  </si>
  <si>
    <t>3203740732</t>
  </si>
  <si>
    <t>3224015153</t>
  </si>
  <si>
    <t>3212374466</t>
  </si>
  <si>
    <t>3203229998</t>
  </si>
  <si>
    <t>3204593243</t>
  </si>
  <si>
    <t>3143606672</t>
  </si>
  <si>
    <t>3144914791</t>
  </si>
  <si>
    <t>3118279533</t>
  </si>
  <si>
    <t>3102695359</t>
  </si>
  <si>
    <t>3152697725</t>
  </si>
  <si>
    <t>3227619235</t>
  </si>
  <si>
    <t>3115846202</t>
  </si>
  <si>
    <t>3102529898</t>
  </si>
  <si>
    <t>3112527748</t>
  </si>
  <si>
    <t>3105671240</t>
  </si>
  <si>
    <t>3134363209</t>
  </si>
  <si>
    <t>3005641323</t>
  </si>
  <si>
    <t>3166436170</t>
  </si>
  <si>
    <t>3133455728</t>
  </si>
  <si>
    <t>3115007567</t>
  </si>
  <si>
    <t>3118131281</t>
  </si>
  <si>
    <t>3123308738</t>
  </si>
  <si>
    <t>3204622980</t>
  </si>
  <si>
    <t>3177907729</t>
  </si>
  <si>
    <t>3154334213</t>
  </si>
  <si>
    <t>3138005238</t>
  </si>
  <si>
    <t>3117077643</t>
  </si>
  <si>
    <t>3212430554</t>
  </si>
  <si>
    <t>3152427019</t>
  </si>
  <si>
    <t>3112070038</t>
  </si>
  <si>
    <t>3123003576</t>
  </si>
  <si>
    <t>3156164770</t>
  </si>
  <si>
    <t>3203600947</t>
  </si>
  <si>
    <t>3202797433</t>
  </si>
  <si>
    <t>3112002679</t>
  </si>
  <si>
    <t>3124817103</t>
  </si>
  <si>
    <t>3232933796</t>
  </si>
  <si>
    <t>3123932823</t>
  </si>
  <si>
    <t>3217790651</t>
  </si>
  <si>
    <t>3108785443</t>
  </si>
  <si>
    <t>3134308206</t>
  </si>
  <si>
    <t>3212696145</t>
  </si>
  <si>
    <t>3184765710</t>
  </si>
  <si>
    <t>3222446971</t>
  </si>
  <si>
    <t>3213249670</t>
  </si>
  <si>
    <t>3144335729</t>
  </si>
  <si>
    <t>3103693983</t>
  </si>
  <si>
    <t>3125941666</t>
  </si>
  <si>
    <t>3125895356</t>
  </si>
  <si>
    <t>3214853351</t>
  </si>
  <si>
    <t>3203351028</t>
  </si>
  <si>
    <t>3217334868</t>
  </si>
  <si>
    <t>3143761697</t>
  </si>
  <si>
    <t>3144245479</t>
  </si>
  <si>
    <t>3204968481</t>
  </si>
  <si>
    <t>3213862002</t>
  </si>
  <si>
    <t>3138841895</t>
  </si>
  <si>
    <t>3213249661</t>
  </si>
  <si>
    <t>3138557093</t>
  </si>
  <si>
    <t>3138238050</t>
  </si>
  <si>
    <t>3228938625</t>
  </si>
  <si>
    <t>3107602542</t>
  </si>
  <si>
    <t>3106737555</t>
  </si>
  <si>
    <t>3203600321</t>
  </si>
  <si>
    <t>3125244042</t>
  </si>
  <si>
    <t>3166424614</t>
  </si>
  <si>
    <t>3203727184</t>
  </si>
  <si>
    <t>3209312178</t>
  </si>
  <si>
    <t>3132206768</t>
  </si>
  <si>
    <t>3123168017</t>
  </si>
  <si>
    <t>3219278493</t>
  </si>
  <si>
    <t>3224290333</t>
  </si>
  <si>
    <t>3102495584</t>
  </si>
  <si>
    <t>3108803428</t>
  </si>
  <si>
    <t>3105785136</t>
  </si>
  <si>
    <t>3216415599</t>
  </si>
  <si>
    <t>3208821984</t>
  </si>
  <si>
    <t>3133852982</t>
  </si>
  <si>
    <t>3112444573</t>
  </si>
  <si>
    <t>3003516180</t>
  </si>
  <si>
    <t>3124078179</t>
  </si>
  <si>
    <t>3108849584</t>
  </si>
  <si>
    <t>3108374184</t>
  </si>
  <si>
    <t>3106085932</t>
  </si>
  <si>
    <t>3219187657</t>
  </si>
  <si>
    <t>3228693874</t>
  </si>
  <si>
    <t>3147117745</t>
  </si>
  <si>
    <t>3206269240</t>
  </si>
  <si>
    <t>3136530884</t>
  </si>
  <si>
    <t>3118484111</t>
  </si>
  <si>
    <t>3133468765</t>
  </si>
  <si>
    <t>3142769898</t>
  </si>
  <si>
    <t>3103374739</t>
  </si>
  <si>
    <t>3114816129</t>
  </si>
  <si>
    <t>3112978338</t>
  </si>
  <si>
    <t>3112768113</t>
  </si>
  <si>
    <t>3223213929</t>
  </si>
  <si>
    <t>3133945000</t>
  </si>
  <si>
    <t>3142786159</t>
  </si>
  <si>
    <t>3144185989</t>
  </si>
  <si>
    <t>3124429123</t>
  </si>
  <si>
    <t>3104847390</t>
  </si>
  <si>
    <t>3208354930</t>
  </si>
  <si>
    <t>3124629142</t>
  </si>
  <si>
    <t>3203380766</t>
  </si>
  <si>
    <t>3112165252</t>
  </si>
  <si>
    <t>3204403403</t>
  </si>
  <si>
    <t>3227130449</t>
  </si>
  <si>
    <t>3228309327</t>
  </si>
  <si>
    <t>3143992653</t>
  </si>
  <si>
    <t>3202814055</t>
  </si>
  <si>
    <t>3213383378</t>
  </si>
  <si>
    <t>3134388289</t>
  </si>
  <si>
    <t>3214984667</t>
  </si>
  <si>
    <t>3118406438</t>
  </si>
  <si>
    <t>3125433954</t>
  </si>
  <si>
    <t>3143754623</t>
  </si>
  <si>
    <t>3174241212</t>
  </si>
  <si>
    <t>3203820877</t>
  </si>
  <si>
    <t>3134431822</t>
  </si>
  <si>
    <t>3102492082</t>
  </si>
  <si>
    <t>3112253243</t>
  </si>
  <si>
    <t>3145822773</t>
  </si>
  <si>
    <t>3137990396</t>
  </si>
  <si>
    <t>3209001308</t>
  </si>
  <si>
    <t>3144507575</t>
  </si>
  <si>
    <t>3224563986</t>
  </si>
  <si>
    <t>3104801691</t>
  </si>
  <si>
    <t>3124054137</t>
  </si>
  <si>
    <t>3102676850</t>
  </si>
  <si>
    <t>3102131009</t>
  </si>
  <si>
    <t>3103516307</t>
  </si>
  <si>
    <t>3124522328</t>
  </si>
  <si>
    <t>3138784887</t>
  </si>
  <si>
    <t>3106870056</t>
  </si>
  <si>
    <t>3204366627</t>
  </si>
  <si>
    <t>3142591538</t>
  </si>
  <si>
    <t>3144836272</t>
  </si>
  <si>
    <t>3204154955</t>
  </si>
  <si>
    <t>3144557328</t>
  </si>
  <si>
    <t>3115139550</t>
  </si>
  <si>
    <t>3007628797</t>
  </si>
  <si>
    <t>3204284735</t>
  </si>
  <si>
    <t>3133893057</t>
  </si>
  <si>
    <t>3212433314</t>
  </si>
  <si>
    <t>3164070074</t>
  </si>
  <si>
    <t>3244904044</t>
  </si>
  <si>
    <t>3223757596</t>
  </si>
  <si>
    <t>3203408011</t>
  </si>
  <si>
    <t>3014435079</t>
  </si>
  <si>
    <t>3143588866</t>
  </si>
  <si>
    <t>3142557783</t>
  </si>
  <si>
    <t>3223152142</t>
  </si>
  <si>
    <t>3142298146</t>
  </si>
  <si>
    <t>3223206875</t>
  </si>
  <si>
    <t>3124540540</t>
  </si>
  <si>
    <t>3502715022</t>
  </si>
  <si>
    <t>3134294135</t>
  </si>
  <si>
    <t>3176482579</t>
  </si>
  <si>
    <t>3125605987</t>
  </si>
  <si>
    <t>3016626420</t>
  </si>
  <si>
    <t>3227658571</t>
  </si>
  <si>
    <t>3229475946</t>
  </si>
  <si>
    <t>3194723631</t>
  </si>
  <si>
    <t>3128414377</t>
  </si>
  <si>
    <t>3214672514</t>
  </si>
  <si>
    <t>3124623472</t>
  </si>
  <si>
    <t>3102535173</t>
  </si>
  <si>
    <t>3202091084</t>
  </si>
  <si>
    <t>3213019836</t>
  </si>
  <si>
    <t>3105862801</t>
  </si>
  <si>
    <t>3229703959</t>
  </si>
  <si>
    <t>3104101038</t>
  </si>
  <si>
    <t>3124774544</t>
  </si>
  <si>
    <t>3107967684</t>
  </si>
  <si>
    <t>3104804108</t>
  </si>
  <si>
    <t>3132849256</t>
  </si>
  <si>
    <t>311337190</t>
  </si>
  <si>
    <t>3214048651</t>
  </si>
  <si>
    <t>3112500185</t>
  </si>
  <si>
    <t>3227221246</t>
  </si>
  <si>
    <t>3193234613</t>
  </si>
  <si>
    <t>3202512572</t>
  </si>
  <si>
    <t>3123595602</t>
  </si>
  <si>
    <t>3108024103</t>
  </si>
  <si>
    <t>3138429194</t>
  </si>
  <si>
    <t>3218416690</t>
  </si>
  <si>
    <t>3124424640</t>
  </si>
  <si>
    <t>3118062249</t>
  </si>
  <si>
    <t>3123328756</t>
  </si>
  <si>
    <t>3184100008</t>
  </si>
  <si>
    <t>3228986695</t>
  </si>
  <si>
    <t>3125328677</t>
  </si>
  <si>
    <t>3134229129</t>
  </si>
  <si>
    <t>3134810964</t>
  </si>
  <si>
    <t>3107927443</t>
  </si>
  <si>
    <t>3214963880</t>
  </si>
  <si>
    <t>3123858010</t>
  </si>
  <si>
    <t>3132525950</t>
  </si>
  <si>
    <t>3144278675</t>
  </si>
  <si>
    <t>3504899570</t>
  </si>
  <si>
    <t>3102686980</t>
  </si>
  <si>
    <t>3213335984</t>
  </si>
  <si>
    <t>3123735224</t>
  </si>
  <si>
    <t>3227838799</t>
  </si>
  <si>
    <t>3145058135</t>
  </si>
  <si>
    <t>3223706029</t>
  </si>
  <si>
    <t>3115021190</t>
  </si>
  <si>
    <t>3202960516</t>
  </si>
  <si>
    <t>3206366492</t>
  </si>
  <si>
    <t>3132707427</t>
  </si>
  <si>
    <t>3123435290</t>
  </si>
  <si>
    <t>3214057437</t>
  </si>
  <si>
    <t>3145210374</t>
  </si>
  <si>
    <t>3232182936</t>
  </si>
  <si>
    <t>3138767491</t>
  </si>
  <si>
    <t>3222402775</t>
  </si>
  <si>
    <t>3104883983</t>
  </si>
  <si>
    <t>3172343805</t>
  </si>
  <si>
    <t>3108498965</t>
  </si>
  <si>
    <t>3124007165</t>
  </si>
  <si>
    <t>3143982950</t>
  </si>
  <si>
    <t>3217075341</t>
  </si>
  <si>
    <t>314336766</t>
  </si>
  <si>
    <t>3124751805</t>
  </si>
  <si>
    <t>3204147499</t>
  </si>
  <si>
    <t>3132043554</t>
  </si>
  <si>
    <t>3052577857</t>
  </si>
  <si>
    <t>3118370571</t>
  </si>
  <si>
    <t>3102981326</t>
  </si>
  <si>
    <t>3187807424</t>
  </si>
  <si>
    <t>3104761841</t>
  </si>
  <si>
    <t>3213382494</t>
  </si>
  <si>
    <t>3142977871</t>
  </si>
  <si>
    <t>3214256764</t>
  </si>
  <si>
    <t>3102156632</t>
  </si>
  <si>
    <t>3125553267</t>
  </si>
  <si>
    <t>3208240848</t>
  </si>
  <si>
    <t>3229689203</t>
  </si>
  <si>
    <t>3215284172</t>
  </si>
  <si>
    <t>3235022805</t>
  </si>
  <si>
    <t>3142539584</t>
  </si>
  <si>
    <t>3219197307</t>
  </si>
  <si>
    <t>3133192404</t>
  </si>
  <si>
    <t>3112898297</t>
  </si>
  <si>
    <t>3102120481</t>
  </si>
  <si>
    <t>3143280779</t>
  </si>
  <si>
    <t>3227449055</t>
  </si>
  <si>
    <t>3152285666</t>
  </si>
  <si>
    <t>3115242222</t>
  </si>
  <si>
    <t>3213656064</t>
  </si>
  <si>
    <t>3124122122</t>
  </si>
  <si>
    <t>3142701012</t>
  </si>
  <si>
    <t>3219503442</t>
  </si>
  <si>
    <t>3134202435</t>
  </si>
  <si>
    <t>3105614574</t>
  </si>
  <si>
    <t>3228534480</t>
  </si>
  <si>
    <t>3132949383</t>
  </si>
  <si>
    <t>3125231587</t>
  </si>
  <si>
    <t>3134147214</t>
  </si>
  <si>
    <t>3222254479</t>
  </si>
  <si>
    <t>3218263714</t>
  </si>
  <si>
    <t>3214892181</t>
  </si>
  <si>
    <t>3114424917</t>
  </si>
  <si>
    <t>3215027032</t>
  </si>
  <si>
    <t>3186271371</t>
  </si>
  <si>
    <t>3005769833</t>
  </si>
  <si>
    <t>3118707764</t>
  </si>
  <si>
    <t>3133542732</t>
  </si>
  <si>
    <t>3154574933</t>
  </si>
  <si>
    <t>3128719179</t>
  </si>
  <si>
    <t>3208316438</t>
  </si>
  <si>
    <t>3138882343</t>
  </si>
  <si>
    <t>3023639281</t>
  </si>
  <si>
    <t>3123106874</t>
  </si>
  <si>
    <t>3123042335</t>
  </si>
  <si>
    <t>3227385435</t>
  </si>
  <si>
    <t>3118369396</t>
  </si>
  <si>
    <t>3114117571</t>
  </si>
  <si>
    <t>3125608712</t>
  </si>
  <si>
    <t>3204634292</t>
  </si>
  <si>
    <t>3104046790</t>
  </si>
  <si>
    <t>3217556934</t>
  </si>
  <si>
    <t>3107969265</t>
  </si>
  <si>
    <t>3204361914</t>
  </si>
  <si>
    <t>3124493704</t>
  </si>
  <si>
    <t>3114777598</t>
  </si>
  <si>
    <t>3138336234</t>
  </si>
  <si>
    <t>3214478487</t>
  </si>
  <si>
    <t>3228381888</t>
  </si>
  <si>
    <t>3202859231</t>
  </si>
  <si>
    <t>3042654993</t>
  </si>
  <si>
    <t>3118539555</t>
  </si>
  <si>
    <t>3124705339</t>
  </si>
  <si>
    <t>3045943220</t>
  </si>
  <si>
    <t>3138919961</t>
  </si>
  <si>
    <t>3134921269</t>
  </si>
  <si>
    <t>3115627520</t>
  </si>
  <si>
    <t>3228838225</t>
  </si>
  <si>
    <t>3112063281</t>
  </si>
  <si>
    <t>3123855182</t>
  </si>
  <si>
    <t>3218868354</t>
  </si>
  <si>
    <t>3003553374</t>
  </si>
  <si>
    <t>3132162440</t>
  </si>
  <si>
    <t>3144306631</t>
  </si>
  <si>
    <t>3223787247</t>
  </si>
  <si>
    <t>3219959516</t>
  </si>
  <si>
    <t>3138148869</t>
  </si>
  <si>
    <t>3155679007</t>
  </si>
  <si>
    <t>3123669067</t>
  </si>
  <si>
    <t>3214676879</t>
  </si>
  <si>
    <t>3219544260</t>
  </si>
  <si>
    <t>3124851073</t>
  </si>
  <si>
    <t>3123515438</t>
  </si>
  <si>
    <t>3123078942</t>
  </si>
  <si>
    <t>3103394684</t>
  </si>
  <si>
    <t>3133649726</t>
  </si>
  <si>
    <t>3116473562</t>
  </si>
  <si>
    <t>3118749157</t>
  </si>
  <si>
    <t>3112736372</t>
  </si>
  <si>
    <t>3213558277</t>
  </si>
  <si>
    <t>3102113374</t>
  </si>
  <si>
    <t>3124131395</t>
  </si>
  <si>
    <t>3202702179</t>
  </si>
  <si>
    <t>3108680805</t>
  </si>
  <si>
    <t>3125835810</t>
  </si>
  <si>
    <t>3108150945</t>
  </si>
  <si>
    <t>3112483001</t>
  </si>
  <si>
    <t>3123061808</t>
  </si>
  <si>
    <t>3228467748</t>
  </si>
  <si>
    <t>3005053413</t>
  </si>
  <si>
    <t>3232848310</t>
  </si>
  <si>
    <t>3115946529</t>
  </si>
  <si>
    <t>3123937288</t>
  </si>
  <si>
    <t>3147257793</t>
  </si>
  <si>
    <t>3017305122</t>
  </si>
  <si>
    <t>3213952707</t>
  </si>
  <si>
    <t>3123959125</t>
  </si>
  <si>
    <t>30444497415</t>
  </si>
  <si>
    <t>3114605105</t>
  </si>
  <si>
    <t>3125971029</t>
  </si>
  <si>
    <t>3105837976</t>
  </si>
  <si>
    <t>3102913565</t>
  </si>
  <si>
    <t>3213034886</t>
  </si>
  <si>
    <t>3134571491</t>
  </si>
  <si>
    <t>3104862910</t>
  </si>
  <si>
    <t>3134147581</t>
  </si>
  <si>
    <t>3203717766</t>
  </si>
  <si>
    <t>3102861101</t>
  </si>
  <si>
    <t>3114433212</t>
  </si>
  <si>
    <t>3209389773</t>
  </si>
  <si>
    <t>3202147266</t>
  </si>
  <si>
    <t>3214184187</t>
  </si>
  <si>
    <t>3144490374</t>
  </si>
  <si>
    <t>3118505327</t>
  </si>
  <si>
    <t>3115474568</t>
  </si>
  <si>
    <t>3204280699</t>
  </si>
  <si>
    <t>3022916762</t>
  </si>
  <si>
    <t>3214216581</t>
  </si>
  <si>
    <t>3118006649</t>
  </si>
  <si>
    <t>3046779589</t>
  </si>
  <si>
    <t>3102822769</t>
  </si>
  <si>
    <t>3043779606</t>
  </si>
  <si>
    <t>3012878044</t>
  </si>
  <si>
    <t>3138215463</t>
  </si>
  <si>
    <t>3115810338</t>
  </si>
  <si>
    <t>3125642578</t>
  </si>
  <si>
    <t>3204446019</t>
  </si>
  <si>
    <t>3125603414</t>
  </si>
  <si>
    <t>3142347706</t>
  </si>
  <si>
    <t>3202958757</t>
  </si>
  <si>
    <t>3222110345</t>
  </si>
  <si>
    <t>3102578318</t>
  </si>
  <si>
    <t>3228760522</t>
  </si>
  <si>
    <t>3122978766</t>
  </si>
  <si>
    <t>3017827723</t>
  </si>
  <si>
    <t>3016383388</t>
  </si>
  <si>
    <t>3015781362</t>
  </si>
  <si>
    <t>3222825727</t>
  </si>
  <si>
    <t>3209712275</t>
  </si>
  <si>
    <t>3138957037</t>
  </si>
  <si>
    <t>3212838757</t>
  </si>
  <si>
    <t>3197299796</t>
  </si>
  <si>
    <t>3125800692</t>
  </si>
  <si>
    <t>3108821256</t>
  </si>
  <si>
    <t>3212896869</t>
  </si>
  <si>
    <t>3223724181</t>
  </si>
  <si>
    <t>3208787824</t>
  </si>
  <si>
    <t>3209075664</t>
  </si>
  <si>
    <t>3118813399</t>
  </si>
  <si>
    <t>3143841080</t>
  </si>
  <si>
    <t>3138254372</t>
  </si>
  <si>
    <t>3233268660</t>
  </si>
  <si>
    <t>3209013459</t>
  </si>
  <si>
    <t>3143610153</t>
  </si>
  <si>
    <t>3219749723</t>
  </si>
  <si>
    <t>3125642528</t>
  </si>
  <si>
    <t>3229066989</t>
  </si>
  <si>
    <t>3112368654</t>
  </si>
  <si>
    <t>3103373990</t>
  </si>
  <si>
    <t>3224751477</t>
  </si>
  <si>
    <t>3124003820</t>
  </si>
  <si>
    <t>3114155483</t>
  </si>
  <si>
    <t>3215793791</t>
  </si>
  <si>
    <t>3209160681</t>
  </si>
  <si>
    <t>3232431394</t>
  </si>
  <si>
    <t>3142134600</t>
  </si>
  <si>
    <t>3227442751</t>
  </si>
  <si>
    <t>3115448743</t>
  </si>
  <si>
    <t>3118523702</t>
  </si>
  <si>
    <t>3124083355</t>
  </si>
  <si>
    <t>3107705988</t>
  </si>
  <si>
    <t>3188749947</t>
  </si>
  <si>
    <t>3208787245</t>
  </si>
  <si>
    <t>3132367178</t>
  </si>
  <si>
    <t>3204233784</t>
  </si>
  <si>
    <t>3204023790</t>
  </si>
  <si>
    <t>3023900485</t>
  </si>
  <si>
    <t>3214301656</t>
  </si>
  <si>
    <t>3229344065</t>
  </si>
  <si>
    <t>3204333394</t>
  </si>
  <si>
    <t>3144432094</t>
  </si>
  <si>
    <t>3142235228</t>
  </si>
  <si>
    <t>3123912282</t>
  </si>
  <si>
    <t>3212897330</t>
  </si>
  <si>
    <t>3142771106</t>
  </si>
  <si>
    <t>3138932827</t>
  </si>
  <si>
    <t>3202876461</t>
  </si>
  <si>
    <t>3138089846</t>
  </si>
  <si>
    <t>3115465594</t>
  </si>
  <si>
    <t>3202502178</t>
  </si>
  <si>
    <t>3213427229</t>
  </si>
  <si>
    <t>3102473370</t>
  </si>
  <si>
    <t>3102409290</t>
  </si>
  <si>
    <t>3203068283</t>
  </si>
  <si>
    <t>3144874435</t>
  </si>
  <si>
    <t>3134598075</t>
  </si>
  <si>
    <t>3102194452</t>
  </si>
  <si>
    <t>3125118803</t>
  </si>
  <si>
    <t>3143841191</t>
  </si>
  <si>
    <t>3102471747</t>
  </si>
  <si>
    <t>3124310485</t>
  </si>
  <si>
    <t>3108614059</t>
  </si>
  <si>
    <t>3213709873</t>
  </si>
  <si>
    <t>3203439270</t>
  </si>
  <si>
    <t>3213271015</t>
  </si>
  <si>
    <t>3229474552</t>
  </si>
  <si>
    <t>3223065482</t>
  </si>
  <si>
    <t>3132022502</t>
  </si>
  <si>
    <t>3138373516</t>
  </si>
  <si>
    <t>3118962290</t>
  </si>
  <si>
    <t>3208351017</t>
  </si>
  <si>
    <t>3209231444</t>
  </si>
  <si>
    <t>3202408019</t>
  </si>
  <si>
    <t>3134627768</t>
  </si>
  <si>
    <t>3107759079</t>
  </si>
  <si>
    <t>3106446377</t>
  </si>
  <si>
    <t>3133836606</t>
  </si>
  <si>
    <t>3204921227</t>
  </si>
  <si>
    <t>3112606943</t>
  </si>
  <si>
    <t>3204377556</t>
  </si>
  <si>
    <t>3123343265</t>
  </si>
  <si>
    <t>3134716242</t>
  </si>
  <si>
    <t>3232212419</t>
  </si>
  <si>
    <t>3212197951</t>
  </si>
  <si>
    <t>3212026862</t>
  </si>
  <si>
    <t>3105725018</t>
  </si>
  <si>
    <t>3219438224</t>
  </si>
  <si>
    <t>3214925221</t>
  </si>
  <si>
    <t>3228175276</t>
  </si>
  <si>
    <t>3133670802</t>
  </si>
  <si>
    <t>3228529567</t>
  </si>
  <si>
    <t>3108750522</t>
  </si>
  <si>
    <t>3125961725</t>
  </si>
  <si>
    <t>3203196187</t>
  </si>
  <si>
    <t>3125200476</t>
  </si>
  <si>
    <t>3142413047</t>
  </si>
  <si>
    <t>3115349350</t>
  </si>
  <si>
    <t>3123285794</t>
  </si>
  <si>
    <t>3107894909</t>
  </si>
  <si>
    <t>3212337774</t>
  </si>
  <si>
    <t>3219115504</t>
  </si>
  <si>
    <t>3143454353</t>
  </si>
  <si>
    <t>3229152502</t>
  </si>
  <si>
    <t>3142849270</t>
  </si>
  <si>
    <t>3138474628</t>
  </si>
  <si>
    <t>3203023341</t>
  </si>
  <si>
    <t>3104783444</t>
  </si>
  <si>
    <t>3112603916</t>
  </si>
  <si>
    <t>3222316444</t>
  </si>
  <si>
    <t>3138109158</t>
  </si>
  <si>
    <t>3103468703</t>
  </si>
  <si>
    <t>3112741064</t>
  </si>
  <si>
    <t>3228119884</t>
  </si>
  <si>
    <t>3042484786</t>
  </si>
  <si>
    <t>3187169656</t>
  </si>
  <si>
    <t>3108103943</t>
  </si>
  <si>
    <t>3208242866</t>
  </si>
  <si>
    <t>3193790465</t>
  </si>
  <si>
    <t>3136523521</t>
  </si>
  <si>
    <t>3203572216</t>
  </si>
  <si>
    <t>3138438138</t>
  </si>
  <si>
    <t>3112123596</t>
  </si>
  <si>
    <t>3103148169</t>
  </si>
  <si>
    <t>3123732426</t>
  </si>
  <si>
    <t>3202586859</t>
  </si>
  <si>
    <t>3202282818</t>
  </si>
  <si>
    <t>3233427332</t>
  </si>
  <si>
    <t>3245950775</t>
  </si>
  <si>
    <t>3223412499</t>
  </si>
  <si>
    <t>3138519072</t>
  </si>
  <si>
    <t>3212175948</t>
  </si>
  <si>
    <t>3226098120</t>
  </si>
  <si>
    <t>3103510630</t>
  </si>
  <si>
    <t>3175428288</t>
  </si>
  <si>
    <t>3132176802</t>
  </si>
  <si>
    <t>3209062521</t>
  </si>
  <si>
    <t>3214246516</t>
  </si>
  <si>
    <t>3203831432</t>
  </si>
  <si>
    <t>3143187309</t>
  </si>
  <si>
    <t>3102410320</t>
  </si>
  <si>
    <t>3115753493</t>
  </si>
  <si>
    <t>3102392220</t>
  </si>
  <si>
    <t>3228369336</t>
  </si>
  <si>
    <t>3106927639</t>
  </si>
  <si>
    <t>3232935714</t>
  </si>
  <si>
    <t>3154610126</t>
  </si>
  <si>
    <t>3204802862</t>
  </si>
  <si>
    <t>3114883121</t>
  </si>
  <si>
    <t>3143325092</t>
  </si>
  <si>
    <t>3103866657</t>
  </si>
  <si>
    <t>3114410585</t>
  </si>
  <si>
    <t>3202925083</t>
  </si>
  <si>
    <t>3112755069</t>
  </si>
  <si>
    <t>3103155673</t>
  </si>
  <si>
    <t>3114752719</t>
  </si>
  <si>
    <t>3107904752</t>
  </si>
  <si>
    <t>3214819019</t>
  </si>
  <si>
    <t>3233257449</t>
  </si>
  <si>
    <t>3209506078</t>
  </si>
  <si>
    <t>3229417756</t>
  </si>
  <si>
    <t>3219246340</t>
  </si>
  <si>
    <t>3115850022</t>
  </si>
  <si>
    <t>3118406421</t>
  </si>
  <si>
    <t>3222420322</t>
  </si>
  <si>
    <t>314238853</t>
  </si>
  <si>
    <t>3102743158</t>
  </si>
  <si>
    <t>3215290524</t>
  </si>
  <si>
    <t>3174452522</t>
  </si>
  <si>
    <t>3118273444</t>
  </si>
  <si>
    <t>3204421463</t>
  </si>
  <si>
    <t>3228397963</t>
  </si>
  <si>
    <t>3115075962</t>
  </si>
  <si>
    <t>3124863505</t>
  </si>
  <si>
    <t>3223537714</t>
  </si>
  <si>
    <t>3204857348</t>
  </si>
  <si>
    <t>3103451960</t>
  </si>
  <si>
    <t>3108749791</t>
  </si>
  <si>
    <t>3219792393</t>
  </si>
  <si>
    <t>3214678509</t>
  </si>
  <si>
    <t>3223947531</t>
  </si>
  <si>
    <t>3114270441</t>
  </si>
  <si>
    <t>3108641953</t>
  </si>
  <si>
    <t>3166776551</t>
  </si>
  <si>
    <t>3115799551</t>
  </si>
  <si>
    <t>3204921481</t>
  </si>
  <si>
    <t>3202358500</t>
  </si>
  <si>
    <t>3204943589</t>
  </si>
  <si>
    <t>3203645042</t>
  </si>
  <si>
    <t>3124083817</t>
  </si>
  <si>
    <t>3108886397</t>
  </si>
  <si>
    <t>3102829548</t>
  </si>
  <si>
    <t>3154367286</t>
  </si>
  <si>
    <t>3226518448</t>
  </si>
  <si>
    <t>3124735646</t>
  </si>
  <si>
    <t>3202313527</t>
  </si>
  <si>
    <t>3165766083</t>
  </si>
  <si>
    <t>3125400735</t>
  </si>
  <si>
    <t>3133271598</t>
  </si>
  <si>
    <t>3118975298</t>
  </si>
  <si>
    <t>3134394909</t>
  </si>
  <si>
    <t>3144874851</t>
  </si>
  <si>
    <t>3115113138</t>
  </si>
  <si>
    <t>3204762767</t>
  </si>
  <si>
    <t>3113189063</t>
  </si>
  <si>
    <t>3138654658</t>
  </si>
  <si>
    <t>3214845606</t>
  </si>
  <si>
    <t>3103071071</t>
  </si>
  <si>
    <t>3106061663</t>
  </si>
  <si>
    <t>3104810852</t>
  </si>
  <si>
    <t>3132618703</t>
  </si>
  <si>
    <t>3157510439</t>
  </si>
  <si>
    <t>3138671424</t>
  </si>
  <si>
    <t>3203908532</t>
  </si>
  <si>
    <t>3115038783</t>
  </si>
  <si>
    <t>3144827538</t>
  </si>
  <si>
    <t>3103402491</t>
  </si>
  <si>
    <t>3102962621</t>
  </si>
  <si>
    <t>3102521453</t>
  </si>
  <si>
    <t>3108795075</t>
  </si>
  <si>
    <t>3107539816</t>
  </si>
  <si>
    <t>3204308220</t>
  </si>
  <si>
    <t>3132028280</t>
  </si>
  <si>
    <t>3204700189</t>
  </si>
  <si>
    <t>3138105166</t>
  </si>
  <si>
    <t>3105998712</t>
  </si>
  <si>
    <t>3203096943</t>
  </si>
  <si>
    <t>3118643935</t>
  </si>
  <si>
    <t>3204518260</t>
  </si>
  <si>
    <t>3203927008</t>
  </si>
  <si>
    <t>3132318957</t>
  </si>
  <si>
    <t>3144823511</t>
  </si>
  <si>
    <t>3212613955</t>
  </si>
  <si>
    <t>3219036236</t>
  </si>
  <si>
    <t>3114976472</t>
  </si>
  <si>
    <t>3132012128</t>
  </si>
  <si>
    <t>3134534402</t>
  </si>
  <si>
    <t>3134791232</t>
  </si>
  <si>
    <t>3104747590</t>
  </si>
  <si>
    <t>3204328113</t>
  </si>
  <si>
    <t>3025560597</t>
  </si>
  <si>
    <t>3229522478</t>
  </si>
  <si>
    <t>316698824</t>
  </si>
  <si>
    <t>3147300760</t>
  </si>
  <si>
    <t>3132976911</t>
  </si>
  <si>
    <t>3143049585</t>
  </si>
  <si>
    <t>3142289095</t>
  </si>
  <si>
    <t>3143049809</t>
  </si>
  <si>
    <t>3143635831</t>
  </si>
  <si>
    <t>3202848899</t>
  </si>
  <si>
    <t>3138066266</t>
  </si>
  <si>
    <t>3203438352</t>
  </si>
  <si>
    <t>3218297709</t>
  </si>
  <si>
    <t>3112141131</t>
  </si>
  <si>
    <t>3108520359</t>
  </si>
  <si>
    <t>3115565383</t>
  </si>
  <si>
    <t>3218206630</t>
  </si>
  <si>
    <t>3142099317</t>
  </si>
  <si>
    <t>3212619252</t>
  </si>
  <si>
    <t>3124224137</t>
  </si>
  <si>
    <t>3125567403</t>
  </si>
  <si>
    <t>3224517365</t>
  </si>
  <si>
    <t>3223748038</t>
  </si>
  <si>
    <t>3103197867</t>
  </si>
  <si>
    <t>3112544601</t>
  </si>
  <si>
    <t>3125569848</t>
  </si>
  <si>
    <t>3138150319</t>
  </si>
  <si>
    <t>3134128775</t>
  </si>
  <si>
    <t>3228369161</t>
  </si>
  <si>
    <t>3112460121</t>
  </si>
  <si>
    <t>3142400810</t>
  </si>
  <si>
    <t>3014554033</t>
  </si>
  <si>
    <t>3123576648</t>
  </si>
  <si>
    <t>3173121244</t>
  </si>
  <si>
    <t>3138085274</t>
  </si>
  <si>
    <t>3118507883</t>
  </si>
  <si>
    <t>3202109414</t>
  </si>
  <si>
    <t>3246859379</t>
  </si>
  <si>
    <t>3214139069</t>
  </si>
  <si>
    <t>3204250842</t>
  </si>
  <si>
    <t>3160185575</t>
  </si>
  <si>
    <t>3223991794</t>
  </si>
  <si>
    <t>3118699017</t>
  </si>
  <si>
    <t>3134522740</t>
  </si>
  <si>
    <t>3224706481</t>
  </si>
  <si>
    <t>3112584701</t>
  </si>
  <si>
    <t>3212937150</t>
  </si>
  <si>
    <t>3144887068</t>
  </si>
  <si>
    <t>3213525594</t>
  </si>
  <si>
    <t>3183643369</t>
  </si>
  <si>
    <t>3208053208</t>
  </si>
  <si>
    <t>3128947125</t>
  </si>
  <si>
    <t>3144422395</t>
  </si>
  <si>
    <t>3125783210</t>
  </si>
  <si>
    <t>3134154010</t>
  </si>
  <si>
    <t>3143281408</t>
  </si>
  <si>
    <t>3022798906</t>
  </si>
  <si>
    <t>3103288725</t>
  </si>
  <si>
    <t>3219451733</t>
  </si>
  <si>
    <t>3202292248</t>
  </si>
  <si>
    <t>3202416488</t>
  </si>
  <si>
    <t>3203007707</t>
  </si>
  <si>
    <t>3125730309</t>
  </si>
  <si>
    <t>3015827568</t>
  </si>
  <si>
    <t>3177158164</t>
  </si>
  <si>
    <t>3203233753</t>
  </si>
  <si>
    <t>3208338456</t>
  </si>
  <si>
    <t>3176807528</t>
  </si>
  <si>
    <t>3132025189</t>
  </si>
  <si>
    <t>3234785851</t>
  </si>
  <si>
    <t>3046573471</t>
  </si>
  <si>
    <t>3229508905</t>
  </si>
  <si>
    <t>3118610441</t>
  </si>
  <si>
    <t>3227154643</t>
  </si>
  <si>
    <t>3124327591</t>
  </si>
  <si>
    <t>3168226153</t>
  </si>
  <si>
    <t>3112239817</t>
  </si>
  <si>
    <t>3105872782</t>
  </si>
  <si>
    <t>3105787385</t>
  </si>
  <si>
    <t>3103854664</t>
  </si>
  <si>
    <t>3105673574</t>
  </si>
  <si>
    <t>3214290984</t>
  </si>
  <si>
    <t>3212919473</t>
  </si>
  <si>
    <t>3178026433</t>
  </si>
  <si>
    <t>3132815673</t>
  </si>
  <si>
    <t>3123534906</t>
  </si>
  <si>
    <t>3114874634</t>
  </si>
  <si>
    <t>3003561590</t>
  </si>
  <si>
    <t>3105605006</t>
  </si>
  <si>
    <t>3112522185</t>
  </si>
  <si>
    <t>3103417681</t>
  </si>
  <si>
    <t>3106744155</t>
  </si>
  <si>
    <t>3143130229</t>
  </si>
  <si>
    <t>3212067663</t>
  </si>
  <si>
    <t>3118167822</t>
  </si>
  <si>
    <t>3204455940</t>
  </si>
  <si>
    <t>3202775044</t>
  </si>
  <si>
    <t>3204997448</t>
  </si>
  <si>
    <t>3204011609</t>
  </si>
  <si>
    <t>3228246692-42</t>
  </si>
  <si>
    <t>3106561698</t>
  </si>
  <si>
    <t>3124590801</t>
  </si>
  <si>
    <t>3232835646</t>
  </si>
  <si>
    <t>3102775134</t>
  </si>
  <si>
    <t>3213126221</t>
  </si>
  <si>
    <t>3219775588</t>
  </si>
  <si>
    <t>3103156392</t>
  </si>
  <si>
    <t>3133000938</t>
  </si>
  <si>
    <t>3143935061</t>
  </si>
  <si>
    <t>3105505130</t>
  </si>
  <si>
    <t>3222226067</t>
  </si>
  <si>
    <t>3214274992</t>
  </si>
  <si>
    <t>3138898997</t>
  </si>
  <si>
    <t>3022972693</t>
  </si>
  <si>
    <t>3227961676</t>
  </si>
  <si>
    <t>3217155582</t>
  </si>
  <si>
    <t>3124644104</t>
  </si>
  <si>
    <t>3107751777</t>
  </si>
  <si>
    <t>3124965292</t>
  </si>
  <si>
    <t>3144804041</t>
  </si>
  <si>
    <t>3124590980</t>
  </si>
  <si>
    <t>3108012206</t>
  </si>
  <si>
    <t>3014814686</t>
  </si>
  <si>
    <t>3134863675</t>
  </si>
  <si>
    <t>3017299581</t>
  </si>
  <si>
    <t>3223820568</t>
  </si>
  <si>
    <t>3177002080</t>
  </si>
  <si>
    <t>3204882816</t>
  </si>
  <si>
    <t>3228372197</t>
  </si>
  <si>
    <t>3142586036</t>
  </si>
  <si>
    <t>3214531266</t>
  </si>
  <si>
    <t>3143537007</t>
  </si>
  <si>
    <t>3147776933</t>
  </si>
  <si>
    <t>3123355213</t>
  </si>
  <si>
    <t>3147864203</t>
  </si>
  <si>
    <t>3132669241</t>
  </si>
  <si>
    <t>3108575538</t>
  </si>
  <si>
    <t>3203523951</t>
  </si>
  <si>
    <t>3212872076</t>
  </si>
  <si>
    <t>3229706654</t>
  </si>
  <si>
    <t>3213814836</t>
  </si>
  <si>
    <t>3204732834</t>
  </si>
  <si>
    <t>3209153855</t>
  </si>
  <si>
    <t>3125306038</t>
  </si>
  <si>
    <t>3227665447</t>
  </si>
  <si>
    <t>3214245006</t>
  </si>
  <si>
    <t>3143309498</t>
  </si>
  <si>
    <t>3142543785</t>
  </si>
  <si>
    <t>3004672761</t>
  </si>
  <si>
    <t>3144880609</t>
  </si>
  <si>
    <t>3213421980</t>
  </si>
  <si>
    <t>3142146876</t>
  </si>
  <si>
    <t>3207653142</t>
  </si>
  <si>
    <t>3117661883</t>
  </si>
  <si>
    <t>3105009071</t>
  </si>
  <si>
    <t>3004829243</t>
  </si>
  <si>
    <t>3107608542</t>
  </si>
  <si>
    <t>3123735722</t>
  </si>
  <si>
    <t>3229743460</t>
  </si>
  <si>
    <t>3136968249</t>
  </si>
  <si>
    <t>3165811168</t>
  </si>
  <si>
    <t>3122987526</t>
  </si>
  <si>
    <t>3223646306</t>
  </si>
  <si>
    <t>3127349659</t>
  </si>
  <si>
    <t>3107708660</t>
  </si>
  <si>
    <t>3126956874</t>
  </si>
  <si>
    <t>3228229000</t>
  </si>
  <si>
    <t>3205160112</t>
  </si>
  <si>
    <t>3138690980</t>
  </si>
  <si>
    <t>3224079158</t>
  </si>
  <si>
    <t>3183849718</t>
  </si>
  <si>
    <t>3213179956</t>
  </si>
  <si>
    <t>3144019034</t>
  </si>
  <si>
    <t>3118236657</t>
  </si>
  <si>
    <t>3213220275</t>
  </si>
  <si>
    <t>3118748953</t>
  </si>
  <si>
    <t>3213587985</t>
  </si>
  <si>
    <t>3178140093</t>
  </si>
  <si>
    <t>3118934519</t>
  </si>
  <si>
    <t>3125368545</t>
  </si>
  <si>
    <t>3144904974</t>
  </si>
  <si>
    <t>3017520862</t>
  </si>
  <si>
    <t>3044705181</t>
  </si>
  <si>
    <t>3226278900</t>
  </si>
  <si>
    <t>3213711968</t>
  </si>
  <si>
    <t>3106004285</t>
  </si>
  <si>
    <t>3103253193</t>
  </si>
  <si>
    <t>3112708172</t>
  </si>
  <si>
    <t>3204765341</t>
  </si>
  <si>
    <t>3209832354</t>
  </si>
  <si>
    <t>3194066906</t>
  </si>
  <si>
    <t>3222801018</t>
  </si>
  <si>
    <t>3214593928</t>
  </si>
  <si>
    <t>3108599153</t>
  </si>
  <si>
    <t>3204091833</t>
  </si>
  <si>
    <t>3138082434</t>
  </si>
  <si>
    <t>3128082382</t>
  </si>
  <si>
    <t>3013340243</t>
  </si>
  <si>
    <t>3118025572</t>
  </si>
  <si>
    <t>3007565782</t>
  </si>
  <si>
    <t>3213658697</t>
  </si>
  <si>
    <t>3505264254</t>
  </si>
  <si>
    <t>3228956047</t>
  </si>
  <si>
    <t>3113966200</t>
  </si>
  <si>
    <t>3228988603</t>
  </si>
  <si>
    <t>3112645884</t>
  </si>
  <si>
    <t>3144382707</t>
  </si>
  <si>
    <t>3224309872</t>
  </si>
  <si>
    <t>3138349595</t>
  </si>
  <si>
    <t>3213960960</t>
  </si>
  <si>
    <t>3138175256</t>
  </si>
  <si>
    <t>3229108922</t>
  </si>
  <si>
    <t>3232836784</t>
  </si>
  <si>
    <t>3143421109</t>
  </si>
  <si>
    <t>3144074029</t>
  </si>
  <si>
    <t>3102820457</t>
  </si>
  <si>
    <t>3232076941</t>
  </si>
  <si>
    <t>3123743682</t>
  </si>
  <si>
    <t>3118801560</t>
  </si>
  <si>
    <t>3112791243</t>
  </si>
  <si>
    <t>3213500297</t>
  </si>
  <si>
    <t>3118457950</t>
  </si>
  <si>
    <t>3143194564</t>
  </si>
  <si>
    <t>3112911485</t>
  </si>
  <si>
    <t>3105732504</t>
  </si>
  <si>
    <t>3173515694</t>
  </si>
  <si>
    <t>3135642390</t>
  </si>
  <si>
    <t>3209486890</t>
  </si>
  <si>
    <t>3133221299</t>
  </si>
  <si>
    <t>3106807247</t>
  </si>
  <si>
    <t>3209943429</t>
  </si>
  <si>
    <t>3137590685</t>
  </si>
  <si>
    <t>3163549725</t>
  </si>
  <si>
    <t>3143517868</t>
  </si>
  <si>
    <t>3227224948</t>
  </si>
  <si>
    <t>3183777963</t>
  </si>
  <si>
    <t>3106740609</t>
  </si>
  <si>
    <t>3114808357</t>
  </si>
  <si>
    <t>3142120182</t>
  </si>
  <si>
    <t>3202452272</t>
  </si>
  <si>
    <t>3222922158</t>
  </si>
  <si>
    <t>3108199530</t>
  </si>
  <si>
    <t>3153647059</t>
  </si>
  <si>
    <t>3186669200</t>
  </si>
  <si>
    <t>3102132875</t>
  </si>
  <si>
    <t>3202605867</t>
  </si>
  <si>
    <t>3125276481</t>
  </si>
  <si>
    <t>3204494277</t>
  </si>
  <si>
    <t>3232783490</t>
  </si>
  <si>
    <t>3164882868</t>
  </si>
  <si>
    <t>3209474978</t>
  </si>
  <si>
    <t>3123853135</t>
  </si>
  <si>
    <t>3114870813</t>
  </si>
  <si>
    <t>3218270480</t>
  </si>
  <si>
    <t>3203097508</t>
  </si>
  <si>
    <t>3043999047</t>
  </si>
  <si>
    <t>3053046057</t>
  </si>
  <si>
    <t>3242762061</t>
  </si>
  <si>
    <t>3134761762</t>
  </si>
  <si>
    <t>3108757373</t>
  </si>
  <si>
    <t>3214542043</t>
  </si>
  <si>
    <t>3212056000</t>
  </si>
  <si>
    <t>3004682664</t>
  </si>
  <si>
    <t>3155639244</t>
  </si>
  <si>
    <t>3145208555</t>
  </si>
  <si>
    <t>3143285935</t>
  </si>
  <si>
    <t>3204736627</t>
  </si>
  <si>
    <t>3158929275</t>
  </si>
  <si>
    <t>3134383813</t>
  </si>
  <si>
    <t>3042022921</t>
  </si>
  <si>
    <t>3107804871</t>
  </si>
  <si>
    <t>3102847734</t>
  </si>
  <si>
    <t>3222131555</t>
  </si>
  <si>
    <t>3132496542</t>
  </si>
  <si>
    <t>3124198106</t>
  </si>
  <si>
    <t>3118562877</t>
  </si>
  <si>
    <t>3114960675</t>
  </si>
  <si>
    <t>3212267063</t>
  </si>
  <si>
    <t>3223684843</t>
  </si>
  <si>
    <t>3125451120</t>
  </si>
  <si>
    <t>3156689612</t>
  </si>
  <si>
    <t>3222854931</t>
  </si>
  <si>
    <t>3103892066</t>
  </si>
  <si>
    <t>3212610741</t>
  </si>
  <si>
    <t>3237922351</t>
  </si>
  <si>
    <t>3115991750</t>
  </si>
  <si>
    <t>3118090518</t>
  </si>
  <si>
    <t>3144758018</t>
  </si>
  <si>
    <t>3133492220</t>
  </si>
  <si>
    <t>3164088440</t>
  </si>
  <si>
    <t>3143902571</t>
  </si>
  <si>
    <t>3143337327</t>
  </si>
  <si>
    <t>3203828379</t>
  </si>
  <si>
    <t>3209262276</t>
  </si>
  <si>
    <t>3138616483</t>
  </si>
  <si>
    <t>3229492334</t>
  </si>
  <si>
    <t>3209541219</t>
  </si>
  <si>
    <t>3228148133</t>
  </si>
  <si>
    <t>3232801145</t>
  </si>
  <si>
    <t>3118540735</t>
  </si>
  <si>
    <t>3105769691</t>
  </si>
  <si>
    <t>3173411625</t>
  </si>
  <si>
    <t>3017856839</t>
  </si>
  <si>
    <t>3153364045</t>
  </si>
  <si>
    <t>3175187002</t>
  </si>
  <si>
    <t>3227691260</t>
  </si>
  <si>
    <t>3103005080</t>
  </si>
  <si>
    <t>3102447304</t>
  </si>
  <si>
    <t>3142092631</t>
  </si>
  <si>
    <t>3208122703</t>
  </si>
  <si>
    <t>3125972341</t>
  </si>
  <si>
    <t>3158616889</t>
  </si>
  <si>
    <t>3118970914</t>
  </si>
  <si>
    <t>3214822569</t>
  </si>
  <si>
    <t>3186259595</t>
  </si>
  <si>
    <t>3143762713</t>
  </si>
  <si>
    <t>3138880844</t>
  </si>
  <si>
    <t>3163060470</t>
  </si>
  <si>
    <t>3016352477</t>
  </si>
  <si>
    <t>3162969019</t>
  </si>
  <si>
    <t>3143385581</t>
  </si>
  <si>
    <t>3202401538</t>
  </si>
  <si>
    <t>3208959060</t>
  </si>
  <si>
    <t>3208253211</t>
  </si>
  <si>
    <t>3128853281</t>
  </si>
  <si>
    <t>3105843384</t>
  </si>
  <si>
    <t>3232809282</t>
  </si>
  <si>
    <t>3203143518</t>
  </si>
  <si>
    <t>3187549013</t>
  </si>
  <si>
    <t>3046593216</t>
  </si>
  <si>
    <t>3188006883</t>
  </si>
  <si>
    <t>3118145492</t>
  </si>
  <si>
    <t>3143547074</t>
  </si>
  <si>
    <t>3134230832</t>
  </si>
  <si>
    <t>3212094593</t>
  </si>
  <si>
    <t>3105070524</t>
  </si>
  <si>
    <t>3042946832</t>
  </si>
  <si>
    <t>3173514758</t>
  </si>
  <si>
    <t>3223473272</t>
  </si>
  <si>
    <t>3188926082</t>
  </si>
  <si>
    <t>3152292006</t>
  </si>
  <si>
    <t>3103831032</t>
  </si>
  <si>
    <t>3105369694</t>
  </si>
  <si>
    <t>3017488312</t>
  </si>
  <si>
    <t>3228969939</t>
  </si>
  <si>
    <t>3192068501</t>
  </si>
  <si>
    <t>3104113840</t>
  </si>
  <si>
    <t>3103282301</t>
  </si>
  <si>
    <t>3154891619</t>
  </si>
  <si>
    <t>3505165613</t>
  </si>
  <si>
    <t>3114417100</t>
  </si>
  <si>
    <t>3136596423</t>
  </si>
  <si>
    <t>3143968342</t>
  </si>
  <si>
    <t>3016070111</t>
  </si>
  <si>
    <t>3142350989</t>
  </si>
  <si>
    <t>3227708471</t>
  </si>
  <si>
    <t>3175182241</t>
  </si>
  <si>
    <t>3197990062</t>
  </si>
  <si>
    <t>3215422316</t>
  </si>
  <si>
    <t>3212177313</t>
  </si>
  <si>
    <t>3014018453</t>
  </si>
  <si>
    <t>3102474273</t>
  </si>
  <si>
    <t>3228640275</t>
  </si>
  <si>
    <t>3124836312</t>
  </si>
  <si>
    <t>3214470126</t>
  </si>
  <si>
    <t>3183305103</t>
  </si>
  <si>
    <t>3224571404</t>
  </si>
  <si>
    <t>3229005496</t>
  </si>
  <si>
    <t>3233989454</t>
  </si>
  <si>
    <t>3103591005</t>
  </si>
  <si>
    <t>3206200808</t>
  </si>
  <si>
    <t>3214625518</t>
  </si>
  <si>
    <t>3102754964</t>
  </si>
  <si>
    <t>3144247972</t>
  </si>
  <si>
    <t>3214748349</t>
  </si>
  <si>
    <t>3229079315</t>
  </si>
  <si>
    <t>3209182246</t>
  </si>
  <si>
    <t>3163526046</t>
  </si>
  <si>
    <t>3125555914</t>
  </si>
  <si>
    <t>3143124193</t>
  </si>
  <si>
    <t>3112282303</t>
  </si>
  <si>
    <t>3153046467</t>
  </si>
  <si>
    <t>3214742496</t>
  </si>
  <si>
    <t>3223440573</t>
  </si>
  <si>
    <t>3208507263</t>
  </si>
  <si>
    <t>3124930809</t>
  </si>
  <si>
    <t>3208718104</t>
  </si>
  <si>
    <t>3114347201</t>
  </si>
  <si>
    <t>3108803366</t>
  </si>
  <si>
    <t>3222454157</t>
  </si>
  <si>
    <t>3118968798</t>
  </si>
  <si>
    <t>3234341725</t>
  </si>
  <si>
    <t>3177355433</t>
  </si>
  <si>
    <t>3202171650</t>
  </si>
  <si>
    <t>3106072452</t>
  </si>
  <si>
    <t>3208124541</t>
  </si>
  <si>
    <t>3023081848</t>
  </si>
  <si>
    <t>3222058847</t>
  </si>
  <si>
    <t>3202819716</t>
  </si>
  <si>
    <t>3114673760</t>
  </si>
  <si>
    <t>3174459139</t>
  </si>
  <si>
    <t>3115432378</t>
  </si>
  <si>
    <t>3213412839</t>
  </si>
  <si>
    <t>3013074559</t>
  </si>
  <si>
    <t>3144323777</t>
  </si>
  <si>
    <t>3124101452</t>
  </si>
  <si>
    <t>3208813072</t>
  </si>
  <si>
    <t>3214119274</t>
  </si>
  <si>
    <t>3227121773</t>
  </si>
  <si>
    <t>3143012503</t>
  </si>
  <si>
    <t>3132563939</t>
  </si>
  <si>
    <t>3143603836</t>
  </si>
  <si>
    <t>3124816454</t>
  </si>
  <si>
    <t>3214210221</t>
  </si>
  <si>
    <t>3014104639</t>
  </si>
  <si>
    <t>3124921381</t>
  </si>
  <si>
    <t>3167765610</t>
  </si>
  <si>
    <t>3104884919</t>
  </si>
  <si>
    <t>3133699562</t>
  </si>
  <si>
    <t>3213707164</t>
  </si>
  <si>
    <t>3223612814</t>
  </si>
  <si>
    <t>3173756460</t>
  </si>
  <si>
    <t>3136576797</t>
  </si>
  <si>
    <t>3222949044</t>
  </si>
  <si>
    <t>3214292750</t>
  </si>
  <si>
    <t>3162974563</t>
  </si>
  <si>
    <t>3132594154</t>
  </si>
  <si>
    <t>3202789435</t>
  </si>
  <si>
    <t>3227116000</t>
  </si>
  <si>
    <t>3152251964</t>
  </si>
  <si>
    <t>3102790700</t>
  </si>
  <si>
    <t>3118484858</t>
  </si>
  <si>
    <t>3107513699</t>
  </si>
  <si>
    <t>3102756295</t>
  </si>
  <si>
    <t>3229463562</t>
  </si>
  <si>
    <t>3213435085</t>
  </si>
  <si>
    <t>3105438300</t>
  </si>
  <si>
    <t>3112196892</t>
  </si>
  <si>
    <t>3216300130</t>
  </si>
  <si>
    <t>3214684741</t>
  </si>
  <si>
    <t>3223086424</t>
  </si>
  <si>
    <t>3103319758</t>
  </si>
  <si>
    <t>3228169174</t>
  </si>
  <si>
    <t>3127461428</t>
  </si>
  <si>
    <t>3123616018</t>
  </si>
  <si>
    <t>3138739488</t>
  </si>
  <si>
    <t>3105741039</t>
  </si>
  <si>
    <t>3123599014</t>
  </si>
  <si>
    <t>3138907412</t>
  </si>
  <si>
    <t>3214886081</t>
  </si>
  <si>
    <t>3189004228</t>
  </si>
  <si>
    <t>3214325710</t>
  </si>
  <si>
    <t>3222866267</t>
  </si>
  <si>
    <t>3224358269</t>
  </si>
  <si>
    <t>3204277249</t>
  </si>
  <si>
    <t>3143411569</t>
  </si>
  <si>
    <t>3105779069</t>
  </si>
  <si>
    <t>3203801409</t>
  </si>
  <si>
    <t>3147871055</t>
  </si>
  <si>
    <t>3228862307</t>
  </si>
  <si>
    <t>3212533053</t>
  </si>
  <si>
    <t>3213569027</t>
  </si>
  <si>
    <t>3144657425</t>
  </si>
  <si>
    <t>3187653128</t>
  </si>
  <si>
    <t>3102142834</t>
  </si>
  <si>
    <t>3102141921</t>
  </si>
  <si>
    <t>3134629334</t>
  </si>
  <si>
    <t>3206412890</t>
  </si>
  <si>
    <t>3144524484</t>
  </si>
  <si>
    <t>3203877475</t>
  </si>
  <si>
    <t>3002221771</t>
  </si>
  <si>
    <t>3025686895</t>
  </si>
  <si>
    <t>3202502707</t>
  </si>
  <si>
    <t>3209614318</t>
  </si>
  <si>
    <t>3147671748</t>
  </si>
  <si>
    <t>3046138373</t>
  </si>
  <si>
    <t>3016987788</t>
  </si>
  <si>
    <t>3102380923</t>
  </si>
  <si>
    <t>3134990089</t>
  </si>
  <si>
    <t>3153745569</t>
  </si>
  <si>
    <t>3168774591</t>
  </si>
  <si>
    <t>3114873688</t>
  </si>
  <si>
    <t>3164906303</t>
  </si>
  <si>
    <t>3228661472</t>
  </si>
  <si>
    <t>3147864211</t>
  </si>
  <si>
    <t>3204727219</t>
  </si>
  <si>
    <t>3146376602</t>
  </si>
  <si>
    <t>3218509988</t>
  </si>
  <si>
    <t>321463283</t>
  </si>
  <si>
    <t>3133486999</t>
  </si>
  <si>
    <t>3112532916</t>
  </si>
  <si>
    <t>3232907930</t>
  </si>
  <si>
    <t>3118300295</t>
  </si>
  <si>
    <t>3017394370</t>
  </si>
  <si>
    <t>3025918946</t>
  </si>
  <si>
    <t>3116264364</t>
  </si>
  <si>
    <t>3213961976</t>
  </si>
  <si>
    <t>3124355777</t>
  </si>
  <si>
    <t>3202259514</t>
  </si>
  <si>
    <t>3112295538</t>
  </si>
  <si>
    <t>3222539990</t>
  </si>
  <si>
    <t>3103606636</t>
  </si>
  <si>
    <t>3148305918</t>
  </si>
  <si>
    <t>3134382243</t>
  </si>
  <si>
    <t>3103660379</t>
  </si>
  <si>
    <t>3148251854</t>
  </si>
  <si>
    <t>3104710789</t>
  </si>
  <si>
    <t>3014104287</t>
  </si>
  <si>
    <t>3124447244</t>
  </si>
  <si>
    <t>3144080082</t>
  </si>
  <si>
    <t>3219231419</t>
  </si>
  <si>
    <t>3115015525</t>
  </si>
  <si>
    <t>3107866057</t>
  </si>
  <si>
    <t>3213764837</t>
  </si>
  <si>
    <t>3123193636</t>
  </si>
  <si>
    <t>3123396065</t>
  </si>
  <si>
    <t>3205999796</t>
  </si>
  <si>
    <t>3143210320</t>
  </si>
  <si>
    <t>3508482459</t>
  </si>
  <si>
    <t>3227636482</t>
  </si>
  <si>
    <t>3132915033</t>
  </si>
  <si>
    <t>3202685857</t>
  </si>
  <si>
    <t>3006583057</t>
  </si>
  <si>
    <t>3108791682</t>
  </si>
  <si>
    <t>3222467366</t>
  </si>
  <si>
    <t>3125164782</t>
  </si>
  <si>
    <t>3028297664</t>
  </si>
  <si>
    <t>3104517384</t>
  </si>
  <si>
    <t>3192139171</t>
  </si>
  <si>
    <t>3118538717</t>
  </si>
  <si>
    <t>7610641</t>
  </si>
  <si>
    <t>3005913659</t>
  </si>
  <si>
    <t>3143460808</t>
  </si>
  <si>
    <t>6013000496</t>
  </si>
  <si>
    <t>3107731051</t>
  </si>
  <si>
    <t>3218990571</t>
  </si>
  <si>
    <t>3104931756</t>
  </si>
  <si>
    <t>3105726714</t>
  </si>
  <si>
    <t>3123123229</t>
  </si>
  <si>
    <t>3142146801</t>
  </si>
  <si>
    <t>3203821633</t>
  </si>
  <si>
    <t>maac451@hotmail.com</t>
  </si>
  <si>
    <t>cesarajg@hotmail.com</t>
  </si>
  <si>
    <t>circ25@hotmail.com</t>
  </si>
  <si>
    <t>gladycita11@hotmail.com</t>
  </si>
  <si>
    <t>enesdemir03@gmail.com</t>
  </si>
  <si>
    <t>RUBIODR87@GMAIL.COM</t>
  </si>
  <si>
    <t>noinformado@gmail.com</t>
  </si>
  <si>
    <t>javiercontreras.2307@gmail.com</t>
  </si>
  <si>
    <t>carolina6029167@gmail.com</t>
  </si>
  <si>
    <t>agustingilcardenas@gmail.com</t>
  </si>
  <si>
    <t>acerojulio2016@gmail.com</t>
  </si>
  <si>
    <t>cjulioperezangarita@gmail.com</t>
  </si>
  <si>
    <t>angiiex1207@gmail.com</t>
  </si>
  <si>
    <t>eribronei08@gmail.com</t>
  </si>
  <si>
    <t>nairo.rojas@yahoo.es</t>
  </si>
  <si>
    <t>rojitasgerman@34gmail.com.co</t>
  </si>
  <si>
    <t>ocardenasne@gmail.com</t>
  </si>
  <si>
    <t>raulcrisfer@hotmail.com</t>
  </si>
  <si>
    <t>hectorjgallo@gmail.com</t>
  </si>
  <si>
    <t>rubencho332@hotmail.com</t>
  </si>
  <si>
    <t>sandraleon1981acero@gmail.com</t>
  </si>
  <si>
    <t>alfonsogil.1984@hotmail.com</t>
  </si>
  <si>
    <t>gilgilhagg22@gmail.com</t>
  </si>
  <si>
    <t>pargorojas@hotmail.com</t>
  </si>
  <si>
    <t>arbocol.distribuciones@gmail.com</t>
  </si>
  <si>
    <t>albaluciarg@gmail.com</t>
  </si>
  <si>
    <t>alvarobecerraperez@hotmail.com</t>
  </si>
  <si>
    <t>josemnossa@hotmail.com</t>
  </si>
  <si>
    <t>esclusivosguacamayas@hotmail.com</t>
  </si>
  <si>
    <t>orlandoor8@hotmail.com</t>
  </si>
  <si>
    <t>cyeccica@gmail.com</t>
  </si>
  <si>
    <t>alfonsotorreslizarazo@yahoo.es</t>
  </si>
  <si>
    <t>pedroemelibarra80@gmail.com</t>
  </si>
  <si>
    <t>sincorreo@gmail.com</t>
  </si>
  <si>
    <t>olegario.camacho@gmail.com</t>
  </si>
  <si>
    <t>sandragarcia0912@hotmail.com</t>
  </si>
  <si>
    <t>perezjoaquin686@gmail.com</t>
  </si>
  <si>
    <t>inverlummys@hotmail.com</t>
  </si>
  <si>
    <t>andresviasus4@gmail.com</t>
  </si>
  <si>
    <t>mariipaola21@gmail.com</t>
  </si>
  <si>
    <t>JOSE@gmail.com</t>
  </si>
  <si>
    <t>carvajalcarvajalmario@gmail.com</t>
  </si>
  <si>
    <t>nesosa6124@gmail.com</t>
  </si>
  <si>
    <t>jame2861@yahoo.es</t>
  </si>
  <si>
    <t>notiene@gmail.com</t>
  </si>
  <si>
    <t>lumega76@gmail.com</t>
  </si>
  <si>
    <t>juanbgonza@hotmail.com</t>
  </si>
  <si>
    <t>pavagonzalez@gmail.com</t>
  </si>
  <si>
    <t>olimpo1127@gmail.com</t>
  </si>
  <si>
    <t>ios2675@hotmail.com</t>
  </si>
  <si>
    <t>ivanso_21@hotmail.com</t>
  </si>
  <si>
    <t>ABRAHAN_ELMORENO18@hotmail.com</t>
  </si>
  <si>
    <t>luiscor3@hotmail.com</t>
  </si>
  <si>
    <t>augustobsp@gmail.com</t>
  </si>
  <si>
    <t>laureanogomez802@gmail.com</t>
  </si>
  <si>
    <t>joseantoniocardenas44@hotmail.com</t>
  </si>
  <si>
    <t>pinedapinedajosehenrry@gmail.com</t>
  </si>
  <si>
    <t>jciendus97@gmail.com</t>
  </si>
  <si>
    <t>floroalvarezdiaz@yahoo.com</t>
  </si>
  <si>
    <t>gebawi2002@gmail.com</t>
  </si>
  <si>
    <t>zambranomjo@gmail.com</t>
  </si>
  <si>
    <t>silverioleon051@gmail.com</t>
  </si>
  <si>
    <t>administrativo@boyacaseguros.com</t>
  </si>
  <si>
    <t>armandoherreramartinez@gmail.com</t>
  </si>
  <si>
    <t>diefra07@gmail.com</t>
  </si>
  <si>
    <t>usaquen2010@gmail.com</t>
  </si>
  <si>
    <t>vanegasrobinson05@gmail.com</t>
  </si>
  <si>
    <t>juanjuan13@hotmail.com</t>
  </si>
  <si>
    <t>misael1955@gmail.com</t>
  </si>
  <si>
    <t>eduaravellaneda@hotmail.com</t>
  </si>
  <si>
    <t>mml.tiens@gmail.com</t>
  </si>
  <si>
    <t>lisvemore@gmail.com</t>
  </si>
  <si>
    <t>apgarzonr@gmail.com</t>
  </si>
  <si>
    <t>wbellopinilla@yahoo.es</t>
  </si>
  <si>
    <t>syshornanmentaciones@gmail.com</t>
  </si>
  <si>
    <t>nelsonhumberto831@hotmail.com</t>
  </si>
  <si>
    <t>mile.panqueva@gmail.com</t>
  </si>
  <si>
    <t>avima05@hotmail.com</t>
  </si>
  <si>
    <t>maicolestiven2025@gmail.com</t>
  </si>
  <si>
    <t>marioaugustocelyp@gmail.com</t>
  </si>
  <si>
    <t>barcoffevegas@hotmail.com</t>
  </si>
  <si>
    <t>ommt399@gmail.com</t>
  </si>
  <si>
    <t>vega20703@gmail.com</t>
  </si>
  <si>
    <t>dulmarsuarez1980@gmail.com</t>
  </si>
  <si>
    <t>romar9538@gmail.com</t>
  </si>
  <si>
    <t>gravelypineda@gmail.com</t>
  </si>
  <si>
    <t>balaguera1954@gmail.com</t>
  </si>
  <si>
    <t>remaro6@hotmail.com</t>
  </si>
  <si>
    <t>milenito11@gmail.com</t>
  </si>
  <si>
    <t>zulmitaayala@hotmail.com</t>
  </si>
  <si>
    <t>juanrincon453@gmail.com</t>
  </si>
  <si>
    <t>raflandz@gmail.com</t>
  </si>
  <si>
    <t>segundovegajaime@hotmail.com</t>
  </si>
  <si>
    <t>angelina7997@gmail.com</t>
  </si>
  <si>
    <t>miguel-chiquillo@hotmail.com</t>
  </si>
  <si>
    <t>jairo587eslava@gmail.com</t>
  </si>
  <si>
    <t>PEREZROZO64@gmail.com</t>
  </si>
  <si>
    <t>pedrovarga1966@gmail.com</t>
  </si>
  <si>
    <t>cagg1000@hotmail.com</t>
  </si>
  <si>
    <t>falega89@gmail.com</t>
  </si>
  <si>
    <t>jlkporras@gmail.com</t>
  </si>
  <si>
    <t>jotaba2206@yahoo.es</t>
  </si>
  <si>
    <t>hernestoagricultor@gmail.com</t>
  </si>
  <si>
    <t>jotagallo065@gmail.com</t>
  </si>
  <si>
    <t>sonreirbelen_fp@hotmail.com</t>
  </si>
  <si>
    <t>morantesomar@gmail.com</t>
  </si>
  <si>
    <t>luisguzman214263@gmail.com</t>
  </si>
  <si>
    <t>patiсo2@hotmail.com</t>
  </si>
  <si>
    <t>yeniac1624@gmail.com</t>
  </si>
  <si>
    <t>patro123456@hotmail.com</t>
  </si>
  <si>
    <t>franciscolmr@gmail.com</t>
  </si>
  <si>
    <t>moramedinae69@gmail.com</t>
  </si>
  <si>
    <t>tricamilo@yahoo.es</t>
  </si>
  <si>
    <t>omar_gallon@yahoo.es</t>
  </si>
  <si>
    <t>tuberiasymontajes@yahoo.es</t>
  </si>
  <si>
    <t>rafael141175@gmail.com</t>
  </si>
  <si>
    <t>maiajosejaimelopez@gmail.com</t>
  </si>
  <si>
    <t>luisguill.hdez@gmail.com</t>
  </si>
  <si>
    <t>anyelicamariamedi780@gmail.com</t>
  </si>
  <si>
    <t>miltonayala@gmail.com</t>
  </si>
  <si>
    <t>lowill256@hotmail.com</t>
  </si>
  <si>
    <t>fabecoe@hotmail.com</t>
  </si>
  <si>
    <t>amanditaaceros@hotmail.com</t>
  </si>
  <si>
    <t>sbeiman@yahoo.es</t>
  </si>
  <si>
    <t>romuloht@gmail.com</t>
  </si>
  <si>
    <t>jolusato@hotmail.com</t>
  </si>
  <si>
    <t>willtonemiliotorresc@hotmail.com</t>
  </si>
  <si>
    <t>d.julianamunevar@gmail.com</t>
  </si>
  <si>
    <t>rodrijar77@gmail.com</t>
  </si>
  <si>
    <t>jbaezvega2@gmail.com</t>
  </si>
  <si>
    <t>ubaldo14leon@gmail.com</t>
  </si>
  <si>
    <t>rodriguez.sergio1997@gmail.com</t>
  </si>
  <si>
    <t>leonardoricom0@gmail.com</t>
  </si>
  <si>
    <t>ludbincc@yahoo.com</t>
  </si>
  <si>
    <t>hipolitoreyespico@gmail.com</t>
  </si>
  <si>
    <t>guicharlg@hotmail.com</t>
  </si>
  <si>
    <t>henryalbarracinc@gmail.com</t>
  </si>
  <si>
    <t>edgarpinto508@gmail.com</t>
  </si>
  <si>
    <t>victorhmoralesm@hotmail.com</t>
  </si>
  <si>
    <t>ingluisbaezceron@gmail.com</t>
  </si>
  <si>
    <t>ingeniero.adan@gmail.com</t>
  </si>
  <si>
    <t>oliveriodallos501@gmail.com</t>
  </si>
  <si>
    <t>victorangelbecerra25@gmail.com</t>
  </si>
  <si>
    <t>garciajaimeosvaldo@gmail.com</t>
  </si>
  <si>
    <t>luistorres1811@gmail.com</t>
  </si>
  <si>
    <t>ligiogg@hotmail.com</t>
  </si>
  <si>
    <t>nelsonpuertond@gmail.com</t>
  </si>
  <si>
    <t>zorrosilvino@gmail.com</t>
  </si>
  <si>
    <t>horaci.martinez@correo.policia.gov.co</t>
  </si>
  <si>
    <t>juliotorrescorredor@gmail.com</t>
  </si>
  <si>
    <t>rivera0607@hotmail.com</t>
  </si>
  <si>
    <t>peteragudelog@gmail.com</t>
  </si>
  <si>
    <t>parmeniorojas18@gmail.com</t>
  </si>
  <si>
    <t>luisalberony@gmail.com</t>
  </si>
  <si>
    <t>manuelrodrigoacero@gmail.com</t>
  </si>
  <si>
    <t>gorgonitas2014@gmail.com</t>
  </si>
  <si>
    <t>rojasalvaro82@gmail.com</t>
  </si>
  <si>
    <t>chamba.andres@hotmail.com</t>
  </si>
  <si>
    <t>omarlopez4012@gmail.com</t>
  </si>
  <si>
    <t>marcojulio70@hotmail.com</t>
  </si>
  <si>
    <t>refaelcubides1957@hotmail.com</t>
  </si>
  <si>
    <t>varbaracepeda20@hotmail.com</t>
  </si>
  <si>
    <t>millan.182@hotmail.com</t>
  </si>
  <si>
    <t>info1servicar@gmail.com</t>
  </si>
  <si>
    <t>alvaroa2g@hotmail.com</t>
  </si>
  <si>
    <t>minercondor@gmail.com</t>
  </si>
  <si>
    <t>hotelcaciqueduitama@gmail.com</t>
  </si>
  <si>
    <t>gabrieltinjaca29@gmail.com</t>
  </si>
  <si>
    <t>consumidorfinalapsa@gmail.com</t>
  </si>
  <si>
    <t>beromltda@yahoo.es</t>
  </si>
  <si>
    <t>JOSEMARIOESCA@HOTMAIL.COM</t>
  </si>
  <si>
    <t>autoserviciolosfundadores@gmail.com</t>
  </si>
  <si>
    <t>luismeber@yahoo.es</t>
  </si>
  <si>
    <t>elciariosogamoso@gmail.com</t>
  </si>
  <si>
    <t>l.vegapenal@gmail.com</t>
  </si>
  <si>
    <t>calzam@hotmail.com</t>
  </si>
  <si>
    <t>samuelcorredor1@hotmail.com</t>
  </si>
  <si>
    <t>monicavelandiagonzalez@outlook.com</t>
  </si>
  <si>
    <t>NOINFORMADO@gmail.com</t>
  </si>
  <si>
    <t>arpenanegra@gmail.com</t>
  </si>
  <si>
    <t>carlosalfredorincon78@gmail.com</t>
  </si>
  <si>
    <t>maryaz0274@hotmail.com</t>
  </si>
  <si>
    <t>suserdui@gmail.com</t>
  </si>
  <si>
    <t>ricardoq67@gmail.com</t>
  </si>
  <si>
    <t>OSCARGUEVARA43113@gmail.com</t>
  </si>
  <si>
    <t>camachojairo031@gmail.com</t>
  </si>
  <si>
    <t>luisernestomanriquep@gmail.com</t>
  </si>
  <si>
    <t>victorgomezg24@gmail.com</t>
  </si>
  <si>
    <t>hectorcortesb77@gmail.com</t>
  </si>
  <si>
    <t>frankocortes@gmail.com</t>
  </si>
  <si>
    <t>rafalavella04@gmail.com</t>
  </si>
  <si>
    <t>hernanmartinez28@hotmail.com</t>
  </si>
  <si>
    <t>hernansalamancazea@yahoo.es</t>
  </si>
  <si>
    <t>piragauta.nestor@gmail.com</t>
  </si>
  <si>
    <t>ndu471@gmail.com</t>
  </si>
  <si>
    <t>hector3143957605@gmail.com</t>
  </si>
  <si>
    <t>facturacionsagc@gmail.com</t>
  </si>
  <si>
    <t>genaroquijano@hotmail.com</t>
  </si>
  <si>
    <t>carlosalamanca07@gmail.com</t>
  </si>
  <si>
    <t>yisel.jimenezm@gmail.com</t>
  </si>
  <si>
    <t>dqa324jose@gmail.com</t>
  </si>
  <si>
    <t>guadmogo@gmail.com</t>
  </si>
  <si>
    <t>jeysonvargasuarez@hotmail.com</t>
  </si>
  <si>
    <t>feotofonseca@gmail.com</t>
  </si>
  <si>
    <t>lrinconbastidas58@gmail.com</t>
  </si>
  <si>
    <t>maxi296@hotmail.com</t>
  </si>
  <si>
    <t>angelvarmart@gmail.com</t>
  </si>
  <si>
    <t>cerojejo75@gmail.com</t>
  </si>
  <si>
    <t>ismaelgarcia2022@gmail.com</t>
  </si>
  <si>
    <t>crisma66_@hotmail.com</t>
  </si>
  <si>
    <t>manuelrinconvargas@gmail.com</t>
  </si>
  <si>
    <t>gilbertopizareina@gmail.com</t>
  </si>
  <si>
    <t>fracica1957@gmail.com</t>
  </si>
  <si>
    <t>carlosalbertocolmenares91@gmail.com</t>
  </si>
  <si>
    <t>tibaduizarincon41@gmail.com</t>
  </si>
  <si>
    <t>ruizgomezluispastor@gmail.com</t>
  </si>
  <si>
    <t>chalitofonseca@gmail.com</t>
  </si>
  <si>
    <t>sg.ismaelparra@colseminario.edu.co</t>
  </si>
  <si>
    <t>myriampa7373@gmail.com</t>
  </si>
  <si>
    <t>hcuto8@hotmail.com</t>
  </si>
  <si>
    <t>omarguti01@gmail.com</t>
  </si>
  <si>
    <t>jhonatan426lopez@gmail.com</t>
  </si>
  <si>
    <t>joseprisci23@gmail.com</t>
  </si>
  <si>
    <t>jorgegutierrez74@yahoo.com</t>
  </si>
  <si>
    <t>agro.pinto07@gmail.com</t>
  </si>
  <si>
    <t>elcesar1977@yahoo.com</t>
  </si>
  <si>
    <t>edwinjaho@gmail.com</t>
  </si>
  <si>
    <t>mesa66615@gmail.com</t>
  </si>
  <si>
    <t>josecobregonsolano@gmail.com</t>
  </si>
  <si>
    <t>nelsonmay313@gmail.com</t>
  </si>
  <si>
    <t>angelaruiz1519@hotmail.com</t>
  </si>
  <si>
    <t>ramirorodriguez4136@gmail.com</t>
  </si>
  <si>
    <t>lsanchezmorales27@gmail.com</t>
  </si>
  <si>
    <t>josetamayobravo@gmail.com</t>
  </si>
  <si>
    <t>aerae627@gmail.com</t>
  </si>
  <si>
    <t>humbertodiazbaez@gmail.com</t>
  </si>
  <si>
    <t>jhonedison198581@gmail.com</t>
  </si>
  <si>
    <t>neldario4@hotmail.com</t>
  </si>
  <si>
    <t>elcocuynevado@hotmail.com</t>
  </si>
  <si>
    <t>edugarcias@gmail.com</t>
  </si>
  <si>
    <t>crispinianopanmen@gmail.com</t>
  </si>
  <si>
    <t>pachowilliam@gmail.com</t>
  </si>
  <si>
    <t>hengar324@hotmail.es</t>
  </si>
  <si>
    <t>JAGOMEZV.20@hotmail.com</t>
  </si>
  <si>
    <t>mendivelsojonh@gmail.com</t>
  </si>
  <si>
    <t>marioes072@gmail.com</t>
  </si>
  <si>
    <t>luisduarte1574@gmail.com</t>
  </si>
  <si>
    <t>mendozaleidy301@gmail.com</t>
  </si>
  <si>
    <t>gabomontana18@gmail.com</t>
  </si>
  <si>
    <t>alander7708@gmail.com</t>
  </si>
  <si>
    <t>searlop@gmail.com</t>
  </si>
  <si>
    <t>aborigen.rt@gmail.com</t>
  </si>
  <si>
    <t>construccionesramirez182@gmail.com</t>
  </si>
  <si>
    <t>oscarcuidac@hotmail.com</t>
  </si>
  <si>
    <t>anfernandoalba@gmail.com</t>
  </si>
  <si>
    <t>chaparroguillermo01@gmail.com</t>
  </si>
  <si>
    <t>oscarnore2500@gmail.com</t>
  </si>
  <si>
    <t>nelsonmolano@gmail.com</t>
  </si>
  <si>
    <t>gilbertoalarcon2009@yahoo.es</t>
  </si>
  <si>
    <t>juanre1103@hotmail.com</t>
  </si>
  <si>
    <t>supermercadoeltriangulomas@gmail.com</t>
  </si>
  <si>
    <t>joseal2980@hotmail.com</t>
  </si>
  <si>
    <t>jhon.sana0601@gmail.com</t>
  </si>
  <si>
    <t>edgaralba76@gmail.com</t>
  </si>
  <si>
    <t>rusticospulido@gmail.com</t>
  </si>
  <si>
    <t>maracucho16@gmail.com</t>
  </si>
  <si>
    <t>camanalba@gmail.com</t>
  </si>
  <si>
    <t>gilyud.3000@gmail.com</t>
  </si>
  <si>
    <t>alejocorredor2017@gmail.com</t>
  </si>
  <si>
    <t>juliocesarcorredor07@gmail.com</t>
  </si>
  <si>
    <t>molanosanmiguel.j@gmail.com</t>
  </si>
  <si>
    <t>josejaimejerezbuitrago@gmail.com</t>
  </si>
  <si>
    <t>ferneyalejandroardilafajardo@gmail.com</t>
  </si>
  <si>
    <t>cristian.1184@hotmail.com</t>
  </si>
  <si>
    <t>longines2222@hotmail.com</t>
  </si>
  <si>
    <t>santiogro1010@gmail.com</t>
  </si>
  <si>
    <t>sixchap@hotmail.com</t>
  </si>
  <si>
    <t>jaimegutierrezgonzalez@hotmail.com</t>
  </si>
  <si>
    <t>germansar128@gmail.com</t>
  </si>
  <si>
    <t>ealvarado.hea@gmail.com</t>
  </si>
  <si>
    <t>sincorreo@hotmail.com</t>
  </si>
  <si>
    <t>samuel_tangua@gmail.com</t>
  </si>
  <si>
    <t>mfperez2910@gmail.com</t>
  </si>
  <si>
    <t>crismontana2016@gmail.com</t>
  </si>
  <si>
    <t>escorpion0262@hotmail.com</t>
  </si>
  <si>
    <t>lisandrocristancho@yahoo.es</t>
  </si>
  <si>
    <t>llorentedavid85@gmail.com</t>
  </si>
  <si>
    <t>alexdaza285@gmail.com</t>
  </si>
  <si>
    <t>luisgerman1213@gmail.com</t>
  </si>
  <si>
    <t>leosimoncamargo@gmail.com</t>
  </si>
  <si>
    <t>rayosierra226@gmail.com</t>
  </si>
  <si>
    <t>ariashenry023@gmail.com</t>
  </si>
  <si>
    <t>jfcarrerogomez@gmail.com</t>
  </si>
  <si>
    <t>martindelosreyesavila@gmail.com</t>
  </si>
  <si>
    <t>rosalbacristancho4@gmail.com</t>
  </si>
  <si>
    <t>campanassaultristancho@gmail.com</t>
  </si>
  <si>
    <t>gustavocubides7@gmail.com</t>
  </si>
  <si>
    <t>jose.tristancho@hotmail.com</t>
  </si>
  <si>
    <t>angeloctavio0515@gmail.com</t>
  </si>
  <si>
    <t>pablonelrodriguez2020@gmail.com</t>
  </si>
  <si>
    <t>ricardoalfonsomonroygallo@gmail.com</t>
  </si>
  <si>
    <t>henrycubides4@hotmail.com</t>
  </si>
  <si>
    <t>jpaguilar985@hotmail.com</t>
  </si>
  <si>
    <t>diazhernandezluisernesto150@gmail.com</t>
  </si>
  <si>
    <t>macacebe@gmail.com</t>
  </si>
  <si>
    <t>luisdiazp31@hotmail.com</t>
  </si>
  <si>
    <t>sanchezalvarezgloria@hotmail.com</t>
  </si>
  <si>
    <t>silviacarolina1954@hotmail.com</t>
  </si>
  <si>
    <t>juansalamancamesa@gmail.com</t>
  </si>
  <si>
    <t>cl.adalgiza@gmail.com</t>
  </si>
  <si>
    <t>jaimealgranados@gmail.com</t>
  </si>
  <si>
    <t>argemironino71@gmail.com</t>
  </si>
  <si>
    <t>juancarloscamacho@gmail.com</t>
  </si>
  <si>
    <t>cesaromp@hotmail.com</t>
  </si>
  <si>
    <t>leonelascencio39@gmail.com</t>
  </si>
  <si>
    <t>primi1607@gmail.com</t>
  </si>
  <si>
    <t>diegoemateus1956@gmail.com</t>
  </si>
  <si>
    <t>jisiayalav@gmail.com</t>
  </si>
  <si>
    <t>fotalor@yahoo.fr</t>
  </si>
  <si>
    <t>hotelhorensiareal@gmail.com</t>
  </si>
  <si>
    <t>angelmiropedraza@gmail.com</t>
  </si>
  <si>
    <t>contabilidad@dazahotel.com</t>
  </si>
  <si>
    <t>ocorredor555@gmail.com</t>
  </si>
  <si>
    <t>fernandoninobrijaldo@gmail.com</t>
  </si>
  <si>
    <t>dariosanchez704@gmail.com</t>
  </si>
  <si>
    <t>jhonzorro0187@gmail.com</t>
  </si>
  <si>
    <t>carlos_suarez23@yahoo.es</t>
  </si>
  <si>
    <t>calixtogmn@gmail.com</t>
  </si>
  <si>
    <t>jhvargasp@gmail.com</t>
  </si>
  <si>
    <t>fergran16@gmail.com</t>
  </si>
  <si>
    <t>alejo15_17@hotmail.com</t>
  </si>
  <si>
    <t>guioshu@gmail.com</t>
  </si>
  <si>
    <t>ingmauriciocamargo@gmail.com</t>
  </si>
  <si>
    <t>ferneymongui.1984.09@gmail.com</t>
  </si>
  <si>
    <t>suarezsuarezangelmaria27@gmail.com</t>
  </si>
  <si>
    <t>ingdanielcuadros@gmail.com</t>
  </si>
  <si>
    <t>andresduanca@gmail.com</t>
  </si>
  <si>
    <t>elkin.pacheco@hotmail.com</t>
  </si>
  <si>
    <t>yulycons4040@hotmail.com</t>
  </si>
  <si>
    <t>willicoptero91@gmail.com</t>
  </si>
  <si>
    <t>yahirtriana@hotmail.com</t>
  </si>
  <si>
    <t>miguel85rincon@gmail.com</t>
  </si>
  <si>
    <t>hrafaelenrique@gmail.com</t>
  </si>
  <si>
    <t>luchocuevas15@gmail.com</t>
  </si>
  <si>
    <t>paotrianar@gmail.com</t>
  </si>
  <si>
    <t>antoniopin07@gmail.com</t>
  </si>
  <si>
    <t>marantonigomez56@hotmail.com</t>
  </si>
  <si>
    <t>jmpm39@gmail.com</t>
  </si>
  <si>
    <t>maocampo05@gmail.com</t>
  </si>
  <si>
    <t>betocardenasrangel@gmail.com</t>
  </si>
  <si>
    <t>mariarf@hotmail.com</t>
  </si>
  <si>
    <t>memo2078@hotmail.com</t>
  </si>
  <si>
    <t>jose.marquez2754@hotmail.com</t>
  </si>
  <si>
    <t>viviste_13@hotmail.com</t>
  </si>
  <si>
    <t>blancazea14@gmail.com</t>
  </si>
  <si>
    <t>gumo083164@gmail.com</t>
  </si>
  <si>
    <t>SINCORREO@gmail.com</t>
  </si>
  <si>
    <t>alejo17007@gmail.com</t>
  </si>
  <si>
    <t>jg3720152@gmail.com</t>
  </si>
  <si>
    <t>fandusu@hotmail.com</t>
  </si>
  <si>
    <t>lady.mifo@hotmail.com</t>
  </si>
  <si>
    <t>luzpvanegas123@gmail.com</t>
  </si>
  <si>
    <t>alejandrae25@gmail.com</t>
  </si>
  <si>
    <t>juanmariacuevas286@gmail.com</t>
  </si>
  <si>
    <t>pefamoro@gmail.com</t>
  </si>
  <si>
    <t>satibanorte@gmail.com</t>
  </si>
  <si>
    <t>omarde13@gmail.com</t>
  </si>
  <si>
    <t>jairoeduran1966@yahoo.es</t>
  </si>
  <si>
    <t>gustavoaraquep@gmail.com</t>
  </si>
  <si>
    <t>lamerchan3658@gmail.com</t>
  </si>
  <si>
    <t>joce3502@gmail.com</t>
  </si>
  <si>
    <t>noinformado@hotmail.com</t>
  </si>
  <si>
    <t>sdm_david@hotmail.com</t>
  </si>
  <si>
    <t>joivanca597@yahho.es</t>
  </si>
  <si>
    <t>emanuelaraque@gmail.com</t>
  </si>
  <si>
    <t>cardenas.rangel@hotmail.com</t>
  </si>
  <si>
    <t>fernandokstillo-05@hotmail.com</t>
  </si>
  <si>
    <t>mojicacerorodrigo@gmail.com</t>
  </si>
  <si>
    <t>yu_andre94@hotmail.com</t>
  </si>
  <si>
    <t>anibalcontrerasf69@gmail.com</t>
  </si>
  <si>
    <t>agozfues@yahoo.com</t>
  </si>
  <si>
    <t>avellanedadiego12@gmail.com</t>
  </si>
  <si>
    <t>egonzalezduit_1@yahoo.es</t>
  </si>
  <si>
    <t>lorenzogomez_3@hotmail.com</t>
  </si>
  <si>
    <t>amadeo7002@gmail.com</t>
  </si>
  <si>
    <t>edgarherrerahestupinan@gmail.com</t>
  </si>
  <si>
    <t>meslavam71@gmail.com</t>
  </si>
  <si>
    <t>joseiperezg33@gmail.com</t>
  </si>
  <si>
    <t>hectoramaya172@gmail.com</t>
  </si>
  <si>
    <t>juliocesarcastillo777@gmail.com</t>
  </si>
  <si>
    <t>magdalena464@hotmail.com</t>
  </si>
  <si>
    <t>carlos.andres1914@hotmail.com</t>
  </si>
  <si>
    <t>fer710402@gmail.com</t>
  </si>
  <si>
    <t>guillomen2012@hotmail.es</t>
  </si>
  <si>
    <t>esgarivanmartinez74@gmail.com</t>
  </si>
  <si>
    <t>batiglo@gmail.com</t>
  </si>
  <si>
    <t>javieralfonsosandoval7@gmail.com</t>
  </si>
  <si>
    <t>koballa1511@hotmail.com</t>
  </si>
  <si>
    <t>jotadisenos@gmail.com</t>
  </si>
  <si>
    <t>ojaa33@gmail.com</t>
  </si>
  <si>
    <t>lgomezlizarazo2@gmail.com</t>
  </si>
  <si>
    <t>ximenotriana@gmail.com</t>
  </si>
  <si>
    <t>fredymojica1@yahoo.es</t>
  </si>
  <si>
    <t>vargasbalagueraalexander5@gmail.com</t>
  </si>
  <si>
    <t>maye7511@hotmail.com</t>
  </si>
  <si>
    <t>zaloe29@hotmail.com</t>
  </si>
  <si>
    <t>araqueriveral9@gmail.com</t>
  </si>
  <si>
    <t>wimago@gmail.com</t>
  </si>
  <si>
    <t>euseviod1673@gmail.com</t>
  </si>
  <si>
    <t>oscarco28@hotmail.com</t>
  </si>
  <si>
    <t>estepacalderondiego@gmail.com</t>
  </si>
  <si>
    <t>segoyc2@hotmail.com</t>
  </si>
  <si>
    <t>josealejandromanriquecastro@gmail.com</t>
  </si>
  <si>
    <t>BABARO1976@gmail.com</t>
  </si>
  <si>
    <t>ramada21784@hotmail.com</t>
  </si>
  <si>
    <t>esneiderva_35@hotmail.com</t>
  </si>
  <si>
    <t>paegualt77@hotmail.com</t>
  </si>
  <si>
    <t>patricia.gonzalez.14.09@gmail.com</t>
  </si>
  <si>
    <t>jorgesiza56@gmail.com</t>
  </si>
  <si>
    <t>HM8525951@gmail.com</t>
  </si>
  <si>
    <t>jvduran01@hotmail.es</t>
  </si>
  <si>
    <t>jamaga0206@hotmail.com</t>
  </si>
  <si>
    <t>luargogo@gmail.com</t>
  </si>
  <si>
    <t>elgranpato1997@hotmail.com</t>
  </si>
  <si>
    <t>salazar708@gmail.com</t>
  </si>
  <si>
    <t>carlosnova5@hotmail.com</t>
  </si>
  <si>
    <t>harold1612@gmail.com</t>
  </si>
  <si>
    <t>efredyalonso@ymail.com</t>
  </si>
  <si>
    <t>roymedinaca@hotmail.com</t>
  </si>
  <si>
    <t>alex3rincon12@gmail.com</t>
  </si>
  <si>
    <t>fredyfuentes@gmail.com</t>
  </si>
  <si>
    <t>olman_38@hotmail.com</t>
  </si>
  <si>
    <t>elveryes464@hotmail.com</t>
  </si>
  <si>
    <t>egoyeneche@yahoo.com</t>
  </si>
  <si>
    <t>ferchoduli@gmail.com</t>
  </si>
  <si>
    <t>lfredyramos@yahoo.es</t>
  </si>
  <si>
    <t>luis.f.lizarazo@gmail.com</t>
  </si>
  <si>
    <t>peavella80@gmail.com</t>
  </si>
  <si>
    <t>rodriguinfm@gmail.com</t>
  </si>
  <si>
    <t>clientespasadena1@gmail.com</t>
  </si>
  <si>
    <t>hugo.salamanca@yahoo.es</t>
  </si>
  <si>
    <t>armando.es010@gmail.com</t>
  </si>
  <si>
    <t>leo_4068@yahoo.es</t>
  </si>
  <si>
    <t>rubendariocuevas@hotmail.com</t>
  </si>
  <si>
    <t>abelardo.araque1980@gmail.com</t>
  </si>
  <si>
    <t>elberjobanny80@yahoo.es</t>
  </si>
  <si>
    <t>alejomarpal01@gmail.com</t>
  </si>
  <si>
    <t>dago_gato_80@hotmail.com</t>
  </si>
  <si>
    <t>jairoespindola02@hotmail.com</t>
  </si>
  <si>
    <t>novanelson193@gmail.com</t>
  </si>
  <si>
    <t>pedromirandasalazar28@gmail.com</t>
  </si>
  <si>
    <t>luiscarloscely692@gmail.com</t>
  </si>
  <si>
    <t>ricardoavellaneda42@gmail.com</t>
  </si>
  <si>
    <t>cayogona@gmail.com</t>
  </si>
  <si>
    <t>fredysmk824@gmail.com</t>
  </si>
  <si>
    <t>jefalroba@gmail.com</t>
  </si>
  <si>
    <t>jornov15@yahoo.es</t>
  </si>
  <si>
    <t>edwinriano3@gmail.com</t>
  </si>
  <si>
    <t>richaralexandermerchangomez@gmail.com</t>
  </si>
  <si>
    <t>zamara.1720@gmail.com</t>
  </si>
  <si>
    <t>amparob702@gmail.com</t>
  </si>
  <si>
    <t>trianadanilo@hotmail.com</t>
  </si>
  <si>
    <t>elkin301082@hotmail.com</t>
  </si>
  <si>
    <t>oscar.gonzalez.gg@gmail.com</t>
  </si>
  <si>
    <t>meyi.machuca@gmail.com</t>
  </si>
  <si>
    <t>pedronova82@gmail.com</t>
  </si>
  <si>
    <t>humberto2013duran@hotmail.com</t>
  </si>
  <si>
    <t>juanes106@gmail.com</t>
  </si>
  <si>
    <t>jnavas693@hotmail.com</t>
  </si>
  <si>
    <t>martinezmunozjosegabriel@yahoo.es</t>
  </si>
  <si>
    <t>consuelitorincon81@hotmail.com</t>
  </si>
  <si>
    <t>nesticorhot2@hotmail.com</t>
  </si>
  <si>
    <t>peter.esca@gmail.com</t>
  </si>
  <si>
    <t>marco84mba@hotmail.com</t>
  </si>
  <si>
    <t>edbayis11@hotmail.com</t>
  </si>
  <si>
    <t>aghadriano@gmail.com</t>
  </si>
  <si>
    <t>fredypc20@gmail.com</t>
  </si>
  <si>
    <t>wilder.cristancho@gmail.com</t>
  </si>
  <si>
    <t>edisonjaviermanrique15@hotmail.com</t>
  </si>
  <si>
    <t>carbones.paipa2023@gmail.com</t>
  </si>
  <si>
    <t>linorodriguez2@hotmail.com</t>
  </si>
  <si>
    <t>malohk64@hotmail.com</t>
  </si>
  <si>
    <t>wmaldo94@gmail.com</t>
  </si>
  <si>
    <t>jose.vicentesanchez.89@gmail.com</t>
  </si>
  <si>
    <t>gratinianocepeda@gmail.com</t>
  </si>
  <si>
    <t>joelsan229@gmail.com</t>
  </si>
  <si>
    <t>victorlopez182625@gmail.com</t>
  </si>
  <si>
    <t>agrounion020513@hotmail.com</t>
  </si>
  <si>
    <t>arcoslarajazminliliana@gmail.com</t>
  </si>
  <si>
    <t>fabio.barinas@gmail.com</t>
  </si>
  <si>
    <t>torresfredy395@gmail.com</t>
  </si>
  <si>
    <t>nolberto2784@yahoo.es</t>
  </si>
  <si>
    <t>hemagoca25@hotmail.com</t>
  </si>
  <si>
    <t>nestorgutierrez@hotmail.com</t>
  </si>
  <si>
    <t>oppotorres64@gmail.com</t>
  </si>
  <si>
    <t>nurygoye123@gmail.com</t>
  </si>
  <si>
    <t>harj0186@hotmail.es</t>
  </si>
  <si>
    <t>JOSEHERNANDEZ0202@gmail.com</t>
  </si>
  <si>
    <t>carlosenriquech@hotmail.com</t>
  </si>
  <si>
    <t>martha.camargo2030@gmail.com</t>
  </si>
  <si>
    <t>luher468@gmail.com</t>
  </si>
  <si>
    <t>servintegralesj.j@hotmail.com</t>
  </si>
  <si>
    <t>d.v.bla.248@gmail.com</t>
  </si>
  <si>
    <t>jeryman18@hotmail.com</t>
  </si>
  <si>
    <t>rodrigobotiag@gmail.com</t>
  </si>
  <si>
    <t>pgalvish@hotmail.com</t>
  </si>
  <si>
    <t>ivancho_monroy@hotmail.com</t>
  </si>
  <si>
    <t>HUROPE24@HOTMAIL.COM</t>
  </si>
  <si>
    <t>hernandor87@gmail.com</t>
  </si>
  <si>
    <t>manosalvaraul36@gmail.com</t>
  </si>
  <si>
    <t>luiscsilvafacturacion@gmail.com</t>
  </si>
  <si>
    <t>hramiren@hotmail.com</t>
  </si>
  <si>
    <t>pablobriceno453@hotmail.com</t>
  </si>
  <si>
    <t>edilhiguerab@gmail.com</t>
  </si>
  <si>
    <t>bags_x@yahoo.es</t>
  </si>
  <si>
    <t>albeiro_tequita@hotmail.com</t>
  </si>
  <si>
    <t>gavilame13@gmail.com</t>
  </si>
  <si>
    <t>fredyand_81@hotmail.com</t>
  </si>
  <si>
    <t>drodriguez33@uniboyaca.edu.co</t>
  </si>
  <si>
    <t>nalemir08@gmail.com</t>
  </si>
  <si>
    <t>jorge.cely@hotmail.com</t>
  </si>
  <si>
    <t>erikasalazar10@gmail.com</t>
  </si>
  <si>
    <t>noinfirmado@hotmail.com</t>
  </si>
  <si>
    <t>pochin@misena.edu.co</t>
  </si>
  <si>
    <t>josgoru2411@gmail.com</t>
  </si>
  <si>
    <t>jaime.perezm@hotmail.com</t>
  </si>
  <si>
    <t>norber0704@gmail.com</t>
  </si>
  <si>
    <t>wgomez281@hotmail.com</t>
  </si>
  <si>
    <t>fabiop1982@gmail.com</t>
  </si>
  <si>
    <t>nelsonjo2708@gmail.com</t>
  </si>
  <si>
    <t>gustavosaulaponte@gmail.com</t>
  </si>
  <si>
    <t>cirosanabria01@hotmail.com</t>
  </si>
  <si>
    <t>luisjosebohorquezblanco@yahoo.es</t>
  </si>
  <si>
    <t>pedro.baez.suescun@gmail.com</t>
  </si>
  <si>
    <t>caenbaez@hotmail.com</t>
  </si>
  <si>
    <t>jomisaga06@yahoo.es</t>
  </si>
  <si>
    <t>hectorduartef@gmail.com</t>
  </si>
  <si>
    <t>williambonilla10954@gmail.com</t>
  </si>
  <si>
    <t>jabeto45@gmail.com</t>
  </si>
  <si>
    <t>jaimeb1969@hotmail.com</t>
  </si>
  <si>
    <t>marialuisanabria575@gmail.com</t>
  </si>
  <si>
    <t>josecorr1973@hotmail.com</t>
  </si>
  <si>
    <t>luchoduarte140@gmail.com</t>
  </si>
  <si>
    <t>jorgemasa1@gmail.com</t>
  </si>
  <si>
    <t>yonelder771@gmail.com</t>
  </si>
  <si>
    <t>edwin05039@gmail.com</t>
  </si>
  <si>
    <t>mariaitzaevargas2022@gmail.com</t>
  </si>
  <si>
    <t>jose_leal_torres@hotmail.com</t>
  </si>
  <si>
    <t>feleal65@gmail.com</t>
  </si>
  <si>
    <t>estacioncayetano@hotmail.com</t>
  </si>
  <si>
    <t>cristianomoi2611@gmail.com</t>
  </si>
  <si>
    <t>salcedolariel@gmail.com</t>
  </si>
  <si>
    <t>rodblam71@gmail.com</t>
  </si>
  <si>
    <t>duranfre@gmail.com</t>
  </si>
  <si>
    <t>fransaes425@gmail.com</t>
  </si>
  <si>
    <t>eduran569@gmail.com</t>
  </si>
  <si>
    <t>sanchezdaniel2340@gmail.com</t>
  </si>
  <si>
    <t>meliamaya58@gmail.com</t>
  </si>
  <si>
    <t>joseismaelmojica83@gmail.com</t>
  </si>
  <si>
    <t>carvajalignacio0805@gmail.com</t>
  </si>
  <si>
    <t>JOSEANTONIOAMAYA67@GMAIL.COM</t>
  </si>
  <si>
    <t>lugon.a8a@hotmail.com</t>
  </si>
  <si>
    <t>luis.pineros1204@gmail.com</t>
  </si>
  <si>
    <t>pedropablosierra@hotmail.com</t>
  </si>
  <si>
    <t>edgarmateusfacturacion@gmail.com</t>
  </si>
  <si>
    <t>panche109@gmail.com</t>
  </si>
  <si>
    <t>ymateusf@hotmail.com</t>
  </si>
  <si>
    <t>luebrijoya56@yahoo.es</t>
  </si>
  <si>
    <t>vegau59@hotmail.com</t>
  </si>
  <si>
    <t>joseparuiz003@gmail.com</t>
  </si>
  <si>
    <t>pedroduartesandoval@gmail.com</t>
  </si>
  <si>
    <t>davidcorcel@gmail.com</t>
  </si>
  <si>
    <t>edgarfangel@yahoo.com</t>
  </si>
  <si>
    <t>vcruz2150@gmail.com</t>
  </si>
  <si>
    <t>meridajairo20@gmail.com</t>
  </si>
  <si>
    <t>luisabdonlizarazobarrera@gmail.com</t>
  </si>
  <si>
    <t>efrenlizarazo602@gmail.com</t>
  </si>
  <si>
    <t>sluribe1@hotmail.com</t>
  </si>
  <si>
    <t>tiolin774@hotmail.com</t>
  </si>
  <si>
    <t>suarezanibal297@gmail.com</t>
  </si>
  <si>
    <t>heliorafaelvegasandoval@gmail.com</t>
  </si>
  <si>
    <t>guiovanyfranco@gmail.com</t>
  </si>
  <si>
    <t>yubanyr72@gmail.com</t>
  </si>
  <si>
    <t>gregohernandez1981@gmail.com</t>
  </si>
  <si>
    <t>mariovargas1212@gmail.com</t>
  </si>
  <si>
    <t>chucholb2305@gmail.com</t>
  </si>
  <si>
    <t>bricenoleonel54@gmail.com</t>
  </si>
  <si>
    <t>miguelduitama2018@gmail.com</t>
  </si>
  <si>
    <t>mbustacaraperez@gmail.com</t>
  </si>
  <si>
    <t>energisen@yahoo.com</t>
  </si>
  <si>
    <t>evaristochaparro@gmail.com</t>
  </si>
  <si>
    <t>tasco2@hotmail.com</t>
  </si>
  <si>
    <t>vegajaimealirio@gmail.com</t>
  </si>
  <si>
    <t>henrybecerrab@hotmail.com</t>
  </si>
  <si>
    <t>ingenieroguillalba@gmail.com</t>
  </si>
  <si>
    <t>barrera185@hotmail.com</t>
  </si>
  <si>
    <t>nestor1515@yahoo.com</t>
  </si>
  <si>
    <t>julio.perezsana@gmail.com</t>
  </si>
  <si>
    <t>josegu_1@hotmail.com</t>
  </si>
  <si>
    <t>rodrigogaravito2022@gmail.com</t>
  </si>
  <si>
    <t>luisgui179@gmail.com</t>
  </si>
  <si>
    <t>tilsiatriana@hotmail.com</t>
  </si>
  <si>
    <t>mbaez52@uan.edu.co</t>
  </si>
  <si>
    <t>gustavok2342@gmail.com</t>
  </si>
  <si>
    <t>omarjosemontana@gmail.com</t>
  </si>
  <si>
    <t>edutiba@hotmail.com</t>
  </si>
  <si>
    <t>marcoantoniopatino@hotmail.com</t>
  </si>
  <si>
    <t>agustogutirrez43@gmail.com</t>
  </si>
  <si>
    <t>olegariobonilla09@gmail.com</t>
  </si>
  <si>
    <t>pedrorosasz2020@gmail.com</t>
  </si>
  <si>
    <t>elianasofia123medinacamargo@gmail.com</t>
  </si>
  <si>
    <t>emilioflechas427@gmail.com</t>
  </si>
  <si>
    <t>joseluiszeazea@yahoo.es</t>
  </si>
  <si>
    <t>globalsuccess.exito@gmail.com</t>
  </si>
  <si>
    <t>nantony14@hotmail.com</t>
  </si>
  <si>
    <t>jairogirata79@gmail.com</t>
  </si>
  <si>
    <t>gustavoapatino@yahoo.es</t>
  </si>
  <si>
    <t>nestorgutierrez138@hotmail.com</t>
  </si>
  <si>
    <t>p.fabioleon@yahoo.com</t>
  </si>
  <si>
    <t>rmolanos71@hotmail.com</t>
  </si>
  <si>
    <t>oscarmolano001@gmail.com</t>
  </si>
  <si>
    <t>avellaismael@gmail.com</t>
  </si>
  <si>
    <t>linita3118@hotmail.com</t>
  </si>
  <si>
    <t>minasluis98@gmail.com</t>
  </si>
  <si>
    <t>nbonillasupelano@yahoo.es</t>
  </si>
  <si>
    <t>ingecarmo@gmail.com</t>
  </si>
  <si>
    <t>joseorlandomedina4@gmail.com</t>
  </si>
  <si>
    <t>aguilaralfonso73@gmail.com</t>
  </si>
  <si>
    <t>guillermoca1@hotmail.com</t>
  </si>
  <si>
    <t>alfonpe069@hotmail.com</t>
  </si>
  <si>
    <t>nelson_cardozop@hotmail.com</t>
  </si>
  <si>
    <t>felixantoniof4@gmail.com</t>
  </si>
  <si>
    <t>milena-122010@hotmail.com</t>
  </si>
  <si>
    <t>nunezagudelomonica@gmail.com</t>
  </si>
  <si>
    <t>wilsongermancastaneda@gmail.com</t>
  </si>
  <si>
    <t>halfredop@yahoo.es</t>
  </si>
  <si>
    <t>jonisu428@hotmail.com</t>
  </si>
  <si>
    <t>ngalarcon@gmail.com</t>
  </si>
  <si>
    <t>luiseduardo300984@gmail.com</t>
  </si>
  <si>
    <t>arley8512@yahoo.com</t>
  </si>
  <si>
    <t>aristobulo555@gmail.com</t>
  </si>
  <si>
    <t>nelcy22chaparro@hotmail.com</t>
  </si>
  <si>
    <t>euclidesmolano817@gmail.com</t>
  </si>
  <si>
    <t>silverio.201312@gmail.com</t>
  </si>
  <si>
    <t>jimenamolano344@gmail.com</t>
  </si>
  <si>
    <t>hedafihe@hotmail.com</t>
  </si>
  <si>
    <t>juansissa@gmail.com</t>
  </si>
  <si>
    <t>oscarojeda6@hotmail.com</t>
  </si>
  <si>
    <t>jtamorenor@gmail.com</t>
  </si>
  <si>
    <t>daniel.otalora500@gmail.com</t>
  </si>
  <si>
    <t>lhmr68@gmail.com</t>
  </si>
  <si>
    <t>marthaacosta0417@gmail.com</t>
  </si>
  <si>
    <t>sergioajp34@gmail.com</t>
  </si>
  <si>
    <t>jrhenao327@gmail.com</t>
  </si>
  <si>
    <t>mariamonroyc@gmail.com</t>
  </si>
  <si>
    <t>ymarce82@gmail.com</t>
  </si>
  <si>
    <t>marthaconmar30@gmail.com</t>
  </si>
  <si>
    <t>zoraida.ruiz0304@gmail.com</t>
  </si>
  <si>
    <t>melania_vargas@hotmail.com</t>
  </si>
  <si>
    <t>nancytaita74@gmail.com</t>
  </si>
  <si>
    <t>erene1974@hotmail.com</t>
  </si>
  <si>
    <t>sasicortez76@gmail.com</t>
  </si>
  <si>
    <t>adarmemaldonado@gmail.com</t>
  </si>
  <si>
    <t>estefayu@hotmail.com</t>
  </si>
  <si>
    <t>marrquezrosmi16@gmail.com</t>
  </si>
  <si>
    <t>julius10_@hotmail.com</t>
  </si>
  <si>
    <t>ortizpacj@gmail.com</t>
  </si>
  <si>
    <t>jairorodrigobotellov@gmail.com</t>
  </si>
  <si>
    <t>antonioamaya50@hotmail.com</t>
  </si>
  <si>
    <t>agapitocarvajalperez@gmail.com</t>
  </si>
  <si>
    <t>gustavo308123@gmail.com</t>
  </si>
  <si>
    <t>manriquecadenaa@gmail.com</t>
  </si>
  <si>
    <t>jenymartinezo@yahoo.es</t>
  </si>
  <si>
    <t>albaracinjaime09@gmail.com</t>
  </si>
  <si>
    <t>velascojorge_2714@hotmail.com</t>
  </si>
  <si>
    <t>h_white@hotmail.es</t>
  </si>
  <si>
    <t>auraggy@yahoo.es</t>
  </si>
  <si>
    <t>patricioamaya16@gmail.com</t>
  </si>
  <si>
    <t>mecanova46@gmail.com</t>
  </si>
  <si>
    <t>carlosjjjoya@gmail.com</t>
  </si>
  <si>
    <t>andresmdiazt@gmail.com</t>
  </si>
  <si>
    <t>heliobadi@yahoo.es</t>
  </si>
  <si>
    <t>pedroantonio780@gmail.com</t>
  </si>
  <si>
    <t>expodistribuciones@gmail.com</t>
  </si>
  <si>
    <t>robertogracia1316@hotmail.com</t>
  </si>
  <si>
    <t>yasmelysalvarez@gmail.com</t>
  </si>
  <si>
    <t>germanducuara@gmail.com</t>
  </si>
  <si>
    <t>hernant1272@hotmail.com</t>
  </si>
  <si>
    <t>jorgehacs@gmail.com</t>
  </si>
  <si>
    <t>TURCOVILLA36@GMAIL.COM</t>
  </si>
  <si>
    <t>marialmas57@gmail.com</t>
  </si>
  <si>
    <t>gusjimenez02@gmail.com</t>
  </si>
  <si>
    <t>fcasierra@gmail.com</t>
  </si>
  <si>
    <t>mgonzalezquintero14@gmail.com</t>
  </si>
  <si>
    <t>trinidad_ovalles@hotmail.co</t>
  </si>
  <si>
    <t>6612599z@gmail.com</t>
  </si>
  <si>
    <t>wilmer.28@hotmail.es</t>
  </si>
  <si>
    <t>camiagudelo70@gmail.com</t>
  </si>
  <si>
    <t>fabianvelandianino@gmail.com</t>
  </si>
  <si>
    <t>gustavoibañezh@gmail.com</t>
  </si>
  <si>
    <t>jesicaviva28@gmail.com</t>
  </si>
  <si>
    <t>yomig02@yahoo.com.mx</t>
  </si>
  <si>
    <t>oscarcortesr46@gmail.com</t>
  </si>
  <si>
    <t>rubendariolara1@hotmail.com</t>
  </si>
  <si>
    <t>federmanl@hotmail.com</t>
  </si>
  <si>
    <t>gerenciatecnica@mepsa.com.co</t>
  </si>
  <si>
    <t>parroquiamariaauxiliadora@gmail.com</t>
  </si>
  <si>
    <t>hernando.hernando67@gmail.com</t>
  </si>
  <si>
    <t>contabilidadlaboyotros@gmail.com</t>
  </si>
  <si>
    <t>asvictorm@gmail.com</t>
  </si>
  <si>
    <t>germanpinzon2000@yahoo.com</t>
  </si>
  <si>
    <t>marinabecerra032@gmail.com</t>
  </si>
  <si>
    <t>vivianavillanueva01@gmail.com</t>
  </si>
  <si>
    <t>pinzonbordacarlosarturo@gmail.com</t>
  </si>
  <si>
    <t>jose6756183@gmail.com</t>
  </si>
  <si>
    <t>ulises.piratoba@uptc.edu.co</t>
  </si>
  <si>
    <t>nelsonpecortes@gmail.com</t>
  </si>
  <si>
    <t>caapul@gmail.com</t>
  </si>
  <si>
    <t>hegaloci@gmail.com</t>
  </si>
  <si>
    <t>higiniorojas7777@gmail.com</t>
  </si>
  <si>
    <t>facturacionelectronica.chispazo@gmail.com</t>
  </si>
  <si>
    <t>milmerchan@uniboyaca.edu.co</t>
  </si>
  <si>
    <t>pirazanhugo10@gmail.com</t>
  </si>
  <si>
    <t>jolumsa@gmail.com</t>
  </si>
  <si>
    <t>luis.fonseca08@uptc.edu.co</t>
  </si>
  <si>
    <t>epimaco001@hotmail.com</t>
  </si>
  <si>
    <t>jvelasquezpastor@gmail.com</t>
  </si>
  <si>
    <t>afredobalbuenae@hotmail.com</t>
  </si>
  <si>
    <t>dimaranguren@yahoo.es</t>
  </si>
  <si>
    <t>aidama_4@hotmail.com</t>
  </si>
  <si>
    <t>jheraclio62@yahoo.es</t>
  </si>
  <si>
    <t>alejouniversidades@yahoo.com.co</t>
  </si>
  <si>
    <t>plavic99@gmail.com</t>
  </si>
  <si>
    <t>ramiroamaciasl@gmail.com</t>
  </si>
  <si>
    <t>rodrigoavilap@yahoo.com</t>
  </si>
  <si>
    <t>carlosorlandozipamogollon@gmail.com</t>
  </si>
  <si>
    <t>alfonso.sarmiento@uptc.edu.co</t>
  </si>
  <si>
    <t>dariobenitez1964@gmail.com</t>
  </si>
  <si>
    <t>jaesam64@hotmail.com</t>
  </si>
  <si>
    <t>widasafo@hotmail.com</t>
  </si>
  <si>
    <t>granamaros@gmail.com</t>
  </si>
  <si>
    <t>josercamachoj@yahoo.es</t>
  </si>
  <si>
    <t>javier.wilches@gmail.com</t>
  </si>
  <si>
    <t>manuelguerra2003@gmail.com</t>
  </si>
  <si>
    <t>eatorresb@gmail.com</t>
  </si>
  <si>
    <t>pime2000@gmail.com</t>
  </si>
  <si>
    <t>jsochica@gmail.com</t>
  </si>
  <si>
    <t>tatis1224@yahoo.es</t>
  </si>
  <si>
    <t>javierbgonzalez@yahoo.es</t>
  </si>
  <si>
    <t>lualoar@gmail.com</t>
  </si>
  <si>
    <t>manuelmaag@hotmail.com</t>
  </si>
  <si>
    <t>teofilozabalagavi@gmail.com</t>
  </si>
  <si>
    <t>teniairesjj@gmail.com</t>
  </si>
  <si>
    <t>edgar.chivatar@gmail.com</t>
  </si>
  <si>
    <t>yosmaryblanco@hotmail21.com</t>
  </si>
  <si>
    <t>bkatherinegonzalezg@gmail.com</t>
  </si>
  <si>
    <t>uriedcaba@gmail.com</t>
  </si>
  <si>
    <t>mirotorr@hotmail.com</t>
  </si>
  <si>
    <t>alexandracalderon801@gmail.com</t>
  </si>
  <si>
    <t>javier.tristancho20@gmail.com</t>
  </si>
  <si>
    <t>diegosantospedraza7@gmail.com</t>
  </si>
  <si>
    <t>ferpedrazaco@yahoo.com</t>
  </si>
  <si>
    <t>heidy1578@hotmail.com</t>
  </si>
  <si>
    <t>hama68640@gmail.com</t>
  </si>
  <si>
    <t>superboom.aquitania@gmail.com</t>
  </si>
  <si>
    <t>s413lago@gmail.com</t>
  </si>
  <si>
    <t>oscar.alayon66@hotmail.com</t>
  </si>
  <si>
    <t>mhv0609@live.com</t>
  </si>
  <si>
    <t>joseabn2015@gmail.com</t>
  </si>
  <si>
    <t>holmanjq@hotmail.com</t>
  </si>
  <si>
    <t>fregani0403@gmail.com</t>
  </si>
  <si>
    <t>campoelias06@gmail.com</t>
  </si>
  <si>
    <t>richardcaro324@gmail.com</t>
  </si>
  <si>
    <t>yunaga0769_@hotmail.com</t>
  </si>
  <si>
    <t>JUCARPRO@YAHOO.ES</t>
  </si>
  <si>
    <t>luisrodrigofaguar@gmail.com</t>
  </si>
  <si>
    <t>jorge.gamba@uptc.edu.co</t>
  </si>
  <si>
    <t>guilletiba@gmail.com</t>
  </si>
  <si>
    <t>yofre.alvarez@hotmail.com</t>
  </si>
  <si>
    <t>kleimort71@hotmail.com</t>
  </si>
  <si>
    <t>marcopolosanchezh55@gmail.com</t>
  </si>
  <si>
    <t>luisacosta_5@yahoo.es</t>
  </si>
  <si>
    <t>luisferlozanoz@gmail.com</t>
  </si>
  <si>
    <t>masaca181@gmail.com</t>
  </si>
  <si>
    <t>jairomol27@gmail.com</t>
  </si>
  <si>
    <t>hmendozaq@postobon.com.co</t>
  </si>
  <si>
    <t>cnmdistribucion@gmail.com</t>
  </si>
  <si>
    <t>rimorales09@gmail.com</t>
  </si>
  <si>
    <t>tino2872@hotmail.com</t>
  </si>
  <si>
    <t>OFESEGO1@gmail.com</t>
  </si>
  <si>
    <t>heduart@gmail.com</t>
  </si>
  <si>
    <t>nsarmiento70@gmail.com</t>
  </si>
  <si>
    <t>chsr400@gmail.com</t>
  </si>
  <si>
    <t>nestoruvargas@gmail.com</t>
  </si>
  <si>
    <t>peter_toba2508@hotmail.com</t>
  </si>
  <si>
    <t>gustavoguerrero178@gmail.com</t>
  </si>
  <si>
    <t>alexiscalvo73@gmail.com</t>
  </si>
  <si>
    <t>nicolascifu@hotmail.es</t>
  </si>
  <si>
    <t>norbertq74@gmail.com</t>
  </si>
  <si>
    <t>rodolfolargo18@gmail.com</t>
  </si>
  <si>
    <t>gbuitrago7168660@gmail.com</t>
  </si>
  <si>
    <t>teobaldo1204@hotmail.com</t>
  </si>
  <si>
    <t>jucepamon365@gmail.com</t>
  </si>
  <si>
    <t>belmer75@hotmail.com</t>
  </si>
  <si>
    <t>fili.choconta@gmail.com</t>
  </si>
  <si>
    <t>wbuitragocardenas@gmail.com</t>
  </si>
  <si>
    <t>ghcardenasg@gmail.com</t>
  </si>
  <si>
    <t>ecarbrasil@gmail.com</t>
  </si>
  <si>
    <t>dafercruz1@hotmail.com</t>
  </si>
  <si>
    <t>leduardh@gmail.com</t>
  </si>
  <si>
    <t>cheche_0912@hotmail.com</t>
  </si>
  <si>
    <t>joyescun@gmail.com</t>
  </si>
  <si>
    <t>econoduardo@gmail.com</t>
  </si>
  <si>
    <t>ingllano.2013@gmail.com</t>
  </si>
  <si>
    <t>bacon25@hotmail.com</t>
  </si>
  <si>
    <t>mnemosinequebec@gmail.com</t>
  </si>
  <si>
    <t>giovanny.arm@hotmail.com</t>
  </si>
  <si>
    <t>wjsuarez35@gmail.com</t>
  </si>
  <si>
    <t>wilmar.nino1979@gmail.com</t>
  </si>
  <si>
    <t>andres.so79@gmail.com</t>
  </si>
  <si>
    <t>inge078@gmail.com</t>
  </si>
  <si>
    <t>alexsanchez26@gmail.com</t>
  </si>
  <si>
    <t>di.mencho@gmail.com</t>
  </si>
  <si>
    <t>eard51174@gmail.com</t>
  </si>
  <si>
    <t>nelsonprieto798@gmail.com</t>
  </si>
  <si>
    <t>julio.cruz7178@gmail.com</t>
  </si>
  <si>
    <t>faviocars2012@hotmail.es</t>
  </si>
  <si>
    <t>eduescami@hotmail.com</t>
  </si>
  <si>
    <t>mardogonzalez4@gmail.com</t>
  </si>
  <si>
    <t>albeiro.ab@gmail.com</t>
  </si>
  <si>
    <t>romerofamer74@gmail.com</t>
  </si>
  <si>
    <t>julianandreschinomej@gmail.com</t>
  </si>
  <si>
    <t>juank0770@hotmail.com</t>
  </si>
  <si>
    <t>buitragocarlos030981@gmail.com</t>
  </si>
  <si>
    <t>diegocastellanosb@gmail.com</t>
  </si>
  <si>
    <t>ruiz15295@gmail.com</t>
  </si>
  <si>
    <t>josenausan7@gmail.com</t>
  </si>
  <si>
    <t>jucepat_2@hotmail.com</t>
  </si>
  <si>
    <t>jhonrodriguez24@hotmail.com</t>
  </si>
  <si>
    <t>yaramiba20@hotmail.com</t>
  </si>
  <si>
    <t>jairomolina2010@hotmail.com</t>
  </si>
  <si>
    <t>javierhugo.hernandez@gmail.com</t>
  </si>
  <si>
    <t>ALVAROMURILLOTUNJA@gmail.com</t>
  </si>
  <si>
    <t>anderuiz35@gmail.com</t>
  </si>
  <si>
    <t>napovivi22007@gmail.com</t>
  </si>
  <si>
    <t>gasing2022@gmail.com</t>
  </si>
  <si>
    <t>fausstoo@gmail.com</t>
  </si>
  <si>
    <t>guilleyluzpy@hotmail.com</t>
  </si>
  <si>
    <t>cesarchinomej@gmail.com</t>
  </si>
  <si>
    <t>hectoruyaban0@gmail.com</t>
  </si>
  <si>
    <t>rinconj25@hotmail.com</t>
  </si>
  <si>
    <t>cesarl2_10@hotmail.com</t>
  </si>
  <si>
    <t>wilber2284@gmail.com</t>
  </si>
  <si>
    <t>josegilbertosamaca123@gmail.com</t>
  </si>
  <si>
    <t>neck22.np@gmail.com</t>
  </si>
  <si>
    <t>gonzalezmalu59@gmail.com</t>
  </si>
  <si>
    <t>abogadoandrespacheco29@gmail.com</t>
  </si>
  <si>
    <t>NOTENGO@hotmail.com</t>
  </si>
  <si>
    <t>fgigi27@gmail.com</t>
  </si>
  <si>
    <t>stellapedraza321@gmail.com</t>
  </si>
  <si>
    <t>hamiltonhuertas@gmail.com</t>
  </si>
  <si>
    <t>manuelalvarado_007@hotmail.com</t>
  </si>
  <si>
    <t>jacasoqui@hotmail.com</t>
  </si>
  <si>
    <t>luisalopez1052@gmail.com</t>
  </si>
  <si>
    <t>gemonro51@gmail.com</t>
  </si>
  <si>
    <t>hbtvr@gmail.com</t>
  </si>
  <si>
    <t>ramirocaceresa@gmail.com</t>
  </si>
  <si>
    <t>lavanegservice@gmail.com</t>
  </si>
  <si>
    <t>alusistemas.arq@gmail.com</t>
  </si>
  <si>
    <t>familiacastroojeda@hotmail.com</t>
  </si>
  <si>
    <t>carlosromoreno24@gmail.com</t>
  </si>
  <si>
    <t>marcosjoserinconlopez@gmail.com</t>
  </si>
  <si>
    <t>fernando.cruzfigueredo@gmail.com</t>
  </si>
  <si>
    <t>lfbeg71@gmail.com</t>
  </si>
  <si>
    <t>castro.luis.e@hotmail.com</t>
  </si>
  <si>
    <t>hotellacoloniaduitama@gmail.com</t>
  </si>
  <si>
    <t>carlos62628@gmail.com</t>
  </si>
  <si>
    <t>electroparra@yahoo.com</t>
  </si>
  <si>
    <t>ROJASCARLOSJULIO@gmail.com</t>
  </si>
  <si>
    <t>centralferreteria@gmail.com</t>
  </si>
  <si>
    <t>uyabanelpidio@gmail.com</t>
  </si>
  <si>
    <t>alvaro_agudelo@hotmail.com</t>
  </si>
  <si>
    <t>skv@gmail.com</t>
  </si>
  <si>
    <t>fabio53@hotmail.com</t>
  </si>
  <si>
    <t>adbapel@hotmail.com</t>
  </si>
  <si>
    <t>concesar321@yahoo.com.mx</t>
  </si>
  <si>
    <t>laseivaspc@hotmail.com</t>
  </si>
  <si>
    <t>jnocua52@hotmail.com</t>
  </si>
  <si>
    <t>pedrazagabi123@gmail.com</t>
  </si>
  <si>
    <t>linoantr@gmail.com</t>
  </si>
  <si>
    <t>gustytortas@hotmail.com</t>
  </si>
  <si>
    <t>marioernestop43@gmail.com</t>
  </si>
  <si>
    <t>juanjosevalenzuelasuarez22@gmail.com</t>
  </si>
  <si>
    <t>israelvillate@gmail.com</t>
  </si>
  <si>
    <t>zealuis1954@gmail.com</t>
  </si>
  <si>
    <t>coltec22@hotmail.com</t>
  </si>
  <si>
    <t>isiflorezbaez@gmail.com</t>
  </si>
  <si>
    <t>hen7piolin@hotmail.com</t>
  </si>
  <si>
    <t>javigragos@gmail.com</t>
  </si>
  <si>
    <t>jesalo07@gmail.com</t>
  </si>
  <si>
    <t>rapepri@yahoo.com</t>
  </si>
  <si>
    <t>fochoavivas@yahoo.es</t>
  </si>
  <si>
    <t>pompiliogonzalez@gmail.com</t>
  </si>
  <si>
    <t>norbertoanselmo@gmail.com</t>
  </si>
  <si>
    <t>GONPOES@hotmail.com</t>
  </si>
  <si>
    <t>carlosrojas185@hotmail.com</t>
  </si>
  <si>
    <t>varber19@gmail.com</t>
  </si>
  <si>
    <t>ferropazduitama@yahoo.com</t>
  </si>
  <si>
    <t>pilarcastellanos840@gmail.com</t>
  </si>
  <si>
    <t>salamancahugo@yahoo.es</t>
  </si>
  <si>
    <t>alidaleon23@gmail.com</t>
  </si>
  <si>
    <t>luisedo.merchan@gmail.com</t>
  </si>
  <si>
    <t>nuevopcombariza@gmail.com</t>
  </si>
  <si>
    <t>rafelflorezrodriguez1@gmail.com</t>
  </si>
  <si>
    <t>SEVGONTRI@gmail.com</t>
  </si>
  <si>
    <t>nhm0121@yahoo.com.co</t>
  </si>
  <si>
    <t>g.antonio55@yahoo.com</t>
  </si>
  <si>
    <t>miguelmh55@hotmail.com</t>
  </si>
  <si>
    <t>carlosjvelania2019@gmail.com</t>
  </si>
  <si>
    <t>camargoreinaldo07@gmail.com</t>
  </si>
  <si>
    <t>COPRAMP@hotmail.com</t>
  </si>
  <si>
    <t>celectricod@gmail.com</t>
  </si>
  <si>
    <t>sininformacion@gmail.com</t>
  </si>
  <si>
    <t>lubricentrochevron@gmail.com</t>
  </si>
  <si>
    <t>sololuni1.72@hotmail.com</t>
  </si>
  <si>
    <t>rodolfodp876@hotmail.com</t>
  </si>
  <si>
    <t>rels1705@yahoo.com</t>
  </si>
  <si>
    <t>estellapuerto@yahoo.com</t>
  </si>
  <si>
    <t>edolozs@gmail.com</t>
  </si>
  <si>
    <t>jzabalas@hotmail.com</t>
  </si>
  <si>
    <t>shanitag@yahoo.es</t>
  </si>
  <si>
    <t>yeraldinvalderrama@gmail.com</t>
  </si>
  <si>
    <t>camargom60@gmail.com</t>
  </si>
  <si>
    <t>weswilli@hotmail.com</t>
  </si>
  <si>
    <t>encisohectornocturno@gmail.com</t>
  </si>
  <si>
    <t>beniteznunezrafael@gmail.com</t>
  </si>
  <si>
    <t>jorgesandovalpuerto@gmail.com</t>
  </si>
  <si>
    <t>santoshiguera@yahoo.com</t>
  </si>
  <si>
    <t>felsafle@gmail.com</t>
  </si>
  <si>
    <t>cristobalcastaneda58@gmail.com</t>
  </si>
  <si>
    <t>facturacion@hoteldinastiareal.com.co</t>
  </si>
  <si>
    <t>jairorincon534@gmail.com</t>
  </si>
  <si>
    <t>jopatri58@yahoo.es</t>
  </si>
  <si>
    <t>carlosestu@aol.com</t>
  </si>
  <si>
    <t>octaviobayona@hotmail.com</t>
  </si>
  <si>
    <t>animaliaveterinariaydistri@gmail.com</t>
  </si>
  <si>
    <t>hectorfidelba@hotmail.com</t>
  </si>
  <si>
    <t>lfpedrazaa@gmail.com</t>
  </si>
  <si>
    <t>facturacionexhimuebles@gmail.com</t>
  </si>
  <si>
    <t>roalgar@gmail.com</t>
  </si>
  <si>
    <t>pgg0614@hotmail.com</t>
  </si>
  <si>
    <t>german2121martinez@gmail.com</t>
  </si>
  <si>
    <t>liciniocolombia@hotmail.com</t>
  </si>
  <si>
    <t>manuelmarvar@gmail.com</t>
  </si>
  <si>
    <t>juan.bautistaguecha.@gmail.com</t>
  </si>
  <si>
    <t>viejojo2586@hotmail.com</t>
  </si>
  <si>
    <t>fernandomartinez@gmail.com</t>
  </si>
  <si>
    <t>LUBSAN@gmail.com</t>
  </si>
  <si>
    <t>reinaldoninochaparro@gmail.com</t>
  </si>
  <si>
    <t>humbertopenaranda@hotmail.es</t>
  </si>
  <si>
    <t>alacam1955@hotmail.com</t>
  </si>
  <si>
    <t>jb.parada@puntodeservicios.com</t>
  </si>
  <si>
    <t>jorgehernaninfante@hotmail.com</t>
  </si>
  <si>
    <t>tatogon5809@gmail.com</t>
  </si>
  <si>
    <t>lucholasprilla@hotmail.com</t>
  </si>
  <si>
    <t>abel.maldo59@gmail.com</t>
  </si>
  <si>
    <t>lopez2016migel@gmail.com</t>
  </si>
  <si>
    <t>norbertoprofe@hotmail.com</t>
  </si>
  <si>
    <t>mardocastro39@gmail.com</t>
  </si>
  <si>
    <t>joseguauque55@hotmail.com</t>
  </si>
  <si>
    <t>norbertoalvaradom@gmail.com</t>
  </si>
  <si>
    <t>bedourincon@gmail.com</t>
  </si>
  <si>
    <t>talleresalazar@hotmail.com</t>
  </si>
  <si>
    <t>jaimeafonseca859@gmail.com</t>
  </si>
  <si>
    <t>rafaelperezcamacho@hotmail.com</t>
  </si>
  <si>
    <t>nelale73@hotmail.com</t>
  </si>
  <si>
    <t>juandurant@hotmail.com</t>
  </si>
  <si>
    <t>jamermerchan59@gmail.com</t>
  </si>
  <si>
    <t>michogomez@hotmail.com</t>
  </si>
  <si>
    <t>sicamar@hotmail.com</t>
  </si>
  <si>
    <t>fopr2005@gmail.com</t>
  </si>
  <si>
    <t>isramoreno15052015@gmail.com</t>
  </si>
  <si>
    <t>dayanacardozo007@gmail.com</t>
  </si>
  <si>
    <t>jaimeochoavivas@gmail.com</t>
  </si>
  <si>
    <t>jualvico23@gmail.com</t>
  </si>
  <si>
    <t>jairo.ct55@gmail.com</t>
  </si>
  <si>
    <t>torresovi@gmail.com</t>
  </si>
  <si>
    <t>suarezarmando20@gmail.com</t>
  </si>
  <si>
    <t>angeimiroherrera406@gmail.com</t>
  </si>
  <si>
    <t>EURI@gmail.com</t>
  </si>
  <si>
    <t>placidoagudelo@gmail.com</t>
  </si>
  <si>
    <t>bgomezmejia@yahoo.com.co</t>
  </si>
  <si>
    <t>gerardohernandezmojica@hotmail.com</t>
  </si>
  <si>
    <t>faloni5@hotmail.com</t>
  </si>
  <si>
    <t>hwsua@hotmail.com</t>
  </si>
  <si>
    <t>ascencio1960@hotmail.com</t>
  </si>
  <si>
    <t>jaime.becerrasal@gmail.com</t>
  </si>
  <si>
    <t>alfonsovargas688@hotmail.com</t>
  </si>
  <si>
    <t>victoriguavita@gmail.com</t>
  </si>
  <si>
    <t>josemher1@hotmail.com</t>
  </si>
  <si>
    <t>nbayona60@gmail.com</t>
  </si>
  <si>
    <t>joseantonioparra5@gmail.com</t>
  </si>
  <si>
    <t>gamboajose98@gmail.com</t>
  </si>
  <si>
    <t>popowww@hotmail.com</t>
  </si>
  <si>
    <t>tiberio.r1960@gmail.com</t>
  </si>
  <si>
    <t>chaparroluise10@hotmail.com</t>
  </si>
  <si>
    <t>marcoantoniocastiblancochivata@gmail.com</t>
  </si>
  <si>
    <t>tabino1157@hotmail.com</t>
  </si>
  <si>
    <t>josealgu6031@yahoo.es</t>
  </si>
  <si>
    <t>orlando.suarez.7@hotmail.com</t>
  </si>
  <si>
    <t>luisvega4569@gmail.com</t>
  </si>
  <si>
    <t>face716@yahoo.es</t>
  </si>
  <si>
    <t>mahmartinez77@gmail.com</t>
  </si>
  <si>
    <t>supcalidadsoporte2@gmail.com</t>
  </si>
  <si>
    <t>aureliofonsecacordoba@hotmail.com</t>
  </si>
  <si>
    <t>juancarlos_3042@hotmail.com</t>
  </si>
  <si>
    <t>armariosb@gmail.com</t>
  </si>
  <si>
    <t>alejandroescobar@hotmail.com</t>
  </si>
  <si>
    <t>alexarojas86@hotmail.com</t>
  </si>
  <si>
    <t>luis.gallo1959@gmail.com</t>
  </si>
  <si>
    <t>elmercedesheca24@gmail.com</t>
  </si>
  <si>
    <t>gilbertochaparrop@yahoo.com.co</t>
  </si>
  <si>
    <t>luis.guillermo.avella@gmail.com</t>
  </si>
  <si>
    <t>jaocnepi@hotmail.com</t>
  </si>
  <si>
    <t>lilianita2185@hotmail.com</t>
  </si>
  <si>
    <t>albercosta122@yahoo.es</t>
  </si>
  <si>
    <t>asaderofuegoverdegt@gmail.com</t>
  </si>
  <si>
    <t>orlandoj255@gmail.com</t>
  </si>
  <si>
    <t>sahiralisset@gmail.com</t>
  </si>
  <si>
    <t>gustavocardenasacero@gmail.com</t>
  </si>
  <si>
    <t>acostacamionetas@hotmail.com</t>
  </si>
  <si>
    <t>fabiorizo1961@gmail.com</t>
  </si>
  <si>
    <t>jdbecerra60@hotmail.com</t>
  </si>
  <si>
    <t>perezhilce@gmail.com</t>
  </si>
  <si>
    <t>henryr964@hotmail.com</t>
  </si>
  <si>
    <t>horaciop01@hotmail.com</t>
  </si>
  <si>
    <t>anagonzaleznova91@gmail.com</t>
  </si>
  <si>
    <t>gewilches@gmail.com</t>
  </si>
  <si>
    <t>fajardom322@gmail.com</t>
  </si>
  <si>
    <t>fabio4658@hotmail.com</t>
  </si>
  <si>
    <t>hmredba1708@gmail.com</t>
  </si>
  <si>
    <t>proveedores@esprocons.com</t>
  </si>
  <si>
    <t>mercedesbautista7@gmail.com</t>
  </si>
  <si>
    <t>marinaaguilar38@hotmail.com</t>
  </si>
  <si>
    <t>jefferson.vivas@uptc.edu.co</t>
  </si>
  <si>
    <t>dilvarhiguera22@gmail.com</t>
  </si>
  <si>
    <t>wilodi1@yhoo.es</t>
  </si>
  <si>
    <t>enriquecamargo1961@gmail.com</t>
  </si>
  <si>
    <t>pedro039americas@yahoo.es</t>
  </si>
  <si>
    <t>nelarma@yahoo.com</t>
  </si>
  <si>
    <t>aristipg@hotmail.com</t>
  </si>
  <si>
    <t>orlandoblancoperez2861@gmail.com</t>
  </si>
  <si>
    <t>monymec@hotmail.com</t>
  </si>
  <si>
    <t>paredespedro727@gmail.com</t>
  </si>
  <si>
    <t>gussoto@hotmail.es</t>
  </si>
  <si>
    <t>gonce3@hotmail.com</t>
  </si>
  <si>
    <t>administracion@artesaniasmerarte.com</t>
  </si>
  <si>
    <t>santossantosjairo4@gmail.com</t>
  </si>
  <si>
    <t>sgpico08@gmail.com</t>
  </si>
  <si>
    <t>jocafe62@gmail.com</t>
  </si>
  <si>
    <t>helensofia.14@hotmail.com</t>
  </si>
  <si>
    <t>stanisvd@gmail.com</t>
  </si>
  <si>
    <t>jalfonsovs@gmail.com</t>
  </si>
  <si>
    <t>johnimolano@gmail.com</t>
  </si>
  <si>
    <t>myriamloal@hotmail.com</t>
  </si>
  <si>
    <t>chaparrocelyluis@gmail.com</t>
  </si>
  <si>
    <t>cresidencialcasablanca@gmail.com</t>
  </si>
  <si>
    <t>lualver99@gmail.com</t>
  </si>
  <si>
    <t>guillpat@gmail.com</t>
  </si>
  <si>
    <t>miltoncardenas960@gmail.com</t>
  </si>
  <si>
    <t>ingenierojorge72@gmail.com</t>
  </si>
  <si>
    <t>ulpive@hotmail.es</t>
  </si>
  <si>
    <t>jmanuelcho@hotmail.com</t>
  </si>
  <si>
    <t>montallantaszapatoca@gmail.com</t>
  </si>
  <si>
    <t>mafetorres12.z@gmail.com</t>
  </si>
  <si>
    <t>randresuyaban@hotmail.com</t>
  </si>
  <si>
    <t>rtg2009@hotmail.com</t>
  </si>
  <si>
    <t>lualmos.25@hotmail.com</t>
  </si>
  <si>
    <t>cyro0909@hotmail.com</t>
  </si>
  <si>
    <t>jorge.acosta.goya@gmail.com</t>
  </si>
  <si>
    <t>jorgegaitan11@hotmail.com</t>
  </si>
  <si>
    <t>goem@misena.edu.co</t>
  </si>
  <si>
    <t>rmedmed@hotmail.com</t>
  </si>
  <si>
    <t>ananiassana01@hotmail.com</t>
  </si>
  <si>
    <t>asanchezh9@gmail.com</t>
  </si>
  <si>
    <t>eduarnicho@hotmail.com</t>
  </si>
  <si>
    <t>gallomartin470@gmail.com</t>
  </si>
  <si>
    <t>jaimehernando62@hotmail.com</t>
  </si>
  <si>
    <t>lacevedoh@yahoo.es</t>
  </si>
  <si>
    <t>gerardocastrop@hotmail.com</t>
  </si>
  <si>
    <t>jantomeb110362@hotmail.com</t>
  </si>
  <si>
    <t>mialdurt@gmail.com</t>
  </si>
  <si>
    <t>alvarindejesus@gmail.com</t>
  </si>
  <si>
    <t>ravp63@hotmail.com</t>
  </si>
  <si>
    <t>hernandocuvaqueg@yahoo.com</t>
  </si>
  <si>
    <t>ricardobarq@yahoo.es</t>
  </si>
  <si>
    <t>scorreatorres@yahoo.es</t>
  </si>
  <si>
    <t>robertcamargo720@outlook.com</t>
  </si>
  <si>
    <t>ramonig44@gmail.com</t>
  </si>
  <si>
    <t>jorgeperezfonseca@hotmail.com</t>
  </si>
  <si>
    <t>fpuertoc@yahoo.com</t>
  </si>
  <si>
    <t>anreyes63@hotmail.com</t>
  </si>
  <si>
    <t>gusrinver811@yahoo.com</t>
  </si>
  <si>
    <t>josebarreracarvajal63@gmail.com</t>
  </si>
  <si>
    <t>heluque@gmail.com</t>
  </si>
  <si>
    <t>zuyulape@hotmail.com</t>
  </si>
  <si>
    <t>jmramirezf1@gmail.com</t>
  </si>
  <si>
    <t>joseabes@hotmail.com</t>
  </si>
  <si>
    <t>rmanriques@gmail.com</t>
  </si>
  <si>
    <t>alirioquijano1963@gmail.com</t>
  </si>
  <si>
    <t>RODULFO31ND@gmail.com</t>
  </si>
  <si>
    <t>notienecorreo@gmail.com</t>
  </si>
  <si>
    <t>lizarazoedilberto39@gmail.com</t>
  </si>
  <si>
    <t>josehernandezchaparro1@gmail.com</t>
  </si>
  <si>
    <t>jononini@gmail.com</t>
  </si>
  <si>
    <t>tata.restaurante1@gmail.com</t>
  </si>
  <si>
    <t>armanditolopez2007@gmail.com</t>
  </si>
  <si>
    <t>yilbber.gerencia2@gmail.com</t>
  </si>
  <si>
    <t>marcoaureliocardosoafricano@hotmail.com</t>
  </si>
  <si>
    <t>germanenrique6143@hotmail.com</t>
  </si>
  <si>
    <t>henrydavid59@hotmail.com</t>
  </si>
  <si>
    <t>julepat@hotmail.com</t>
  </si>
  <si>
    <t>tecnimecanica3@gmail.com</t>
  </si>
  <si>
    <t>xexatin@yahoo.es</t>
  </si>
  <si>
    <t>juanbatcor@hotmail.com</t>
  </si>
  <si>
    <t>segundosissa38@gmail.com</t>
  </si>
  <si>
    <t>carpasuniversalduitama@gmail.com</t>
  </si>
  <si>
    <t>ceciliarincon08@gmail.com</t>
  </si>
  <si>
    <t>iguavitahernan@gmail.com</t>
  </si>
  <si>
    <t>omandiesel1963@hotmail.com</t>
  </si>
  <si>
    <t>creditostundama@hotmail.com</t>
  </si>
  <si>
    <t>luiscelyb@gmail.com</t>
  </si>
  <si>
    <t>jairoraulmejia@hotmail.com</t>
  </si>
  <si>
    <t>larapjosei@gmail.com</t>
  </si>
  <si>
    <t>hugobecerramunoz8@hotmail.com</t>
  </si>
  <si>
    <t>jairopipe2004@hotmail.com</t>
  </si>
  <si>
    <t>laureanop_1962@hotmail.com</t>
  </si>
  <si>
    <t>pedro.o@claro.co</t>
  </si>
  <si>
    <t>asecontlom@hotmail.com</t>
  </si>
  <si>
    <t>fliacardenasruiz@gmail.com</t>
  </si>
  <si>
    <t>luisguime@hotmail.com</t>
  </si>
  <si>
    <t>luisfrancisco.lara@hotmail.com</t>
  </si>
  <si>
    <t>willys4657@hotmail.com</t>
  </si>
  <si>
    <t>independientebeltran2024@gmail.com</t>
  </si>
  <si>
    <t>aggovi2017@gmail.com</t>
  </si>
  <si>
    <t>albertobecerraneira430@gmail.com</t>
  </si>
  <si>
    <t>gilbefon@hotmail.com</t>
  </si>
  <si>
    <t>josemiguelmonroy64@gmail.com</t>
  </si>
  <si>
    <t>juansanabriach@gmail.com</t>
  </si>
  <si>
    <t>cedielfajardo@gmail.com</t>
  </si>
  <si>
    <t>pedronet50net@gmail.com</t>
  </si>
  <si>
    <t>carturchapa@yahoo.com</t>
  </si>
  <si>
    <t>diazalbarracin10@gmail.com</t>
  </si>
  <si>
    <t>ismael_0409@hotmail.com</t>
  </si>
  <si>
    <t>juanglezvi@gmail.com</t>
  </si>
  <si>
    <t>mariangom937@gmail.com</t>
  </si>
  <si>
    <t>chinomix88@hotmail.com</t>
  </si>
  <si>
    <t>hernandolopez7208@hotmail.com</t>
  </si>
  <si>
    <t>henryguiobarrera@gmail.com</t>
  </si>
  <si>
    <t>ferremundialleon@hotmail.com</t>
  </si>
  <si>
    <t>jose63@gmail.com</t>
  </si>
  <si>
    <t>julioh1963@hotmail.com</t>
  </si>
  <si>
    <t>raulsantoyo@hotmail.com</t>
  </si>
  <si>
    <t>ernestosanchez.104@gmail.com</t>
  </si>
  <si>
    <t>danifoco@hotmail.com</t>
  </si>
  <si>
    <t>gonzalezg.gustavo@gmail.com</t>
  </si>
  <si>
    <t>jjoakopuerto@hotmail.com</t>
  </si>
  <si>
    <t>serafin001@hotmail.com</t>
  </si>
  <si>
    <t>juanfertolosa@hotmail.com</t>
  </si>
  <si>
    <t>pedromontoya92@gmail.com</t>
  </si>
  <si>
    <t>nevardo2502@hotmail.com</t>
  </si>
  <si>
    <t>silicar63@hotmail.com</t>
  </si>
  <si>
    <t>paceneto@gmail.com</t>
  </si>
  <si>
    <t>cristisebas02@gmail.com</t>
  </si>
  <si>
    <t>fiproltda@gmail.com</t>
  </si>
  <si>
    <t>edumo1409@hotmail.com</t>
  </si>
  <si>
    <t>joseedilbertoperez@hotmail.com</t>
  </si>
  <si>
    <t>mmkktt11@gmail.com</t>
  </si>
  <si>
    <t>ricardomedi1964@gmail.com</t>
  </si>
  <si>
    <t>ll_j_e@hotmail.com</t>
  </si>
  <si>
    <t>segio.abc2009@hotmail.com</t>
  </si>
  <si>
    <t>carlos2015bece@gmail.com</t>
  </si>
  <si>
    <t>josmofe07@gmail.com</t>
  </si>
  <si>
    <t>hernando.ricaurte1175@yahoo.com</t>
  </si>
  <si>
    <t>TATIANAMOGOLLON3@gmail.com</t>
  </si>
  <si>
    <t>josueaha@gmail.com</t>
  </si>
  <si>
    <t>luisernestomanosalva1464@gmail.com</t>
  </si>
  <si>
    <t>op.ingenieriacmsas@gmail.com</t>
  </si>
  <si>
    <t>macm1417@hotmail.com</t>
  </si>
  <si>
    <t>vickyrojascamargo@gmail.com</t>
  </si>
  <si>
    <t>cabr64@hotmail.com</t>
  </si>
  <si>
    <t>capuertot55@gmail.com</t>
  </si>
  <si>
    <t>manuelalvarado2002@hotmail.com</t>
  </si>
  <si>
    <t>sosajosej@hotmail.com</t>
  </si>
  <si>
    <t>jnitolag@gmail.com</t>
  </si>
  <si>
    <t>favipuer@hotmail.com</t>
  </si>
  <si>
    <t>aralbertoruge@gmail.com</t>
  </si>
  <si>
    <t>albertocepedasantos@gmail.com</t>
  </si>
  <si>
    <t>edgarfonseca20@gmail.com</t>
  </si>
  <si>
    <t>leidicita967@gmail.com</t>
  </si>
  <si>
    <t>ismar63@gmail.com</t>
  </si>
  <si>
    <t>fabiorg33@gmail.com</t>
  </si>
  <si>
    <t>hotelaceljuncal@hotmail.com</t>
  </si>
  <si>
    <t>manolo54_blanco@hotmail.com</t>
  </si>
  <si>
    <t>karenamalia.becerra4@gmail.com</t>
  </si>
  <si>
    <t>yurik03@hotmail.com</t>
  </si>
  <si>
    <t>jorge6ves@gmail.com</t>
  </si>
  <si>
    <t>edgargonzalocha@gmail.com</t>
  </si>
  <si>
    <t>paito1103@hayoo.es</t>
  </si>
  <si>
    <t>calixtobernal1964@gmail.com</t>
  </si>
  <si>
    <t>jvb6326@gmail.com</t>
  </si>
  <si>
    <t>esmartv29@yahoo.es</t>
  </si>
  <si>
    <t>brauliosilvaflorez@gmail.com</t>
  </si>
  <si>
    <t>carlosjbecerra0219@gmail.com</t>
  </si>
  <si>
    <t>germancorredorperez@gmail.com</t>
  </si>
  <si>
    <t>ismaelcely09@gmail.com</t>
  </si>
  <si>
    <t>mare9109@gmail.com</t>
  </si>
  <si>
    <t>urielzimbaqueva@gmail.com</t>
  </si>
  <si>
    <t>faustinocely@hotmail.com</t>
  </si>
  <si>
    <t>germanlara.163@hotmail.com</t>
  </si>
  <si>
    <t>molanohugo@gmail.com</t>
  </si>
  <si>
    <t>jennymesa93@gmail.com</t>
  </si>
  <si>
    <t>josebonillaroja454@gmail.com</t>
  </si>
  <si>
    <t>leidy91-02@hotmail.com</t>
  </si>
  <si>
    <t>carlosarturomachucaniño@gmail.com</t>
  </si>
  <si>
    <t>rafaeldiaco@yahoo.com.mx</t>
  </si>
  <si>
    <t>mrt09221@gmail.com</t>
  </si>
  <si>
    <t>mao.medina@hotmail.com</t>
  </si>
  <si>
    <t>henryalfpuerto@gmail.com</t>
  </si>
  <si>
    <t>arnulfopedrazareyes@gmail.com</t>
  </si>
  <si>
    <t>yolycorre21@hotmail.com</t>
  </si>
  <si>
    <t>marcolinoladino@gmail.com</t>
  </si>
  <si>
    <t>luislizarazo180@gmail.com</t>
  </si>
  <si>
    <t>mgomezcamacho2022@gmail.com</t>
  </si>
  <si>
    <t>vegamluisan@hotmail.com</t>
  </si>
  <si>
    <t>julianatorres910@gmail.com</t>
  </si>
  <si>
    <t>gabyreyesg@hotmail.com</t>
  </si>
  <si>
    <t>ago1865@hotmail.com</t>
  </si>
  <si>
    <t>erika9405_@hotmail.com</t>
  </si>
  <si>
    <t>adri.lore.gaitan@gmail.com</t>
  </si>
  <si>
    <t>trazosfuego@gmail.com</t>
  </si>
  <si>
    <t>mileco_2105@hotmail.com</t>
  </si>
  <si>
    <t>yeisonnieto@hotmail.com</t>
  </si>
  <si>
    <t>meridabolivar@yahoo.es</t>
  </si>
  <si>
    <t>ivan.d22@hotmail.com</t>
  </si>
  <si>
    <t>leonardoavellanedam@hotmail.com</t>
  </si>
  <si>
    <t>winime98@yahoo.com</t>
  </si>
  <si>
    <t>victorjuliorojas12@gmail.com</t>
  </si>
  <si>
    <t>pcusba@gmail.com</t>
  </si>
  <si>
    <t>juceron23@gmail.com</t>
  </si>
  <si>
    <t>lagranpinateriatiendadedetalle@gmail.com</t>
  </si>
  <si>
    <t>ramirezcorreaorlando@gmail.com</t>
  </si>
  <si>
    <t>maderasnel@hotmail.com</t>
  </si>
  <si>
    <t>miguellara1965@hotmail.com</t>
  </si>
  <si>
    <t>germanvegam@yahoo.es</t>
  </si>
  <si>
    <t>lopezquijanoalfonso@gmail.com</t>
  </si>
  <si>
    <t>edgar_zabala@hotmail.es</t>
  </si>
  <si>
    <t>jaimico1112@gmail.com</t>
  </si>
  <si>
    <t>willylm1200@gmail.com</t>
  </si>
  <si>
    <t>thetrolling2412@gmail.com</t>
  </si>
  <si>
    <t>marfernandar@hotmail.com</t>
  </si>
  <si>
    <t>wialpato@hotmail.com</t>
  </si>
  <si>
    <t>carlosjuliodiazsolano@gmail.com</t>
  </si>
  <si>
    <t>alcalderon66@yahoo.com.co</t>
  </si>
  <si>
    <t>rosas_enrique_@hotmail.com</t>
  </si>
  <si>
    <t>juronial@hotmail.es</t>
  </si>
  <si>
    <t>jdvilla65@yahoo.con</t>
  </si>
  <si>
    <t>hernandodta@gmail.com</t>
  </si>
  <si>
    <t>franjacam@hotmail.com</t>
  </si>
  <si>
    <t>dafer-1993@hotmail.com</t>
  </si>
  <si>
    <t>denixalr@gmail.com</t>
  </si>
  <si>
    <t>lucarigo66@hotmail.com</t>
  </si>
  <si>
    <t>pedrocastrobarrera@gmail.com</t>
  </si>
  <si>
    <t>tavinmar@yahoo.es</t>
  </si>
  <si>
    <t>almidas7@hotmail.com</t>
  </si>
  <si>
    <t>jaimeacevedotorres722@gmail.com</t>
  </si>
  <si>
    <t>nubialopezcely5@gmail.com</t>
  </si>
  <si>
    <t>javiersolix@hotmail.com</t>
  </si>
  <si>
    <t>hugopatarroyo@gmail.com</t>
  </si>
  <si>
    <t>pompeyoalb22@hotmail.com</t>
  </si>
  <si>
    <t>jorlapardo@hotmail.es</t>
  </si>
  <si>
    <t>carlosjmedina66@gmail.com</t>
  </si>
  <si>
    <t>jairosissa3002@gmail.com</t>
  </si>
  <si>
    <t>blanca.rosa.17@hotmail.com</t>
  </si>
  <si>
    <t>marcoagg0228@gmail.com</t>
  </si>
  <si>
    <t>BELISARIOGUARIN0910@GMAIL.COM</t>
  </si>
  <si>
    <t>guillermotista@hotmail.com</t>
  </si>
  <si>
    <t>willi.lara66@gmail.com</t>
  </si>
  <si>
    <t>eangaritab@gmail.com</t>
  </si>
  <si>
    <t>fabiomoralesbit@gmail.com</t>
  </si>
  <si>
    <t>juancasandoval2965@gmail.com</t>
  </si>
  <si>
    <t>julioricardoaparicio@hotmail.com</t>
  </si>
  <si>
    <t>ramonsala66_@hotmail.com</t>
  </si>
  <si>
    <t>henryduran66@gmail.com</t>
  </si>
  <si>
    <t>cm7222@gmail.com</t>
  </si>
  <si>
    <t>remigiosuarezalarcon@gmail.com</t>
  </si>
  <si>
    <t>maoduitama@hotmail.com</t>
  </si>
  <si>
    <t>argemiroalvarezcaracas@gmail.com</t>
  </si>
  <si>
    <t>toponaa66@gmail.com</t>
  </si>
  <si>
    <t>betogar20@hotmail.com</t>
  </si>
  <si>
    <t>lgacero@gmail.com</t>
  </si>
  <si>
    <t>ricardobecerra151170@gmail.com</t>
  </si>
  <si>
    <t>gersan88@gmail.com</t>
  </si>
  <si>
    <t>johannitas1991@gmail.com</t>
  </si>
  <si>
    <t>locoshinco@yahoo.es</t>
  </si>
  <si>
    <t>luiscar6604@gmail.com</t>
  </si>
  <si>
    <t>gabriel.puentes19@gmail.com</t>
  </si>
  <si>
    <t>ingcesarfigueredo@yahoo.com</t>
  </si>
  <si>
    <t>vilmatobofajardo@hotmail.com</t>
  </si>
  <si>
    <t>mayojoya@gmail.com</t>
  </si>
  <si>
    <t>carroceriaselebosque@gmail.com</t>
  </si>
  <si>
    <t>agustincastrocely@hotmail.com</t>
  </si>
  <si>
    <t>seguromonta@yahoo.es</t>
  </si>
  <si>
    <t>jrodriguezacero12@gmail.com</t>
  </si>
  <si>
    <t>mariacarmenzap1976@gmail.com</t>
  </si>
  <si>
    <t>jucecom@hotmail.com</t>
  </si>
  <si>
    <t>laraseguraalvarogerman@gmail.com</t>
  </si>
  <si>
    <t>notificacionesjudicialesgp@gmail.com</t>
  </si>
  <si>
    <t>arturoleon1401@gmail.com</t>
  </si>
  <si>
    <t>asly1607@gmail.com</t>
  </si>
  <si>
    <t>feralsuna@yahoo.es</t>
  </si>
  <si>
    <t>fabisro95@hotmail.com</t>
  </si>
  <si>
    <t>rodolfomartinez05@hotmail.com</t>
  </si>
  <si>
    <t>mvaldegalan66@gmail.com</t>
  </si>
  <si>
    <t>jairo.cardozo@uptc.edu.co</t>
  </si>
  <si>
    <t>ramirezdallos@gmail.com</t>
  </si>
  <si>
    <t>INTENCARS@gmail.com</t>
  </si>
  <si>
    <t>fagonzavivas@gmail.com</t>
  </si>
  <si>
    <t>WILSONHARRY6@gmail.com</t>
  </si>
  <si>
    <t>luiseduardofonsecaparino9@gmail.com</t>
  </si>
  <si>
    <t>albarufi46@gmail.com</t>
  </si>
  <si>
    <t>pinedamelina1@gmail.com</t>
  </si>
  <si>
    <t>jaimebecerra311@gmail.com</t>
  </si>
  <si>
    <t>ochoaeliecer@hotmail.com</t>
  </si>
  <si>
    <t>nlara1967@gmail.com</t>
  </si>
  <si>
    <t>francisgnc@gmail.com</t>
  </si>
  <si>
    <t>luisvb1568@gmail.com</t>
  </si>
  <si>
    <t>lalibertad68@hotmail.com</t>
  </si>
  <si>
    <t>belahv.4@hotmail.com</t>
  </si>
  <si>
    <t>josejimenoalvarado67@gmail.com</t>
  </si>
  <si>
    <t>aliriomoreno66@gmail.com</t>
  </si>
  <si>
    <t>leopoldosoler67@yahoo.com.co</t>
  </si>
  <si>
    <t>leonelsierran@yahoo.es</t>
  </si>
  <si>
    <t>ederlgs@gmail.com</t>
  </si>
  <si>
    <t>jmigueortiz@gmail.com</t>
  </si>
  <si>
    <t>hernant67@hotmail.com</t>
  </si>
  <si>
    <t>humbersanmolano2016@gmail.com</t>
  </si>
  <si>
    <t>fabio.becerra@hotmail.com</t>
  </si>
  <si>
    <t>sergio.gonzalez.68@hotmail.com</t>
  </si>
  <si>
    <t>jaimealvarezhernandez1@gmail.com</t>
  </si>
  <si>
    <t>rolandobarrerabohorquez@gmail.com</t>
  </si>
  <si>
    <t>josealfredog@hotmail.com</t>
  </si>
  <si>
    <t>jdtamayo68@hotmail.com</t>
  </si>
  <si>
    <t>7223877g@gmail.com</t>
  </si>
  <si>
    <t>enryquegaso@gmail.com</t>
  </si>
  <si>
    <t>maguiveres10@gmail.com</t>
  </si>
  <si>
    <t>clientes@gmnail.com</t>
  </si>
  <si>
    <t>betogaba14@gmail.com</t>
  </si>
  <si>
    <t>sclaudiajanneth@yahoo.es</t>
  </si>
  <si>
    <t>alexismont@hotmail.com</t>
  </si>
  <si>
    <t>larayeffer@gmail.com</t>
  </si>
  <si>
    <t>rinconjose159@gmail.com</t>
  </si>
  <si>
    <t>wilsonnitola@hotmail.com</t>
  </si>
  <si>
    <t>bernalmiguel661@gmail.com</t>
  </si>
  <si>
    <t>carlosbarrera201408@gmail.com</t>
  </si>
  <si>
    <t>alfredd370bonilla@gmail.com</t>
  </si>
  <si>
    <t>luchisjo38@hotmail.com</t>
  </si>
  <si>
    <t>witomas28@hotmail.com</t>
  </si>
  <si>
    <t>ljsandoval.v@hotmail.com</t>
  </si>
  <si>
    <t>mcclain.81@hotmail.com</t>
  </si>
  <si>
    <t>salawyer@hotmail.com</t>
  </si>
  <si>
    <t>mcamargo.20@hotmail.com</t>
  </si>
  <si>
    <t>mtsp2023@gmail.com</t>
  </si>
  <si>
    <t>diazvivas1511@gmail.com</t>
  </si>
  <si>
    <t>oswaldotorresr@hotmail.com</t>
  </si>
  <si>
    <t>emiliano.medinarey@gmail.com</t>
  </si>
  <si>
    <t>manmogollas@yahoo.com</t>
  </si>
  <si>
    <t>jaime.villamil29@gmail.com</t>
  </si>
  <si>
    <t>LISSETHFLOREZ04@gmail.com</t>
  </si>
  <si>
    <t>yaorincon@hotmail.com</t>
  </si>
  <si>
    <t>luchosc@hotmail.es</t>
  </si>
  <si>
    <t>pahmar@hotmail.com</t>
  </si>
  <si>
    <t>mpedraza66@yahoo.es</t>
  </si>
  <si>
    <t>MARIAE02212@hotmail.com</t>
  </si>
  <si>
    <t>hectoraguilloncolombia@gmail.com</t>
  </si>
  <si>
    <t>jorgevega2468@gmail.com</t>
  </si>
  <si>
    <t>ORLANDOVEGA.FLOREZ@hotmail.com</t>
  </si>
  <si>
    <t>henhuch@hotmail.com</t>
  </si>
  <si>
    <t>plogastec.torres0121@hotmail.com</t>
  </si>
  <si>
    <t>orlis-3201@hotmail.com</t>
  </si>
  <si>
    <t>polgonza@hotmail.es</t>
  </si>
  <si>
    <t>wilcifs@gmail.com</t>
  </si>
  <si>
    <t>erikdani9723@outlook.es</t>
  </si>
  <si>
    <t>guillermoapontee@yahoo.es</t>
  </si>
  <si>
    <t>juanjosecastrob@hotmail.com</t>
  </si>
  <si>
    <t>rodriarchila@yahoo.com</t>
  </si>
  <si>
    <t>carlosaperico02@gmail.com</t>
  </si>
  <si>
    <t>pedrogranados1347@gmail.com</t>
  </si>
  <si>
    <t>maury2013@yahoo.es</t>
  </si>
  <si>
    <t>flaviofm1@gmail.com</t>
  </si>
  <si>
    <t>albeirogarcialbarracin@gmail.com</t>
  </si>
  <si>
    <t>familiacardenas180@gmail.com</t>
  </si>
  <si>
    <t>crisrongonz66@gmail.com</t>
  </si>
  <si>
    <t>quesosdepaipa2009@hotmail.com</t>
  </si>
  <si>
    <t>guillermogonzalez_m@hotmail.com</t>
  </si>
  <si>
    <t>carlos_acevedo1968@yahoo.com.ar</t>
  </si>
  <si>
    <t>martinico1968@gmail.com</t>
  </si>
  <si>
    <t>alarcon07jp@gmail.com</t>
  </si>
  <si>
    <t>luisf.vija@gmail.com</t>
  </si>
  <si>
    <t>ingearcor@gmail.com</t>
  </si>
  <si>
    <t>fernando192823@gmail.com</t>
  </si>
  <si>
    <t>senaida.martinez74@gmail.com</t>
  </si>
  <si>
    <t>germancarosanchez1968@gmail.com</t>
  </si>
  <si>
    <t>jorguerincontorres68@gmail.com</t>
  </si>
  <si>
    <t>xac_517@hotmail.com</t>
  </si>
  <si>
    <t>ecrismep.medina@gmail.com</t>
  </si>
  <si>
    <t>elisabethcabra@gmail.com</t>
  </si>
  <si>
    <t>mireyacaztro@gmail.com</t>
  </si>
  <si>
    <t>victor.duarte@hotmail.com</t>
  </si>
  <si>
    <t>lucho_tibaduizap@hotmail.com</t>
  </si>
  <si>
    <t>ricardodiazduitama@gmail.com</t>
  </si>
  <si>
    <t>alejo69parra@hotmail.com</t>
  </si>
  <si>
    <t>alaalfonso@hotmail.es</t>
  </si>
  <si>
    <t>luciabenavidez3@gmail.com</t>
  </si>
  <si>
    <t>facturacionjrhm@gmail.com</t>
  </si>
  <si>
    <t>oscar.santos1055@gmail.com</t>
  </si>
  <si>
    <t>centraldellantas@hotmail.com</t>
  </si>
  <si>
    <t>jfpr199820@gmail.com</t>
  </si>
  <si>
    <t>anyisaavedra2013@gmail.com</t>
  </si>
  <si>
    <t>edgarjquintero@gmail.com</t>
  </si>
  <si>
    <t>rosele103@hotmail.es</t>
  </si>
  <si>
    <t>arnulfo08perez@gmail.com</t>
  </si>
  <si>
    <t>vargasalfonso1@hotmail.com</t>
  </si>
  <si>
    <t>pabloantoniofonsecaavila@gmail.com</t>
  </si>
  <si>
    <t>lilianamorenoleon91@gmail.com</t>
  </si>
  <si>
    <t>nairocamargo@gmail.com</t>
  </si>
  <si>
    <t>becerraangel73@gmail.com</t>
  </si>
  <si>
    <t>jesmartdue@hotmail.com</t>
  </si>
  <si>
    <t>pitercillo11@hotmail.com</t>
  </si>
  <si>
    <t>juanarenas953@gmail.com</t>
  </si>
  <si>
    <t>SUPERTO-4@HOTMAIL.COM</t>
  </si>
  <si>
    <t>wedorojas@gmail.com</t>
  </si>
  <si>
    <t>nahun.baez@gmail.com</t>
  </si>
  <si>
    <t>martincito4242@gmail.com</t>
  </si>
  <si>
    <t>josrodrig@hotmail.com</t>
  </si>
  <si>
    <t>orlandorica@gmail.com</t>
  </si>
  <si>
    <t>cristianravelo286@gmail.com</t>
  </si>
  <si>
    <t>hernando.torresrincon@gmail.com</t>
  </si>
  <si>
    <t>dianis_marce17@hotmail.com</t>
  </si>
  <si>
    <t>vicenteperezs@yahoo.es</t>
  </si>
  <si>
    <t>hectorasandovalg@gmail.com</t>
  </si>
  <si>
    <t>cropitam211@gmail.com</t>
  </si>
  <si>
    <t>gutova29@gmail.com</t>
  </si>
  <si>
    <t>alvarocabra69@gmail.com</t>
  </si>
  <si>
    <t>yajada32007@hotmail.com</t>
  </si>
  <si>
    <t>mauricio21acosta@outlook.com</t>
  </si>
  <si>
    <t>gabrielma86@hotmail.com</t>
  </si>
  <si>
    <t>danielneirpin69@hotmail.com</t>
  </si>
  <si>
    <t>novaveloza235@gmail.com</t>
  </si>
  <si>
    <t>fernandocamargo69@hotmail.com</t>
  </si>
  <si>
    <t>fhiguera7@gmail.com</t>
  </si>
  <si>
    <t>silvacastroluisfrancisco@gmail.com</t>
  </si>
  <si>
    <t>rafaelsanabria7225@gmail.com</t>
  </si>
  <si>
    <t>juanca.ruizamezquita@gmail.com</t>
  </si>
  <si>
    <t>gelaciomiguel6950@hotmail.com</t>
  </si>
  <si>
    <t>hevisi1@gmail.com</t>
  </si>
  <si>
    <t>alexbm1011@gmail.com</t>
  </si>
  <si>
    <t>oshomaro@hotmail.com</t>
  </si>
  <si>
    <t>orlandof_69@hotmail.com</t>
  </si>
  <si>
    <t>richard11fuentes@hotmail.com</t>
  </si>
  <si>
    <t>pedrobecerra693@gmail.com</t>
  </si>
  <si>
    <t>wperez@argos.com.co</t>
  </si>
  <si>
    <t>pedroantonib00@gmail.com</t>
  </si>
  <si>
    <t>eduar.avella@gmail.com</t>
  </si>
  <si>
    <t>jeacalfonso@yahoo.es</t>
  </si>
  <si>
    <t>josegabrielnitola70@gmail.com</t>
  </si>
  <si>
    <t>alvarogabrielt@gmail.com</t>
  </si>
  <si>
    <t>nogocha@gmail.com</t>
  </si>
  <si>
    <t>gcasasti@hotmail.com</t>
  </si>
  <si>
    <t>gergonpri@hotmail.com</t>
  </si>
  <si>
    <t>pachequito2870@yahoo.com</t>
  </si>
  <si>
    <t>elctricosgonzalez@yahoo.com</t>
  </si>
  <si>
    <t>jctristancho@gmail.com</t>
  </si>
  <si>
    <t>lizcanoluisfernando7@gmail.com</t>
  </si>
  <si>
    <t>hojana2022@gmail.com</t>
  </si>
  <si>
    <t>luguca18@gmail.com</t>
  </si>
  <si>
    <t>danisalcedoc@gmail.com</t>
  </si>
  <si>
    <t>marinojavier90@hotmail.com</t>
  </si>
  <si>
    <t>oscar2016daza@gmail.com</t>
  </si>
  <si>
    <t>aldrinbecerra@gmail.com</t>
  </si>
  <si>
    <t>sofiace1970@hotmail.com</t>
  </si>
  <si>
    <t>hectorehernandez@hotmail.com</t>
  </si>
  <si>
    <t>LERONAGUI@hotmail.com</t>
  </si>
  <si>
    <t>luis.fdo.rp@gmail.com</t>
  </si>
  <si>
    <t>PASULPU@gmail.com</t>
  </si>
  <si>
    <t>nikilimas@hotmail.com</t>
  </si>
  <si>
    <t>jorgemonrojas@gmail.com</t>
  </si>
  <si>
    <t>nellybrit2018@gmail.com</t>
  </si>
  <si>
    <t>unicomjb@hotmail.com</t>
  </si>
  <si>
    <t>angelabarbosa09@yahoo.com</t>
  </si>
  <si>
    <t>sandovalrojasc@yahoo.com</t>
  </si>
  <si>
    <t>servando.33@hotmail.com</t>
  </si>
  <si>
    <t>vcgonzalez@misena.edu.co</t>
  </si>
  <si>
    <t>rafaelest19@gmail.com</t>
  </si>
  <si>
    <t>palenciaf@hotmail.com</t>
  </si>
  <si>
    <t>1970wiger@gmail.com</t>
  </si>
  <si>
    <t>baronyimi20@gmail.com</t>
  </si>
  <si>
    <t>garciadistripepsico@gmail.com</t>
  </si>
  <si>
    <t>guillermoaraque70@hotmail.com</t>
  </si>
  <si>
    <t>lucymona1406@gmail.com</t>
  </si>
  <si>
    <t>he.saman@hotmail.com</t>
  </si>
  <si>
    <t>carlosama1509@gmail.com</t>
  </si>
  <si>
    <t>oscaralveiro45@gmail.com</t>
  </si>
  <si>
    <t>osvaldoguevarav@hotmail.com</t>
  </si>
  <si>
    <t>willyn772@gmail.com</t>
  </si>
  <si>
    <t>rosana2345@hotmail.com</t>
  </si>
  <si>
    <t>luis.arojas7020@yahoo.com</t>
  </si>
  <si>
    <t>hugorojas070@yahoo.es</t>
  </si>
  <si>
    <t>armapuerto@hotmail.com</t>
  </si>
  <si>
    <t>yoduck70@gmail.com</t>
  </si>
  <si>
    <t>hugosanjica@gmail.com</t>
  </si>
  <si>
    <t>libis1ape@yahoo.es</t>
  </si>
  <si>
    <t>kata.adame1998@gmail.com</t>
  </si>
  <si>
    <t>josempc16@gmail.com</t>
  </si>
  <si>
    <t>industriamduitama@hotmail.com</t>
  </si>
  <si>
    <t>fredyroblescely@hotmail.com</t>
  </si>
  <si>
    <t>lorenzoft2007@yahoo.com</t>
  </si>
  <si>
    <t>sanchezflorezl@gmail.com</t>
  </si>
  <si>
    <t>haldrinra@hotmail.com</t>
  </si>
  <si>
    <t>mauricioparra275@gmail.com</t>
  </si>
  <si>
    <t>pedro.fajardocuchango@gmail.com</t>
  </si>
  <si>
    <t>juliopineros@gmail.com</t>
  </si>
  <si>
    <t>josevicentecuadros@gmail.com</t>
  </si>
  <si>
    <t>jucefocri@hotmail.com</t>
  </si>
  <si>
    <t>nestorpaipa@gmail.com</t>
  </si>
  <si>
    <t>gualolara@gmail.com</t>
  </si>
  <si>
    <t>jviva010@gmail.com</t>
  </si>
  <si>
    <t>ferruchuguzmand@gmail.com</t>
  </si>
  <si>
    <t>albertoflorezbaez@gmail.com</t>
  </si>
  <si>
    <t>sthefannya0424@gmail.com</t>
  </si>
  <si>
    <t>cjscontador2007@yahoo.com</t>
  </si>
  <si>
    <t>mati_roga71@yahoo.com</t>
  </si>
  <si>
    <t>oscar.sia@hotmail.com</t>
  </si>
  <si>
    <t>omarjavier_247@outlook.com</t>
  </si>
  <si>
    <t>sarmientojaime53@gmail.com</t>
  </si>
  <si>
    <t>harveysg80@gmail.com</t>
  </si>
  <si>
    <t>dcorredor71@hotmail.com</t>
  </si>
  <si>
    <t>omarduitama865@gmail.com</t>
  </si>
  <si>
    <t>helver.rojas19@hotmail.com</t>
  </si>
  <si>
    <t>benjaminleondiaz@gmail.com</t>
  </si>
  <si>
    <t>kdallana.garzon@gmail.com</t>
  </si>
  <si>
    <t>luisante.2007@gmail.com</t>
  </si>
  <si>
    <t>gaboerez631@gmail.com</t>
  </si>
  <si>
    <t>wilson197111@gmail.com</t>
  </si>
  <si>
    <t>joseluisingvias@gmail.com</t>
  </si>
  <si>
    <t>guevarajorge1306@gmail.com</t>
  </si>
  <si>
    <t>leonardojonhypq@gmail.com</t>
  </si>
  <si>
    <t>abel012@gmail.com</t>
  </si>
  <si>
    <t>krisaguilarm22@gmail.com</t>
  </si>
  <si>
    <t>servi_colors@hotmail.com</t>
  </si>
  <si>
    <t>raficomijo265@hotmail.com</t>
  </si>
  <si>
    <t>raullarotta@gmail.com</t>
  </si>
  <si>
    <t>york27.jm@gmail.com</t>
  </si>
  <si>
    <t>cadenamaricela45@gmail.com</t>
  </si>
  <si>
    <t>ulisesgarcia252@gmail.com</t>
  </si>
  <si>
    <t>fer.9623@hotmail.com</t>
  </si>
  <si>
    <t>guibosi2008@hotmail.com</t>
  </si>
  <si>
    <t>jesuslara2017895@gmail.com</t>
  </si>
  <si>
    <t>efascp@gmail.com</t>
  </si>
  <si>
    <t>giovannitorres8@hotmal.com</t>
  </si>
  <si>
    <t>nelsonespindola260@gmail.com</t>
  </si>
  <si>
    <t>vivasrafael921@gmail.com</t>
  </si>
  <si>
    <t>luamado2009@gmail.com</t>
  </si>
  <si>
    <t>pio8807@hotmail.com</t>
  </si>
  <si>
    <t>nidiatrujillosanchez@yahoo.com</t>
  </si>
  <si>
    <t>lf_granados@yahoo.es</t>
  </si>
  <si>
    <t>benjaminsg123@gmail.com</t>
  </si>
  <si>
    <t>percheron1971@hotmail.com</t>
  </si>
  <si>
    <t>jorgeflorezprieto@gmail.com</t>
  </si>
  <si>
    <t>forpifacturas@gmail.com</t>
  </si>
  <si>
    <t>fmesa.aparicio@gmail.com</t>
  </si>
  <si>
    <t>josea_gano61@yahoo.es</t>
  </si>
  <si>
    <t>nmartinez@ebsa.com.co</t>
  </si>
  <si>
    <t>bernallucia80@gmail.com</t>
  </si>
  <si>
    <t>raulcs1125@gmail.com</t>
  </si>
  <si>
    <t>antoniocas7776@gmail.com</t>
  </si>
  <si>
    <t>csuarezcely@hotmail.com</t>
  </si>
  <si>
    <t>juanmanoloman@hotmail.com</t>
  </si>
  <si>
    <t>luarormo@gmail.com</t>
  </si>
  <si>
    <t>gabrielvalderramacristiano@gmail.com</t>
  </si>
  <si>
    <t>fruizvalderrama@gmail.com</t>
  </si>
  <si>
    <t>cajusibe1971@gmail.com</t>
  </si>
  <si>
    <t>cortegaj2010@hotmail.com</t>
  </si>
  <si>
    <t>pineda.hhumberto@hotmail.com</t>
  </si>
  <si>
    <t>pedropablo.bonilla@yahoo.com</t>
  </si>
  <si>
    <t>gialcebri@gmail.com</t>
  </si>
  <si>
    <t>diazpaula2311@gmail.com</t>
  </si>
  <si>
    <t>sonambe70@hotmail.com</t>
  </si>
  <si>
    <t>SANDRORAMIREZ289@gmail.com</t>
  </si>
  <si>
    <t>JORGEABARRERAB@hotmail.com</t>
  </si>
  <si>
    <t>jaimetkf010@hotmail.com</t>
  </si>
  <si>
    <t>japoga.72@hotmail.com</t>
  </si>
  <si>
    <t>audryherreno9@gmail.com</t>
  </si>
  <si>
    <t>oscar72mateus1@gmail.com</t>
  </si>
  <si>
    <t>agustinmarino139@gmail.com</t>
  </si>
  <si>
    <t>vhpn@yahoo.com</t>
  </si>
  <si>
    <t>guarozco@gmail.com</t>
  </si>
  <si>
    <t>wbonillacorrea@yahoo.es</t>
  </si>
  <si>
    <t>aurahiguera073@gmail.com</t>
  </si>
  <si>
    <t>alberto.castillo72.jc@gmail.com</t>
  </si>
  <si>
    <t>camargo03509@gmail.com</t>
  </si>
  <si>
    <t>luischia72@hotmail.com</t>
  </si>
  <si>
    <t>cuarsoedu2009@hotmail.com</t>
  </si>
  <si>
    <t>mabelcabra3@gmail.com</t>
  </si>
  <si>
    <t>rodolfohumbertom@gmail.com</t>
  </si>
  <si>
    <t>inglecf72@gmail.com</t>
  </si>
  <si>
    <t>cristoteama-siguele@hotmail.com</t>
  </si>
  <si>
    <t>henryabril72@hotmail.com</t>
  </si>
  <si>
    <t>olimpocardenas@yahoo.es</t>
  </si>
  <si>
    <t>enriquefonsecacomerciante@gmail.com</t>
  </si>
  <si>
    <t>ricaurtehenry72@gmail.com</t>
  </si>
  <si>
    <t>aristobuloruiz933@gmail.com</t>
  </si>
  <si>
    <t>transmensajes@gmail.com</t>
  </si>
  <si>
    <t>fa.guarin@gmail.com</t>
  </si>
  <si>
    <t>pachecojrodolfo@gmail.com</t>
  </si>
  <si>
    <t>jorgemillan.30.jm@gmail.com</t>
  </si>
  <si>
    <t>seguio70@hotmail.com</t>
  </si>
  <si>
    <t>ricardojosecp1@hotmail.com</t>
  </si>
  <si>
    <t>reciecorogica@gmail.com</t>
  </si>
  <si>
    <t>gonzalogamol@gmail.com</t>
  </si>
  <si>
    <t>fparrasiabato@gmail.com</t>
  </si>
  <si>
    <t>pablovalderramavalderrama@gmail.com</t>
  </si>
  <si>
    <t>jose.parra@diaco.com.co</t>
  </si>
  <si>
    <t>riargomcas@gmail.com</t>
  </si>
  <si>
    <t>orlandoasilva629@gmail.com</t>
  </si>
  <si>
    <t>marioj8a1971@gmail.com</t>
  </si>
  <si>
    <t>reinaldocabra72@gmail.com</t>
  </si>
  <si>
    <t>mao1020@gmail.com</t>
  </si>
  <si>
    <t>jorgeavella3@hotmail.com</t>
  </si>
  <si>
    <t>guaspernov@gmail.com</t>
  </si>
  <si>
    <t>topo7223@hotmail.com</t>
  </si>
  <si>
    <t>edgardorodriguezabala@hotmail.com</t>
  </si>
  <si>
    <t>orlando45palacios@gmail.com</t>
  </si>
  <si>
    <t>jaimeyclaudia72@gmail.com</t>
  </si>
  <si>
    <t>norejavier@hotmail.com</t>
  </si>
  <si>
    <t>sixtossas@gmail.com</t>
  </si>
  <si>
    <t>jeffercuevasm@gmail.com</t>
  </si>
  <si>
    <t>mateusjuro2772@hotmail.com</t>
  </si>
  <si>
    <t>larrottarodriguez@yahoo.com</t>
  </si>
  <si>
    <t>libardorojas7228@gmail.com</t>
  </si>
  <si>
    <t>yennychap.1907@gmail.com</t>
  </si>
  <si>
    <t>ingmaveg@gmail.com</t>
  </si>
  <si>
    <t>josechaparro700@gmail.com</t>
  </si>
  <si>
    <t>vizantoss787@hotmail.com</t>
  </si>
  <si>
    <t>jorgegil@cargandosa.com</t>
  </si>
  <si>
    <t>estepasiervo@gmail.com</t>
  </si>
  <si>
    <t>juanpablosana@gmail.com</t>
  </si>
  <si>
    <t>alvaro.angarita1972@gmail.com</t>
  </si>
  <si>
    <t>perezrosaswilliam@gmail.com</t>
  </si>
  <si>
    <t>javierpintoj@hotmail.com</t>
  </si>
  <si>
    <t>juanluistfu100@gmail.com</t>
  </si>
  <si>
    <t>furia74381@gmail.com</t>
  </si>
  <si>
    <t>maritza.martinez778.mm@gmail.com</t>
  </si>
  <si>
    <t>jaimegalindo2014@outlook.es</t>
  </si>
  <si>
    <t>wilybecerra.s@gmail.com</t>
  </si>
  <si>
    <t>gazito2007@yahoo.es</t>
  </si>
  <si>
    <t>omarmoga40@gmail.com</t>
  </si>
  <si>
    <t>asleidyjuliethsoto1206@gmail.com</t>
  </si>
  <si>
    <t>oscaralosto@hotmail.com</t>
  </si>
  <si>
    <t>jorisanxtel@hotmail.com</t>
  </si>
  <si>
    <t>hernandofabiofajardo3012@hotmail.com</t>
  </si>
  <si>
    <t>fernando.baron@gmail.com</t>
  </si>
  <si>
    <t>arcangel1972ppd@hotmail.com</t>
  </si>
  <si>
    <t>rinconramiro745@gmail.com</t>
  </si>
  <si>
    <t>triafab72@yahoo.es</t>
  </si>
  <si>
    <t>ferneysantana@hotmail.com</t>
  </si>
  <si>
    <t>NAIROSANTANA@gmail.com</t>
  </si>
  <si>
    <t>ningunara@yahoo.com</t>
  </si>
  <si>
    <t>gestiao.as.aguas@gmail.com</t>
  </si>
  <si>
    <t>maximo2652@gmail.com</t>
  </si>
  <si>
    <t>wiflego@gmail.com</t>
  </si>
  <si>
    <t>monicalmonroy102@gmail.com</t>
  </si>
  <si>
    <t>ingproyectosjr@gmail.com</t>
  </si>
  <si>
    <t>josuemes2009@hotmail.com</t>
  </si>
  <si>
    <t>germanos.feb6@gmail.com</t>
  </si>
  <si>
    <t>chaparroaulisis@gmail.com</t>
  </si>
  <si>
    <t>sinnombre@gmail.com</t>
  </si>
  <si>
    <t>zenaidarojasestelar@gmail.com</t>
  </si>
  <si>
    <t>jaimeahernandez22@hotmail.com</t>
  </si>
  <si>
    <t>aninocua@hotmail.es</t>
  </si>
  <si>
    <t>motas.becerra73@gmail.com</t>
  </si>
  <si>
    <t>cesar.puerto.05@gmail.com</t>
  </si>
  <si>
    <t>alneitag@gmail.com</t>
  </si>
  <si>
    <t>nelsal827@gmail.com</t>
  </si>
  <si>
    <t>JMHIGUEB29@YAHOO.ES</t>
  </si>
  <si>
    <t>joyamario72@gmail.com</t>
  </si>
  <si>
    <t>boyacajerico@gmail.com</t>
  </si>
  <si>
    <t>oscarpoloojeda@gmail.com</t>
  </si>
  <si>
    <t>guillermonc2@gmail.com</t>
  </si>
  <si>
    <t>HECTORFLOREZ196@hotmail.com</t>
  </si>
  <si>
    <t>mauriciovargas456@gmail.com</t>
  </si>
  <si>
    <t>adrianrf46@gmail.com</t>
  </si>
  <si>
    <t>weimarvega7@gmail.com</t>
  </si>
  <si>
    <t>mariorodriguezperez@gmail.com</t>
  </si>
  <si>
    <t>intresos.origen@hotmail.com</t>
  </si>
  <si>
    <t>maryaven8988@gmail.com</t>
  </si>
  <si>
    <t>lucho.garcia@gmail.com</t>
  </si>
  <si>
    <t>lavellaneda557@gmail.com</t>
  </si>
  <si>
    <t>jotaeleteg@gmail.com</t>
  </si>
  <si>
    <t>vkj570@hotmail.com</t>
  </si>
  <si>
    <t>jorhego245@hotmail.com</t>
  </si>
  <si>
    <t>jairomur33@hotmail.com</t>
  </si>
  <si>
    <t>nelsonleonardo17@gmail.com</t>
  </si>
  <si>
    <t>gabrielromeromartinez72@gmail.com</t>
  </si>
  <si>
    <t>jvargasacero@yahoo.es</t>
  </si>
  <si>
    <t>rosendoolinto675@gmail.com</t>
  </si>
  <si>
    <t>efajardoromero@gmail.com</t>
  </si>
  <si>
    <t>facturascomprasasa@gmail.com</t>
  </si>
  <si>
    <t>pablopinto992@gmail.com</t>
  </si>
  <si>
    <t>h.palacios9166@gmail.com</t>
  </si>
  <si>
    <t>luiseduardosilva.varcarcel@gmail.com</t>
  </si>
  <si>
    <t>juanalberto-973@hotmail.com</t>
  </si>
  <si>
    <t>henryreyes7171@gmail.com</t>
  </si>
  <si>
    <t>trinity.cll13@gmail.com</t>
  </si>
  <si>
    <t>orlandopbecerra@hotmai.com</t>
  </si>
  <si>
    <t>mao.batista@hotmail.com</t>
  </si>
  <si>
    <t>luis.rincon345@hotmail.com</t>
  </si>
  <si>
    <t>javierhcely@gmail.com</t>
  </si>
  <si>
    <t>brasildelalma@gmail.com</t>
  </si>
  <si>
    <t>wrodiguez_1973@hotmail.com</t>
  </si>
  <si>
    <t>yecidfonseca0901@gmail.com</t>
  </si>
  <si>
    <t>jpablolquijano@gmail.com</t>
  </si>
  <si>
    <t>INGMARCOC@gmail.com</t>
  </si>
  <si>
    <t>marthafo2019@gmail.com</t>
  </si>
  <si>
    <t>auraleidycarrillo@gmail.com</t>
  </si>
  <si>
    <t>johannagomezt@hotmail.com</t>
  </si>
  <si>
    <t>jorgevivas970@gmail.com</t>
  </si>
  <si>
    <t>lienhera@gmail.com</t>
  </si>
  <si>
    <t>willrojico1972@gmail.com</t>
  </si>
  <si>
    <t>joseluisguevara73@hotmail.com</t>
  </si>
  <si>
    <t>ferdian07@yahoo.com</t>
  </si>
  <si>
    <t>estebanfuentesd@hotmail.com</t>
  </si>
  <si>
    <t>mariofernandogalindocuellar@gmail.com</t>
  </si>
  <si>
    <t>facturacionraulvivas@gmail.com</t>
  </si>
  <si>
    <t>adrilinaca@gmail.com</t>
  </si>
  <si>
    <t>elveraraque@hotmail.com</t>
  </si>
  <si>
    <t>jorgevegaalvarez@hotmail.com</t>
  </si>
  <si>
    <t>angieperalta97@gmail.com</t>
  </si>
  <si>
    <t>ygarciaf7@gmail.com</t>
  </si>
  <si>
    <t>gercanitola@hotmail.com</t>
  </si>
  <si>
    <t>hernandezchia@gmail.com</t>
  </si>
  <si>
    <t>nlopez35@misena.edu.com</t>
  </si>
  <si>
    <t>alvaradofonseca28@gmail.com</t>
  </si>
  <si>
    <t>cargavi47@gmail.com</t>
  </si>
  <si>
    <t>jhoannad566@gmail.com</t>
  </si>
  <si>
    <t>jetq731231@gmail.com</t>
  </si>
  <si>
    <t>fonsecaedufisica@gmail.com</t>
  </si>
  <si>
    <t>pabloarincon361@gmail.com</t>
  </si>
  <si>
    <t>manuelsalamancacristancho@hotmail.com</t>
  </si>
  <si>
    <t>almacenzona15@hotmail.com</t>
  </si>
  <si>
    <t>carlosnitolak@gmail.com</t>
  </si>
  <si>
    <t>gabrielmartineza683@gmail.com</t>
  </si>
  <si>
    <t>javieralfonsovelandia@hotmail.com</t>
  </si>
  <si>
    <t>jukatogue@gmail.com</t>
  </si>
  <si>
    <t>willigar0903@gmail.com</t>
  </si>
  <si>
    <t>carlosavila20@hotmail.com</t>
  </si>
  <si>
    <t>jpvalderrama@gmail.com</t>
  </si>
  <si>
    <t>juantamayos@gmail.com</t>
  </si>
  <si>
    <t>gabrielcabra@gmail.com</t>
  </si>
  <si>
    <t>elizabhetlozano2085@hotmail.com</t>
  </si>
  <si>
    <t>joseguillermobaez74@gmail.com</t>
  </si>
  <si>
    <t>nataliaddg.23@gmail.com</t>
  </si>
  <si>
    <t>kingmojica@hotmail.com</t>
  </si>
  <si>
    <t>pemareleon74@gmail.com</t>
  </si>
  <si>
    <t>facturaelectronica@cesarjerezsic.com</t>
  </si>
  <si>
    <t>matrixcolombia@yahoo.com</t>
  </si>
  <si>
    <t>tavojoya@gmail.com</t>
  </si>
  <si>
    <t>solucionesgraficaslp@gmail.com</t>
  </si>
  <si>
    <t>linitatamara11@gmail.com</t>
  </si>
  <si>
    <t>fabianarias74@live.com</t>
  </si>
  <si>
    <t>hags0701@hotmail.com</t>
  </si>
  <si>
    <t>gilberto.cordoba01@outlook.com</t>
  </si>
  <si>
    <t>igmajabla@gmail.com</t>
  </si>
  <si>
    <t>williamorladocarrillo1971@gmail.com</t>
  </si>
  <si>
    <t>rojapimo@gmail.com</t>
  </si>
  <si>
    <t>28.halt@gmail.com</t>
  </si>
  <si>
    <t>ortegajulio2020@gmail.com</t>
  </si>
  <si>
    <t>diosde.pachon@hotmail.com</t>
  </si>
  <si>
    <t>guscor1327@gmail.com</t>
  </si>
  <si>
    <t>lesa210169@gmail.com</t>
  </si>
  <si>
    <t>jose.leonardo.delgadillo@gmail.com</t>
  </si>
  <si>
    <t>ibe.equipos@hotmail.com</t>
  </si>
  <si>
    <t>lastamorirfonseca@yahoo.com</t>
  </si>
  <si>
    <t>moralesjanneth182210@gmail.com</t>
  </si>
  <si>
    <t>silvamejia2901@gmail.com</t>
  </si>
  <si>
    <t>elkin.sslinss@gmail.com</t>
  </si>
  <si>
    <t>tiberioromero@gmail.com</t>
  </si>
  <si>
    <t>edwinporras83@gmail.com</t>
  </si>
  <si>
    <t>segundoorlandomartinezcely20@gmail.com</t>
  </si>
  <si>
    <t>calpego23@gmail.com</t>
  </si>
  <si>
    <t>miguelblanquicth51@gmail.com</t>
  </si>
  <si>
    <t>jairo2020medina@gmail.com</t>
  </si>
  <si>
    <t>biofabio_20@hotmail.com</t>
  </si>
  <si>
    <t>dagoma70@hotmail.com</t>
  </si>
  <si>
    <t>morenosiabato@yahoo.es</t>
  </si>
  <si>
    <t>a.cldrn2302@gmail.com</t>
  </si>
  <si>
    <t>andres.patarroyo20@gmail.com</t>
  </si>
  <si>
    <t>alexmesa9201@gmail.com</t>
  </si>
  <si>
    <t>robertpires484@gmail.com</t>
  </si>
  <si>
    <t>uribeaguiarjorgeluis@gmail.com</t>
  </si>
  <si>
    <t>j_j_cch@gmail.com</t>
  </si>
  <si>
    <t>profejosefernando@gmail.com</t>
  </si>
  <si>
    <t>ccartagenaherrera@gmail.com</t>
  </si>
  <si>
    <t>jhonatanarpe2404@gmail.com</t>
  </si>
  <si>
    <t>jesuschaar@gmail.com</t>
  </si>
  <si>
    <t>distribuciones911@hotmail.com</t>
  </si>
  <si>
    <t>santigovane0632@gmail.com</t>
  </si>
  <si>
    <t>SANROQUI17@hotmail.com</t>
  </si>
  <si>
    <t>danbuive@yahoo.es</t>
  </si>
  <si>
    <t>baldovinogalvisrc@hotmail.com</t>
  </si>
  <si>
    <t>hecod11@yahoo.es</t>
  </si>
  <si>
    <t>lasac46@hotmail.com</t>
  </si>
  <si>
    <t>maryan.sr@hotmail.com</t>
  </si>
  <si>
    <t>trino_salamanca5@hotmail.com</t>
  </si>
  <si>
    <t>zunigareyes0282@gmail.com</t>
  </si>
  <si>
    <t>aliriora0402@gmail.com</t>
  </si>
  <si>
    <t>rodrigobernalro@gmail.com</t>
  </si>
  <si>
    <t>jotaele_jo@hotmail.com</t>
  </si>
  <si>
    <t>jorgelopezsalamanca4333@gmail.com</t>
  </si>
  <si>
    <t>familiacaro54@gmail.com</t>
  </si>
  <si>
    <t>corredorlaura693@gmail.com</t>
  </si>
  <si>
    <t>magalyaraquejimenez@gmail.com</t>
  </si>
  <si>
    <t>fernandabernal0709@gmail.com</t>
  </si>
  <si>
    <t>cristinaninogomez6@gmail.com</t>
  </si>
  <si>
    <t>albeirouscategui@gmail.com</t>
  </si>
  <si>
    <t>albarracinviviana28@gmail.com</t>
  </si>
  <si>
    <t>diegoiscorpion@gmail.com</t>
  </si>
  <si>
    <t>miranchito-2508@hotmail.com</t>
  </si>
  <si>
    <t>orcastillosan@gmail.com</t>
  </si>
  <si>
    <t>leonardojarro@gmail.com</t>
  </si>
  <si>
    <t>robertwrincon@hotmail.com</t>
  </si>
  <si>
    <t>phedrorojas@gmail.com</t>
  </si>
  <si>
    <t>jpjavierpuerto@gmail.com</t>
  </si>
  <si>
    <t>heliobay@yahoo.com</t>
  </si>
  <si>
    <t>alvatroz_sog@yahoo.es</t>
  </si>
  <si>
    <t>nemesioee@gmail.com</t>
  </si>
  <si>
    <t>mshernandezh2001@gmail.com</t>
  </si>
  <si>
    <t>j_munoz72@hotmail.com</t>
  </si>
  <si>
    <t>libardomon41@hotmail.com</t>
  </si>
  <si>
    <t>gloriaolarte05@gmail.com</t>
  </si>
  <si>
    <t>hernanholguin1872@hotmail.com</t>
  </si>
  <si>
    <t>ingjlrinconv@gmail.com</t>
  </si>
  <si>
    <t>luisenriquecontreras@gmail.com</t>
  </si>
  <si>
    <t>jaiporras@yahoo.es</t>
  </si>
  <si>
    <t>monchis2472@hotmail.com</t>
  </si>
  <si>
    <t>ingemarck@yahoo.com</t>
  </si>
  <si>
    <t>CAROLIZARAZO@GMAIL.COM</t>
  </si>
  <si>
    <t>omrore2008@hotmail.com</t>
  </si>
  <si>
    <t>cemilegodistribucion@gmail.com</t>
  </si>
  <si>
    <t>jairomolinasierra@gmail.com</t>
  </si>
  <si>
    <t>wilsonchaparro2075@gmail.com</t>
  </si>
  <si>
    <t>adarpi74@hotmail.com</t>
  </si>
  <si>
    <t>josevelezmedellin1@gmail.com</t>
  </si>
  <si>
    <t>eduarestepa@outlook.com</t>
  </si>
  <si>
    <t>info@camara.org</t>
  </si>
  <si>
    <t>servigruaschaparro@gmail.com</t>
  </si>
  <si>
    <t>martharincon79@gmail.com</t>
  </si>
  <si>
    <t>edilps812@gmail.com</t>
  </si>
  <si>
    <t>funemoderna@gmail.com</t>
  </si>
  <si>
    <t>raulcamargo201@gmail.com</t>
  </si>
  <si>
    <t>aliriodejesus14@hotmail.com</t>
  </si>
  <si>
    <t>ale0628@gmail.com</t>
  </si>
  <si>
    <t>glopez100@yahoo.com</t>
  </si>
  <si>
    <t>norbertopd123@gmail.com</t>
  </si>
  <si>
    <t>ezequiel57@hotmail.com</t>
  </si>
  <si>
    <t>gustavogutierrez91@hotmail.com</t>
  </si>
  <si>
    <t>pedroaducon@yahoo.com</t>
  </si>
  <si>
    <t>cristocolmenares@gmail.com</t>
  </si>
  <si>
    <t>rodrigonaranjoponguta@hotmail.com</t>
  </si>
  <si>
    <t>nicolasbello@hotmail.es</t>
  </si>
  <si>
    <t>oswaldotorres54@gmail.com</t>
  </si>
  <si>
    <t>gpuertoabogado@yahoo.com</t>
  </si>
  <si>
    <t>juanfajardofacturas@hotmail.com</t>
  </si>
  <si>
    <t>cesarbarajase@hotmail.com</t>
  </si>
  <si>
    <t>joaliriomes79@hotmail.com</t>
  </si>
  <si>
    <t>fredyjosetorres57@gmail.com</t>
  </si>
  <si>
    <t>cesarpedraza09@gmail.com</t>
  </si>
  <si>
    <t>nancymalaver71@gmail.com</t>
  </si>
  <si>
    <t>benjaminas1@gmail.com</t>
  </si>
  <si>
    <t>gonzaloez54@gmail.com</t>
  </si>
  <si>
    <t>mauroh59@hotmail.com</t>
  </si>
  <si>
    <t>melquimoreno59@gmail.com</t>
  </si>
  <si>
    <t>jaferman@yahoo.es</t>
  </si>
  <si>
    <t>pablo.alturas2012@gmail.com</t>
  </si>
  <si>
    <t>gestorclientesmd@gmail.com</t>
  </si>
  <si>
    <t>jaimendez100@gmail.com</t>
  </si>
  <si>
    <t>jorgerincon1960@hotmail.es</t>
  </si>
  <si>
    <t>rinconpascual27@gmail.com</t>
  </si>
  <si>
    <t>alvarohamaya@hotmail.com</t>
  </si>
  <si>
    <t>luchopc1961@gmail.com</t>
  </si>
  <si>
    <t>jorgitomartinez2009@hotmail.com</t>
  </si>
  <si>
    <t>fercho57@hotmail.com</t>
  </si>
  <si>
    <t>lafuente_supermercado@msn.com</t>
  </si>
  <si>
    <t>sergio-orlan@hotmail.com</t>
  </si>
  <si>
    <t>jorgeleon1204@outlook.com</t>
  </si>
  <si>
    <t>ralemo5@gmail.com</t>
  </si>
  <si>
    <t>jorge.messa.minas@gmail.com</t>
  </si>
  <si>
    <t>facturacionmapena86@gmail.com</t>
  </si>
  <si>
    <t>pedrocamargo6122@hotmail.com</t>
  </si>
  <si>
    <t>plutarcorojas9@gmail.com</t>
  </si>
  <si>
    <t>danielfmed@gmail.com</t>
  </si>
  <si>
    <t>JR6205@gmail.com</t>
  </si>
  <si>
    <t>joseberdugo704@hotmail.com</t>
  </si>
  <si>
    <t>fabiofrufissmaldonado@hotmail.com</t>
  </si>
  <si>
    <t>ideart_car@yahoo.es</t>
  </si>
  <si>
    <t>carlos.torres@ces.com.co</t>
  </si>
  <si>
    <t>sfloriberto857@gmail.com</t>
  </si>
  <si>
    <t>augustodiaz3931@gmail.com</t>
  </si>
  <si>
    <t>mrosasbotello@gmail.com</t>
  </si>
  <si>
    <t>caldibo@yahoo.es</t>
  </si>
  <si>
    <t>ferminsocha@hotmail.com</t>
  </si>
  <si>
    <t>helilopezgrosso@hotmail.com</t>
  </si>
  <si>
    <t>bendictolopez1103@gmail.com</t>
  </si>
  <si>
    <t>jcelytriana@gmail.com</t>
  </si>
  <si>
    <t>transportesjaas@gmail.com</t>
  </si>
  <si>
    <t>mazdamotos64@hotmail.com</t>
  </si>
  <si>
    <t>vhs388@gmail.com</t>
  </si>
  <si>
    <t>jesusortiz.14@hotmail.com</t>
  </si>
  <si>
    <t>adolfo.pedroza@hotmail.com</t>
  </si>
  <si>
    <t>ballesterosluid9@gmail.com</t>
  </si>
  <si>
    <t>nielsen.chri@gmail.com</t>
  </si>
  <si>
    <t>rmrecambios@yahoo.es</t>
  </si>
  <si>
    <t>cebacla@hotmail.com</t>
  </si>
  <si>
    <t>hilmosandoval@hotmail.com</t>
  </si>
  <si>
    <t>juliorobertomaldonado@hotmail.com</t>
  </si>
  <si>
    <t>josealfonsocp@hotmail.com</t>
  </si>
  <si>
    <t>clamarchigo@hotmail.com</t>
  </si>
  <si>
    <t>hjc30001@hotmail.com</t>
  </si>
  <si>
    <t>gustavo.careno2103@gmail.com</t>
  </si>
  <si>
    <t>janethguarnizo62@gmail.com</t>
  </si>
  <si>
    <t>nelsonalarcong@hotmail.com</t>
  </si>
  <si>
    <t>rosevelromero@yahoo.com</t>
  </si>
  <si>
    <t>marinatorres123lu@gmail.com</t>
  </si>
  <si>
    <t>g.hernangallo@gmail.com</t>
  </si>
  <si>
    <t>fabiorgutierrez@gmail.com</t>
  </si>
  <si>
    <t>carloscardozo0208@hotmail.com</t>
  </si>
  <si>
    <t>grincong29@gmail.com</t>
  </si>
  <si>
    <t>reynold70s23@gmail.com</t>
  </si>
  <si>
    <t>krloncho@hotmail.com</t>
  </si>
  <si>
    <t>segurtecfemsa.boyacaotalora@gmail.com</t>
  </si>
  <si>
    <t>juantellez987@gmail.com</t>
  </si>
  <si>
    <t>yobanyvargas@hotmail.com</t>
  </si>
  <si>
    <t>valentinarodrigomez@gmail.com</t>
  </si>
  <si>
    <t>castromarisela1234@gmail.com</t>
  </si>
  <si>
    <t>marihelena23@ouloot.es</t>
  </si>
  <si>
    <t>robertcastro83@gmail.com</t>
  </si>
  <si>
    <t>fredytriano493@gmail.com</t>
  </si>
  <si>
    <t>YESIDANTONIOMERCHAN12@gmail.com</t>
  </si>
  <si>
    <t>angiebonita05@hotmail.com</t>
  </si>
  <si>
    <t>albarracinlorena@yahoo.com</t>
  </si>
  <si>
    <t>hugoalbertofuentesmoreno@gmail.com</t>
  </si>
  <si>
    <t>luis25mogollon@hotmail.com</t>
  </si>
  <si>
    <t>oscararaque84@hotmail.com</t>
  </si>
  <si>
    <t>juandanielaraque9590@gmail.com</t>
  </si>
  <si>
    <t>dieguitomarino@hotmail.com</t>
  </si>
  <si>
    <t>playjunior20032003@gmail.com</t>
  </si>
  <si>
    <t>osmangomez565@gmail.com</t>
  </si>
  <si>
    <t>ortegon289@gmail.com</t>
  </si>
  <si>
    <t>castrodarioantonio098@gmail.com</t>
  </si>
  <si>
    <t>luciaguarin1987@gmail.com</t>
  </si>
  <si>
    <t>mauricio.rivera0360@correo.policia.gov.co</t>
  </si>
  <si>
    <t>edilsoncastro180@gmail.com</t>
  </si>
  <si>
    <t>hernandoarc@live.com</t>
  </si>
  <si>
    <t>jjwwperez@gmail.com</t>
  </si>
  <si>
    <t>morenogregorio871@gmail.com</t>
  </si>
  <si>
    <t>luiscarloscamargo@gmail.com</t>
  </si>
  <si>
    <t>jimenatenjo42@gmail.com</t>
  </si>
  <si>
    <t>misaelito76@hotmail.com</t>
  </si>
  <si>
    <t>luisemirolaverde94@gmail.com</t>
  </si>
  <si>
    <t>rhalexander79@gmail.com</t>
  </si>
  <si>
    <t>luiseduardoduenascastro@gmail.com</t>
  </si>
  <si>
    <t>ciroantonio150448@gmail.com</t>
  </si>
  <si>
    <t>aerocoldpr@hotmail.com</t>
  </si>
  <si>
    <t>armonro@hotmail.com</t>
  </si>
  <si>
    <t>yepal36@hotmail.com</t>
  </si>
  <si>
    <t>albinoing73@yahoo.es</t>
  </si>
  <si>
    <t>maurogrimal@gmail.com</t>
  </si>
  <si>
    <t>gustavoantonioherreralopez@hotmail.com</t>
  </si>
  <si>
    <t>jhonj70@hotmail.com</t>
  </si>
  <si>
    <t>varonpetrol@yahoo.com</t>
  </si>
  <si>
    <t>oberatus@gmail.com</t>
  </si>
  <si>
    <t>jorgeruiz2004@hotmail.com</t>
  </si>
  <si>
    <t>manjarres.10@hotmail.com</t>
  </si>
  <si>
    <t>prolongaciones@hotmail.com</t>
  </si>
  <si>
    <t>pastelpanduitama@gmail.com</t>
  </si>
  <si>
    <t>NITEOW@gmail.com</t>
  </si>
  <si>
    <t>boyacohumor@hotmail.com</t>
  </si>
  <si>
    <t>marcopizarro76@yahoo.es</t>
  </si>
  <si>
    <t>gapintegrales2@gmail.com</t>
  </si>
  <si>
    <t>jasonmartinezblanco@hotmail.com</t>
  </si>
  <si>
    <t>YECO0284@GMAIL.COM</t>
  </si>
  <si>
    <t>JHONRODRIGUEZAHJ@gmail.com</t>
  </si>
  <si>
    <t>jhpsicolgy@gmail.com</t>
  </si>
  <si>
    <t>johnalexanderr64@gmail.com</t>
  </si>
  <si>
    <t>arleyquit@hotmail.com</t>
  </si>
  <si>
    <t>andresmoya.personal@gmail.com</t>
  </si>
  <si>
    <t>jairomn14@gmail.com</t>
  </si>
  <si>
    <t>mifeandrade@gmail.com</t>
  </si>
  <si>
    <t>camilo.avella24@gmail.com</t>
  </si>
  <si>
    <t>wilson.avella14@gmail.com</t>
  </si>
  <si>
    <t>armando061056@gmail.com</t>
  </si>
  <si>
    <t>deliocano@gmail.com</t>
  </si>
  <si>
    <t>jsilvagomez@yahoo.es</t>
  </si>
  <si>
    <t>ganagro.r@gmail.com</t>
  </si>
  <si>
    <t>apalaciossalamanca@gmail.com</t>
  </si>
  <si>
    <t>castillobernaldavid@gmail.com</t>
  </si>
  <si>
    <t>acevedo.p8407@gmail.com</t>
  </si>
  <si>
    <t>juliansarache8@gmail.com</t>
  </si>
  <si>
    <t>andresalvarez785@hotmail.com</t>
  </si>
  <si>
    <t>yendy123lemeche@gmail.com</t>
  </si>
  <si>
    <t>predsel2010@gmail.com</t>
  </si>
  <si>
    <t>ing.msc.johan.paz@gmail.com</t>
  </si>
  <si>
    <t>amontero_653@gmail.com</t>
  </si>
  <si>
    <t>carlozareniz2384@hotmail.com</t>
  </si>
  <si>
    <t>betoreal04@gmail.com</t>
  </si>
  <si>
    <t>diabecerra29@gmail.com</t>
  </si>
  <si>
    <t>elver.rosas@gmail.com</t>
  </si>
  <si>
    <t>rocy.murillo@hotmail.com</t>
  </si>
  <si>
    <t>otoniel.amaya@gmail.com</t>
  </si>
  <si>
    <t>luchomorales053@gmail.com</t>
  </si>
  <si>
    <t>fabiolanacy435@gmail.com</t>
  </si>
  <si>
    <t>EDGARTORRADO1963@gmail.com</t>
  </si>
  <si>
    <t>oscarsachica95@gmail.com</t>
  </si>
  <si>
    <t>aristi_1964@hotmail.com</t>
  </si>
  <si>
    <t>marcelaorjuela@gmail.com</t>
  </si>
  <si>
    <t>lopezgomezmarcoaurelio@gmail.com</t>
  </si>
  <si>
    <t>csarcoach@hotmail.com</t>
  </si>
  <si>
    <t>rojas946@hotmail.com</t>
  </si>
  <si>
    <t>chakvera@hotmail.com</t>
  </si>
  <si>
    <t>pilarith_18@hotmail.com</t>
  </si>
  <si>
    <t>3115514636linda@gmail.com</t>
  </si>
  <si>
    <t>jcausa68@gmail.com</t>
  </si>
  <si>
    <t>ervinrorin1@gmail.com</t>
  </si>
  <si>
    <t>JAYFRAN2023@gmail.com</t>
  </si>
  <si>
    <t>alisleo19@gmail.com</t>
  </si>
  <si>
    <t>hugoruizsanchez@hotmail.com</t>
  </si>
  <si>
    <t>camegu1012@gmail.com</t>
  </si>
  <si>
    <t>jcorzomarin@gmail.com</t>
  </si>
  <si>
    <t>imartinezrios@gmail.com</t>
  </si>
  <si>
    <t>paola.9847@gmail.com</t>
  </si>
  <si>
    <t>vegaplan30@hotmail.com</t>
  </si>
  <si>
    <t>franztrujillo_@hotmail.com</t>
  </si>
  <si>
    <t>yudyguaje3@gmail.com</t>
  </si>
  <si>
    <t>leoansancas@gmail.com</t>
  </si>
  <si>
    <t>alvarojose422@gmail.com</t>
  </si>
  <si>
    <t>luisfre239@hotmail.com</t>
  </si>
  <si>
    <t>miguelberdugo1965@gmail.com</t>
  </si>
  <si>
    <t>armasanabria@gmail.com</t>
  </si>
  <si>
    <t>edithsolanor@gmail.com</t>
  </si>
  <si>
    <t>gilbertomoreno138@gmail.com</t>
  </si>
  <si>
    <t>franciscoboadasolano@gmail.com</t>
  </si>
  <si>
    <t>jairocalvete@hotmail.com</t>
  </si>
  <si>
    <t>hernandorodriguez@hotmail.com</t>
  </si>
  <si>
    <t>ediruedainvespa@gmail.com</t>
  </si>
  <si>
    <t>garciaacerojosecristobal@gmail.com</t>
  </si>
  <si>
    <t>boyacouvita654@hotmail.com</t>
  </si>
  <si>
    <t>andresfelipe195505@hotmail.com</t>
  </si>
  <si>
    <t>hugotarazona23@gmail.com</t>
  </si>
  <si>
    <t>felalosa@gmail.com</t>
  </si>
  <si>
    <t>jand91833@gmail.com</t>
  </si>
  <si>
    <t>hectorsuarez1329@gmail.com</t>
  </si>
  <si>
    <t>davidtorres1982@hotmail.com</t>
  </si>
  <si>
    <t>lytorres160@gmail.com</t>
  </si>
  <si>
    <t>jaime.jej12@hotmail.com</t>
  </si>
  <si>
    <t>rodrigoave1975@gmail.com</t>
  </si>
  <si>
    <t>EDUVAN17@hotmail.com</t>
  </si>
  <si>
    <t>eduardoneneko_82@hotmail.com</t>
  </si>
  <si>
    <t>hernandezjorgeivan@yahoo.com</t>
  </si>
  <si>
    <t>hectorm692@hotmail.com</t>
  </si>
  <si>
    <t>omurillot@hotmail.com</t>
  </si>
  <si>
    <t>franchurtado@yahoo.com</t>
  </si>
  <si>
    <t>gacasasvargas@gmail.com</t>
  </si>
  <si>
    <t>pehb68@gmail.com</t>
  </si>
  <si>
    <t>anamerchan507@gmail.com</t>
  </si>
  <si>
    <t>waltercar@gmail.com</t>
  </si>
  <si>
    <t>miguelespejoflorez@hotmail.com</t>
  </si>
  <si>
    <t>facturacionhamecduitama@gmail.com</t>
  </si>
  <si>
    <t>sisa8@hotmail.com</t>
  </si>
  <si>
    <t>albertoburgoshz@gmail.com</t>
  </si>
  <si>
    <t>carlosalbertomartinez@gmail.com</t>
  </si>
  <si>
    <t>fralop@gmail.com</t>
  </si>
  <si>
    <t>marcoa_correa@yahoo.com</t>
  </si>
  <si>
    <t>frablop@gmail.com</t>
  </si>
  <si>
    <t>amadeusrubiano@gmail.com</t>
  </si>
  <si>
    <t>yamid.master@gmail.com</t>
  </si>
  <si>
    <t>jaimegonpa747@gmail.com</t>
  </si>
  <si>
    <t>dfmo1984@gmail.com</t>
  </si>
  <si>
    <t>yasury_98@hotmail.com</t>
  </si>
  <si>
    <t>serviciosysuministrocayena@gmail.com</t>
  </si>
  <si>
    <t>sapintve@gmail.com</t>
  </si>
  <si>
    <t>vithikor14@hotmail.com</t>
  </si>
  <si>
    <t>joparales@hotmail.com</t>
  </si>
  <si>
    <t>jaiva20061@hotmail.com</t>
  </si>
  <si>
    <t>maqd1971@gmail.com</t>
  </si>
  <si>
    <t>malaverc986@gmail.com</t>
  </si>
  <si>
    <t>alonsoestupinann@gmail.com</t>
  </si>
  <si>
    <t>miguelciceri1202@gmail.com</t>
  </si>
  <si>
    <t>indualmixmekatos@gmail.com</t>
  </si>
  <si>
    <t>marianagarchia@gmail.com</t>
  </si>
  <si>
    <t>hobermario.16@hotmail.com</t>
  </si>
  <si>
    <t>suarezsahit@gmail.com</t>
  </si>
  <si>
    <t>mf424357@gmail.com</t>
  </si>
  <si>
    <t>ggomezroa@gmail.com</t>
  </si>
  <si>
    <t>cealope@yahoo.com</t>
  </si>
  <si>
    <t>jogenchepe19@gmail.com</t>
  </si>
  <si>
    <t>CAROTTO5@HOTMAIL.COM</t>
  </si>
  <si>
    <t>leonidasbotiam@hotmail.com</t>
  </si>
  <si>
    <t>rrengifo292@gmail.com</t>
  </si>
  <si>
    <t>fernandourregor@gmail.com</t>
  </si>
  <si>
    <t>gcarvajalm@hotmail.com</t>
  </si>
  <si>
    <t>magus50.06.27@gmail.com</t>
  </si>
  <si>
    <t>jdioniperez@gmail.com</t>
  </si>
  <si>
    <t>eliseoestupiñan@gmail.com</t>
  </si>
  <si>
    <t>pedrojburgosc51@gmail.com</t>
  </si>
  <si>
    <t>luismariacastillo3@gmail.com</t>
  </si>
  <si>
    <t>lfgb.7@hotmail.com</t>
  </si>
  <si>
    <t>jherran05@gmail.com</t>
  </si>
  <si>
    <t>jorgezor@hotmail.com</t>
  </si>
  <si>
    <t>arbaba25@gmail.com</t>
  </si>
  <si>
    <t>hotelboutique14lanceros@gmail.com</t>
  </si>
  <si>
    <t>jorgeantoniovargasrincon@yahoo.es</t>
  </si>
  <si>
    <t>imeldapele@hotmail.com</t>
  </si>
  <si>
    <t>jairoelo@yahoo.es</t>
  </si>
  <si>
    <t>josearangoro@gmail.com</t>
  </si>
  <si>
    <t>joseantoniorubiano@hotmail.com</t>
  </si>
  <si>
    <t>rcarvaj@hotmail.com</t>
  </si>
  <si>
    <t>edusuarez53@hotmail.com</t>
  </si>
  <si>
    <t>torcasan7@hotmail.com</t>
  </si>
  <si>
    <t>AURELIORI521@GMAIL.COM</t>
  </si>
  <si>
    <t>ebeltran07@hotmail.com</t>
  </si>
  <si>
    <t>carlosog2002@gmail.com</t>
  </si>
  <si>
    <t>euarmon@yahoo.es</t>
  </si>
  <si>
    <t>maderaselporvenir@hotmail.com</t>
  </si>
  <si>
    <t>paco@hotmail.com</t>
  </si>
  <si>
    <t>josexy07@hotmail.com</t>
  </si>
  <si>
    <t>nataliacamer.01@gmail.com</t>
  </si>
  <si>
    <t>jrafaelnm@hotmail.com</t>
  </si>
  <si>
    <t>pikisjose53@gmail.com</t>
  </si>
  <si>
    <t>cmfuquen1954@gmail.com</t>
  </si>
  <si>
    <t>JUANBOSAB@gmail.com</t>
  </si>
  <si>
    <t>alvaromaciasmontoya@gmail.com</t>
  </si>
  <si>
    <t>libenpulido@hotmail.com</t>
  </si>
  <si>
    <t>fundacitec@gmail.com</t>
  </si>
  <si>
    <t>lcordobagomez@hotmail.com</t>
  </si>
  <si>
    <t>humbertomanosalva@hotmail.com</t>
  </si>
  <si>
    <t>isrrabp@gmail.com</t>
  </si>
  <si>
    <t>villarepublicana@gmail.com</t>
  </si>
  <si>
    <t>ibanezjose39@gmail.com</t>
  </si>
  <si>
    <t>tarazonaefren@gmail.com</t>
  </si>
  <si>
    <t>gdalvaro55@gmail.com</t>
  </si>
  <si>
    <t>dotarya1213@gmail.com</t>
  </si>
  <si>
    <t>tundama09@gmail.com</t>
  </si>
  <si>
    <t>joseilel@yahoo.com</t>
  </si>
  <si>
    <t>oscarplatinig@hotmail.com</t>
  </si>
  <si>
    <t>estructurasydivioficinas@gmail.com</t>
  </si>
  <si>
    <t>alejovargas1222@gmail.com</t>
  </si>
  <si>
    <t>clemente.alvarado@uptc.edu.co</t>
  </si>
  <si>
    <t>raolpi1956@gmail.com</t>
  </si>
  <si>
    <t>rusticosvimagi@hotmail.com</t>
  </si>
  <si>
    <t>manuelrodrigotobostobos@gmail.com</t>
  </si>
  <si>
    <t>todizltda@hotmail.com</t>
  </si>
  <si>
    <t>juanbeme@yahoot.com</t>
  </si>
  <si>
    <t>ana125fajardo34@gmail.com</t>
  </si>
  <si>
    <t>lbneirac@yahoo.com</t>
  </si>
  <si>
    <t>carlosvarg@hotmail.com</t>
  </si>
  <si>
    <t>fapdco@gmail.com</t>
  </si>
  <si>
    <t>ricabefo59@hotmail.com</t>
  </si>
  <si>
    <t>paolarodriguez56@hotmail.com</t>
  </si>
  <si>
    <t>oscarjosueespinosa@hotmail.com</t>
  </si>
  <si>
    <t>jdelcastilloh@hotmail.com</t>
  </si>
  <si>
    <t>francisco.cuervog60@gmail.com</t>
  </si>
  <si>
    <t>josevicenteperez203@gmail.com</t>
  </si>
  <si>
    <t>enriqueroto@hotmail.com</t>
  </si>
  <si>
    <t>williamcatp@gmail.com</t>
  </si>
  <si>
    <t>joserafaduran617@gmail.com</t>
  </si>
  <si>
    <t>rodulrojas@gmail.com</t>
  </si>
  <si>
    <t>equiho61@gmail.com</t>
  </si>
  <si>
    <t>camilosalamanca62@hotmail.com</t>
  </si>
  <si>
    <t>chepesanabria1950@gmail.com</t>
  </si>
  <si>
    <t>juliohernandezmojica@yahoo.com.co</t>
  </si>
  <si>
    <t>contactoglhoteles@gmail.com</t>
  </si>
  <si>
    <t>maestropensante@gmail.com</t>
  </si>
  <si>
    <t>garavitoarenasjaime@gmail.com</t>
  </si>
  <si>
    <t>jdelcsierra@hotmail.com</t>
  </si>
  <si>
    <t>geoturbocarbon@gmail.com</t>
  </si>
  <si>
    <t>fabioernestoleal@gmail.com</t>
  </si>
  <si>
    <t>isidrouribeporras@hotmail.com</t>
  </si>
  <si>
    <t>alricaurte@hotmail.com</t>
  </si>
  <si>
    <t>carlosacostapsico@gmail.com</t>
  </si>
  <si>
    <t>arman62bri@gmail.com</t>
  </si>
  <si>
    <t>olintovanegas1@gmail.com</t>
  </si>
  <si>
    <t>emmitademolano@gmail.com</t>
  </si>
  <si>
    <t>gladys.h.vanarcken@gmail.com</t>
  </si>
  <si>
    <t>marthaalarcon4222@gmail.com</t>
  </si>
  <si>
    <t>mayraciceros82@gmail.com</t>
  </si>
  <si>
    <t>luzestrellab@hotmail.com</t>
  </si>
  <si>
    <t>central.demedias@hotmail.com</t>
  </si>
  <si>
    <t>pilarica_8874@hotmail.com</t>
  </si>
  <si>
    <t>elgus618@gmail.com</t>
  </si>
  <si>
    <t>luzmilar2024@gmail.com</t>
  </si>
  <si>
    <t>elsamirella287@gmail.com</t>
  </si>
  <si>
    <t>yolandanico12@gmail.com</t>
  </si>
  <si>
    <t>mari1725bang@gmail.com</t>
  </si>
  <si>
    <t>olgai.sarmientos@gmail.com</t>
  </si>
  <si>
    <t>nubiapineda@gmail.com</t>
  </si>
  <si>
    <t>claudiacemo22@gmail.com</t>
  </si>
  <si>
    <t>fabiolaromero1959@gmail.com</t>
  </si>
  <si>
    <t>MILENAROJAS1508@GMAIL.COM</t>
  </si>
  <si>
    <t>olga.castiblanco@gmail.com</t>
  </si>
  <si>
    <t>omisomago@hotmail.com</t>
  </si>
  <si>
    <t>vivaspuerto@yahoo.es</t>
  </si>
  <si>
    <t>dorismenalinares@hotmail.com</t>
  </si>
  <si>
    <t>yuskarirojas@gmail.com</t>
  </si>
  <si>
    <t>antonib2730@gmail.com</t>
  </si>
  <si>
    <t>cuquipardo78@gmail.com</t>
  </si>
  <si>
    <t>neldy082605@gmail.com</t>
  </si>
  <si>
    <t>karenmendezb1@hotmail.com</t>
  </si>
  <si>
    <t>22738289jennifer@gmail.com</t>
  </si>
  <si>
    <t>cehs1945@hotmail.com</t>
  </si>
  <si>
    <t>ceciliahernandezdevillate@gmail.com</t>
  </si>
  <si>
    <t>inrogu@gmail.com</t>
  </si>
  <si>
    <t>dggmadero@yahoo.es</t>
  </si>
  <si>
    <t>olgatopa@yahoo.com</t>
  </si>
  <si>
    <t>mileju1107@hotmail.com</t>
  </si>
  <si>
    <t>adinsonrodriguez0303@gmail.com</t>
  </si>
  <si>
    <t>carmenguerrero01@yahoo.es</t>
  </si>
  <si>
    <t>matildejesu01@hotmail.com</t>
  </si>
  <si>
    <t>margaritaestrellarivera@gmail.com</t>
  </si>
  <si>
    <t>titabelen21@hotmail.com</t>
  </si>
  <si>
    <t>zebasguerrero@gmail.com</t>
  </si>
  <si>
    <t>arturlavid@gmail.com</t>
  </si>
  <si>
    <t>lucyvega05@yahoo.es</t>
  </si>
  <si>
    <t>yayitammc@hotmail.com</t>
  </si>
  <si>
    <t>adorainebal02@gmail.com</t>
  </si>
  <si>
    <t>florelviaamado@gmail.com</t>
  </si>
  <si>
    <t>corredortjosefina22@gmail.com</t>
  </si>
  <si>
    <t>djkab_@hotmail.com</t>
  </si>
  <si>
    <t>mimodi22@hotmail.com</t>
  </si>
  <si>
    <t>lucirm88@hotmail.com</t>
  </si>
  <si>
    <t>chelo.49@hotmail.com</t>
  </si>
  <si>
    <t>tau960r@gmail.com</t>
  </si>
  <si>
    <t>amandarincon23@gmail.com</t>
  </si>
  <si>
    <t>yulymontanez34@gmail.com</t>
  </si>
  <si>
    <t>jennyca33@hotmail.com</t>
  </si>
  <si>
    <t>dorfy07@gmail.com</t>
  </si>
  <si>
    <t>esperanzatellez73@gmail.com</t>
  </si>
  <si>
    <t>marisolcorreap233@gmail.com</t>
  </si>
  <si>
    <t>rosauraprieto85@gmail.com</t>
  </si>
  <si>
    <t>florbecerra_77@hotmail.com</t>
  </si>
  <si>
    <t>yalileporras77@hotmail.com</t>
  </si>
  <si>
    <t>clarise09@hotmail.com</t>
  </si>
  <si>
    <t>luz506011@gmail.com</t>
  </si>
  <si>
    <t>nesatri.411@hotmail.com</t>
  </si>
  <si>
    <t>yeya0825@hotmail.com</t>
  </si>
  <si>
    <t>laprimavera.salsamentaria@gmail.com</t>
  </si>
  <si>
    <t>florilmaojeda78@gmail.com</t>
  </si>
  <si>
    <t>yolimalopez79@gmail.com</t>
  </si>
  <si>
    <t>marthaisabeldiazpineda@gmail.com</t>
  </si>
  <si>
    <t>ceciliaguerrero1407@gmail.com</t>
  </si>
  <si>
    <t>hmireya128@gmail.co</t>
  </si>
  <si>
    <t>alarconyadira052@gmail.com</t>
  </si>
  <si>
    <t>ricardocuida@hotmail.com</t>
  </si>
  <si>
    <t>LILLYGOGO84@GMAIL.COM</t>
  </si>
  <si>
    <t>almi1983@yhaoot.es</t>
  </si>
  <si>
    <t>chiquispao722@gmail.com</t>
  </si>
  <si>
    <t>paolacg65@gmail.com</t>
  </si>
  <si>
    <t>elisabethvargasm@gmail.com</t>
  </si>
  <si>
    <t>es.cris.es@gmail.com</t>
  </si>
  <si>
    <t>yomis2008@hotmail.com</t>
  </si>
  <si>
    <t>rojasnubia460@gmail.com</t>
  </si>
  <si>
    <t>nellymachuca@hotmail.com</t>
  </si>
  <si>
    <t>aidaluzbalaguera@gmail.com</t>
  </si>
  <si>
    <t>nubitaelena@gmail.com</t>
  </si>
  <si>
    <t>cyolimacruz@gmail.com</t>
  </si>
  <si>
    <t>andreaverav29@gmail.com</t>
  </si>
  <si>
    <t>nidiamile18@hotmail.com</t>
  </si>
  <si>
    <t>galloperezmilena@hotmail.com</t>
  </si>
  <si>
    <t>adrianacastroayala@gmail.com</t>
  </si>
  <si>
    <t>vargaspmariae@gmail.com</t>
  </si>
  <si>
    <t>luzneita@hotmail.com</t>
  </si>
  <si>
    <t>japefee25@gmail.com</t>
  </si>
  <si>
    <t>olusemo6@gmail.com</t>
  </si>
  <si>
    <t>doraperezf3o12@gmail.com</t>
  </si>
  <si>
    <t>esmeralda.1704@hotmail.com</t>
  </si>
  <si>
    <t>limarone1084@gmail.com</t>
  </si>
  <si>
    <t>balbonac48@gmail.com</t>
  </si>
  <si>
    <t>maryduitama21@gmail.com</t>
  </si>
  <si>
    <t>espepin3@gmail.com</t>
  </si>
  <si>
    <t>omairaescobar01@gmail.com</t>
  </si>
  <si>
    <t>flodaly1119@hotmail.com</t>
  </si>
  <si>
    <t>yangarcia.garcia@gmail.com</t>
  </si>
  <si>
    <t>luciacastro59@hotmail.com</t>
  </si>
  <si>
    <t>sandina27@hotmail.com</t>
  </si>
  <si>
    <t>ceaponte2211@hotmail.com</t>
  </si>
  <si>
    <t>marlenydiazf1610@gmail.com</t>
  </si>
  <si>
    <t>emp.aldia@gmail.com</t>
  </si>
  <si>
    <t>anaceboca@gmail.com</t>
  </si>
  <si>
    <t>angelabustamante2009@gmail.com</t>
  </si>
  <si>
    <t>ruthmary.1203@gmail.com</t>
  </si>
  <si>
    <t>sandrita624@hotmail.com</t>
  </si>
  <si>
    <t>begomezalba@gmail.com</t>
  </si>
  <si>
    <t>mariacruiz1105@gmail.com</t>
  </si>
  <si>
    <t>marlene.laratello@gmail.com</t>
  </si>
  <si>
    <t>dorisalva.09@hotmail.com</t>
  </si>
  <si>
    <t>maobaro@gmail.com</t>
  </si>
  <si>
    <t>victoraulhernandez@gmail.com</t>
  </si>
  <si>
    <t>NOINFORMACION@gmail.com</t>
  </si>
  <si>
    <t>yuma_2408@hotmail.com</t>
  </si>
  <si>
    <t>alvidiaroama@gmail.com</t>
  </si>
  <si>
    <t>eriikabecerra@gmail.com</t>
  </si>
  <si>
    <t>clara.i69@hotmail.com</t>
  </si>
  <si>
    <t>alejandrapuentes00@gmail.com</t>
  </si>
  <si>
    <t>yannethsanchez120470@hotmail.com</t>
  </si>
  <si>
    <t>myriangonzales1972@gmail.com</t>
  </si>
  <si>
    <t>MARPINCAR@YAHOO.COM</t>
  </si>
  <si>
    <t>ROSAEMATORRES638@gmail.com</t>
  </si>
  <si>
    <t>rosalbapico011776@gmail.com</t>
  </si>
  <si>
    <t>blancalucia17@hotmail.com</t>
  </si>
  <si>
    <t>jannin1408@gmail.com</t>
  </si>
  <si>
    <t>yenisguicha@yahoo.com.ar</t>
  </si>
  <si>
    <t>rubyalbarracin28@gmail.com</t>
  </si>
  <si>
    <t>noinformao@gmail.com</t>
  </si>
  <si>
    <t>doracucaita77@gmail.com</t>
  </si>
  <si>
    <t>calculo777@gmail.com</t>
  </si>
  <si>
    <t>sandratuta15@gmail.com</t>
  </si>
  <si>
    <t>djmalaverleon@gmail.com</t>
  </si>
  <si>
    <t>ladymunevar1@gmail.com</t>
  </si>
  <si>
    <t>negraroja68@hotmail.com</t>
  </si>
  <si>
    <t>claudial8@hotmail.com</t>
  </si>
  <si>
    <t>andres.1395@hotmail.com</t>
  </si>
  <si>
    <t>c.marcelaagudelo@gmail.com</t>
  </si>
  <si>
    <t>bernardatorresacero@hotmail.com</t>
  </si>
  <si>
    <t>glorymary.66@gmail.com</t>
  </si>
  <si>
    <t>sofiarojas710@gmail.com</t>
  </si>
  <si>
    <t>acerobeltrany@gmail.com</t>
  </si>
  <si>
    <t>chabelitacardenas.29@gmail.com</t>
  </si>
  <si>
    <t>p85gutierrez@gmail.com</t>
  </si>
  <si>
    <t>yolanditaimpuestos@hotmail.com</t>
  </si>
  <si>
    <t>practicap@gmail.com</t>
  </si>
  <si>
    <t>mavicor2008@hotmail.es</t>
  </si>
  <si>
    <t>yanethemilsen@gmail.com</t>
  </si>
  <si>
    <t>melbapenapena@hotmail.com</t>
  </si>
  <si>
    <t>esuescun10@hotmail.com</t>
  </si>
  <si>
    <t>orlando641@hotmail.es</t>
  </si>
  <si>
    <t>martinezbelcy12@gmail.com</t>
  </si>
  <si>
    <t>gloria80cano@gmail.com</t>
  </si>
  <si>
    <t>doraduarte11121984@gmail.com</t>
  </si>
  <si>
    <t>julima64@gmail.com</t>
  </si>
  <si>
    <t>malyavila@gmail.com</t>
  </si>
  <si>
    <t>lavid_autoservicio@hotmail.com</t>
  </si>
  <si>
    <t>alcantaryoly@hotmail.com</t>
  </si>
  <si>
    <t>miendi2008@hotmail.com</t>
  </si>
  <si>
    <t>margaritayflorez@hotmail.com</t>
  </si>
  <si>
    <t>arpasua@hotmail.com</t>
  </si>
  <si>
    <t>grios6846@gmail.com</t>
  </si>
  <si>
    <t>MIRIAMTUTA924@gmail.com</t>
  </si>
  <si>
    <t>anaelsa10f@gmail.com</t>
  </si>
  <si>
    <t>NOINFORMAD@gmail.com</t>
  </si>
  <si>
    <t>chaparro.marialigia@gmail.com</t>
  </si>
  <si>
    <t>miyica12@hotmail.com</t>
  </si>
  <si>
    <t>herman@hotmail.com</t>
  </si>
  <si>
    <t>alciratobos@yahoo.com</t>
  </si>
  <si>
    <t>acostapovedamercedes@gmail.com</t>
  </si>
  <si>
    <t>silvacastroluisfransisco@gmail.com</t>
  </si>
  <si>
    <t>macristopinto14@gmail.com</t>
  </si>
  <si>
    <t>vmercedes114@gmail.com</t>
  </si>
  <si>
    <t>ceciliaquintero2008@gmail.com</t>
  </si>
  <si>
    <t>hotelgrancastel@gmail.com</t>
  </si>
  <si>
    <t>clarastellapulido@hotmail.com</t>
  </si>
  <si>
    <t>carlosaponte13@yahoo.es</t>
  </si>
  <si>
    <t>b@gmail.com</t>
  </si>
  <si>
    <t>yyennyxis22@hotmail.com</t>
  </si>
  <si>
    <t>dorellytapias@hotmail.com</t>
  </si>
  <si>
    <t>mariaquijanoquintana@gmail.com</t>
  </si>
  <si>
    <t>andresmoreno007@hotmail.com</t>
  </si>
  <si>
    <t>nellytobos@gmail.com</t>
  </si>
  <si>
    <t>lpcorredor@yahoo.es</t>
  </si>
  <si>
    <t>gloriagonzalez@omicronduitama.com</t>
  </si>
  <si>
    <t>beatrizvivasp@gmail.com</t>
  </si>
  <si>
    <t>abero@yahoo.com</t>
  </si>
  <si>
    <t>ccluzh@hotmail.com</t>
  </si>
  <si>
    <t>crismojica@gmail.com</t>
  </si>
  <si>
    <t>blancaliliamejiadeleon@gmail.com</t>
  </si>
  <si>
    <t>granja1949@gmail.com</t>
  </si>
  <si>
    <t>floralvarez@outlook.com</t>
  </si>
  <si>
    <t>lilianitagonzalez@gmail.com</t>
  </si>
  <si>
    <t>anamaria.kabrera@gmail.com</t>
  </si>
  <si>
    <t>auramariafonseca@yahoo.es</t>
  </si>
  <si>
    <t>dianasalamanca043@gmail.com</t>
  </si>
  <si>
    <t>fredileon2007@hotmail.com</t>
  </si>
  <si>
    <t>antoniogrife@hotmail.com</t>
  </si>
  <si>
    <t>MALUGAFONSECA@gmail.com</t>
  </si>
  <si>
    <t>rosamariasilvanino@gmail.com</t>
  </si>
  <si>
    <t>pacovel68@gmail.com</t>
  </si>
  <si>
    <t>mamirire2012@gmail.com</t>
  </si>
  <si>
    <t>chaparrogloriaines59@gmail.com</t>
  </si>
  <si>
    <t>cristalduitama410@gmail.com</t>
  </si>
  <si>
    <t>bprietop867@gmail.com</t>
  </si>
  <si>
    <t>anibarons@gmail.com</t>
  </si>
  <si>
    <t>hildabecerra6@gmail.com</t>
  </si>
  <si>
    <t>yubisasstellagalanpulido@gmail.com</t>
  </si>
  <si>
    <t>blanca.mejia.319@gmail.com</t>
  </si>
  <si>
    <t>noinformacion@gmail.com</t>
  </si>
  <si>
    <t>myriamgm123@yahoo.es</t>
  </si>
  <si>
    <t>rosapuertovirtual@gmail.com</t>
  </si>
  <si>
    <t>tobosgladysofia@gmail.com</t>
  </si>
  <si>
    <t>malurinve_53@hotmail.com</t>
  </si>
  <si>
    <t>clararincon@gmail.com</t>
  </si>
  <si>
    <t>angelpst@yahoo.com</t>
  </si>
  <si>
    <t>blancaalcirarueda@gmail.com</t>
  </si>
  <si>
    <t>anahilced@gmail.com</t>
  </si>
  <si>
    <t>bettymedinah@hotmail.com</t>
  </si>
  <si>
    <t>cartorres444@hotmail.com</t>
  </si>
  <si>
    <t>leonorenn02@gmail.com</t>
  </si>
  <si>
    <t>edgar04merchan@gmail.com</t>
  </si>
  <si>
    <t>amandamolano0203@hotmail.com</t>
  </si>
  <si>
    <t>blanca1pin@hotmail.com</t>
  </si>
  <si>
    <t>elaso9@hotmail.com</t>
  </si>
  <si>
    <t>mariac@gmail.com</t>
  </si>
  <si>
    <t>arepasexquisitas1@yahoo.es</t>
  </si>
  <si>
    <t>patriciabaez21@gmail.com</t>
  </si>
  <si>
    <t>rubbylopez04@gmail.com</t>
  </si>
  <si>
    <t>lucilita_2010@hotmail.com</t>
  </si>
  <si>
    <t>roelir5353@gmail.com</t>
  </si>
  <si>
    <t>tejidos_boyaca@hotmail.com</t>
  </si>
  <si>
    <t>vegabarreraherminia@yahoo.es</t>
  </si>
  <si>
    <t>lucilaramirezfajardo@gmail.com</t>
  </si>
  <si>
    <t>KARMEN2350@gmail.com</t>
  </si>
  <si>
    <t>myriam1503@hotmail.com</t>
  </si>
  <si>
    <t>maipaca1953@hotmail.com</t>
  </si>
  <si>
    <t>rosatristancho5@gmail.com</t>
  </si>
  <si>
    <t>mancipemario@hotmail.com</t>
  </si>
  <si>
    <t>zoilagranados54@gmail.com</t>
  </si>
  <si>
    <t>C3GSAS@GMAIL.COM</t>
  </si>
  <si>
    <t>mzenbaron55@gmail.com</t>
  </si>
  <si>
    <t>magolacamargo64@gmail.com</t>
  </si>
  <si>
    <t>anaroca53@hotmail.es</t>
  </si>
  <si>
    <t>mamparogo@gmail.com</t>
  </si>
  <si>
    <t>nancyantofonse@hotmail.com</t>
  </si>
  <si>
    <t>letypoga@hotmail.com</t>
  </si>
  <si>
    <t>lumardiz10@gmail.com</t>
  </si>
  <si>
    <t>florelbuso@yahoo.com</t>
  </si>
  <si>
    <t>teresabecerra57@gmail.com</t>
  </si>
  <si>
    <t>juliramirez2597@gmail.com</t>
  </si>
  <si>
    <t>AZUCAMARGOH@hotmail.com</t>
  </si>
  <si>
    <t>rosamari.nunez@gmail.com</t>
  </si>
  <si>
    <t>rossysilvasalazar17@gmail.com</t>
  </si>
  <si>
    <t>mariadelc10@hotmail.com</t>
  </si>
  <si>
    <t>elizabethcepedac@gmail.com</t>
  </si>
  <si>
    <t>lavaderocamilotorres@gmail.com</t>
  </si>
  <si>
    <t>elsatristancho27@gmail.com</t>
  </si>
  <si>
    <t>martharincon36@gmail.com</t>
  </si>
  <si>
    <t>lara.dianacarolina@gmail.com</t>
  </si>
  <si>
    <t>albaluztorrespuin@gmail.com</t>
  </si>
  <si>
    <t>consuestup@gmail.com</t>
  </si>
  <si>
    <t>yonywest3@hotmail.com</t>
  </si>
  <si>
    <t>sayo11@hotmail.com</t>
  </si>
  <si>
    <t>lspiedrahitag@hotmail.com</t>
  </si>
  <si>
    <t>listosupollo@gmail.com</t>
  </si>
  <si>
    <t>SANDELIF@OUTLOOK.COM</t>
  </si>
  <si>
    <t>margarita.ochica@supernotariado.go.co</t>
  </si>
  <si>
    <t>lulapi1@oultook.co</t>
  </si>
  <si>
    <t>macecego@hotmail.com</t>
  </si>
  <si>
    <t>glanugo28@gmail.com</t>
  </si>
  <si>
    <t>milumgs@gmail.com</t>
  </si>
  <si>
    <t>sgallogallo0@gmail.com</t>
  </si>
  <si>
    <t>marthaluztorresbarrera@gmail.com</t>
  </si>
  <si>
    <t>malucy1123@gmail.com</t>
  </si>
  <si>
    <t>isabela1231@gmail.com</t>
  </si>
  <si>
    <t>rosarionionio@gmail.com</t>
  </si>
  <si>
    <t>YOVANNY1009@GMAIL.COM</t>
  </si>
  <si>
    <t>mile.ana93@hotmail.com</t>
  </si>
  <si>
    <t>gurinita6@gmail.com</t>
  </si>
  <si>
    <t>nomail@gmail.com</t>
  </si>
  <si>
    <t>helenarojasarias@gmail.com</t>
  </si>
  <si>
    <t>adrianabpaipa@hotmail.com</t>
  </si>
  <si>
    <t>egarciaduran@hotmail.com</t>
  </si>
  <si>
    <t>miriamcely_59@hotmail.com</t>
  </si>
  <si>
    <t>anaflorvillamor@hotmail.com</t>
  </si>
  <si>
    <t>numodu123@hotmail.com</t>
  </si>
  <si>
    <t>sebitasdd14@gmail.com</t>
  </si>
  <si>
    <t>virgipimon@gmail.com</t>
  </si>
  <si>
    <t>yeherrera@uniboyaca.edu.co</t>
  </si>
  <si>
    <t>ligiaop2022@gmail.com</t>
  </si>
  <si>
    <t>nonanovas@yahoo.com</t>
  </si>
  <si>
    <t>gloriamacasi@hotmail.com</t>
  </si>
  <si>
    <t>elbasurezardila06@gmail.com</t>
  </si>
  <si>
    <t>maucepe@hotmail.com</t>
  </si>
  <si>
    <t>MONIBARRERA87@hotmail.com</t>
  </si>
  <si>
    <t>funerarialafontana@gmail.com</t>
  </si>
  <si>
    <t>marialuisacuspoca@gmail.com</t>
  </si>
  <si>
    <t>ninarincon2002@gmail.com</t>
  </si>
  <si>
    <t>mariaconsuelotorres7@gmail.com</t>
  </si>
  <si>
    <t>delmirita2017@gmail.com</t>
  </si>
  <si>
    <t>ricardoalonsob11@gmail.com</t>
  </si>
  <si>
    <t>ilseletician@gmail.com</t>
  </si>
  <si>
    <t>fannyarchila@hotmail.com</t>
  </si>
  <si>
    <t>marlensabo@gmail.com</t>
  </si>
  <si>
    <t>colettearmandrodriguez@hotmail.com</t>
  </si>
  <si>
    <t>myriambric@gmail.com</t>
  </si>
  <si>
    <t>papeleria_javeriana@hotmail.com</t>
  </si>
  <si>
    <t>PIBELU2017@GMAIL.COM</t>
  </si>
  <si>
    <t>yanethebecerra@hotmail.com</t>
  </si>
  <si>
    <t>maritereyes973@gmail.com</t>
  </si>
  <si>
    <t>deyitalinda11@gmail.com</t>
  </si>
  <si>
    <t>yamilerodriguezcardenas@hotmail.com</t>
  </si>
  <si>
    <t>sandris-doctor@hotmail.com</t>
  </si>
  <si>
    <t>priscucunuba@gmail.com</t>
  </si>
  <si>
    <t>cardenafloralicia@gmail.com</t>
  </si>
  <si>
    <t>praxedes.cruz.co@gmail.com</t>
  </si>
  <si>
    <t>amparoestupinan186@gmail.com</t>
  </si>
  <si>
    <t>angelicaperez08@hotmail.com</t>
  </si>
  <si>
    <t>myesrabe@gmail.com</t>
  </si>
  <si>
    <t>luzmarabe@gmail.com</t>
  </si>
  <si>
    <t>carludy@hotmail.com</t>
  </si>
  <si>
    <t>rafaelavella04@gmail.com</t>
  </si>
  <si>
    <t>rosita0921@gmail.com</t>
  </si>
  <si>
    <t>mercoma@yahoo.es</t>
  </si>
  <si>
    <t>myluz123@gmail.com</t>
  </si>
  <si>
    <t>imalopez129@gmail.com</t>
  </si>
  <si>
    <t>MATEBLA@gmail.com</t>
  </si>
  <si>
    <t>carmenteaconcejo@hotmail.com</t>
  </si>
  <si>
    <t>memialejo33@hotmail.com</t>
  </si>
  <si>
    <t>soniaplastilina@gmail.com</t>
  </si>
  <si>
    <t>cearac86@hotmail.com</t>
  </si>
  <si>
    <t>victoriaduarte@hotmail.com</t>
  </si>
  <si>
    <t>nelyguatibonzacely@gmail.com</t>
  </si>
  <si>
    <t>surtitelas@hotmail.com</t>
  </si>
  <si>
    <t>olgacolmenares722@gmail.com</t>
  </si>
  <si>
    <t>nocepar@gmail.com</t>
  </si>
  <si>
    <t>luzmarinanaranjocely@gmail.com</t>
  </si>
  <si>
    <t>internetdaniel2010@gmail.com</t>
  </si>
  <si>
    <t>tamalesgallineral@gmail.com</t>
  </si>
  <si>
    <t>luzmaroga@hotmail.com</t>
  </si>
  <si>
    <t>soniecitaaoa@yahoo.com</t>
  </si>
  <si>
    <t>myriamrosa_andrade@hotmail.com</t>
  </si>
  <si>
    <t>baronrochaj@gmail.com</t>
  </si>
  <si>
    <t>elviamcm@hotmail.com</t>
  </si>
  <si>
    <t>clarauribe1@yahoo.es</t>
  </si>
  <si>
    <t>rubyesperanza223@gmail.com</t>
  </si>
  <si>
    <t>rosamedrano506@gmail.com</t>
  </si>
  <si>
    <t>tunhiakuido@gmail.com</t>
  </si>
  <si>
    <t>kvelandiagonzalez@gmail.com</t>
  </si>
  <si>
    <t>segunda.maria@hotmail.com</t>
  </si>
  <si>
    <t>cesarcalderon116@hotmail.com</t>
  </si>
  <si>
    <t>carmencecilia16@hotmail.es</t>
  </si>
  <si>
    <t>olgamarinabustacara@gmail.com</t>
  </si>
  <si>
    <t>anamariajaimeduarte@gmail.com</t>
  </si>
  <si>
    <t>mtrubianoruiz@yahoo.com</t>
  </si>
  <si>
    <t>josefinalargochaparro@gmail.com</t>
  </si>
  <si>
    <t>myriamcpg2012@gmail.com</t>
  </si>
  <si>
    <t>cosmoslavan16@gmail.com</t>
  </si>
  <si>
    <t>cccabram@hotmail.com</t>
  </si>
  <si>
    <t>mery.castillo_mo@hotmail.com</t>
  </si>
  <si>
    <t>rene.toro.57@gmail.com</t>
  </si>
  <si>
    <t>dora.higuera1210@gmail.com</t>
  </si>
  <si>
    <t>auramarriveros@gmail.com</t>
  </si>
  <si>
    <t>liramaria@hotmail.es</t>
  </si>
  <si>
    <t>marynubiacc@yahoo.es</t>
  </si>
  <si>
    <t>blankmerce1@gmail.com</t>
  </si>
  <si>
    <t>luzmib2005@outlook.com</t>
  </si>
  <si>
    <t>hotelsipa@hotmail.com</t>
  </si>
  <si>
    <t>facturasconsuelocarrillo@gmail.com</t>
  </si>
  <si>
    <t>alixazucenapatino@gmail.com</t>
  </si>
  <si>
    <t>manuapaba@gmail.com</t>
  </si>
  <si>
    <t>ninfasocharojas62@gmail.com</t>
  </si>
  <si>
    <t>pedrazajohana20@gmail.com</t>
  </si>
  <si>
    <t>mariaariza905@gmail.com</t>
  </si>
  <si>
    <t>liliagonzalezbecerra@gmail.com</t>
  </si>
  <si>
    <t>yannet.gonzalez.61@gmail.com</t>
  </si>
  <si>
    <t>rocesduca24@hotmail.com</t>
  </si>
  <si>
    <t>yabg64@hotmail.com</t>
  </si>
  <si>
    <t>goyate@hotmail.com</t>
  </si>
  <si>
    <t>lumiyerp63@hotmail.com</t>
  </si>
  <si>
    <t>lolyprietoricaute@gmail.com</t>
  </si>
  <si>
    <t>cegraes@gmail.com</t>
  </si>
  <si>
    <t>vilmaomaira06@gmail.com</t>
  </si>
  <si>
    <t>alucaes@gmail.com</t>
  </si>
  <si>
    <t>clamarsua@hotmail.com</t>
  </si>
  <si>
    <t>paquita.sport.23@gmail.com</t>
  </si>
  <si>
    <t>marthuinfante@hotmail.com</t>
  </si>
  <si>
    <t>cecisil1960@gmail.com</t>
  </si>
  <si>
    <t>claleonc@gmail.com</t>
  </si>
  <si>
    <t>gladyslup@yahoo.es</t>
  </si>
  <si>
    <t>alrosantis@gmail.com</t>
  </si>
  <si>
    <t>edelmirasilva02@gmail.com</t>
  </si>
  <si>
    <t>indapar@hotmail.es</t>
  </si>
  <si>
    <t>mirsabe@hotmail.com</t>
  </si>
  <si>
    <t>gracielanino823@gmail.com</t>
  </si>
  <si>
    <t>loydoverkorrea@hotmail.com</t>
  </si>
  <si>
    <t>myriampatarroyorodriguez@hotmail.com</t>
  </si>
  <si>
    <t>LEOCH62@gmail.com</t>
  </si>
  <si>
    <t>jbayona_28@yahoo.es</t>
  </si>
  <si>
    <t>claradeclase@yahoo.com</t>
  </si>
  <si>
    <t>caseresandrea921@gmail.com</t>
  </si>
  <si>
    <t>camapasi02@gmail.com</t>
  </si>
  <si>
    <t>hoteldocruzeiro@hotmail.com</t>
  </si>
  <si>
    <t>edilsabuitrago@yahoo.es</t>
  </si>
  <si>
    <t>ankarsa123@gmail.com</t>
  </si>
  <si>
    <t>litus31@gmail.com</t>
  </si>
  <si>
    <t>tatianaperez20@hotmail.com</t>
  </si>
  <si>
    <t>mercedes5puentes517@gmail.com</t>
  </si>
  <si>
    <t>guisolga1954@gmail.com</t>
  </si>
  <si>
    <t>balvina.3amaya@gmail.com</t>
  </si>
  <si>
    <t>andreringran77@gmail.com</t>
  </si>
  <si>
    <t>aurapatricia8329@hotmail.com</t>
  </si>
  <si>
    <t>p.avilac1952@hotmail.com</t>
  </si>
  <si>
    <t>sierraangie533@gmail.com</t>
  </si>
  <si>
    <t>dzeagonzalez@gmail.com</t>
  </si>
  <si>
    <t>yoryinz@gmail.com</t>
  </si>
  <si>
    <t>emilcelumbaque@gmail.com</t>
  </si>
  <si>
    <t>liditaromero2014@gmail.com</t>
  </si>
  <si>
    <t>marilu.r.t@hotmail.com</t>
  </si>
  <si>
    <t>bettysalamancasilva8@gmail.com</t>
  </si>
  <si>
    <t>nancy.p.rosas@hotmail.com</t>
  </si>
  <si>
    <t>bonillanossa@yahoo.es</t>
  </si>
  <si>
    <t>olgahbernal@gmail.com</t>
  </si>
  <si>
    <t>tanchis2905@gmail.com</t>
  </si>
  <si>
    <t>glesolano18@hotmail.com</t>
  </si>
  <si>
    <t>nancy.cristancho@gmail.com</t>
  </si>
  <si>
    <t>marimari2119@hotmail.com</t>
  </si>
  <si>
    <t>albaluciabecerrarincon@gmail.com</t>
  </si>
  <si>
    <t>rochice21@gmail.com</t>
  </si>
  <si>
    <t>moralesninomiriamdelcarmen@gmail.com</t>
  </si>
  <si>
    <t>ninosaramaria@gmail.com</t>
  </si>
  <si>
    <t>nelygomez2014@gmail.com</t>
  </si>
  <si>
    <t>dopatma@gmail.com</t>
  </si>
  <si>
    <t>nypedraza@hotmail.com</t>
  </si>
  <si>
    <t>yudithmara@hotmail.com</t>
  </si>
  <si>
    <t>martha0915@hotmail.com</t>
  </si>
  <si>
    <t>doriszbd@hotmail.com</t>
  </si>
  <si>
    <t>nellycely0205@gmail.com</t>
  </si>
  <si>
    <t>TORRES_LULU@hotmail.com</t>
  </si>
  <si>
    <t>sincorrea@gmail.com</t>
  </si>
  <si>
    <t>analuzmilacely@hotmail.com</t>
  </si>
  <si>
    <t>luzelidacutaromero@gmail.com</t>
  </si>
  <si>
    <t>priscilatibaduiza@gmail.com</t>
  </si>
  <si>
    <t>omairafonseca@gmail.com</t>
  </si>
  <si>
    <t>dmedinaalfonso@gmail.com</t>
  </si>
  <si>
    <t>anavictoriacantor1934@gmail.com</t>
  </si>
  <si>
    <t>nancymacias@yahoo.es</t>
  </si>
  <si>
    <t>chinetrece@gmail.com</t>
  </si>
  <si>
    <t>rosalbachaparro.m@gmail.com</t>
  </si>
  <si>
    <t>sygarzon@yahoo.com</t>
  </si>
  <si>
    <t>mr3050722@gmail.com</t>
  </si>
  <si>
    <t>luisgprieto64@gmail.com</t>
  </si>
  <si>
    <t>valbuena463@gmail.com</t>
  </si>
  <si>
    <t>telilop@gmail.com</t>
  </si>
  <si>
    <t>nellyarme_68@hotmail.com</t>
  </si>
  <si>
    <t>medisduarte@hotmail.com</t>
  </si>
  <si>
    <t>gilmacs71@gmail.com</t>
  </si>
  <si>
    <t>estrellaangartamendivelso@gmail.com</t>
  </si>
  <si>
    <t>baezmayerly@gmail.com</t>
  </si>
  <si>
    <t>mxcardenas98@gmail.com</t>
  </si>
  <si>
    <t>delfaanajar@gmail.com</t>
  </si>
  <si>
    <t>tatis_pico@hotmail.com</t>
  </si>
  <si>
    <t>zabalagomezdianamilena@gmail.com</t>
  </si>
  <si>
    <t>nidianoel@gmail.com</t>
  </si>
  <si>
    <t>rociosalud10@yahoo.es</t>
  </si>
  <si>
    <t>karenatalia1401@hotmail.com</t>
  </si>
  <si>
    <t>bellaflorvivero@gmail.com</t>
  </si>
  <si>
    <t>blimos58@hotmail.com</t>
  </si>
  <si>
    <t>ftexostos@gmail.com</t>
  </si>
  <si>
    <t>nelcysalamanca78@gmail.com</t>
  </si>
  <si>
    <t>mayerlyochoa22@gmail.com</t>
  </si>
  <si>
    <t>guichito59@hotmail.com</t>
  </si>
  <si>
    <t>albamariacr@hotmail.com</t>
  </si>
  <si>
    <t>laurizverdugo75@gmail.com</t>
  </si>
  <si>
    <t>hermi-torres@hotmail.com</t>
  </si>
  <si>
    <t>hurtadoluisg@hotmail.com</t>
  </si>
  <si>
    <t>monicaconsuelomerchantorres@gmail.com</t>
  </si>
  <si>
    <t>carreritogomez@yahoo.com</t>
  </si>
  <si>
    <t>m.agudelov28@gmail.com</t>
  </si>
  <si>
    <t>arguellomatilde@gmail.com</t>
  </si>
  <si>
    <t>lucesitaoriflame@hotmail.com</t>
  </si>
  <si>
    <t>lieseca55@gmail.com</t>
  </si>
  <si>
    <t>gcarrerogomez@gmail.com</t>
  </si>
  <si>
    <t>sandrayanethpaipapaipa@gmail.com</t>
  </si>
  <si>
    <t>jsandy15enero@hotmail.com</t>
  </si>
  <si>
    <t>luhito61@gmail.com</t>
  </si>
  <si>
    <t>leidyyohanagaitan@gmail.com</t>
  </si>
  <si>
    <t>besafa@hotmail.com</t>
  </si>
  <si>
    <t>ELVI.UR@hotmail.com</t>
  </si>
  <si>
    <t>FLORDAZA20@gmail.com</t>
  </si>
  <si>
    <t>elisabeth_sagu@hotmail.com</t>
  </si>
  <si>
    <t>blancalpedroza@yahoo.com</t>
  </si>
  <si>
    <t>cigno17@hotmail.com</t>
  </si>
  <si>
    <t>carito.torres96@gmail.com</t>
  </si>
  <si>
    <t>albatibaduiza@hotmail.com</t>
  </si>
  <si>
    <t>dalonsogil@gmail.com</t>
  </si>
  <si>
    <t>hasilvestre11@hotmail.com</t>
  </si>
  <si>
    <t>liliaesperanza29@gmail.com</t>
  </si>
  <si>
    <t>florinditaher@hotmail.com</t>
  </si>
  <si>
    <t>rositasalcedod@hotmail.com</t>
  </si>
  <si>
    <t>lauracatalina2604@hotmail.com</t>
  </si>
  <si>
    <t>rosalbaramirez08@gmail.com</t>
  </si>
  <si>
    <t>siramosman@gmail.com</t>
  </si>
  <si>
    <t>mariaantoniacuida@gmail.com</t>
  </si>
  <si>
    <t>archi.isa377@gmail.com</t>
  </si>
  <si>
    <t>gloriapersonal109@gmail.com</t>
  </si>
  <si>
    <t>doranelcycabrera@hotmail.com</t>
  </si>
  <si>
    <t>minidydnobsa@gmail.com</t>
  </si>
  <si>
    <t>perezjoya@gmail.com</t>
  </si>
  <si>
    <t>gutierrezlaramiriamestela@gmail.com</t>
  </si>
  <si>
    <t>sarita271001@gmail.com</t>
  </si>
  <si>
    <t>maye074@yahoo.es</t>
  </si>
  <si>
    <t>olgarojas2@hotmail.com</t>
  </si>
  <si>
    <t>sandraytf@hotmail.com</t>
  </si>
  <si>
    <t>berthamejia0705@gmail.com</t>
  </si>
  <si>
    <t>lishiguera@gmail.com</t>
  </si>
  <si>
    <t>sara.arias.duitama02@gmail.com</t>
  </si>
  <si>
    <t>magdaluz6@gmail.com</t>
  </si>
  <si>
    <t>maryluzplazas@gmail.com</t>
  </si>
  <si>
    <t>nubia_2103@yahoo.es</t>
  </si>
  <si>
    <t>glomiba37@gmail.com</t>
  </si>
  <si>
    <t>lilianamonroy83@gmail.com</t>
  </si>
  <si>
    <t>jbibianajimenezj@gmail.com</t>
  </si>
  <si>
    <t>dianalrg0310@gmail.com</t>
  </si>
  <si>
    <t>leidy.rs@gmail.com</t>
  </si>
  <si>
    <t>amar0302@yahoo.com</t>
  </si>
  <si>
    <t>maucego@yahoo.com</t>
  </si>
  <si>
    <t>tere.mendez1@hotmail.com</t>
  </si>
  <si>
    <t>sirodaijem@hotmail.com</t>
  </si>
  <si>
    <t>GRIJOLO@gmail.com</t>
  </si>
  <si>
    <t>anheseve@hotmail.com</t>
  </si>
  <si>
    <t>ana8a52@hotmail.com</t>
  </si>
  <si>
    <t>andresmoreno@hotmail.com</t>
  </si>
  <si>
    <t>ligiamanriquesalazar@gmail.com</t>
  </si>
  <si>
    <t>LOEZBUITRAGO16@gmail.com</t>
  </si>
  <si>
    <t>GARYGAR855@gmail.com</t>
  </si>
  <si>
    <t>maluba06@hotmail.com</t>
  </si>
  <si>
    <t>beluguce@yahoo.es</t>
  </si>
  <si>
    <t>diliaelsa_01@yahoo.com</t>
  </si>
  <si>
    <t>florisa69@hotmail.com</t>
  </si>
  <si>
    <t>nelsi.diazpatarroyo@gmail.com</t>
  </si>
  <si>
    <t>franceochoafon@hotmail.com</t>
  </si>
  <si>
    <t>lilidiazram@gmail.com</t>
  </si>
  <si>
    <t>residentesiso@gmail.com</t>
  </si>
  <si>
    <t>luzm.barrera01@gmail.com</t>
  </si>
  <si>
    <t>vicamacho69@gmail.com</t>
  </si>
  <si>
    <t>alutogo71@gmail.com</t>
  </si>
  <si>
    <t>piedadhelena@hotmail.com</t>
  </si>
  <si>
    <t>ayde.diaz@gmail.com</t>
  </si>
  <si>
    <t>suarez.sara078@gmail.com</t>
  </si>
  <si>
    <t>roussecastro30@gmail.com</t>
  </si>
  <si>
    <t>cecinima@yahoo.com.co</t>
  </si>
  <si>
    <t>aura.alarcon@hotmail.com</t>
  </si>
  <si>
    <t>zandrachana@gmail.com</t>
  </si>
  <si>
    <t>malpica.carmenalicia@gmail.com</t>
  </si>
  <si>
    <t>marywohlstein13@gmail.com</t>
  </si>
  <si>
    <t>lizethcamila.anita@hotmail.com</t>
  </si>
  <si>
    <t>nalbarracina@gmail.com</t>
  </si>
  <si>
    <t>florecitalba42@gmail.com</t>
  </si>
  <si>
    <t>elcipu@hotmail.com</t>
  </si>
  <si>
    <t>mariahelena5757@hotmail.com</t>
  </si>
  <si>
    <t>luzma.cardenas@hotmail.com</t>
  </si>
  <si>
    <t>bmarielar24@hotmail.com</t>
  </si>
  <si>
    <t>paulac1019@gmail.com</t>
  </si>
  <si>
    <t>doraiperezg@gmail.com</t>
  </si>
  <si>
    <t>blanquita.23@hotmail.com</t>
  </si>
  <si>
    <t>u@gmail.com</t>
  </si>
  <si>
    <t>auninagar2@gmail.com</t>
  </si>
  <si>
    <t>eliaveve216@gmail.com</t>
  </si>
  <si>
    <t>momaesdi15@hotmail.com</t>
  </si>
  <si>
    <t>inesmanrique80@hotmail.com</t>
  </si>
  <si>
    <t>aljucaro@hotmail.com</t>
  </si>
  <si>
    <t>carmentorreschiquillo@gmail.com</t>
  </si>
  <si>
    <t>sandranavas93@hotmail.com</t>
  </si>
  <si>
    <t>olgamojica2005@yahoo.es</t>
  </si>
  <si>
    <t>anayamile66@gmail.com</t>
  </si>
  <si>
    <t>maria23913366@gmail.com</t>
  </si>
  <si>
    <t>isagono954@gmail.com</t>
  </si>
  <si>
    <t>janethmojica08@gmail.com</t>
  </si>
  <si>
    <t>lilidayi3@hotmail.com</t>
  </si>
  <si>
    <t>sajarab.bb@gmail.com</t>
  </si>
  <si>
    <t>mife72@gmail.com</t>
  </si>
  <si>
    <t>romego0921@hotmail.com</t>
  </si>
  <si>
    <t>aceciliasan@yahoo.es</t>
  </si>
  <si>
    <t>clarisabor@gmail.com</t>
  </si>
  <si>
    <t>sagudelof@icloud.com</t>
  </si>
  <si>
    <t>samizago@gmail.com</t>
  </si>
  <si>
    <t>madelaidaga200@gmail.com</t>
  </si>
  <si>
    <t>yuli8perez@hotmail.com</t>
  </si>
  <si>
    <t>forozcos_@hotmail.com</t>
  </si>
  <si>
    <t>eduardmendivelso14@hotmail.com</t>
  </si>
  <si>
    <t>auracilavf@gmail.com</t>
  </si>
  <si>
    <t>accames@gmail.com</t>
  </si>
  <si>
    <t>feyupade@yahoo.es</t>
  </si>
  <si>
    <t>marchavellaneda@gmail.com</t>
  </si>
  <si>
    <t>liliamilenacristancho@gmail.com</t>
  </si>
  <si>
    <t>astridsuarez1275@gmail.com</t>
  </si>
  <si>
    <t>brisacol2011@gmail.com</t>
  </si>
  <si>
    <t>yakelinemc@gmail.com</t>
  </si>
  <si>
    <t>samyranda139@gmail.com</t>
  </si>
  <si>
    <t>mariaemilsen012@gmail.com</t>
  </si>
  <si>
    <t>jl172004david@gmail.com</t>
  </si>
  <si>
    <t>eddyyazroa@hotmail.com</t>
  </si>
  <si>
    <t>LISEDH23@gmail.com</t>
  </si>
  <si>
    <t>marticam06@yahoo.es</t>
  </si>
  <si>
    <t>luzmarinachia25@gmail.com</t>
  </si>
  <si>
    <t>rosahelenatorres01@gmail.com</t>
  </si>
  <si>
    <t>islenniva29@gmail.com</t>
  </si>
  <si>
    <t>marthicavega@gmail.com</t>
  </si>
  <si>
    <t>DEYASUCA18@gmail.com</t>
  </si>
  <si>
    <t>lucia.ap@hotmail.es</t>
  </si>
  <si>
    <t>josefina2810yina@gmail.com</t>
  </si>
  <si>
    <t>lilika.ep@hotmail.com</t>
  </si>
  <si>
    <t>gladysflaca@gmail.com</t>
  </si>
  <si>
    <t>elpavemo@yahoo.es</t>
  </si>
  <si>
    <t>dianacarolinadiazrojas@gmail.com</t>
  </si>
  <si>
    <t>dorellytas@gmail.com</t>
  </si>
  <si>
    <t>manyjas1980@gmail.com</t>
  </si>
  <si>
    <t>linaesbe80@hotmail.com</t>
  </si>
  <si>
    <t>avanessaromero22@gmail.com</t>
  </si>
  <si>
    <t>rosalbabalaguera07@gmail.com</t>
  </si>
  <si>
    <t>nancyegomez020819@gmail.com</t>
  </si>
  <si>
    <t>dayasans@hotmail.com</t>
  </si>
  <si>
    <t>jkarolsilva@gmail.com</t>
  </si>
  <si>
    <t>sorkayita18@gmail.com</t>
  </si>
  <si>
    <t>manamego33@gmail.com</t>
  </si>
  <si>
    <t>merymuleon@hotmail.com</t>
  </si>
  <si>
    <t>blancamireyaespindolarojas@gmail.com</t>
  </si>
  <si>
    <t>yennyliz.suarez@gmail.com</t>
  </si>
  <si>
    <t>deisy.amaya.ortiz@gmail.com</t>
  </si>
  <si>
    <t>araqueyamira1@gmail.com</t>
  </si>
  <si>
    <t>marisolnovas23@gmail.com</t>
  </si>
  <si>
    <t>liliana26041313@gmail.com</t>
  </si>
  <si>
    <t>luisalex.cardenasdaza5@gmail.com</t>
  </si>
  <si>
    <t>elizagape10@gmail.com</t>
  </si>
  <si>
    <t>dianita.is@hotmail.com</t>
  </si>
  <si>
    <t>elcapeam3@hotmail.com</t>
  </si>
  <si>
    <t>fonsecazorromiryam@gmail.com</t>
  </si>
  <si>
    <t>rosalbaroro08@gmail.com</t>
  </si>
  <si>
    <t>mafetenjoj@hotmail.com</t>
  </si>
  <si>
    <t>maelpaher@hotmail.com</t>
  </si>
  <si>
    <t>luzmarinasoracam@gmail.com</t>
  </si>
  <si>
    <t>ninfazohe@yahoo.es</t>
  </si>
  <si>
    <t>liliana05r@gmail.com</t>
  </si>
  <si>
    <t>ana.2408@hotmail.com</t>
  </si>
  <si>
    <t>juanpis03@outlook.com</t>
  </si>
  <si>
    <t>nycordobac@gmail.com</t>
  </si>
  <si>
    <t>ing.j.p.s.c@hotmail.com</t>
  </si>
  <si>
    <t>macrisa69@hotmail.com</t>
  </si>
  <si>
    <t>macary421@hotmail.com</t>
  </si>
  <si>
    <t>elsaceciliam@hotmail.com</t>
  </si>
  <si>
    <t>rosalincardenas418@gmail.com</t>
  </si>
  <si>
    <t>yr604515@gmail.com</t>
  </si>
  <si>
    <t>damisan15@hotmail.com</t>
  </si>
  <si>
    <t>ana.mireya256@hotmail.com</t>
  </si>
  <si>
    <t>esperanzafonseca@gmail.com</t>
  </si>
  <si>
    <t>yeimyyuvargas@gmail.com</t>
  </si>
  <si>
    <t>constanzaprieto98@gmail.com</t>
  </si>
  <si>
    <t>agrayama@hotmail.com</t>
  </si>
  <si>
    <t>mjvegaamado@gmail.com</t>
  </si>
  <si>
    <t>GILMARIA.594@GMAIL.COM</t>
  </si>
  <si>
    <t>diani009@hotmail.com</t>
  </si>
  <si>
    <t>ruthrojas2010@gmail.com</t>
  </si>
  <si>
    <t>dorbui@yahoo.com</t>
  </si>
  <si>
    <t>mabelmolina0411@gmail.com</t>
  </si>
  <si>
    <t>alannuvan12@gmail.com</t>
  </si>
  <si>
    <t>buitragoelicenia02@gmail.com</t>
  </si>
  <si>
    <t>patriciatevares@hotmail.com</t>
  </si>
  <si>
    <t>anabeatrizpaez1917@gmail.com</t>
  </si>
  <si>
    <t>lumaroa9@yahoo.es</t>
  </si>
  <si>
    <t>edilmita862@gmail.com</t>
  </si>
  <si>
    <t>esmilaroa@hotmail.com</t>
  </si>
  <si>
    <t>rosaireth@yahoo.com</t>
  </si>
  <si>
    <t>roberto2020191@hotmail.com</t>
  </si>
  <si>
    <t>omairatarazonac@gmail.com</t>
  </si>
  <si>
    <t>lilianasepulveda2211@gmail.com</t>
  </si>
  <si>
    <t>caceresmarinoyadelsi@gmail.com</t>
  </si>
  <si>
    <t>rosalbinafuentesdesepulveda@gmail.com</t>
  </si>
  <si>
    <t>jesusmedinacaceres@gmail.com</t>
  </si>
  <si>
    <t>mariastella-hernandez@hotmail.com</t>
  </si>
  <si>
    <t>ticorpe@yahoo.com</t>
  </si>
  <si>
    <t>morita2888@yahoo.es</t>
  </si>
  <si>
    <t>fanny.carreo@yahoo.es</t>
  </si>
  <si>
    <t>guigla95@hotmail.com</t>
  </si>
  <si>
    <t>roeco1972@gmail.com</t>
  </si>
  <si>
    <t>SOLUCIONESDESEGURIDADGALVIS@gmail.com</t>
  </si>
  <si>
    <t>angelicama1804@gmail.com</t>
  </si>
  <si>
    <t>rosaelenaagarcia19@gmail.com</t>
  </si>
  <si>
    <t>elvavargas@gmail.com</t>
  </si>
  <si>
    <t>pepitagalvis@gmail.com</t>
  </si>
  <si>
    <t>marinodora23@hotmail.com</t>
  </si>
  <si>
    <t>casildapedraza0@gmail.com</t>
  </si>
  <si>
    <t>edelvimo55@hotmail.com</t>
  </si>
  <si>
    <t>dflechas89@gmail.com</t>
  </si>
  <si>
    <t>blancalialvaradot@gmail.com</t>
  </si>
  <si>
    <t>susanaqcuadros@hotmail.com</t>
  </si>
  <si>
    <t>24048011@recepciondefacturas.com</t>
  </si>
  <si>
    <t>nolimoca15@hotmail.com</t>
  </si>
  <si>
    <t>nata-2103@hotmail.com</t>
  </si>
  <si>
    <t>emarlensilva@hotmail.com</t>
  </si>
  <si>
    <t>josefabtgos@gmail.com</t>
  </si>
  <si>
    <t>luz.900@hotmail.com</t>
  </si>
  <si>
    <t>mariazucena@gmail.com</t>
  </si>
  <si>
    <t>estacionviterbo@hotmail.com</t>
  </si>
  <si>
    <t>luzmarylp@gmail.com</t>
  </si>
  <si>
    <t>vargasmdj@hotmail.com</t>
  </si>
  <si>
    <t>nuesrobayo09@gmail.com</t>
  </si>
  <si>
    <t>contabilidad.zoraidavargas@gmail.com</t>
  </si>
  <si>
    <t>rossymoreno3108@gmail.com</t>
  </si>
  <si>
    <t>macris0815@hotmail.com</t>
  </si>
  <si>
    <t>andrema1994@gmail.com</t>
  </si>
  <si>
    <t>zoraidapc14@gmail.com</t>
  </si>
  <si>
    <t>naldaachinome@hotmail.com</t>
  </si>
  <si>
    <t>fabinimar@hotmail.com</t>
  </si>
  <si>
    <t>lilimarcela7810@gmail.com</t>
  </si>
  <si>
    <t>nicolascalderon1055@gmail.com</t>
  </si>
  <si>
    <t>marticasanabria@yahoo.com</t>
  </si>
  <si>
    <t>bonilla0811@gmail.com</t>
  </si>
  <si>
    <t>AURORALIGIALOZANO@YAHOO.COM</t>
  </si>
  <si>
    <t>dlizethtorres@gmail.com</t>
  </si>
  <si>
    <t>ramogrados@hotmail.com</t>
  </si>
  <si>
    <t>olga27moreno2001@gmail.com</t>
  </si>
  <si>
    <t>alixvega.pyme@gmail.com</t>
  </si>
  <si>
    <t>facturacon.mariae@gmail.com</t>
  </si>
  <si>
    <t>adrianaduenas78@hotmail.es</t>
  </si>
  <si>
    <t>tereduartechap@gmail.com</t>
  </si>
  <si>
    <t>yayopeco@hotmail.com</t>
  </si>
  <si>
    <t>marinelasolano194@gmail.com</t>
  </si>
  <si>
    <t>mahepil13@hotmail.com</t>
  </si>
  <si>
    <t>mari.mar73@hotmail.com</t>
  </si>
  <si>
    <t>doralicia28@yahoo.es</t>
  </si>
  <si>
    <t>rosalbacastrop19@gmail.com</t>
  </si>
  <si>
    <t>zonitahg@yahoo.es</t>
  </si>
  <si>
    <t>luz302595@gmail.com</t>
  </si>
  <si>
    <t>marcecoronado@yahoo.com</t>
  </si>
  <si>
    <t>yolydazac@gmail.com</t>
  </si>
  <si>
    <t>rosalbaprieto79@gmail.com</t>
  </si>
  <si>
    <t>marcopa1979@hotmail.com</t>
  </si>
  <si>
    <t>steisyc@gmail.com</t>
  </si>
  <si>
    <t>cecygomez2812@gmail.com</t>
  </si>
  <si>
    <t>fajardocuevasmony@gmail.com</t>
  </si>
  <si>
    <t>olgalrg@gmail.com</t>
  </si>
  <si>
    <t>juanga_001@hotmail.com</t>
  </si>
  <si>
    <t>lapvsvargas@hotmail.com</t>
  </si>
  <si>
    <t>mayatol@gmail.com</t>
  </si>
  <si>
    <t>nancitacely@hotmail.com</t>
  </si>
  <si>
    <t>clauros2505@gmail.com</t>
  </si>
  <si>
    <t>yaismed@gmail.com</t>
  </si>
  <si>
    <t>yaned.rivera7@gmail.com</t>
  </si>
  <si>
    <t>zooryemprenials@gmail.com</t>
  </si>
  <si>
    <t>lilopynle@gmail.com</t>
  </si>
  <si>
    <t>angelapc24@gmail.com</t>
  </si>
  <si>
    <t>sandratatianab@hotmail.com</t>
  </si>
  <si>
    <t>miri14@yahoo.es</t>
  </si>
  <si>
    <t>YOLIMA1103@YAHOO.ES</t>
  </si>
  <si>
    <t>yennycepeda03@gmail.com</t>
  </si>
  <si>
    <t>yohacastro@hotmail.es</t>
  </si>
  <si>
    <t>penaluzherminda@gmail.com</t>
  </si>
  <si>
    <t>luchispecaa@outlook.com</t>
  </si>
  <si>
    <t>fulbiamartinez29@hotmail.com</t>
  </si>
  <si>
    <t>rosavivimartinez81@gmail.com</t>
  </si>
  <si>
    <t>milenaceron05@gmail.com</t>
  </si>
  <si>
    <t>leidyman83@gmail.com</t>
  </si>
  <si>
    <t>cmayorgacamacho@yahoo.com</t>
  </si>
  <si>
    <t>darlyisabel1520@gmail.com</t>
  </si>
  <si>
    <t>anlis2383@gmail.com</t>
  </si>
  <si>
    <t>mariaangeldallos09@gmail.com</t>
  </si>
  <si>
    <t>aidarito@hotmail.com</t>
  </si>
  <si>
    <t>claudita2445@hotmail.com</t>
  </si>
  <si>
    <t>nancyyam04@hotmail.com</t>
  </si>
  <si>
    <t>enfzuly@gmail.com</t>
  </si>
  <si>
    <t>zxvargas@gmail.com</t>
  </si>
  <si>
    <t>reyesmartinezmagdajohanna@gmail.com</t>
  </si>
  <si>
    <t>marinagogo@hotmail.com</t>
  </si>
  <si>
    <t>marymar0123@gmail.com</t>
  </si>
  <si>
    <t>monelida@gmail.com</t>
  </si>
  <si>
    <t>leon25angela@gmail.com</t>
  </si>
  <si>
    <t>zoraidadelgado1953@gmail.com</t>
  </si>
  <si>
    <t>cecyiguera27@gmail.com</t>
  </si>
  <si>
    <t>glorisaparicio@gmail.com</t>
  </si>
  <si>
    <t>lelisnova8@gmail.com</t>
  </si>
  <si>
    <t>tiendamechala@gmail.com</t>
  </si>
  <si>
    <t>NOTENGO@gmail.com</t>
  </si>
  <si>
    <t>gomezpatinob@gmail.com</t>
  </si>
  <si>
    <t>marlenymanrique41@hotmail.com</t>
  </si>
  <si>
    <t>norfa2012@hotmail.com</t>
  </si>
  <si>
    <t>k.ikes0618@hotmail.com</t>
  </si>
  <si>
    <t>gloriac2808@hotmail.com</t>
  </si>
  <si>
    <t>nydiesitaflorez@gmail.com</t>
  </si>
  <si>
    <t>anaisadel@gmail.com</t>
  </si>
  <si>
    <t>empera14balaguera@gmail.com</t>
  </si>
  <si>
    <t>edelmiracely@hotmail.com</t>
  </si>
  <si>
    <t>veronica21@hotmail.com</t>
  </si>
  <si>
    <t>myriamyoly87@gmail.com</t>
  </si>
  <si>
    <t>rukisdelo@gmail.com</t>
  </si>
  <si>
    <t>yanedtbohorquez@gmail.com</t>
  </si>
  <si>
    <t>marialuisasanabria575@gmail.com</t>
  </si>
  <si>
    <t>fidecrea@gmail.com</t>
  </si>
  <si>
    <t>negritadorovaro@hotmail.com</t>
  </si>
  <si>
    <t>cielitoya78@hotmail.com</t>
  </si>
  <si>
    <t>adlenyduarteu@gmail.com</t>
  </si>
  <si>
    <t>rolimupa8024@gmail.com</t>
  </si>
  <si>
    <t>casualre2014@hotmail.com</t>
  </si>
  <si>
    <t>isavc83@gmail.com</t>
  </si>
  <si>
    <t>sarahy.spn@gmail.com</t>
  </si>
  <si>
    <t>icesam1810@gmail.com</t>
  </si>
  <si>
    <t>coesber984@gmail.com</t>
  </si>
  <si>
    <t>alejandrinag9@gmail.com</t>
  </si>
  <si>
    <t>aleydanino_58@hotmail.com</t>
  </si>
  <si>
    <t>gladyses2198@gmail.com</t>
  </si>
  <si>
    <t>wbibell57@gmail.com</t>
  </si>
  <si>
    <t>mariacdemonto@gmail.com</t>
  </si>
  <si>
    <t>marilse@yahoo.com</t>
  </si>
  <si>
    <t>carmelita070758@gmail.com</t>
  </si>
  <si>
    <t>liviamarinac7@gmail.com</t>
  </si>
  <si>
    <t>ns.avellanedabarrera@gmail.com</t>
  </si>
  <si>
    <t>dlteresah@gmail.com</t>
  </si>
  <si>
    <t>amerismr@gmail.com</t>
  </si>
  <si>
    <t>anasofiamendivelso4@gmail.com</t>
  </si>
  <si>
    <t>carolina.albarracin18@gmail.com</t>
  </si>
  <si>
    <t>gomezjulia33@gmail.com</t>
  </si>
  <si>
    <t>anayamile26@hotmail.com</t>
  </si>
  <si>
    <t>claraomm@hotmail.com</t>
  </si>
  <si>
    <t>juanjuan@gmail.com</t>
  </si>
  <si>
    <t>blainma87@gmail.com</t>
  </si>
  <si>
    <t>lurygoyeneche24@gmail.com</t>
  </si>
  <si>
    <t>anadf12@hotmail.com</t>
  </si>
  <si>
    <t>libis_montoya@yahoo.com</t>
  </si>
  <si>
    <t>hotelroyalsocha@gmail.com</t>
  </si>
  <si>
    <t>solpatty6@gmail.com</t>
  </si>
  <si>
    <t>claudia.socadaguir@gmail.com</t>
  </si>
  <si>
    <t>elizana29@yahoo.es</t>
  </si>
  <si>
    <t>maria.cootransval@gmail.com</t>
  </si>
  <si>
    <t>amanpao04@yahoo.es</t>
  </si>
  <si>
    <t>aualmi19@hotmail.com</t>
  </si>
  <si>
    <t>ampabjo8802@gmail.com</t>
  </si>
  <si>
    <t>senaiiida@hotmail.com</t>
  </si>
  <si>
    <t>celmirasandoval13@gmail.com</t>
  </si>
  <si>
    <t>doraines028@hotmail.com</t>
  </si>
  <si>
    <t>yjohanino11@gmail.com</t>
  </si>
  <si>
    <t>lucianotorresabril@gmail.com</t>
  </si>
  <si>
    <t>blancauscategui@hotmail.com</t>
  </si>
  <si>
    <t>soniaeme10@hotmail.com</t>
  </si>
  <si>
    <t>hnoebotia@yahoo.es</t>
  </si>
  <si>
    <t>lorenakorredor@gmail.com</t>
  </si>
  <si>
    <t>romeronubia275@gmail.com</t>
  </si>
  <si>
    <t>albarracinamparo@yahoo.com.co</t>
  </si>
  <si>
    <t>marthajmm@hotmail.com</t>
  </si>
  <si>
    <t>ANAOMAIRA@gmail.com</t>
  </si>
  <si>
    <t>eugeniarangel159@gmail.com</t>
  </si>
  <si>
    <t>blancaisbelia1977@gmail.com</t>
  </si>
  <si>
    <t>yannethbernal77@gmail.com</t>
  </si>
  <si>
    <t>agarciadmon2018@gmail.com</t>
  </si>
  <si>
    <t>najabjo@gmail.com</t>
  </si>
  <si>
    <t>doelcari@yahoo.es</t>
  </si>
  <si>
    <t>anitavega.75@gmail.com</t>
  </si>
  <si>
    <t>yolisantos81@gmail.com</t>
  </si>
  <si>
    <t>dorgaitan@gmail.com</t>
  </si>
  <si>
    <t>bibianagoye12@gmail.com</t>
  </si>
  <si>
    <t>toby1409@gmail.com</t>
  </si>
  <si>
    <t>auscategui8@gmail.com</t>
  </si>
  <si>
    <t>modepimoga16@hotmail.com</t>
  </si>
  <si>
    <t>yeimycristiano@gmail.com</t>
  </si>
  <si>
    <t>salcedonestor80@gmail.com</t>
  </si>
  <si>
    <t>yanis2480@hotmail.com</t>
  </si>
  <si>
    <t>lydaramirezsepulveda@gmail.com</t>
  </si>
  <si>
    <t>riluzca-04@hotmail.com</t>
  </si>
  <si>
    <t>yolandasua2@gmail.com</t>
  </si>
  <si>
    <t>enfajardop@gmail.com</t>
  </si>
  <si>
    <t>kamirades@gmail.com</t>
  </si>
  <si>
    <t>nrmpinedap@gmail.com</t>
  </si>
  <si>
    <t>mogollitajr@hotmail.com</t>
  </si>
  <si>
    <t>conyfonseca20@gmail.com</t>
  </si>
  <si>
    <t>santijuan58@gmail.com</t>
  </si>
  <si>
    <t>mercedesblanco55@hotmail.com</t>
  </si>
  <si>
    <t>yemalago@hotmail.com</t>
  </si>
  <si>
    <t>liaugome@hotmail.com</t>
  </si>
  <si>
    <t>jennyaldana0112@gmail.com</t>
  </si>
  <si>
    <t>nisapi1@hotmail.com</t>
  </si>
  <si>
    <t>berthagimena123@gmail.com</t>
  </si>
  <si>
    <t>nybrifer@gmail.com</t>
  </si>
  <si>
    <t>hildacantor@hotmail.com</t>
  </si>
  <si>
    <t>sinocorreo@gmail.com</t>
  </si>
  <si>
    <t>omairagarciavg@gmail.com</t>
  </si>
  <si>
    <t>luzmilaaf@hotmail.com</t>
  </si>
  <si>
    <t>dianasagi6@hotmail.com</t>
  </si>
  <si>
    <t>reyesmarquezmariacristina@gmail.com</t>
  </si>
  <si>
    <t>lucesitatasco@gmail.com</t>
  </si>
  <si>
    <t>luzmeryacero73@gmail.com</t>
  </si>
  <si>
    <t>ktabecerra84@gmail.com</t>
  </si>
  <si>
    <t>aliriomania56@yahoo.es</t>
  </si>
  <si>
    <t>dollymojicangarita3@gmail.com</t>
  </si>
  <si>
    <t>crismejia21@gmail.com</t>
  </si>
  <si>
    <t>marhaleonhernandez@gmail.com</t>
  </si>
  <si>
    <t>glovalo2012@hotmail.com</t>
  </si>
  <si>
    <t>mayarlyparra05@gmail.com</t>
  </si>
  <si>
    <t>riverayulieth41@gmail.com</t>
  </si>
  <si>
    <t>maimpeay@gmail.com</t>
  </si>
  <si>
    <t>anagracielamartinez58@gmail.com</t>
  </si>
  <si>
    <t>marthatristancho@gmail.com</t>
  </si>
  <si>
    <t>alcirabelen5@gmail.com</t>
  </si>
  <si>
    <t>dorellycoreav@yahoo.es</t>
  </si>
  <si>
    <t>manuel.2514@hotmail.com</t>
  </si>
  <si>
    <t>mariabayona1964@gmail.com</t>
  </si>
  <si>
    <t>falta@gmail.com</t>
  </si>
  <si>
    <t>negrasoy22@yahoo.com.co</t>
  </si>
  <si>
    <t>yanethc.fajardo@hotmail.com</t>
  </si>
  <si>
    <t>andresramirez@gmal.com</t>
  </si>
  <si>
    <t>librana335@gmail.com</t>
  </si>
  <si>
    <t>ived.cg@gmail.com</t>
  </si>
  <si>
    <t>alvarofcardenasc@gmail.com</t>
  </si>
  <si>
    <t>maria.becastro@hotmail.com</t>
  </si>
  <si>
    <t>gladystristancho24@gmail.com</t>
  </si>
  <si>
    <t>anariveradiaz11@gmail.com</t>
  </si>
  <si>
    <t>lucilanino983@gmail.com</t>
  </si>
  <si>
    <t>kelybiviana@gmail.com</t>
  </si>
  <si>
    <t>doratotaitive@hotmail.com</t>
  </si>
  <si>
    <t>glapa16@yahoo.es</t>
  </si>
  <si>
    <t>jeyilud@hotmail.com</t>
  </si>
  <si>
    <t>ltoti27@gmail.com</t>
  </si>
  <si>
    <t>curmendoris@gmail.com</t>
  </si>
  <si>
    <t>clarainesg2001@yahoo.com</t>
  </si>
  <si>
    <t>ofp0502@gmail.com</t>
  </si>
  <si>
    <t>daya110297@gmail.com</t>
  </si>
  <si>
    <t>sabajonsandiego@hotmail.com</t>
  </si>
  <si>
    <t>dorisperes19@hotmail.com</t>
  </si>
  <si>
    <t>miangelgutierrez@gmail.com</t>
  </si>
  <si>
    <t>njsalamancag@hotmail.com</t>
  </si>
  <si>
    <t>blancacecilia8023@gmail.com</t>
  </si>
  <si>
    <t>yolysomeric10@gmail.com</t>
  </si>
  <si>
    <t>soniacris1010@gmail.com</t>
  </si>
  <si>
    <t>angela.forero.aponte@gmail.com</t>
  </si>
  <si>
    <t>sonia_chava@yahoo.es</t>
  </si>
  <si>
    <t>aldecar2730@hotmail.com</t>
  </si>
  <si>
    <t>soniacepeda83@hotmail.com</t>
  </si>
  <si>
    <t>claumile831@hotmail.com</t>
  </si>
  <si>
    <t>derlydu18@hotmail.com</t>
  </si>
  <si>
    <t>saliayze@hotmail.com</t>
  </si>
  <si>
    <t>ligavato0305@hotmail.com</t>
  </si>
  <si>
    <t>angelik.mesa@gmail.com</t>
  </si>
  <si>
    <t>aydfi25@yahoo.com</t>
  </si>
  <si>
    <t>noylucy2017@gmail.com</t>
  </si>
  <si>
    <t>laurenrincon.tec@gmail.com</t>
  </si>
  <si>
    <t>claus291992@gmail.com</t>
  </si>
  <si>
    <t>cecilia.pastorj@gmail.com</t>
  </si>
  <si>
    <t>elisenia1504@hotmail.com</t>
  </si>
  <si>
    <t>rosalbaleguizamon@hotmail.com</t>
  </si>
  <si>
    <t>auraguio15@hotmail.com</t>
  </si>
  <si>
    <t>zomaira67@hotmail.com</t>
  </si>
  <si>
    <t>atapias640@gmail.com</t>
  </si>
  <si>
    <t>licglacruz@yahoo.es</t>
  </si>
  <si>
    <t>luzmarinaadame68@gmail.com</t>
  </si>
  <si>
    <t>irmusu@hotmail.com</t>
  </si>
  <si>
    <t>lopezjazmin64@yahoo.es</t>
  </si>
  <si>
    <t>rptagro@gmail.com</t>
  </si>
  <si>
    <t>abelardogallo96@gmail.com</t>
  </si>
  <si>
    <t>n.daneyi18@hotmail.com</t>
  </si>
  <si>
    <t>nidiah@gmail.com</t>
  </si>
  <si>
    <t>ye.niro1983@hotmail.com</t>
  </si>
  <si>
    <t>lantonygualdron07@hotmail.com</t>
  </si>
  <si>
    <t>anavictoriapd2000@gmail.com</t>
  </si>
  <si>
    <t>gloesmith76@gmail.com</t>
  </si>
  <si>
    <t>marielabolivar444@gmail.com</t>
  </si>
  <si>
    <t>edithsissa92@gmail.com</t>
  </si>
  <si>
    <t>lukitha02@gmail.com</t>
  </si>
  <si>
    <t>esthersitaparra1501@gmail.com</t>
  </si>
  <si>
    <t>mnespinel@gmail.com</t>
  </si>
  <si>
    <t>mariaelbaromero39@gmail.com</t>
  </si>
  <si>
    <t>eline.romero@icbf.gov.co</t>
  </si>
  <si>
    <t>gahiazafiro@gmail.com</t>
  </si>
  <si>
    <t>claudiareyes.0324@gmail.com</t>
  </si>
  <si>
    <t>namunos@hotmail.com</t>
  </si>
  <si>
    <t>alexandraherrera@gmail.com</t>
  </si>
  <si>
    <t>elimarcelatorres@gmail.com</t>
  </si>
  <si>
    <t>marycaceres12a@gmail.com</t>
  </si>
  <si>
    <t>edison.tobon@boyacaseguros.com</t>
  </si>
  <si>
    <t>merymorenomejia@hotmail.com</t>
  </si>
  <si>
    <t>anlugace@gmail.com</t>
  </si>
  <si>
    <t>gloria7-3@outlook.es</t>
  </si>
  <si>
    <t>nohorita1503@yahoo.es</t>
  </si>
  <si>
    <t>anamyrgonzalez@gmail.com</t>
  </si>
  <si>
    <t>reyesestrellita@gmail.com</t>
  </si>
  <si>
    <t>anarosaalvarezguerero@gmail.com</t>
  </si>
  <si>
    <t>cardenasamayaa93@gmail.com</t>
  </si>
  <si>
    <t>maryuryguiza010@outlook.com</t>
  </si>
  <si>
    <t>clemenciabarbosa84@gmail.com</t>
  </si>
  <si>
    <t>mariaelisanguino2018@gmail.com</t>
  </si>
  <si>
    <t>lauraguarin152@gmail.com</t>
  </si>
  <si>
    <t>josefina.hernandez19@hotmail.com</t>
  </si>
  <si>
    <t>zoraida074@hotmail.com</t>
  </si>
  <si>
    <t>lucilaahernandezz@gmail.com</t>
  </si>
  <si>
    <t>melbadiaz3046@gmail.com</t>
  </si>
  <si>
    <t>mariaelviap142@gmail.com</t>
  </si>
  <si>
    <t>eloycabezas11@gmail.com</t>
  </si>
  <si>
    <t>mariarojascetina@gmail.com</t>
  </si>
  <si>
    <t>mujasa8888@gmail.com</t>
  </si>
  <si>
    <t>maylainlopeznegron@hotmail.com</t>
  </si>
  <si>
    <t>BUSDERLY@gmail.com</t>
  </si>
  <si>
    <t>toquima@hotmail.com</t>
  </si>
  <si>
    <t>rubielamalaver1963@gmail.com</t>
  </si>
  <si>
    <t>magalirivera1466@gmail.com</t>
  </si>
  <si>
    <t>esperanzpe@gmail.com</t>
  </si>
  <si>
    <t>lugamitas@hotmail.com</t>
  </si>
  <si>
    <t>hincapiemunozfranciamilena@gmail.com</t>
  </si>
  <si>
    <t>2012marceb@gmail.com</t>
  </si>
  <si>
    <t>samije1910@gmail.com</t>
  </si>
  <si>
    <t>laurakarinaperico@gmail.com</t>
  </si>
  <si>
    <t>pascualeon27@gmail.com</t>
  </si>
  <si>
    <t>antesita@hotmail.com</t>
  </si>
  <si>
    <t>diamara1985@gmail.com</t>
  </si>
  <si>
    <t>karinacasta85@gmail.com</t>
  </si>
  <si>
    <t>thomascifuentes61@gmail.com</t>
  </si>
  <si>
    <t>adielagogo@gmail.com</t>
  </si>
  <si>
    <t>soa056@hotmail.com</t>
  </si>
  <si>
    <t>lilianaconsuegrahiggins@gmail.com</t>
  </si>
  <si>
    <t>rianethm@hotmail.com</t>
  </si>
  <si>
    <t>luishuerfano12@hotmail.com</t>
  </si>
  <si>
    <t>soniamabelpiraquica@hotmail.com</t>
  </si>
  <si>
    <t>lrleond@yahoo.com</t>
  </si>
  <si>
    <t>cslmvz@hotmail.com</t>
  </si>
  <si>
    <t>yolysalf@hotmail.com</t>
  </si>
  <si>
    <t>aluciapicofuentes@gmail.com</t>
  </si>
  <si>
    <t>lopez.dianapaola82@gmail.com</t>
  </si>
  <si>
    <t>jennysocadagui@gmail.com</t>
  </si>
  <si>
    <t>levidama4@gmail.com</t>
  </si>
  <si>
    <t>ledame82@gmail.com</t>
  </si>
  <si>
    <t>mariana.pasachoamontoya@gmail.com</t>
  </si>
  <si>
    <t>vdelpilar8@gmail.com</t>
  </si>
  <si>
    <t>lilianacely226@gmail.com</t>
  </si>
  <si>
    <t>jennyabar3@gmail.com</t>
  </si>
  <si>
    <t>dmbg@gmail.com</t>
  </si>
  <si>
    <t>johanavargasesteves@gmail.com</t>
  </si>
  <si>
    <t>nellyvivianaacunatarazona@gmail.com</t>
  </si>
  <si>
    <t>anaidkarolina@hotmail.com</t>
  </si>
  <si>
    <t>erikaalbarracin0128@gmail.com</t>
  </si>
  <si>
    <t>kizejnoel108@gmail.com</t>
  </si>
  <si>
    <t>bibanaandrev@gmail.com</t>
  </si>
  <si>
    <t>fffernandab@gmail.com</t>
  </si>
  <si>
    <t>paolitaj08@hotmail.com</t>
  </si>
  <si>
    <t>nancyyanira4556@hotmail.com</t>
  </si>
  <si>
    <t>auroraniet@gmail.com</t>
  </si>
  <si>
    <t>exploraviajesporelmundosas@gmail.com</t>
  </si>
  <si>
    <t>paolamorenoparedes@gmail.com</t>
  </si>
  <si>
    <t>linaruth.palacios@hotmail.com</t>
  </si>
  <si>
    <t>lauraperalta55@hotmail.com</t>
  </si>
  <si>
    <t>yomarabotia@gmail.com</t>
  </si>
  <si>
    <t>rruthmery@yahoo.com</t>
  </si>
  <si>
    <t>ceronisadora31@gmail.com</t>
  </si>
  <si>
    <t>andreitadeldol@hotmail.com</t>
  </si>
  <si>
    <t>ajafapa.3@gmail.com</t>
  </si>
  <si>
    <t>gloriaisabelcardenasalarcon@gmail.com</t>
  </si>
  <si>
    <t>berthaalbarracin33@gmail.com</t>
  </si>
  <si>
    <t>neda11@hotmail.es</t>
  </si>
  <si>
    <t>carlely_10@hotmail.com</t>
  </si>
  <si>
    <t>sofrive@hotmail.com</t>
  </si>
  <si>
    <t>rukisnanis@hotmail.com</t>
  </si>
  <si>
    <t>imeldatarazonasaenz@gmail.com</t>
  </si>
  <si>
    <t>parracamachoines@gmail.com</t>
  </si>
  <si>
    <t>emilcen.gonzalez.39@gmail.com</t>
  </si>
  <si>
    <t>luzma31cardenas@gmail.com</t>
  </si>
  <si>
    <t>multirespuestosjnduitama@gmail.com</t>
  </si>
  <si>
    <t>marcepedreros19@gmail.com</t>
  </si>
  <si>
    <t>lunamorc@hotmail.com</t>
  </si>
  <si>
    <t>samibecerra@hotmail.com</t>
  </si>
  <si>
    <t>stevilla21@gmail.com</t>
  </si>
  <si>
    <t>lunicrisnicosanti@gmail.com</t>
  </si>
  <si>
    <t>nenito.peralta8@gmail.com</t>
  </si>
  <si>
    <t>paolaandreaf15@gmail.com</t>
  </si>
  <si>
    <t>gorisitalopez@hotmail.com</t>
  </si>
  <si>
    <t>paola.martinez81@hotmail.com</t>
  </si>
  <si>
    <t>nubialilianatenjoa@gmel.com</t>
  </si>
  <si>
    <t>enfernelsi@hotmail.com</t>
  </si>
  <si>
    <t>rosariobenitezmateus@hotmail.com</t>
  </si>
  <si>
    <t>sisubeme@gmail.com</t>
  </si>
  <si>
    <t>gladysdum785@gmail.com</t>
  </si>
  <si>
    <t>glorisgalindo.25@gmail.com</t>
  </si>
  <si>
    <t>luzlr31@hotmail.com</t>
  </si>
  <si>
    <t>florcifuentes08@gmail.com</t>
  </si>
  <si>
    <t>cptv2012@gmail.com</t>
  </si>
  <si>
    <t>info.igomar@gmail.com</t>
  </si>
  <si>
    <t>sandruiz1984@gmail.com</t>
  </si>
  <si>
    <t>sandrarodri19@gmail.com</t>
  </si>
  <si>
    <t>areazz@yahoo.com</t>
  </si>
  <si>
    <t>cecicriojeda1@gmail.com</t>
  </si>
  <si>
    <t>isbelmavel6@gmail.com</t>
  </si>
  <si>
    <t>analatorre@gmial.com</t>
  </si>
  <si>
    <t>claudiavelandir1402@gmail.com</t>
  </si>
  <si>
    <t>angela.acerias@gmail.com</t>
  </si>
  <si>
    <t>luzdiva1031@gmail.com</t>
  </si>
  <si>
    <t>elenatovar1002@gmail.com</t>
  </si>
  <si>
    <t>sicarorpe@gmail.com</t>
  </si>
  <si>
    <t>brigittellanos7@gmail.com</t>
  </si>
  <si>
    <t>dora3682@hotmail.com</t>
  </si>
  <si>
    <t>patriciamc30@gmail.com</t>
  </si>
  <si>
    <t>dyaneth2@hotmail.com</t>
  </si>
  <si>
    <t>monchorosero@gmail.com</t>
  </si>
  <si>
    <t>luzmiryamacosta@hotmail.com</t>
  </si>
  <si>
    <t>bernardo16mejia@gmail.com</t>
  </si>
  <si>
    <t>jame1009@hotmail.com</t>
  </si>
  <si>
    <t>maviclo@yahoo.com</t>
  </si>
  <si>
    <t>niveare_25@hotmail.com</t>
  </si>
  <si>
    <t>sandritapa2020@gmail.com</t>
  </si>
  <si>
    <t>sandrakatigomez@hotmail.com</t>
  </si>
  <si>
    <t>hermelindacarrenoruiz@gmail.com</t>
  </si>
  <si>
    <t>carolinasep1979@gmail.com</t>
  </si>
  <si>
    <t>sprapi08@gmail.com</t>
  </si>
  <si>
    <t>manuelr306@hotmail.com</t>
  </si>
  <si>
    <t>edth303@hotmail.com</t>
  </si>
  <si>
    <t>elenitagonza27@gmail.com</t>
  </si>
  <si>
    <t>soniadiazcadena300580@gmail.com</t>
  </si>
  <si>
    <t>luzsocha5@gmail.com</t>
  </si>
  <si>
    <t>nutkaly2014@hotmail.es</t>
  </si>
  <si>
    <t>yaniba2009@hotmail.com</t>
  </si>
  <si>
    <t>yurley64@hotmail.com</t>
  </si>
  <si>
    <t>ceyiri@hotmail.com</t>
  </si>
  <si>
    <t>cecilia182625@hotmail.com</t>
  </si>
  <si>
    <t>samypumo@gmail.com</t>
  </si>
  <si>
    <t>facturaciondominguez@gmail.com</t>
  </si>
  <si>
    <t>sandrarangelp1280@gmail.com</t>
  </si>
  <si>
    <t>adrianaquirogaariza@yahoo.es</t>
  </si>
  <si>
    <t>ingridalvarez30mayo@hotmail.com</t>
  </si>
  <si>
    <t>ortizmarina6805@gmail.com</t>
  </si>
  <si>
    <t>mshggracia@gmail.com</t>
  </si>
  <si>
    <t>amparo.acosta@hotmail.com</t>
  </si>
  <si>
    <t>auto.triunfo@yahoo.es</t>
  </si>
  <si>
    <t>agar78353@gmail.com</t>
  </si>
  <si>
    <t>sandramilenaleonp25@hotmail.com</t>
  </si>
  <si>
    <t>caritop215@hotmail.com</t>
  </si>
  <si>
    <t>francyjuris26@gmail.com</t>
  </si>
  <si>
    <t>lalita8556@gmail.com</t>
  </si>
  <si>
    <t>consueloa951@gmail.com</t>
  </si>
  <si>
    <t>joneveronicas@yahoo.es</t>
  </si>
  <si>
    <t>jennyuribe1384@gmail.com</t>
  </si>
  <si>
    <t>morenocardenaslucila30@gmail.com</t>
  </si>
  <si>
    <t>violetadtp@gmail.com</t>
  </si>
  <si>
    <t>ecasascasas@hotmail.com</t>
  </si>
  <si>
    <t>maz2298@gmail.com</t>
  </si>
  <si>
    <t>edilmanilo@hotmail.com</t>
  </si>
  <si>
    <t>claumeliana@gmail.com</t>
  </si>
  <si>
    <t>duitama.chispazo@gmail.com</t>
  </si>
  <si>
    <t>barbosaarizarubi@gmail.com</t>
  </si>
  <si>
    <t>lilianavargasd@yahoo.com</t>
  </si>
  <si>
    <t>marisolguiopinzon@gmail.com</t>
  </si>
  <si>
    <t>alejandraibanez439@gmail.com</t>
  </si>
  <si>
    <t>luzmy1930@hotmail.com</t>
  </si>
  <si>
    <t>hipatiancb@gmail.com</t>
  </si>
  <si>
    <t>eduardoacosta0268@gmail.com</t>
  </si>
  <si>
    <t>victora.vargas64@hotmail.com</t>
  </si>
  <si>
    <t>globuga@gmail.com</t>
  </si>
  <si>
    <t>mirandaesperanza577@gmail.com</t>
  </si>
  <si>
    <t>silvia18672@gmail.com</t>
  </si>
  <si>
    <t>andrea.0410@live.com</t>
  </si>
  <si>
    <t>noinforma@gmail.com</t>
  </si>
  <si>
    <t>mariposadmc@hotmail.com</t>
  </si>
  <si>
    <t>anacorredor949@gmail.com</t>
  </si>
  <si>
    <t>aovasque.19@gmail.com</t>
  </si>
  <si>
    <t>nubia.h.r@hotmail.com</t>
  </si>
  <si>
    <t>sildanamon72@gmil.com</t>
  </si>
  <si>
    <t>di-mundo@hotmail.com</t>
  </si>
  <si>
    <t>fannyv06@gmail.com</t>
  </si>
  <si>
    <t>stellitasierra@gmail.com</t>
  </si>
  <si>
    <t>delilarcon8@gmail.com</t>
  </si>
  <si>
    <t>mariaantoniaquintero@gmail.com</t>
  </si>
  <si>
    <t>luzmfonsecarobles@hotmail.com</t>
  </si>
  <si>
    <t>maesgramo8@gmail.com</t>
  </si>
  <si>
    <t>yayistovar@hotmail.com</t>
  </si>
  <si>
    <t>constanzacastellanos647@gmail.com</t>
  </si>
  <si>
    <t>lumiferni@yahoo.com.co</t>
  </si>
  <si>
    <t>ghjd05@gmail.com</t>
  </si>
  <si>
    <t>chelacamargo58@yahoo.es</t>
  </si>
  <si>
    <t>claudia.perez@uptc.edu.co</t>
  </si>
  <si>
    <t>eds.elandino@gmail.com</t>
  </si>
  <si>
    <t>teresamunoz3@hotmail.com</t>
  </si>
  <si>
    <t>mivillate@gmail.com</t>
  </si>
  <si>
    <t>distribuidorasanluistunja@gmail.com</t>
  </si>
  <si>
    <t>ebbarrios@hotmail.com</t>
  </si>
  <si>
    <t>anaerciliacoypatino@gmail.com</t>
  </si>
  <si>
    <t>gloriapiracon@gmail.com</t>
  </si>
  <si>
    <t>olma.60@hotmail.com</t>
  </si>
  <si>
    <t>yoesva64@hotmail.com</t>
  </si>
  <si>
    <t>meryfernandez65@yahoo.com</t>
  </si>
  <si>
    <t>albalucialeal@gmail.com</t>
  </si>
  <si>
    <t>nrmi1@hotmail.com</t>
  </si>
  <si>
    <t>dorisavella@cglv.edu.co</t>
  </si>
  <si>
    <t>blayarima02@gmail.com</t>
  </si>
  <si>
    <t>teresavillate09@gmail.com</t>
  </si>
  <si>
    <t>maytesa65@hotmail.com</t>
  </si>
  <si>
    <t>javiparao@hotmail.com</t>
  </si>
  <si>
    <t>blamacano@hotmail.com</t>
  </si>
  <si>
    <t>ALLUSACU65@hotmail.com</t>
  </si>
  <si>
    <t>nupati24@hotmail.com</t>
  </si>
  <si>
    <t>fideliaayala@hotmail.com</t>
  </si>
  <si>
    <t>adrivargas0227@hotmail.com</t>
  </si>
  <si>
    <t>gloriayolandagaravitovargas@hotmail.com</t>
  </si>
  <si>
    <t>furaiduitama@gmail.com</t>
  </si>
  <si>
    <t>nelcyrocioch66@gmail.com</t>
  </si>
  <si>
    <t>pablodavid1110@gmail.com</t>
  </si>
  <si>
    <t>armandovp925@gmail.com</t>
  </si>
  <si>
    <t>baronnuvanmonicadaniela@gmail.com</t>
  </si>
  <si>
    <t>sorayitanoviembre12@gmail.com</t>
  </si>
  <si>
    <t>nelsynotas@gmail.com</t>
  </si>
  <si>
    <t>briceleunice@gmail.com</t>
  </si>
  <si>
    <t>dulceyo_8@yahoo.es</t>
  </si>
  <si>
    <t>domarcopul@hotmail.com</t>
  </si>
  <si>
    <t>clalucogu@hotmail.com</t>
  </si>
  <si>
    <t>olgagarciauptc@gmail.com</t>
  </si>
  <si>
    <t>reyeseugenia83@gmail.com</t>
  </si>
  <si>
    <t>suacg1871@hotmail.com</t>
  </si>
  <si>
    <t>marybarrera08@gmail.com</t>
  </si>
  <si>
    <t>emainhevi@hotmail.com</t>
  </si>
  <si>
    <t>guayacangomezm@gmail.com</t>
  </si>
  <si>
    <t>trofeosgrabadosuniboy@hotmail.com</t>
  </si>
  <si>
    <t>aleticam@gmail.com</t>
  </si>
  <si>
    <t>fabi@gmail.com</t>
  </si>
  <si>
    <t>hotelmanhattancityduitama@gmail.com</t>
  </si>
  <si>
    <t>amandaparra.p@gmail.com</t>
  </si>
  <si>
    <t>rbb.contadora1013@gmail.com</t>
  </si>
  <si>
    <t>marisol_gil_padilla@hotmail.com</t>
  </si>
  <si>
    <t>sandyliliji@yahoo.com</t>
  </si>
  <si>
    <t>edwanita@gmail.com</t>
  </si>
  <si>
    <t>fledesbindagarcia@gmail.com</t>
  </si>
  <si>
    <t>anamile.velasco@hotmail.com</t>
  </si>
  <si>
    <t>dajuza2009@gmail.com</t>
  </si>
  <si>
    <t>an.pinzon@gmail.com</t>
  </si>
  <si>
    <t>costyco@gmail.com</t>
  </si>
  <si>
    <t>angela_meri@outlook.com</t>
  </si>
  <si>
    <t>mercooptuta@gmail.com</t>
  </si>
  <si>
    <t>martha-pini321@outlook.com</t>
  </si>
  <si>
    <t>mariaalvarado4003@gmail.com</t>
  </si>
  <si>
    <t>sandy_8867@hotmail.com</t>
  </si>
  <si>
    <t>limavivi2@outlook.com</t>
  </si>
  <si>
    <t>yanethgalan15@gmail.com</t>
  </si>
  <si>
    <t>nubiaaleth@gmail.com</t>
  </si>
  <si>
    <t>meryrime@gmail.com</t>
  </si>
  <si>
    <t>litorga@yahoo.com</t>
  </si>
  <si>
    <t>juanda199@gmail.com</t>
  </si>
  <si>
    <t>dianabustamayo16@gmail.com</t>
  </si>
  <si>
    <t>emmontanez@gmail.com</t>
  </si>
  <si>
    <t>emilcenino@hotmail.com</t>
  </si>
  <si>
    <t>ruth.cardenas@uptc.edu.co</t>
  </si>
  <si>
    <t>sandjimb@hotmail.com</t>
  </si>
  <si>
    <t>clauoror23@gmail.com</t>
  </si>
  <si>
    <t>jannethparra03@hotmail.com</t>
  </si>
  <si>
    <t>sandralorenacruzquintero@gmail.com</t>
  </si>
  <si>
    <t>blancariano31@gmail.com</t>
  </si>
  <si>
    <t>maryiperez437@gmail.com</t>
  </si>
  <si>
    <t>irmanietob@gmail.com</t>
  </si>
  <si>
    <t>gloriaeriv@gmail.com</t>
  </si>
  <si>
    <t>neelzi5@yahoo.es</t>
  </si>
  <si>
    <t>jumaquia@gmail.com</t>
  </si>
  <si>
    <t>cayita_guti@hotmail.com</t>
  </si>
  <si>
    <t>sarapzm@yahoo.com</t>
  </si>
  <si>
    <t>marcequinty@gmail.com</t>
  </si>
  <si>
    <t>adryast@hotmail.es</t>
  </si>
  <si>
    <t>nidiaacomercial@gmail.com</t>
  </si>
  <si>
    <t>ednahernandezr@gmail.com</t>
  </si>
  <si>
    <t>juandavidrodriguezlopez494@gmail.com</t>
  </si>
  <si>
    <t>elizabeth.barrera.a@gmail.com</t>
  </si>
  <si>
    <t>mf81maria@gmail.com</t>
  </si>
  <si>
    <t>anbibian@hotmail.com</t>
  </si>
  <si>
    <t>lauracapacho17@gmail.com</t>
  </si>
  <si>
    <t>chanitaaa@hotmail.com</t>
  </si>
  <si>
    <t>edconrojas1906@gmail.com</t>
  </si>
  <si>
    <t>yohana.barajas@gmail.com</t>
  </si>
  <si>
    <t>magdalorena180@gmail.com</t>
  </si>
  <si>
    <t>dianabay1@hotmail.com</t>
  </si>
  <si>
    <t>doyafoga@hotmail.com</t>
  </si>
  <si>
    <t>tk.acilegnaperez@gmail.com</t>
  </si>
  <si>
    <t>nante0503@hotmail.com</t>
  </si>
  <si>
    <t>luzmerypazluz2015@gmail.com</t>
  </si>
  <si>
    <t>enidfisiotea@gmail.com</t>
  </si>
  <si>
    <t>marcelahermosilla2005@yahoo.es</t>
  </si>
  <si>
    <t>contabilidadzulaym@gmail.com</t>
  </si>
  <si>
    <t>santanderyoja@gmail.com</t>
  </si>
  <si>
    <t>johari911@gmail.com</t>
  </si>
  <si>
    <t>DOSTOKAF@gmail.com</t>
  </si>
  <si>
    <t>mryam8198@hotmail.com</t>
  </si>
  <si>
    <t>gladishortensiamontoya@gmail.com</t>
  </si>
  <si>
    <t>neidyrocio1650@hotmail.com</t>
  </si>
  <si>
    <t>jsandrita.r84@hotmail.com</t>
  </si>
  <si>
    <t>yanethcastro26@gmail.com</t>
  </si>
  <si>
    <t>laposadabaquerog@gmail.com</t>
  </si>
  <si>
    <t>pmyriam416@hotmail.com</t>
  </si>
  <si>
    <t>ROCHILADINO34@gmail.com</t>
  </si>
  <si>
    <t>martha.sierra@uptc.edu.co</t>
  </si>
  <si>
    <t>rosalba58sn@gmail.com</t>
  </si>
  <si>
    <t>nohelia13_3@hotmail.com</t>
  </si>
  <si>
    <t>mprietochaparro@gmail.com</t>
  </si>
  <si>
    <t>blanquita1947@hotmail.com</t>
  </si>
  <si>
    <t>mariaelenag20@gmail.com</t>
  </si>
  <si>
    <t>clararoj49@gmail.com</t>
  </si>
  <si>
    <t>edimorenotrujillo@gmail.com</t>
  </si>
  <si>
    <t>emmarangelsuarez@gmail.com</t>
  </si>
  <si>
    <t>speedy_75@hotmail.com</t>
  </si>
  <si>
    <t>jahelgrgr@yahoo.com</t>
  </si>
  <si>
    <t>mabel41147@gmail.com</t>
  </si>
  <si>
    <t>herconi17@gmail.com</t>
  </si>
  <si>
    <t>flormaria2905@hotmail.com</t>
  </si>
  <si>
    <t>gmapontec@gmail.com</t>
  </si>
  <si>
    <t>abg.madelcar@gmail.com</t>
  </si>
  <si>
    <t>maria.s.guio17@gmail.com</t>
  </si>
  <si>
    <t>blancaleonorc@gmail.com</t>
  </si>
  <si>
    <t>brandonpaez4@gmail.com</t>
  </si>
  <si>
    <t>cicc_70@hotmail.com</t>
  </si>
  <si>
    <t>alixmorenot@gmail.com</t>
  </si>
  <si>
    <t>felbaruiz@gmail.com</t>
  </si>
  <si>
    <t>leito545@hotmail.es</t>
  </si>
  <si>
    <t>aigalvis01@gmail.com</t>
  </si>
  <si>
    <t>facturacion@empoduitama.com</t>
  </si>
  <si>
    <t>SANCHEZ@hotmail.com</t>
  </si>
  <si>
    <t>NURY.MAYORGA@gmail.com</t>
  </si>
  <si>
    <t>iligavi8@hotmail.com</t>
  </si>
  <si>
    <t>dianamartinez.diaz@hotmail.com</t>
  </si>
  <si>
    <t>rosalba4914@homail.com</t>
  </si>
  <si>
    <t>notaria1duitama@hotmail.com</t>
  </si>
  <si>
    <t>fluque@ocpmingenieria.com</t>
  </si>
  <si>
    <t>mapcast@hotmail.com</t>
  </si>
  <si>
    <t>marthalilianapinto@yahoo.es</t>
  </si>
  <si>
    <t>ruthcombariza2014@hotmail.com</t>
  </si>
  <si>
    <t>dilcar7@gmail.com</t>
  </si>
  <si>
    <t>damita2406@hotmail.com</t>
  </si>
  <si>
    <t>bettinamedis@hotmail.com</t>
  </si>
  <si>
    <t>dige16@gmail.com</t>
  </si>
  <si>
    <t>albarracin.olga@gmail.com</t>
  </si>
  <si>
    <t>nancymavelez@hotmail.com</t>
  </si>
  <si>
    <t>lilianamariaa322@gmail.com</t>
  </si>
  <si>
    <t>pato0331@hotmail.com</t>
  </si>
  <si>
    <t>johasami84@hotmail.com</t>
  </si>
  <si>
    <t>olgalopez571@gmail.com</t>
  </si>
  <si>
    <t>adrianakarina.cs@gmail.com</t>
  </si>
  <si>
    <t>ecky1404@gmail.com</t>
  </si>
  <si>
    <t>blanca.estepal@gmail.com</t>
  </si>
  <si>
    <t>mermoles.11@gmail.com</t>
  </si>
  <si>
    <t>chelacucuadros@gmail.com</t>
  </si>
  <si>
    <t>maria.cardenas05@uptc.edu.co</t>
  </si>
  <si>
    <t>blancavp1@hotmail.com</t>
  </si>
  <si>
    <t>gilpi59@hotmail.com</t>
  </si>
  <si>
    <t>claudina.1760@gmail.com</t>
  </si>
  <si>
    <t>creacioneslety05@gmail.com</t>
  </si>
  <si>
    <t>ceciliarosasplazas8@gmail.com</t>
  </si>
  <si>
    <t>ritica.vargas@gmail.com</t>
  </si>
  <si>
    <t>prietomyriam762@gmail.com</t>
  </si>
  <si>
    <t>maluaspe@gmail.com</t>
  </si>
  <si>
    <t>rosalbamacana@gmail.com</t>
  </si>
  <si>
    <t>carolinagalindo840@gmail.com</t>
  </si>
  <si>
    <t>analizarlabgerencia@gmail.com</t>
  </si>
  <si>
    <t>gloriamorenoj@hotmail.com</t>
  </si>
  <si>
    <t>gloriaeqo46@gmail.com</t>
  </si>
  <si>
    <t>blancaleilaperezgonzalez@gmail.com</t>
  </si>
  <si>
    <t>annaluciafernandez@hotmail.com</t>
  </si>
  <si>
    <t>nelisilla08@hotmail.com</t>
  </si>
  <si>
    <t>myriamnossa39@gmail.com</t>
  </si>
  <si>
    <t>cone.ostos@gmail.com</t>
  </si>
  <si>
    <t>esmeraldahuertas@yahoo.es</t>
  </si>
  <si>
    <t>maria.estupinan@uptc.edu.co</t>
  </si>
  <si>
    <t>lacolinasog@gmail.com</t>
  </si>
  <si>
    <t>patrialealhh@hotmail.com</t>
  </si>
  <si>
    <t>floredy@gmail.com</t>
  </si>
  <si>
    <t>santafesitolupil@hotmail.com</t>
  </si>
  <si>
    <t>martarojaslopez@hotmail.com</t>
  </si>
  <si>
    <t>amapin@hotmail.com</t>
  </si>
  <si>
    <t>almtodoxtodo@gmail.com</t>
  </si>
  <si>
    <t>merylucylopez@gmail.com</t>
  </si>
  <si>
    <t>stellacubaque@gmail.com</t>
  </si>
  <si>
    <t>conimesa@outlook.es</t>
  </si>
  <si>
    <t>yeimerocio123@gmail.com</t>
  </si>
  <si>
    <t>francy.m91@hotmail.com</t>
  </si>
  <si>
    <t>auroramolinabarrera@gmail.com</t>
  </si>
  <si>
    <t>luzmponguta@gmail.com</t>
  </si>
  <si>
    <t>gomezlina17@gmail.com</t>
  </si>
  <si>
    <t>lida.silva.s@hotmail.com</t>
  </si>
  <si>
    <t>flialemusgaitan@gmail.com</t>
  </si>
  <si>
    <t>pao.jessi2002@gmail.com</t>
  </si>
  <si>
    <t>caritoal17@gmail.com</t>
  </si>
  <si>
    <t>saralopezvel@hotmail.com</t>
  </si>
  <si>
    <t>makromercar.nossa@gmail.com</t>
  </si>
  <si>
    <t>ligiam68@gmail.com</t>
  </si>
  <si>
    <t>tannia.alvarez@uptc.edu.co</t>
  </si>
  <si>
    <t>olgalujj69@hotmail.com</t>
  </si>
  <si>
    <t>melbis1801@gmail.com</t>
  </si>
  <si>
    <t>mariatatadaza@gmail.com</t>
  </si>
  <si>
    <t>facturacionmastcomida@gmail.com</t>
  </si>
  <si>
    <t>mariatangua46@gmail.com</t>
  </si>
  <si>
    <t>j.hoan098@hotmail.com</t>
  </si>
  <si>
    <t>teitovelandia20@gmail.com</t>
  </si>
  <si>
    <t>mariatvegap@gmail.com</t>
  </si>
  <si>
    <t>m_cristinah@hotmail.es</t>
  </si>
  <si>
    <t>wilmar901@hotmail.com</t>
  </si>
  <si>
    <t>sanantafetecua@hotmail.com</t>
  </si>
  <si>
    <t>cristi2561@hotmail.com</t>
  </si>
  <si>
    <t>nidia.1213@hotmail.com</t>
  </si>
  <si>
    <t>mariahelenb1970@gmail.com</t>
  </si>
  <si>
    <t>gladizyo386@yahoo.es</t>
  </si>
  <si>
    <t>emilcemedina05@gmail.com</t>
  </si>
  <si>
    <t>carolape1971@yahoo.com.co</t>
  </si>
  <si>
    <t>2012cabrerarocio@gmail.com</t>
  </si>
  <si>
    <t>mariapaolacamachosuarez54@gmail.com</t>
  </si>
  <si>
    <t>tatisace89@hotmail.com</t>
  </si>
  <si>
    <t>adielarondonoros@gmail.com</t>
  </si>
  <si>
    <t>luisamedina.29@hotmail.com</t>
  </si>
  <si>
    <t>sopato1703@gmail.com</t>
  </si>
  <si>
    <t>lucilaacero6@gmail.com</t>
  </si>
  <si>
    <t>mariaelenabecerra54@gmail.com</t>
  </si>
  <si>
    <t>sandrasofia4@yahoo.es</t>
  </si>
  <si>
    <t>svargassandrapatricia@gmail.com</t>
  </si>
  <si>
    <t>pilimasa037@gmail.com</t>
  </si>
  <si>
    <t>yeimy.alvarado1993@gmail.com</t>
  </si>
  <si>
    <t>yudyesperanzatapiasc@gmail.com</t>
  </si>
  <si>
    <t>nancyrodriguez0571@gmail.com</t>
  </si>
  <si>
    <t>domitilanatural@gmail.com</t>
  </si>
  <si>
    <t>marthacepedatriana15@gmail.com</t>
  </si>
  <si>
    <t>dorelly1718@gmail.com</t>
  </si>
  <si>
    <t>albiluz1975@gmail.com</t>
  </si>
  <si>
    <t>mariamerchan46@outlook.com</t>
  </si>
  <si>
    <t>lotujazmin111@gmail.com</t>
  </si>
  <si>
    <t>aluminios.elsol@gmail.com</t>
  </si>
  <si>
    <t>lisealba@hotmail.com</t>
  </si>
  <si>
    <t>jcayita1975@gmail.com</t>
  </si>
  <si>
    <t>glatori@hotmail.com</t>
  </si>
  <si>
    <t>nancyyaneth357@gmail.com</t>
  </si>
  <si>
    <t>pazu0110@yahoo.es</t>
  </si>
  <si>
    <t>ciliaamaya03@gmail.com</t>
  </si>
  <si>
    <t>jepial@hotmail.com</t>
  </si>
  <si>
    <t>MAG821@gmail.com</t>
  </si>
  <si>
    <t>clemenciaarroyojimenez@gmail.com</t>
  </si>
  <si>
    <t>rocio.2004@hotmail.com</t>
  </si>
  <si>
    <t>norma.1209@gmail.com</t>
  </si>
  <si>
    <t>dagomar825@gmail.com</t>
  </si>
  <si>
    <t>olchris15@gmail.com</t>
  </si>
  <si>
    <t>speedclean2019@gmail.com</t>
  </si>
  <si>
    <t>josefernandodaza@hotmail.com</t>
  </si>
  <si>
    <t>marthacardenas_16@hotmail.com</t>
  </si>
  <si>
    <t>delore2395@yahoo.es</t>
  </si>
  <si>
    <t>milena_plazas@hotmail.com</t>
  </si>
  <si>
    <t>claudiachia@yahoo.com</t>
  </si>
  <si>
    <t>claudiamilena.sog@hotmail.com</t>
  </si>
  <si>
    <t>ximenaur68@gmail.com</t>
  </si>
  <si>
    <t>ximenadepaula@hotmail.com</t>
  </si>
  <si>
    <t>NELLYASTRIDPEREZ@gmail.com</t>
  </si>
  <si>
    <t>maomy.am@gmail.com</t>
  </si>
  <si>
    <t>mileonly@gmail.com</t>
  </si>
  <si>
    <t>sadrifon@gmail.com</t>
  </si>
  <si>
    <t>auraes027@hotmail.com</t>
  </si>
  <si>
    <t>mega-exitoos@hotmail.com</t>
  </si>
  <si>
    <t>nancymilena_gordillo@hotmail.com</t>
  </si>
  <si>
    <t>lumiga.g79@hotmail.com</t>
  </si>
  <si>
    <t>luciadaza987@gmail.com</t>
  </si>
  <si>
    <t>sandrita7846@gmail.com</t>
  </si>
  <si>
    <t>loaizadaniel015@gmail.com</t>
  </si>
  <si>
    <t>perdomocarolina16@gmail.com</t>
  </si>
  <si>
    <t>bcarolina555@hotmail.com</t>
  </si>
  <si>
    <t>luzh_044@hotmail.com</t>
  </si>
  <si>
    <t>transdisog@hotmail.com</t>
  </si>
  <si>
    <t>sofismarianis@gmail.com</t>
  </si>
  <si>
    <t>luzadrianavelandia@yahoo.es</t>
  </si>
  <si>
    <t>piattirestaurante2024@gmail.com</t>
  </si>
  <si>
    <t>samon1980@hotmail.com</t>
  </si>
  <si>
    <t>NARANJOCRUZMARIAROSALBA@gmail.com</t>
  </si>
  <si>
    <t>jennymvz@yahoo.com</t>
  </si>
  <si>
    <t>analuciasanchez224@gmail.com</t>
  </si>
  <si>
    <t>mile202001@hotmail.com</t>
  </si>
  <si>
    <t>marclopeman@hotmail.com</t>
  </si>
  <si>
    <t>yohana.alba@gmail.com</t>
  </si>
  <si>
    <t>linamariaalvaradotorres5@gmail.com</t>
  </si>
  <si>
    <t>lianafagua@hotmail.com</t>
  </si>
  <si>
    <t>yaneth.martinez1911@gmail.com</t>
  </si>
  <si>
    <t>nygaravitoion@gmail.com</t>
  </si>
  <si>
    <t>elizabellth03@gmail.com</t>
  </si>
  <si>
    <t>linaespitialopez@gmail.com</t>
  </si>
  <si>
    <t>dalyperez82@gmail.com</t>
  </si>
  <si>
    <t>dianapaolahurtado23@gmail.com</t>
  </si>
  <si>
    <t>SANDYES2@gmail.com</t>
  </si>
  <si>
    <t>lilisalamnca@gmail.com</t>
  </si>
  <si>
    <t>constanzapp409@yahoo.es</t>
  </si>
  <si>
    <t>yurygalvis2@gmail.com</t>
  </si>
  <si>
    <t>yeimymesa@yahoo.com.ar</t>
  </si>
  <si>
    <t>rmariafernanda634@gmail.com</t>
  </si>
  <si>
    <t>aydaluzpava261019@gmail.com</t>
  </si>
  <si>
    <t>nilulosa@gmail.com</t>
  </si>
  <si>
    <t>lucerito0760@gmail.com</t>
  </si>
  <si>
    <t>nidiaperez455@gmail.com</t>
  </si>
  <si>
    <t>ricarjc1980@yahoo.com</t>
  </si>
  <si>
    <t>haddival@gmail.com</t>
  </si>
  <si>
    <t>pao.lopez.diaz017@gmail.com</t>
  </si>
  <si>
    <t>angelesmariaperezr@hotmail.com</t>
  </si>
  <si>
    <t>blanquitanita13@hotmail.com</t>
  </si>
  <si>
    <t>srg.alimentos@gmail.com</t>
  </si>
  <si>
    <t>pyudyandrea.1983@gmail.com</t>
  </si>
  <si>
    <t>vivianamendez2006@yahoo.es</t>
  </si>
  <si>
    <t>patycab0306@hotmail.com</t>
  </si>
  <si>
    <t>samyysc@hotmail.com</t>
  </si>
  <si>
    <t>rouss2537@gmail.com</t>
  </si>
  <si>
    <t>samuelisenia@hotmail.com</t>
  </si>
  <si>
    <t>carolina_dcrd@hotmail.com</t>
  </si>
  <si>
    <t>dcsierrap@gmail.com</t>
  </si>
  <si>
    <t>YUL.ALEXANDRA926@gmail.com</t>
  </si>
  <si>
    <t>julisrios04@yahoo.es</t>
  </si>
  <si>
    <t>marcelita.1384@gmail.com</t>
  </si>
  <si>
    <t>vivereszipa@gmail.com</t>
  </si>
  <si>
    <t>ingleidyevelyn@hotmail.com</t>
  </si>
  <si>
    <t>maryldc14@gmail.com</t>
  </si>
  <si>
    <t>mdeantonioboada@hotmail.com</t>
  </si>
  <si>
    <t>dcatali@gmail.com</t>
  </si>
  <si>
    <t>dianasancheza@hotmail.com</t>
  </si>
  <si>
    <t>sandritahernandezm@gmail.com</t>
  </si>
  <si>
    <t>nuespedu84@gmail.com</t>
  </si>
  <si>
    <t>nannitag@hotmail.com</t>
  </si>
  <si>
    <t>andrus03@gmail.com</t>
  </si>
  <si>
    <t>tatysrod@hotmail.com</t>
  </si>
  <si>
    <t>paticohurtadoph@gmail.com</t>
  </si>
  <si>
    <t>valenzueladiana@hotmail.com</t>
  </si>
  <si>
    <t>josemarioesca@hotmail.com</t>
  </si>
  <si>
    <t>yandreamg@gmail.com</t>
  </si>
  <si>
    <t>mesg2121@gmail.com</t>
  </si>
  <si>
    <t>sonismogo7@hotmail.com</t>
  </si>
  <si>
    <t>mi.nathyn@gmail.com</t>
  </si>
  <si>
    <t>maryadari@yahoo.es</t>
  </si>
  <si>
    <t>mcaritoc@gmail.com</t>
  </si>
  <si>
    <t>mileydi292008@hotmail.com</t>
  </si>
  <si>
    <t>suarezsochaanailsen@gmail.com</t>
  </si>
  <si>
    <t>ladymilena20@hotmail.com</t>
  </si>
  <si>
    <t>sandranitolaba@gmail.com</t>
  </si>
  <si>
    <t>liancahi@yahoo.com</t>
  </si>
  <si>
    <t>milenam0502@gmail.com</t>
  </si>
  <si>
    <t>anpave23@hotmail.com</t>
  </si>
  <si>
    <t>faesgo03@gmail.com</t>
  </si>
  <si>
    <t>lucymafle@gmail.com</t>
  </si>
  <si>
    <t>marlenlara828@gmail.com</t>
  </si>
  <si>
    <t>deytorres_g@yahoo.es</t>
  </si>
  <si>
    <t>nidia20amparo@gmail.com</t>
  </si>
  <si>
    <t>lydsilva05@gmail.com</t>
  </si>
  <si>
    <t>clausmau04@gmail.com</t>
  </si>
  <si>
    <t>luzmiflechas@hotmail.com</t>
  </si>
  <si>
    <t>dianazbc@hotmail.com</t>
  </si>
  <si>
    <t>sofiarojasa0@gmail.com</t>
  </si>
  <si>
    <t>auraruthv@yahoo.es</t>
  </si>
  <si>
    <t>yschc@hotmail.com</t>
  </si>
  <si>
    <t>milenaporras46@hotmail.com</t>
  </si>
  <si>
    <t>psiconanli@hotmail.com</t>
  </si>
  <si>
    <t>florsana10@gmail.com</t>
  </si>
  <si>
    <t>nana26049@hotmail.com</t>
  </si>
  <si>
    <t>lizaduran4@gmail.com</t>
  </si>
  <si>
    <t>dominic4444@hotmail.com</t>
  </si>
  <si>
    <t>martaibonc@gmail.com</t>
  </si>
  <si>
    <t>patricia1310@gmail.com</t>
  </si>
  <si>
    <t>ceaavanzartunja@yahoo.com</t>
  </si>
  <si>
    <t>awanda79@gmail.com</t>
  </si>
  <si>
    <t>hortensialeonsuarez@gmail.com</t>
  </si>
  <si>
    <t>cariand4@gmail.com</t>
  </si>
  <si>
    <t>yolandathamara@hotmail.com</t>
  </si>
  <si>
    <t>yolitawhait@hotmail.com</t>
  </si>
  <si>
    <t>samuelangel26151@gmail.com</t>
  </si>
  <si>
    <t>soniacadena@gmail.com</t>
  </si>
  <si>
    <t>yancyporras@gmail.com</t>
  </si>
  <si>
    <t>gonzalezbecerraliliana@gmail.com</t>
  </si>
  <si>
    <t>jobandiaz@hotmail.com</t>
  </si>
  <si>
    <t>patriciaguati@hotmail.es</t>
  </si>
  <si>
    <t>laurasuarez0979@gmail.com</t>
  </si>
  <si>
    <t>martinez778.mm@gmail.com</t>
  </si>
  <si>
    <t>claudiachea@gmail.com</t>
  </si>
  <si>
    <t>abbi24@yahoo.es</t>
  </si>
  <si>
    <t>yuliedherrera@houtlook.com</t>
  </si>
  <si>
    <t>andrepin11@hotmail.com</t>
  </si>
  <si>
    <t>fabianag07@hotmail.com</t>
  </si>
  <si>
    <t>sandramilenatorressilva@gmail.com</t>
  </si>
  <si>
    <t>yemile_26@hotmail.com</t>
  </si>
  <si>
    <t>mariazoraidaempresarial@gmail.com</t>
  </si>
  <si>
    <t>nellycastro836@gmail.com</t>
  </si>
  <si>
    <t>amaliavega790@gmail.com</t>
  </si>
  <si>
    <t>lorettadiaz9@gmail.com</t>
  </si>
  <si>
    <t>isabelita.barinas246@gmail.com</t>
  </si>
  <si>
    <t>rojaspao@gmail.com</t>
  </si>
  <si>
    <t>acony@hotmail.com</t>
  </si>
  <si>
    <t>andrehita79@gmail.com</t>
  </si>
  <si>
    <t>sadramorenop@gmail.com</t>
  </si>
  <si>
    <t>marcelamarino2021@gmail.com</t>
  </si>
  <si>
    <t>crisarias.2278@gmail.com</t>
  </si>
  <si>
    <t>calopez036@misena.edu.co</t>
  </si>
  <si>
    <t>francychirivi33@gmail.com</t>
  </si>
  <si>
    <t>barrerasanchezluisaleonor@colboy.edu.co</t>
  </si>
  <si>
    <t>mercydefensa@gmail.com</t>
  </si>
  <si>
    <t>yesmirarussi@gmail.com</t>
  </si>
  <si>
    <t>vegas1922@hotmail.com</t>
  </si>
  <si>
    <t>akeyas33@gmail.com</t>
  </si>
  <si>
    <t>albamilenaturismo@hotmail.com</t>
  </si>
  <si>
    <t>yolandasosa1005@hotmail.com</t>
  </si>
  <si>
    <t>mclau_tellez@hotmail.com</t>
  </si>
  <si>
    <t>actifamnubiae@gmail.com</t>
  </si>
  <si>
    <t>taniaceron2010@gmail.com</t>
  </si>
  <si>
    <t>lilipedraza34@gmail.com</t>
  </si>
  <si>
    <t>claumilemalu63@gmail.com</t>
  </si>
  <si>
    <t>a.juliana.rincon.cabra@gmail.com</t>
  </si>
  <si>
    <t>milenaushcontabilidad@gmail.com</t>
  </si>
  <si>
    <t>zabalabelsy32@gmail.com</t>
  </si>
  <si>
    <t>lilisba@gmail.com</t>
  </si>
  <si>
    <t>yemaagsa@gmail.com</t>
  </si>
  <si>
    <t>zulmaest@gmail.com</t>
  </si>
  <si>
    <t>sandriscorre2802@gmail.com</t>
  </si>
  <si>
    <t>estelitacuy@hotmail.com</t>
  </si>
  <si>
    <t>naomoga80@hotmail.com</t>
  </si>
  <si>
    <t>maryrey1980.25@gmail.com</t>
  </si>
  <si>
    <t>pily.archi@gmail.com</t>
  </si>
  <si>
    <t>adripquin@hotmail.com</t>
  </si>
  <si>
    <t>jcarolina19.jcrs@gmail.com</t>
  </si>
  <si>
    <t>angelarosasabogada@outlook.com</t>
  </si>
  <si>
    <t>magdamilenari@gmail.com</t>
  </si>
  <si>
    <t>diananino933@gmail.com</t>
  </si>
  <si>
    <t>kmscontable@gmail.com</t>
  </si>
  <si>
    <t>martha.2030@gmail.com</t>
  </si>
  <si>
    <t>solmar1109@gmail.com</t>
  </si>
  <si>
    <t>santicipa@hotmail.com</t>
  </si>
  <si>
    <t>ana2022@gmail.com</t>
  </si>
  <si>
    <t>dsirleypizac24@gmail.com</t>
  </si>
  <si>
    <t>organizacionlaeternidad@gmail.com</t>
  </si>
  <si>
    <t>floramartinez283@gmail.com</t>
  </si>
  <si>
    <t>dama_sil0223@yahoo.es</t>
  </si>
  <si>
    <t>nelcyconsuelo46@gmail.com</t>
  </si>
  <si>
    <t>elizabethbalaguera23@gmail.com</t>
  </si>
  <si>
    <t>alixpatriciagallo@gmail.com</t>
  </si>
  <si>
    <t>MOLIGO3@hotmail.com</t>
  </si>
  <si>
    <t>oficinaymcp19@hotmail.com</t>
  </si>
  <si>
    <t>SARAPINZON527@GMAIL.COM</t>
  </si>
  <si>
    <t>emilcenchaparronitola@gmail.com</t>
  </si>
  <si>
    <t>david.puentes0302@gmail.com</t>
  </si>
  <si>
    <t>lalapatiko1704@gmail.com</t>
  </si>
  <si>
    <t>li_180180@hotmail.com</t>
  </si>
  <si>
    <t>angelitanicosebas@gmail.com</t>
  </si>
  <si>
    <t>yadiracasta43@gmail.com</t>
  </si>
  <si>
    <t>nancypaolagama@gmail.com</t>
  </si>
  <si>
    <t>milady1815@gmail.com</t>
  </si>
  <si>
    <t>olpa8016@gmail.com</t>
  </si>
  <si>
    <t>carol-4321@hotmail.com</t>
  </si>
  <si>
    <t>lindaca80@gmail.com</t>
  </si>
  <si>
    <t>gley2913@gmail.com</t>
  </si>
  <si>
    <t>claudiayaneth_1980@yahoo.es</t>
  </si>
  <si>
    <t>sanjafema@gmail.com</t>
  </si>
  <si>
    <t>eneidator@yahoo.com</t>
  </si>
  <si>
    <t>yenny.as@hotmail.com</t>
  </si>
  <si>
    <t>nubiam.rincon1978@gmail.com</t>
  </si>
  <si>
    <t>tatiana.mateu@gmail.com</t>
  </si>
  <si>
    <t>neylamartinez21@gmail.com</t>
  </si>
  <si>
    <t>pasadena@pasadena.com</t>
  </si>
  <si>
    <t>yaligovi@yahoo.es</t>
  </si>
  <si>
    <t>NJSARITA@YAHOO.COM</t>
  </si>
  <si>
    <t>ligiasiera@gmail.com</t>
  </si>
  <si>
    <t>castillofloriluz@gmail.com</t>
  </si>
  <si>
    <t>indigoestudiocreativ@gmail.com</t>
  </si>
  <si>
    <t>rociogonzalez5@yahoo.es</t>
  </si>
  <si>
    <t>proext@gmail.com</t>
  </si>
  <si>
    <t>yandrea03@gmail.com</t>
  </si>
  <si>
    <t>monicailars@hotmail.com</t>
  </si>
  <si>
    <t>nayive.fp@gmail.com</t>
  </si>
  <si>
    <t>caroguarinmorales@gmail.com</t>
  </si>
  <si>
    <t>piconelcy09@gmail.com</t>
  </si>
  <si>
    <t>zuly.e.l@hotmail.com</t>
  </si>
  <si>
    <t>suceth15@hotmail.com</t>
  </si>
  <si>
    <t>carolina.vargas107@gmail.com</t>
  </si>
  <si>
    <t>lic.yeascavar@gmail.com</t>
  </si>
  <si>
    <t>yeyaperez464@gmail.com</t>
  </si>
  <si>
    <t>gilmaplazascamargo@gmail.com</t>
  </si>
  <si>
    <t>nidisol2152@gmail.com</t>
  </si>
  <si>
    <t>yenrocbe@gmail.com</t>
  </si>
  <si>
    <t>sulcaveba2008@hotmail.com</t>
  </si>
  <si>
    <t>luz020580@gmail.com</t>
  </si>
  <si>
    <t>romeromariaalejandra08051978@gmail.com</t>
  </si>
  <si>
    <t>jencaroro8@gmail.com</t>
  </si>
  <si>
    <t>YAYACOAJ@gmail.com</t>
  </si>
  <si>
    <t>tamaramayerly09@gmail.com</t>
  </si>
  <si>
    <t>ivonnelissette@gmail.com</t>
  </si>
  <si>
    <t>mabelbs@gmail.com</t>
  </si>
  <si>
    <t>angievaleria4@hotmail.com</t>
  </si>
  <si>
    <t>rodriguezclaraliliana@gmail.com</t>
  </si>
  <si>
    <t>menavelandia@gmail.com</t>
  </si>
  <si>
    <t>vargasmanuel801@gmail.com</t>
  </si>
  <si>
    <t>mareunu@yahoo.es</t>
  </si>
  <si>
    <t>deisynuncira@gmail.com</t>
  </si>
  <si>
    <t>dorisitapita@hotmail.com</t>
  </si>
  <si>
    <t>niasly@hotmail.com</t>
  </si>
  <si>
    <t>irmajoyamt@hotmail.com</t>
  </si>
  <si>
    <t>exilda2m@hotmail.com</t>
  </si>
  <si>
    <t>alejandraamado23@yahoo.com</t>
  </si>
  <si>
    <t>confiacolconfiacol@gmail.com</t>
  </si>
  <si>
    <t>isapatricia1@gmail.com</t>
  </si>
  <si>
    <t>mercy22gonzalez@gmail.com</t>
  </si>
  <si>
    <t>pilareuribe@hotmail.com</t>
  </si>
  <si>
    <t>ligiaamanda3@gmail.com</t>
  </si>
  <si>
    <t>florezlinamaria@hotmail.com</t>
  </si>
  <si>
    <t>milenitagoba@gmail.com</t>
  </si>
  <si>
    <t>milemedina010@hotmail.com</t>
  </si>
  <si>
    <t>patriciacanaveral@gmail.com</t>
  </si>
  <si>
    <t>yennypatricianontoa@gmail.com</t>
  </si>
  <si>
    <t>samiriro@gmail.com</t>
  </si>
  <si>
    <t>martha.molano.o@gmail.com</t>
  </si>
  <si>
    <t>marinikol1906@gmail.com</t>
  </si>
  <si>
    <t>YFFA29@hotmail.com</t>
  </si>
  <si>
    <t>fmarinasoto@yahoo.es</t>
  </si>
  <si>
    <t>ahidecely@gmail.com</t>
  </si>
  <si>
    <t>078baezrodriguez@gmail.com</t>
  </si>
  <si>
    <t>luis.a.r.h313@gmail.com</t>
  </si>
  <si>
    <t>nidiaalfonso@gmail.com</t>
  </si>
  <si>
    <t>esperanzaorozco@cglv.edu.co</t>
  </si>
  <si>
    <t>mefremi81@gmail.com</t>
  </si>
  <si>
    <t>paty3336@gmail.com</t>
  </si>
  <si>
    <t>yafapri@hotmail.com</t>
  </si>
  <si>
    <t>nancyantofonse@gmail.com</t>
  </si>
  <si>
    <t>memito2519@hotmail.com</t>
  </si>
  <si>
    <t>egranadosuptc@yahoo.com</t>
  </si>
  <si>
    <t>linacv342@hotmail.com</t>
  </si>
  <si>
    <t>vivianaruiz_33@hotmail.com</t>
  </si>
  <si>
    <t>nancybernal1211@gmail.com</t>
  </si>
  <si>
    <t>liceosantamariagorettiduitama@gmail.com</t>
  </si>
  <si>
    <t>yesilecaju@gmail.com</t>
  </si>
  <si>
    <t>mariacristinarico@outlook.com</t>
  </si>
  <si>
    <t>pilarmojicajimenez@gmail.com</t>
  </si>
  <si>
    <t>lmbarreram@icloud.com</t>
  </si>
  <si>
    <t>florangelarincon@gmail.com</t>
  </si>
  <si>
    <t>johanarinconcp@gmail.com</t>
  </si>
  <si>
    <t>torreangie290@gmail.com</t>
  </si>
  <si>
    <t>juliethacevedo218@gmail.com</t>
  </si>
  <si>
    <t>luisamariab20@hotmail.com</t>
  </si>
  <si>
    <t>nancybe81@gmail.com</t>
  </si>
  <si>
    <t>rubye0082@yahoo.es</t>
  </si>
  <si>
    <t>yeseniamaria75@gmail.com</t>
  </si>
  <si>
    <t>selegqhse@hotmail.com</t>
  </si>
  <si>
    <t>liyannuso@gmail.com</t>
  </si>
  <si>
    <t>analufanp@hotmail.com</t>
  </si>
  <si>
    <t>picouls1@gmail.com</t>
  </si>
  <si>
    <t>drogueriapargu@gmail.com</t>
  </si>
  <si>
    <t>tuchis181@gmail.com</t>
  </si>
  <si>
    <t>dianaizaquita.279@gmail.com</t>
  </si>
  <si>
    <t>yudynausa81@gmail.com</t>
  </si>
  <si>
    <t>sg.marielenanova@colseminario.edu.co</t>
  </si>
  <si>
    <t>albasossa1@hotmail.com</t>
  </si>
  <si>
    <t>miguelrojas1981@hotmail.com</t>
  </si>
  <si>
    <t>lilianamesa@hotmail.com</t>
  </si>
  <si>
    <t>marianatiria0@gmail.com</t>
  </si>
  <si>
    <t>andreitacem316@gmail.com</t>
  </si>
  <si>
    <t>esmidms@hotmail.com</t>
  </si>
  <si>
    <t>sandralic12@gmail.com</t>
  </si>
  <si>
    <t>ccarvajal2308@hotmail.com</t>
  </si>
  <si>
    <t>miasiabatto@gmail.com</t>
  </si>
  <si>
    <t>llopezsaris@gmail.com</t>
  </si>
  <si>
    <t>marinelapesdi@hotmail.com</t>
  </si>
  <si>
    <t>larios1606@gmail.com</t>
  </si>
  <si>
    <t>milirincon81@gmail.com</t>
  </si>
  <si>
    <t>aleise1974@gmail.com</t>
  </si>
  <si>
    <t>majgutierrezc@gmail.com</t>
  </si>
  <si>
    <t>camargodina@gmail.com</t>
  </si>
  <si>
    <t>mareilayedgar@gmail.com</t>
  </si>
  <si>
    <t>angelayanic@gmail.com</t>
  </si>
  <si>
    <t>helenaluz2001@gmail.com</t>
  </si>
  <si>
    <t>mariarincon.mcrr@gmail.com</t>
  </si>
  <si>
    <t>nidyaaguilar@hotmail.com</t>
  </si>
  <si>
    <t>claudiapuerto81@hotmail.com</t>
  </si>
  <si>
    <t>egutorres@gmail.com</t>
  </si>
  <si>
    <t>marceanco@gmail.com</t>
  </si>
  <si>
    <t>anyeluss2004@yahoo.es</t>
  </si>
  <si>
    <t>cata.2808.lina@gmail.com</t>
  </si>
  <si>
    <t>aurahernandezgonzalez@gmail.com</t>
  </si>
  <si>
    <t>albitasofia25@gmail.com</t>
  </si>
  <si>
    <t>dani-nidia@hotmail.com</t>
  </si>
  <si>
    <t>blamigope@yahoo.es</t>
  </si>
  <si>
    <t>alejitasm@gmail.com</t>
  </si>
  <si>
    <t>yojanatorres527@gmail.com</t>
  </si>
  <si>
    <t>dianaf.2730@gmail.com</t>
  </si>
  <si>
    <t>lydy.ducuara@uptc.edu.co</t>
  </si>
  <si>
    <t>dianaschibli@hotmail.com</t>
  </si>
  <si>
    <t>marylucamarti@gmail.com</t>
  </si>
  <si>
    <t>pilaherna@yahoo.com</t>
  </si>
  <si>
    <t>sanjasmin25@hotmail.com</t>
  </si>
  <si>
    <t>arual8104@yahoo.es</t>
  </si>
  <si>
    <t>108javierayala@gmail.com</t>
  </si>
  <si>
    <t>yohana.60@gmail.com</t>
  </si>
  <si>
    <t>albamarisolmurciareyes@gmail.com</t>
  </si>
  <si>
    <t>andresfernandocepeda0@gmail.com</t>
  </si>
  <si>
    <t>mayitaleon@gmail.com</t>
  </si>
  <si>
    <t>anmb07@gmail.com</t>
  </si>
  <si>
    <t>jakyave@gmail.com</t>
  </si>
  <si>
    <t>ninigt@hotmail.com</t>
  </si>
  <si>
    <t>cielo_1227@hotmail.com</t>
  </si>
  <si>
    <t>medinaalicia070@gmail.com</t>
  </si>
  <si>
    <t>albaluciagilrojas@gmail.com</t>
  </si>
  <si>
    <t>nidia.laverde.81@gmail.com</t>
  </si>
  <si>
    <t>sosarojasluzmarina7844@gmail.com</t>
  </si>
  <si>
    <t>angelayolimat@gmail.com</t>
  </si>
  <si>
    <t>sanpbm.00@gmail.com</t>
  </si>
  <si>
    <t>rociorc1103@hotmail.com</t>
  </si>
  <si>
    <t>acega24@gmail.com</t>
  </si>
  <si>
    <t>dennis.rincon10@gmail.com</t>
  </si>
  <si>
    <t>milezarate@yahoo.es</t>
  </si>
  <si>
    <t>papeleriabolivariana@hotmail.com</t>
  </si>
  <si>
    <t>PATRIDOGO1@HOTMAIL.COM</t>
  </si>
  <si>
    <t>adibsha16@hotmail.com</t>
  </si>
  <si>
    <t>omairagirata@gmail.com</t>
  </si>
  <si>
    <t>monikapedraza@yahoo.com</t>
  </si>
  <si>
    <t>reyespato16@gmail.com</t>
  </si>
  <si>
    <t>lealeliana1@yahoo.es</t>
  </si>
  <si>
    <t>edisanavi@gmail.com</t>
  </si>
  <si>
    <t>nancyorozco10@hotmail.com</t>
  </si>
  <si>
    <t>sandrapicoh@gmail.com</t>
  </si>
  <si>
    <t>sirjudi3@hotmail.com</t>
  </si>
  <si>
    <t>nancyfer2113@gmail.com</t>
  </si>
  <si>
    <t>mariaelisaramirez@gmail.com</t>
  </si>
  <si>
    <t>angelafrc_1@hotmail.com</t>
  </si>
  <si>
    <t>cuta.sandra@gmail.com</t>
  </si>
  <si>
    <t>elena.agudelo.24@gmail.com</t>
  </si>
  <si>
    <t>samirandres2004@hotmail.com</t>
  </si>
  <si>
    <t>alexnu28@gmail.com</t>
  </si>
  <si>
    <t>nijomen@hotmail.com</t>
  </si>
  <si>
    <t>mileperez1207@gmail.com</t>
  </si>
  <si>
    <t>amparotutarivera84@gmail.com</t>
  </si>
  <si>
    <t>MACROSEGUROSS@gmail.com</t>
  </si>
  <si>
    <t>yicealejandra26@gmail.com</t>
  </si>
  <si>
    <t>aydemorenob@gmail.com</t>
  </si>
  <si>
    <t>edith.parra.silva@gmail.com</t>
  </si>
  <si>
    <t>nataliagemel@hotmail.com</t>
  </si>
  <si>
    <t>yamiled19@hotmail.com</t>
  </si>
  <si>
    <t>inyop3@hotmail.com</t>
  </si>
  <si>
    <t>diacarol27@outlook.com</t>
  </si>
  <si>
    <t>yolandacotamo@gmail.com</t>
  </si>
  <si>
    <t>marthabecerra4084@gmail.com</t>
  </si>
  <si>
    <t>martaegonzalezg@gmail.com</t>
  </si>
  <si>
    <t>poderje@yahoo.es</t>
  </si>
  <si>
    <t>patocv0811@yahoo.es</t>
  </si>
  <si>
    <t>ycarito_04@yahoo.es</t>
  </si>
  <si>
    <t>andreajarro@hotmail.com</t>
  </si>
  <si>
    <t>diana_rosas@me.com</t>
  </si>
  <si>
    <t>sandra.becerra82@hotmail.com</t>
  </si>
  <si>
    <t>maritzasosa.vivas@yahoo.es</t>
  </si>
  <si>
    <t>diliyiny@gmail.com</t>
  </si>
  <si>
    <t>jaeligon@yahoo.es</t>
  </si>
  <si>
    <t>anajuliamado@gmail.com</t>
  </si>
  <si>
    <t>dytclm@gmail.com</t>
  </si>
  <si>
    <t>sandramil0412@hotmail.com</t>
  </si>
  <si>
    <t>zulmayolimaruiz@gmail.com</t>
  </si>
  <si>
    <t>aldanaligia3@gmail.com</t>
  </si>
  <si>
    <t>nataliamarp@hotmail.com</t>
  </si>
  <si>
    <t>andreaparra1482@gmail.com</t>
  </si>
  <si>
    <t>gladysua451@gmail.com</t>
  </si>
  <si>
    <t>psiderly@gmail.com</t>
  </si>
  <si>
    <t>zaidasuarez2019@gmail.com</t>
  </si>
  <si>
    <t>milenaestupinansuarez1981@gmail.com</t>
  </si>
  <si>
    <t>porcelana.diana@hotmail.com</t>
  </si>
  <si>
    <t>mavipia26@hotmail.com</t>
  </si>
  <si>
    <t>sandrayisela20@gmail.com</t>
  </si>
  <si>
    <t>zaidasalamanca@gmail.com</t>
  </si>
  <si>
    <t>vestefania507@gmail.com</t>
  </si>
  <si>
    <t>nydiabecerra181@gmail.com</t>
  </si>
  <si>
    <t>mariagladysgomezcontreras@gmail.com</t>
  </si>
  <si>
    <t>profeanamatematicas@gmail.com</t>
  </si>
  <si>
    <t>natacmvz1507@yahoo.com</t>
  </si>
  <si>
    <t>milenacpe@gmail.com</t>
  </si>
  <si>
    <t>yennyalejandra1401@gmail.com</t>
  </si>
  <si>
    <t>fiaga529@gmail.com</t>
  </si>
  <si>
    <t>amandarativa@hotmail.com</t>
  </si>
  <si>
    <t>magditafrabe@gmail.com</t>
  </si>
  <si>
    <t>caby2kela8@gmail.com</t>
  </si>
  <si>
    <t>nilisava@yahoo.es</t>
  </si>
  <si>
    <t>patico2veca@gmail.com</t>
  </si>
  <si>
    <t>yojan1280@yahoo.es</t>
  </si>
  <si>
    <t>yaneth@gmail.com</t>
  </si>
  <si>
    <t>valtris19@gmail.com</t>
  </si>
  <si>
    <t>yovisgata82@hotmail.com</t>
  </si>
  <si>
    <t>lucerosol82.ls@gmail.com</t>
  </si>
  <si>
    <t>emilcecorrea90@gmail.com</t>
  </si>
  <si>
    <t>zuniponque@outlook.com</t>
  </si>
  <si>
    <t>marchvardu@gmail.com</t>
  </si>
  <si>
    <t>marthanancyleonpena@gmail.com</t>
  </si>
  <si>
    <t>paogoi19@gmail.com</t>
  </si>
  <si>
    <t>htrianatriana@gmail.com</t>
  </si>
  <si>
    <t>fk.francescamoda@gmail.com</t>
  </si>
  <si>
    <t>dersy82@gmail.com</t>
  </si>
  <si>
    <t>mary13074@hotmail.com</t>
  </si>
  <si>
    <t>caritopalacios15@hotmail.com</t>
  </si>
  <si>
    <t>camargoyeny2509@gmail.com</t>
  </si>
  <si>
    <t>lilianarojasmartines@gmail.com</t>
  </si>
  <si>
    <t>lindamillan@gmail.com</t>
  </si>
  <si>
    <t>noraaldana85@hotmail.com</t>
  </si>
  <si>
    <t>sandrac2701@hotmail.com</t>
  </si>
  <si>
    <t>anita.vargas1182@gmail.com</t>
  </si>
  <si>
    <t>sonia2015rincon@gmail.com</t>
  </si>
  <si>
    <t>svivianacely@gmail.com</t>
  </si>
  <si>
    <t>linacastro07@hotmail.com</t>
  </si>
  <si>
    <t>gomezalcira82@gmail.com</t>
  </si>
  <si>
    <t>marielacuervomorales@gmail.com</t>
  </si>
  <si>
    <t>maryenastrid@hotmail.com</t>
  </si>
  <si>
    <t>endyclareth01@gmail.com</t>
  </si>
  <si>
    <t>adrianagonzaleztequia@gmail.com</t>
  </si>
  <si>
    <t>magdamogollon4@gmail.com</t>
  </si>
  <si>
    <t>lorenatalero13@gmail.com</t>
  </si>
  <si>
    <t>picofonsecaa@gmail.com</t>
  </si>
  <si>
    <t>blancalopez051982@gmail.com</t>
  </si>
  <si>
    <t>ladydiana.lr@gmail.com</t>
  </si>
  <si>
    <t>mayasope@yahoo.com.mx</t>
  </si>
  <si>
    <t>rolandocamargo181@gmail.com</t>
  </si>
  <si>
    <t>deissyviperalta@gmail.com</t>
  </si>
  <si>
    <t>nelcycely37@yahoo.es</t>
  </si>
  <si>
    <t>astridcaes@gmail.com</t>
  </si>
  <si>
    <t>lilianas.23@hotmail.com</t>
  </si>
  <si>
    <t>carrangaton@gmail.com</t>
  </si>
  <si>
    <t>emilselagos@hotmail.com</t>
  </si>
  <si>
    <t>rocio912@hotmail.com</t>
  </si>
  <si>
    <t>r.c.mari@hotmail.com</t>
  </si>
  <si>
    <t>carolinacor16@gmail.com</t>
  </si>
  <si>
    <t>helen.0748@hotmail.com</t>
  </si>
  <si>
    <t>leidybenitez04@gmail.com</t>
  </si>
  <si>
    <t>nubis0803@gmail.com</t>
  </si>
  <si>
    <t>amkaos99@gmail.com</t>
  </si>
  <si>
    <t>notiene@hotmail.com</t>
  </si>
  <si>
    <t>erivega7@gmail.com</t>
  </si>
  <si>
    <t>catherineg61cl@gmail.com</t>
  </si>
  <si>
    <t>milenitatorres2014@gmail.com</t>
  </si>
  <si>
    <t>edrocebe@hotmail.com</t>
  </si>
  <si>
    <t>carrillodianapaola7@gmail.com</t>
  </si>
  <si>
    <t>arguellom290@gmail.com</t>
  </si>
  <si>
    <t>yesybg2022@gmail.com</t>
  </si>
  <si>
    <t>sulmaemejiaa@gmail.com</t>
  </si>
  <si>
    <t>gmarleny@hotmail.com</t>
  </si>
  <si>
    <t>marizelasantos20@gmail.com</t>
  </si>
  <si>
    <t>nohoracruz294@gmail.com</t>
  </si>
  <si>
    <t>julieticar1208@hotmail.com</t>
  </si>
  <si>
    <t>miyamio2@hotmail.com</t>
  </si>
  <si>
    <t>angypaty@gmail.com</t>
  </si>
  <si>
    <t>maria_ravelo1@hotmail.com</t>
  </si>
  <si>
    <t>sincorre@gmail.com</t>
  </si>
  <si>
    <t>SONIATIRIA@hotmail.com</t>
  </si>
  <si>
    <t>sandramilenanitola@hotmail.com</t>
  </si>
  <si>
    <t>dianaperez_18@hotmail.es</t>
  </si>
  <si>
    <t>diazmiley@gmail.com</t>
  </si>
  <si>
    <t>madrisromero@gmail.com</t>
  </si>
  <si>
    <t>milehigue131182@hotmail.com</t>
  </si>
  <si>
    <t>catalinagoy@gmail.com</t>
  </si>
  <si>
    <t>acfr79@gmail.com</t>
  </si>
  <si>
    <t>anmanidi@hotmail.com</t>
  </si>
  <si>
    <t>psicopaulinapinto@hotmail.com</t>
  </si>
  <si>
    <t>anaisabellazaro735@gmail.com</t>
  </si>
  <si>
    <t>dianisnoe25@gmail.com</t>
  </si>
  <si>
    <t>educamarcela@gmail.com</t>
  </si>
  <si>
    <t>livivianamaespejo@gmail.com</t>
  </si>
  <si>
    <t>marianaaguilar38@hotmail.com</t>
  </si>
  <si>
    <t>morochangel05@hotmail.com</t>
  </si>
  <si>
    <t>irmap83@hotmail.com</t>
  </si>
  <si>
    <t>yobely2011@hotmail.com</t>
  </si>
  <si>
    <t>crisstal0808@gmail.com</t>
  </si>
  <si>
    <t>yudytorres@hotmail.es</t>
  </si>
  <si>
    <t>claudiaelenaruizcardenas@gmail.com</t>
  </si>
  <si>
    <t>moralessoniaelizabeth920@gmail.com</t>
  </si>
  <si>
    <t>danacarolina70@hotmail.com</t>
  </si>
  <si>
    <t>carolvalderramabarrera@gmail.com</t>
  </si>
  <si>
    <t>marlen1982.c@gmail.com</t>
  </si>
  <si>
    <t>andreitarodriguez.32@gmail.com</t>
  </si>
  <si>
    <t>yo_lis_2105@hotmail.com</t>
  </si>
  <si>
    <t>yuli83@gmail.com</t>
  </si>
  <si>
    <t>lilianabs07@hotmail.com</t>
  </si>
  <si>
    <t>mairita700@gmail.com</t>
  </si>
  <si>
    <t>angievarc@gmail.com</t>
  </si>
  <si>
    <t>bolivar3004@hotmail.com</t>
  </si>
  <si>
    <t>yeici83@hotmail.com</t>
  </si>
  <si>
    <t>johapao83@gmail.com</t>
  </si>
  <si>
    <t>navivimedina@hotmail.com</t>
  </si>
  <si>
    <t>jennylopez135@hotmail.es</t>
  </si>
  <si>
    <t>jenyedelmira@yahoo.es</t>
  </si>
  <si>
    <t>alejandra.nino.cepeda@hotmail.com</t>
  </si>
  <si>
    <t>CAROLINAFLOREZ2631@gmail.com</t>
  </si>
  <si>
    <t>ximenaespitia83@gmail.com</t>
  </si>
  <si>
    <t>jomile29@gmail.com</t>
  </si>
  <si>
    <t>rosandi2114@gmail.com</t>
  </si>
  <si>
    <t>dianatorrres83@gmail.com</t>
  </si>
  <si>
    <t>adielaalarcon1983@gmail.com</t>
  </si>
  <si>
    <t>ochoa.nestor2008@gmail.com</t>
  </si>
  <si>
    <t>normapenagos1983@gmail.com</t>
  </si>
  <si>
    <t>yeyeka@hotmail.com</t>
  </si>
  <si>
    <t>margiesandoval@gmail.com</t>
  </si>
  <si>
    <t>contaempera@gmail.com</t>
  </si>
  <si>
    <t>angelita_andremed@hotmail.com</t>
  </si>
  <si>
    <t>leonorvella98@gmail.com</t>
  </si>
  <si>
    <t>acabrapinto@gmail.com</t>
  </si>
  <si>
    <t>angienavarro95c@gmail.com</t>
  </si>
  <si>
    <t>hildalili980@gmail.com</t>
  </si>
  <si>
    <t>nancychaparropta@gmail.com</t>
  </si>
  <si>
    <t>dianacus31@gmail.com</t>
  </si>
  <si>
    <t>lic.jennyb@gmail.com</t>
  </si>
  <si>
    <t>paopaodavila@hotmail.com</t>
  </si>
  <si>
    <t>caropuerto.13@gmail.com</t>
  </si>
  <si>
    <t>amandapatricia1983@hotmail.com</t>
  </si>
  <si>
    <t>mafe12lp@hotmail.com</t>
  </si>
  <si>
    <t>johanital2415@gmail.com</t>
  </si>
  <si>
    <t>gitotobito1234@gmail.com</t>
  </si>
  <si>
    <t>mayerlyoliveros76@gmail.com</t>
  </si>
  <si>
    <t>julay154@hotmail.es</t>
  </si>
  <si>
    <t>lidama984@hotmail.com</t>
  </si>
  <si>
    <t>patyyco26@hotmail.com</t>
  </si>
  <si>
    <t>lina.avi@hotmail.com</t>
  </si>
  <si>
    <t>luzerincon28@gmail.com</t>
  </si>
  <si>
    <t>merymun29@hotmail.com</t>
  </si>
  <si>
    <t>marcelagarnica27@gmail.com</t>
  </si>
  <si>
    <t>elcyleon09@live.com</t>
  </si>
  <si>
    <t>omairanaranja956@gmail.com</t>
  </si>
  <si>
    <t>luzelen3@gmail.com</t>
  </si>
  <si>
    <t>vivianarias2519@hotmail.com</t>
  </si>
  <si>
    <t>jinnette2912@hotmail.com</t>
  </si>
  <si>
    <t>amysantosb@gmail.com</t>
  </si>
  <si>
    <t>carocab_2004@yahoo.es</t>
  </si>
  <si>
    <t>niagredo@gmail.com</t>
  </si>
  <si>
    <t>roxanacamargo@outlook.es</t>
  </si>
  <si>
    <t>salamanca.gomezabogados@gmail.com</t>
  </si>
  <si>
    <t>NELLYANDREAFANDINO@gmail.com</t>
  </si>
  <si>
    <t>luisagranados2331@gmail.com</t>
  </si>
  <si>
    <t>psistemasdegestion@canaprooc.com.co</t>
  </si>
  <si>
    <t>blancaevelyn13@gmail.com</t>
  </si>
  <si>
    <t>karinavega11@gmail.com</t>
  </si>
  <si>
    <t>carol831006@hotmail.com</t>
  </si>
  <si>
    <t>fannyso22@hotmail.com</t>
  </si>
  <si>
    <t>claudiamcolmenares@gmail.com</t>
  </si>
  <si>
    <t>leonoramartinez1824@gmail.com</t>
  </si>
  <si>
    <t>cataperez8@yahoo.es</t>
  </si>
  <si>
    <t>fonsecaelizabeth1a@gmail.com</t>
  </si>
  <si>
    <t>sandrajimenezp84@hotmail.com</t>
  </si>
  <si>
    <t>yolandac17@hotmail.com</t>
  </si>
  <si>
    <t>nancyaceroyolima@gmail.com</t>
  </si>
  <si>
    <t>pao1783_1@hotmail.com</t>
  </si>
  <si>
    <t>yenny.guarin@gmail.com</t>
  </si>
  <si>
    <t>clarayessolsol@gmail.com</t>
  </si>
  <si>
    <t>lemaheny@hotmail.com</t>
  </si>
  <si>
    <t>ltamayo1712@gmail.com</t>
  </si>
  <si>
    <t>errika16@gmail.com</t>
  </si>
  <si>
    <t>cathoms1205@gmail.com</t>
  </si>
  <si>
    <t>somy020607@gmail.com</t>
  </si>
  <si>
    <t>claudiapramsa@gmail.com</t>
  </si>
  <si>
    <t>viklauss@hotmail.com</t>
  </si>
  <si>
    <t>adriarenas1@gmail.com</t>
  </si>
  <si>
    <t>elianazoraida@gmail.com</t>
  </si>
  <si>
    <t>ley.da2384@gmail.com</t>
  </si>
  <si>
    <t>angelitar2121@hotmail.com</t>
  </si>
  <si>
    <t>mariange9@hotmail.com</t>
  </si>
  <si>
    <t>joys2506@hotmail.com</t>
  </si>
  <si>
    <t>mylicris@gmail.com</t>
  </si>
  <si>
    <t>barbaraengativa@hotmail.com</t>
  </si>
  <si>
    <t>janneth.gonzalezb@gmail.com</t>
  </si>
  <si>
    <t>adrianaestepamanrique@gmail.com</t>
  </si>
  <si>
    <t>LUZCARDENAS10@hotmail.com</t>
  </si>
  <si>
    <t>dianamarquezgarcia39@gmail.com</t>
  </si>
  <si>
    <t>amaris.yas@hotmail.com</t>
  </si>
  <si>
    <t>anafabiolapalenciaayala34@gmail.com</t>
  </si>
  <si>
    <t>yormaryto@gmail.com</t>
  </si>
  <si>
    <t>jennymunar46@gmail.com</t>
  </si>
  <si>
    <t>delygon82@hotmail.com</t>
  </si>
  <si>
    <t>yanethgaleon3@gmail.com</t>
  </si>
  <si>
    <t>ingc46@hotmail.com</t>
  </si>
  <si>
    <t>yeinyrinconwalteros@hotmail.es</t>
  </si>
  <si>
    <t>nosalce2@hotmail.com</t>
  </si>
  <si>
    <t>andrepin84@gmail.com</t>
  </si>
  <si>
    <t>preciadomonicaa@gmail.com</t>
  </si>
  <si>
    <t>ngamboa250@gmail.com</t>
  </si>
  <si>
    <t>dianapilar1317@gmail.com</t>
  </si>
  <si>
    <t>bella3482@hotmail.com</t>
  </si>
  <si>
    <t>sonia.montana@yahoo.es</t>
  </si>
  <si>
    <t>dianadiaz0208@gmail.com</t>
  </si>
  <si>
    <t>mairanio@gmail.com</t>
  </si>
  <si>
    <t>katamaro@gmail.com</t>
  </si>
  <si>
    <t>anaavellaneda@gmail.com</t>
  </si>
  <si>
    <t>dianacarolinasisa1984@gmail.com</t>
  </si>
  <si>
    <t>mienpedu@gmail.com</t>
  </si>
  <si>
    <t>flororozco070@gmail.com</t>
  </si>
  <si>
    <t>dianapalba@yahoo.es</t>
  </si>
  <si>
    <t>angelaflor322@hotmail.com</t>
  </si>
  <si>
    <t>hazullosa@hotmail.com</t>
  </si>
  <si>
    <t>japeralta841001@gmail.com</t>
  </si>
  <si>
    <t>rocidaza@hotmail.com</t>
  </si>
  <si>
    <t>lmespindolap@gmail.com</t>
  </si>
  <si>
    <t>marypinkoy@gmail.com</t>
  </si>
  <si>
    <t>daliss22@gmail.com</t>
  </si>
  <si>
    <t>lidat2211@hotmail.com</t>
  </si>
  <si>
    <t>flacahermosaninocamargo@gmail.com</t>
  </si>
  <si>
    <t>na840409@gmail.com</t>
  </si>
  <si>
    <t>lhsaludybelleza@gmail.com</t>
  </si>
  <si>
    <t>les_0910@hotmail.com</t>
  </si>
  <si>
    <t>danielacastrocar0710@gmail.com</t>
  </si>
  <si>
    <t>coy.diana@gmail.com</t>
  </si>
  <si>
    <t>angelvivis@gmail.com</t>
  </si>
  <si>
    <t>stellaperez1031@gmail.com</t>
  </si>
  <si>
    <t>internetjuanpeke@hotmail.com</t>
  </si>
  <si>
    <t>sonirovel@hotmail.com</t>
  </si>
  <si>
    <t>magoba36@hotmail.com</t>
  </si>
  <si>
    <t>karenlorenavargasrojas854@gmail.com</t>
  </si>
  <si>
    <t>pilar855@hotmail.com</t>
  </si>
  <si>
    <t>dianar.romeroc@gmail.com</t>
  </si>
  <si>
    <t>mxsequera@gmail.com</t>
  </si>
  <si>
    <t>andrea.manosalva.gom@gmail.com</t>
  </si>
  <si>
    <t>dissygo2001@yahoo.com</t>
  </si>
  <si>
    <t>luzjazp2017@gmail.com</t>
  </si>
  <si>
    <t>monicadelgado0906@gmail.com</t>
  </si>
  <si>
    <t>vidagofo@gmail.com</t>
  </si>
  <si>
    <t>nemablalo@gmail.com</t>
  </si>
  <si>
    <t>auneolgo@gmail.com</t>
  </si>
  <si>
    <t>fyolandasg810331@gmail.com</t>
  </si>
  <si>
    <t>jennyoliveros07@yahoo.es</t>
  </si>
  <si>
    <t>yadirahb31@gmail.com</t>
  </si>
  <si>
    <t>karitoiza279@gmail.com</t>
  </si>
  <si>
    <t>aliciasuarez864@gmail.com</t>
  </si>
  <si>
    <t>riverazoraida17@gmail.com</t>
  </si>
  <si>
    <t>dile626@hotmail.com</t>
  </si>
  <si>
    <t>gineflorez.12@hotmail.com</t>
  </si>
  <si>
    <t>ayde441@hotmail.com</t>
  </si>
  <si>
    <t>dicacealv@gmail.com</t>
  </si>
  <si>
    <t>diananino1985@gmail.com</t>
  </si>
  <si>
    <t>hennibenavides@hotmail.com</t>
  </si>
  <si>
    <t>mkmml84@yahoo.es</t>
  </si>
  <si>
    <t>loren2312@hotmail.com</t>
  </si>
  <si>
    <t>claudispineda@yahoo.es</t>
  </si>
  <si>
    <t>paolitapuerto@gmail.com</t>
  </si>
  <si>
    <t>yayis2704@hotmail.com</t>
  </si>
  <si>
    <t>natalianausa@hotmail.com</t>
  </si>
  <si>
    <t>pilyb85@hotmail.com</t>
  </si>
  <si>
    <t>natalia1985@gmail.com</t>
  </si>
  <si>
    <t>mdcfuentestorres@yahoo.es</t>
  </si>
  <si>
    <t>lilianachinome@gmail.com</t>
  </si>
  <si>
    <t>clagerau85@gmail.com</t>
  </si>
  <si>
    <t>fran.483@hotmail.com</t>
  </si>
  <si>
    <t>marinaoviedo331@gmail.com</t>
  </si>
  <si>
    <t>lilibbj@hotmail.com</t>
  </si>
  <si>
    <t>johannabohorqueztorres@gmail.com</t>
  </si>
  <si>
    <t>ludinacastaeda@yahoo.com</t>
  </si>
  <si>
    <t>bonilla.viviana@gmail.com</t>
  </si>
  <si>
    <t>claupato85@hotmail.com</t>
  </si>
  <si>
    <t>leidymelanifonseca@gmail.com</t>
  </si>
  <si>
    <t>marily.suarez@gmail.com</t>
  </si>
  <si>
    <t>claupatricam@gmail.com</t>
  </si>
  <si>
    <t>moniklore27@outlook.com</t>
  </si>
  <si>
    <t>tatiana_pita0112@hotmail.com</t>
  </si>
  <si>
    <t>dianaediazs737@gmail.com</t>
  </si>
  <si>
    <t>nancytiria@gmail.com</t>
  </si>
  <si>
    <t>fannyliset8@gmail.com</t>
  </si>
  <si>
    <t>facturacion@kurmedik.com</t>
  </si>
  <si>
    <t>adripinzonm@hotmail.com</t>
  </si>
  <si>
    <t>sandramilenavargassalcedo248@gmail.com</t>
  </si>
  <si>
    <t>fernandafagua80@gmail.com</t>
  </si>
  <si>
    <t>pati.duran.2505@gmail.com</t>
  </si>
  <si>
    <t>yenypink@gmail.com</t>
  </si>
  <si>
    <t>caro.moreno2439@gmail.com</t>
  </si>
  <si>
    <t>adrianareyesg2@gmail.com</t>
  </si>
  <si>
    <t>carrillomaholy431@gmail.com</t>
  </si>
  <si>
    <t>ocitapgrup@gmail.com</t>
  </si>
  <si>
    <t>luzadrianacely@gmail.com</t>
  </si>
  <si>
    <t>dyanytas82@hotmail.com</t>
  </si>
  <si>
    <t>dianamarce1970amado@gmail.com</t>
  </si>
  <si>
    <t>leidymolano85@gmail.com</t>
  </si>
  <si>
    <t>morarojassandrayaneth@yahoo.com</t>
  </si>
  <si>
    <t>famiboyderlly@yahoo.es</t>
  </si>
  <si>
    <t>soniaperea1052@gmail.com</t>
  </si>
  <si>
    <t>mjohannaar@hotmail.com</t>
  </si>
  <si>
    <t>magda.uptc@hotmail.com</t>
  </si>
  <si>
    <t>claumoritaamor@gmail.com</t>
  </si>
  <si>
    <t>isa19122011@hotmail.com</t>
  </si>
  <si>
    <t>tomasebas0720@gmail.com</t>
  </si>
  <si>
    <t>garciayulied76@gmail.com</t>
  </si>
  <si>
    <t>sandra8patricia@hotmail.com</t>
  </si>
  <si>
    <t>anita_1408@hotmail.com</t>
  </si>
  <si>
    <t>yennyortiz104@gmail.com</t>
  </si>
  <si>
    <t>mjcm_753@hotmail.com</t>
  </si>
  <si>
    <t>viviana5362@hotmail.com</t>
  </si>
  <si>
    <t>meryyfr@hotmail.com</t>
  </si>
  <si>
    <t>erikavivianaguerrero13@gmail.com</t>
  </si>
  <si>
    <t>deicyyorladya@gmail.com</t>
  </si>
  <si>
    <t>esperanza33dd@hotmail.com</t>
  </si>
  <si>
    <t>anferoma24@gmail.com</t>
  </si>
  <si>
    <t>mayeneira@gmail.com</t>
  </si>
  <si>
    <t>anayibeacero77@gmail.com</t>
  </si>
  <si>
    <t>mzarabandab@gmail.com</t>
  </si>
  <si>
    <t>yeimi.8510@hotmail.com</t>
  </si>
  <si>
    <t>nancylopezcarvajal@hotmail.com</t>
  </si>
  <si>
    <t>leidynuncira1985@gmail.com</t>
  </si>
  <si>
    <t>nanitas44@hotmail.com</t>
  </si>
  <si>
    <t>yuryochoap@gmail.com</t>
  </si>
  <si>
    <t>vianpeca@gmail.com</t>
  </si>
  <si>
    <t>leidykgelvez@gmail.com</t>
  </si>
  <si>
    <t>johannamilenacp@gmail.com</t>
  </si>
  <si>
    <t>catalinablanco1985@gmail.com</t>
  </si>
  <si>
    <t>nubiaagudelo2411@gmail.com</t>
  </si>
  <si>
    <t>dianatibaduiza@yahoo.com</t>
  </si>
  <si>
    <t>adri_pms@hotmail.com</t>
  </si>
  <si>
    <t>yevivas02@gmail.com</t>
  </si>
  <si>
    <t>johannamanosalva@gmail.com</t>
  </si>
  <si>
    <t>dianakrob@gmail.com</t>
  </si>
  <si>
    <t>givany650@gmail.com</t>
  </si>
  <si>
    <t>andrea_solca@hotmail.com</t>
  </si>
  <si>
    <t>secabe15@gmail.com</t>
  </si>
  <si>
    <t>baioret1@gmail.com</t>
  </si>
  <si>
    <t>yenycarolinasalamanca@gmail.com</t>
  </si>
  <si>
    <t>valejandramontana@gmail.com</t>
  </si>
  <si>
    <t>SADRAL41003@hotmail.com</t>
  </si>
  <si>
    <t>danacaro85@hotmail.com</t>
  </si>
  <si>
    <t>dianitasoto123@hotmail.com</t>
  </si>
  <si>
    <t>pescakaren85@gmail.com</t>
  </si>
  <si>
    <t>angela.riossd@gmail.com</t>
  </si>
  <si>
    <t>luznellyochicaperez@gmail.com</t>
  </si>
  <si>
    <t>natallia0923@gmail.com</t>
  </si>
  <si>
    <t>paclavijo09@gmail.com</t>
  </si>
  <si>
    <t>yoha1213@gmail.com</t>
  </si>
  <si>
    <t>dollycarolina@gmail.com</t>
  </si>
  <si>
    <t>gomezemilcen250@gmail.com</t>
  </si>
  <si>
    <t>erigiro.22@gmail.com</t>
  </si>
  <si>
    <t>ldayanaboada@gmail.com</t>
  </si>
  <si>
    <t>luzmastk@gmail.com</t>
  </si>
  <si>
    <t>dianasanabria228@gmail.com</t>
  </si>
  <si>
    <t>leila2002salas@gmail.com</t>
  </si>
  <si>
    <t>lucellymontoya@gmail.com</t>
  </si>
  <si>
    <t>mariadguevara64@gmail.com</t>
  </si>
  <si>
    <t>valerianinosilva@gmail.com</t>
  </si>
  <si>
    <t>jjhone18@hotmail.com</t>
  </si>
  <si>
    <t>linarbaez64@gmail.com</t>
  </si>
  <si>
    <t>MYRIAMJIM66@gmail.com</t>
  </si>
  <si>
    <t>anaisabel.camargo@hotmail.com</t>
  </si>
  <si>
    <t>angelpatri41@gmail.com</t>
  </si>
  <si>
    <t>mariasruda@gmail.com</t>
  </si>
  <si>
    <t>elizabethmarcepeda@gmail.com</t>
  </si>
  <si>
    <t>edilceduran8@gmail.com</t>
  </si>
  <si>
    <t>ne.maro4660@gmail.com</t>
  </si>
  <si>
    <t>ingmarthalucia@gmail.com</t>
  </si>
  <si>
    <t>rativablancanelly@gmail.com</t>
  </si>
  <si>
    <t>olga.mesa63@gmail.com</t>
  </si>
  <si>
    <t>NOINFORMAFO@gmail.com</t>
  </si>
  <si>
    <t>fannycorreacarreno@gmail.com</t>
  </si>
  <si>
    <t>luissuarezcarvajal0@gmail.com</t>
  </si>
  <si>
    <t>eadamesu@gmail.com</t>
  </si>
  <si>
    <t>malupre009@hotmail.com</t>
  </si>
  <si>
    <t>nubiamunevar08@gmail.com</t>
  </si>
  <si>
    <t>mariadcalderon26@gmail.com</t>
  </si>
  <si>
    <t>mamojakiss@hotmail.com</t>
  </si>
  <si>
    <t>edithtobe27@gmail.com</t>
  </si>
  <si>
    <t>licozaso46@hotmail.com</t>
  </si>
  <si>
    <t>fannyflechas0@gmail.com</t>
  </si>
  <si>
    <t>mariatesane@hotmail.com</t>
  </si>
  <si>
    <t>marianubia@hotmail.es</t>
  </si>
  <si>
    <t>anadesa250@gmail.com</t>
  </si>
  <si>
    <t>mesmcita@gmail.com</t>
  </si>
  <si>
    <t>maesguaro@gmail.com</t>
  </si>
  <si>
    <t>celyroblesmi.65@gmail.com</t>
  </si>
  <si>
    <t>jackiepemberty@hotmail.com</t>
  </si>
  <si>
    <t>angelapedrazabe@hotmail.com</t>
  </si>
  <si>
    <t>miryamcortes46@hotmail.com</t>
  </si>
  <si>
    <t>anapecas13@hotmail.com</t>
  </si>
  <si>
    <t>lumacri117@hotmail.com</t>
  </si>
  <si>
    <t>cmelici@yahoo.com</t>
  </si>
  <si>
    <t>teruka25@hotmail.com</t>
  </si>
  <si>
    <t>fabiolaflechascespedes@hotmail.com</t>
  </si>
  <si>
    <t>vikita2365@gmail.com</t>
  </si>
  <si>
    <t>duban.nubia@yahoo.es</t>
  </si>
  <si>
    <t>rocigar12@outlook.es</t>
  </si>
  <si>
    <t>marmedina3@yahoo.es</t>
  </si>
  <si>
    <t>yennysandoval597@gmail.com</t>
  </si>
  <si>
    <t>gilmasolanom@hotmail.com</t>
  </si>
  <si>
    <t>helencely@yahoo.es</t>
  </si>
  <si>
    <t>nubytery14@hotmail.com</t>
  </si>
  <si>
    <t>anitamapa2007@yahoo.es</t>
  </si>
  <si>
    <t>espegomeji@hotmail.com</t>
  </si>
  <si>
    <t>laviejanina@hotmail.com</t>
  </si>
  <si>
    <t>paopaoenci@gmail.com</t>
  </si>
  <si>
    <t>olgalu_66@hotmail.com</t>
  </si>
  <si>
    <t>maria.c.alfonso@hotmail.com</t>
  </si>
  <si>
    <t>olgaluciapuentesg@gmail.com</t>
  </si>
  <si>
    <t>hotelclass@hotmail.com</t>
  </si>
  <si>
    <t>blancao.cano@gmail.com</t>
  </si>
  <si>
    <t>beo3700@gmail.com</t>
  </si>
  <si>
    <t>dariopuerto20094@gmail.com</t>
  </si>
  <si>
    <t>libiapgomez@hotmail.com</t>
  </si>
  <si>
    <t>disheroes@hotmail.com</t>
  </si>
  <si>
    <t>ruthcris.c@gmail.com</t>
  </si>
  <si>
    <t>maritzamorales431@gmail.com</t>
  </si>
  <si>
    <t>nubial2@hotmail.com</t>
  </si>
  <si>
    <t>marialucilarincon@yahoo.es</t>
  </si>
  <si>
    <t>nidiaelarag@gmail.com</t>
  </si>
  <si>
    <t>zambranosalam@hotmail.com</t>
  </si>
  <si>
    <t>majomera@gmail.com</t>
  </si>
  <si>
    <t>marciapedrazareyes@gmail.com</t>
  </si>
  <si>
    <t>yoly1865@gmail.com</t>
  </si>
  <si>
    <t>jurocave@hotmail.es</t>
  </si>
  <si>
    <t>camila.ramirez@uptc.edu.co</t>
  </si>
  <si>
    <t>dalicia.becerra@gmail.com</t>
  </si>
  <si>
    <t>luzmariaparicio1966@hotmail.com</t>
  </si>
  <si>
    <t>ingridcmth@hotmail.com</t>
  </si>
  <si>
    <t>nancy_jos@hotmail.com</t>
  </si>
  <si>
    <t>rousemati@hotmail.com</t>
  </si>
  <si>
    <t>dianalarrota7@gmail.com</t>
  </si>
  <si>
    <t>macero15@gmail.com</t>
  </si>
  <si>
    <t>edai1705@gmail.com</t>
  </si>
  <si>
    <t>lee.hoy@hotmail.com</t>
  </si>
  <si>
    <t>reneca67.rccj@gmail.com</t>
  </si>
  <si>
    <t>menchis510@gmail.com</t>
  </si>
  <si>
    <t>ANYMARTI08@gmail.com</t>
  </si>
  <si>
    <t>rosali-66@hotmail.com</t>
  </si>
  <si>
    <t>solanomarinoleidyjohana17@gmail.com</t>
  </si>
  <si>
    <t>felisabarpri@hotmail.com</t>
  </si>
  <si>
    <t>maconcavi@hotmail.com</t>
  </si>
  <si>
    <t>mybautis@hotmail.com</t>
  </si>
  <si>
    <t>mariadolores88081@gmail.com</t>
  </si>
  <si>
    <t>yaneth2023.ma@gmail.com</t>
  </si>
  <si>
    <t>blanca.camargo@uptc.edu.co</t>
  </si>
  <si>
    <t>janedt05@yahoo.com</t>
  </si>
  <si>
    <t>roscioestupian@yahoo.es</t>
  </si>
  <si>
    <t>gloriac6705@hotmail.com</t>
  </si>
  <si>
    <t>maxel1999@hotmail.com</t>
  </si>
  <si>
    <t>ruvato7@hotmail.com</t>
  </si>
  <si>
    <t>rojasmery128@hotmail.com</t>
  </si>
  <si>
    <t>melina_perez_gonzalez@yahoo.com</t>
  </si>
  <si>
    <t>anitamerci@hotmail.com</t>
  </si>
  <si>
    <t>nuvansusel2@gmail.com</t>
  </si>
  <si>
    <t>nancystellaq97@gmail.com</t>
  </si>
  <si>
    <t>oficinacmrc46@hotmail.com</t>
  </si>
  <si>
    <t>gilmacastaneda66@hotmail.com</t>
  </si>
  <si>
    <t>masafle37@hotmail.com</t>
  </si>
  <si>
    <t>ASCENCIO1960@hotmail.com</t>
  </si>
  <si>
    <t>mery.patarroyo67@gmail.com</t>
  </si>
  <si>
    <t>teriduitama@hotmail.com</t>
  </si>
  <si>
    <t>malurozo@yahoo.com</t>
  </si>
  <si>
    <t>yanespejo04@gmail.com</t>
  </si>
  <si>
    <t>ncmchiqui@yahoo.com</t>
  </si>
  <si>
    <t>jrtorres94@outlook.es</t>
  </si>
  <si>
    <t>miryditi@gmail.com</t>
  </si>
  <si>
    <t>francylopez391@gmail.com</t>
  </si>
  <si>
    <t>gloriaemedina@gmail.com</t>
  </si>
  <si>
    <t>anaberenicesolano@gmail.com</t>
  </si>
  <si>
    <t>flores48@hotmail.es</t>
  </si>
  <si>
    <t>zlizarazo@sena.edu.co</t>
  </si>
  <si>
    <t>soraida1812@hotmail.com</t>
  </si>
  <si>
    <t>yiyisaa@hotmail.com</t>
  </si>
  <si>
    <t>mesa162401@gmail.com</t>
  </si>
  <si>
    <t>janneth6723@hotmail.com</t>
  </si>
  <si>
    <t>luzmilaleongil@gmail.com</t>
  </si>
  <si>
    <t>mejiaolga54@gmail.com</t>
  </si>
  <si>
    <t>andaro.rda@gmail.com</t>
  </si>
  <si>
    <t>madelin.cardenas98@gmail.com</t>
  </si>
  <si>
    <t>lipamafi@gmail.com</t>
  </si>
  <si>
    <t>mariamerchan60@hotmail.com</t>
  </si>
  <si>
    <t>torresjimenez10@gmail.com</t>
  </si>
  <si>
    <t>elsi.nahir@gmail.com</t>
  </si>
  <si>
    <t>analopez12152010@gmail.com</t>
  </si>
  <si>
    <t>soraidita2017@gmail.com</t>
  </si>
  <si>
    <t>glmartinez21@gmail.com</t>
  </si>
  <si>
    <t>edmg2316@hotmail.com</t>
  </si>
  <si>
    <t>claradiscente@gmail.com</t>
  </si>
  <si>
    <t>olgalucortes2006@yahoo.com</t>
  </si>
  <si>
    <t>fyquinteror@gmail.com</t>
  </si>
  <si>
    <t>jinfanterodriguez@yahoo.es</t>
  </si>
  <si>
    <t>isabel.comsa@hotmail.com</t>
  </si>
  <si>
    <t>nunciravalderramamariaesperanz@gmail.com</t>
  </si>
  <si>
    <t>nellyestellap@yahoo.es</t>
  </si>
  <si>
    <t>marthaldiazs@yahoo.es</t>
  </si>
  <si>
    <t>rosalbei@hotmail.com</t>
  </si>
  <si>
    <t>marielasimbaqueva@gmial.com</t>
  </si>
  <si>
    <t>btabaco@yahoo.com</t>
  </si>
  <si>
    <t>sclaudiajannth@yahoo.es</t>
  </si>
  <si>
    <t>monicachiquillo@gmail.com</t>
  </si>
  <si>
    <t>carmenrosa_cely2@hotmail.com</t>
  </si>
  <si>
    <t>cleotildetellez@gmail.com</t>
  </si>
  <si>
    <t>anamaria.morenolizarazo@gmail.com</t>
  </si>
  <si>
    <t>lumegu3911@hotmail.com</t>
  </si>
  <si>
    <t>lidaelsycastro@hotmail.com</t>
  </si>
  <si>
    <t>elizabety_rt@hotmail.com</t>
  </si>
  <si>
    <t>marthaceciliahiguera@gmail.com</t>
  </si>
  <si>
    <t>A@gmail.com</t>
  </si>
  <si>
    <t>yolandacordobash@gmail.com</t>
  </si>
  <si>
    <t>jakmoreno@hotmail.com</t>
  </si>
  <si>
    <t>maresgapit@hotmail.com</t>
  </si>
  <si>
    <t>rosjo3@hotmail.com</t>
  </si>
  <si>
    <t>MARILUZPITAMORENO@gmail.com</t>
  </si>
  <si>
    <t>mbonillacorrea@yahoo.com</t>
  </si>
  <si>
    <t>mariaeurey_@hotmail.com</t>
  </si>
  <si>
    <t>consueloavella_1969@hotmail.com</t>
  </si>
  <si>
    <t>aurarodu@gmail.com</t>
  </si>
  <si>
    <t>marthaluci1904@hotmail.com</t>
  </si>
  <si>
    <t>clarajoya67@hotmail.com</t>
  </si>
  <si>
    <t>delciysanabrias@gmail.com</t>
  </si>
  <si>
    <t>gpintomorales1969@gmail.com</t>
  </si>
  <si>
    <t>auroramoralesrincon015@gmail.com</t>
  </si>
  <si>
    <t>betanibe@gmail.com</t>
  </si>
  <si>
    <t>lilisuarsuar@hotmail.com</t>
  </si>
  <si>
    <t>blancamerylt@hotmail.com</t>
  </si>
  <si>
    <t>mayelopez13@hotmail.com</t>
  </si>
  <si>
    <t>auraaliciafernandezsilva@gmail.com</t>
  </si>
  <si>
    <t>dianita-ladino@hotmail.com</t>
  </si>
  <si>
    <t>fannygonzalez1268@gmail.com</t>
  </si>
  <si>
    <t>mlmontanez21@gmail.com</t>
  </si>
  <si>
    <t>mariabaez11@gmail.com</t>
  </si>
  <si>
    <t>erikajoh_82@hotmail.com</t>
  </si>
  <si>
    <t>cindy881220@hotmail.com</t>
  </si>
  <si>
    <t>gloria.seguros@hotmail.com</t>
  </si>
  <si>
    <t>alejochatorres@gmail.com</t>
  </si>
  <si>
    <t>alroci2011@hotmail.com</t>
  </si>
  <si>
    <t>blancanellyrojascristancho@gmail.com</t>
  </si>
  <si>
    <t>irma13-blanco@hotmail.com</t>
  </si>
  <si>
    <t>marthaceciliabecerravelandia@gmail.com</t>
  </si>
  <si>
    <t>RUMACAZ69@gmail.com</t>
  </si>
  <si>
    <t>janesgu46@yahoo.es</t>
  </si>
  <si>
    <t>mirycacho4@gmail.com</t>
  </si>
  <si>
    <t>banamireya@gmail.com</t>
  </si>
  <si>
    <t>barbarapatri@hotmail.co</t>
  </si>
  <si>
    <t>oinflechas@gmail.com</t>
  </si>
  <si>
    <t>celmira.carvajal@gmail.com</t>
  </si>
  <si>
    <t>yolyshp@gmail.com</t>
  </si>
  <si>
    <t>marthap1235@hotmail.com</t>
  </si>
  <si>
    <t>itrujillom100@gmail.com</t>
  </si>
  <si>
    <t>alixmort@hotmail.com</t>
  </si>
  <si>
    <t>luzmarsanchez2000@gmail.com</t>
  </si>
  <si>
    <t>chelito2324@gmail.com</t>
  </si>
  <si>
    <t>auranmejial@gmail.com</t>
  </si>
  <si>
    <t>glesnica@gmail.com</t>
  </si>
  <si>
    <t>silviamesaroa@hotmail.com</t>
  </si>
  <si>
    <t>magdalenamontaa@gmail.com</t>
  </si>
  <si>
    <t>yolimoreno019@gmail.com</t>
  </si>
  <si>
    <t>mjcl68@hotmail.com</t>
  </si>
  <si>
    <t>azucenaochoa06@hotmail.com</t>
  </si>
  <si>
    <t>annyalvadaza@gmail.com</t>
  </si>
  <si>
    <t>anitaparra.siabato@gmail.com</t>
  </si>
  <si>
    <t>rectoria@gmsantasofia.edu.co</t>
  </si>
  <si>
    <t>neescu@hotmail.com</t>
  </si>
  <si>
    <t>roliveros20@uan.edu.co</t>
  </si>
  <si>
    <t>juliethahsley30@gmail.com</t>
  </si>
  <si>
    <t>quinteroamanda21@gmail.com</t>
  </si>
  <si>
    <t>patyneita@yahoo.es</t>
  </si>
  <si>
    <t>mm3124262186@hotmail.com</t>
  </si>
  <si>
    <t>tobias2117@gmail.com</t>
  </si>
  <si>
    <t>astridfajardovargas@gmail.com</t>
  </si>
  <si>
    <t>esperanza_gomez04@hotmail.com</t>
  </si>
  <si>
    <t>yesii.6928@gmail.com</t>
  </si>
  <si>
    <t>ximena615@hotmail.com</t>
  </si>
  <si>
    <t>juliethtorres99@gmail.com</t>
  </si>
  <si>
    <t>gladys10@gmail.com</t>
  </si>
  <si>
    <t>contabilidad@johndewey.edu.co</t>
  </si>
  <si>
    <t>yamilesil0597@gmail.com</t>
  </si>
  <si>
    <t>jaque.zam.sa@gmail.com</t>
  </si>
  <si>
    <t>marysofi1108@gmail.com</t>
  </si>
  <si>
    <t>olgapa1970@hotmail.com</t>
  </si>
  <si>
    <t>luampelo7@hotmail.com</t>
  </si>
  <si>
    <t>gloriasg2018@gmail.com</t>
  </si>
  <si>
    <t>luz.suarez2905@gmail.com</t>
  </si>
  <si>
    <t>emilcea1@gmail.com</t>
  </si>
  <si>
    <t>rosabalaguera67@gmail.com</t>
  </si>
  <si>
    <t>masmelaluzmarina@gmail.com</t>
  </si>
  <si>
    <t>marcelalara2109@gmail.com</t>
  </si>
  <si>
    <t>silvalucyr26@gmail.com</t>
  </si>
  <si>
    <t>luzmrojasc2006@gmail.com</t>
  </si>
  <si>
    <t>claracifuentes502@gmail.com</t>
  </si>
  <si>
    <t>cecicare68@gmail.com</t>
  </si>
  <si>
    <t>cusbasofia1@gmail.com</t>
  </si>
  <si>
    <t>mariatrinidadperez70@gmail.com</t>
  </si>
  <si>
    <t>rousita_1978@hotmail.com</t>
  </si>
  <si>
    <t>dybecerra@uniboyaca.edu.co</t>
  </si>
  <si>
    <t>tofitafi125@gmail.com</t>
  </si>
  <si>
    <t>velandianubia31@gmail.com</t>
  </si>
  <si>
    <t>fehildasanchezf@hotmail.com</t>
  </si>
  <si>
    <t>ligia.lozano@uptc.edu.co</t>
  </si>
  <si>
    <t>vmartha635@hotmail.com</t>
  </si>
  <si>
    <t>imelda.chaparro@gmail.com</t>
  </si>
  <si>
    <t>r.basilotta@yahoo.es</t>
  </si>
  <si>
    <t>gremancho@gmail.com</t>
  </si>
  <si>
    <t>rosalivelandia@gmail.com</t>
  </si>
  <si>
    <t>airethrv@yahoo.es</t>
  </si>
  <si>
    <t>eli.torresdu@gmail.com</t>
  </si>
  <si>
    <t>manosalvarinconyeimymanuela@gmail.com</t>
  </si>
  <si>
    <t>miscam2000@yahoo.es</t>
  </si>
  <si>
    <t>mjbecerras@hotmail.com</t>
  </si>
  <si>
    <t>adiego.d.baez.a@gmail.com</t>
  </si>
  <si>
    <t>anadeliasantana@gmail.com</t>
  </si>
  <si>
    <t>yurymbecerra26@gmail.com</t>
  </si>
  <si>
    <t>patricialvarado@gmail.com</t>
  </si>
  <si>
    <t>rosamcastillomorales@gmail.com</t>
  </si>
  <si>
    <t>malgonbar@gmail.com</t>
  </si>
  <si>
    <t>marthalmartinez@hotmail.com</t>
  </si>
  <si>
    <t>rosaemmareyes@hotmail.com</t>
  </si>
  <si>
    <t>luzmi78@gmail.com</t>
  </si>
  <si>
    <t>polita_15at@hotmail.com</t>
  </si>
  <si>
    <t>lucyfrancom@hotmail.com</t>
  </si>
  <si>
    <t>MIRYCALE@GMAIL.COM</t>
  </si>
  <si>
    <t>ruquis02@yahoo.es</t>
  </si>
  <si>
    <t>mariaberenicediazsalcedo@gmail.com</t>
  </si>
  <si>
    <t>elsaespinel66@gmail.com</t>
  </si>
  <si>
    <t>olgacarrillo@gmail.com</t>
  </si>
  <si>
    <t>soniaestepamunevar@gmail.com</t>
  </si>
  <si>
    <t>milurasa@yahoo.es</t>
  </si>
  <si>
    <t>claudiaypinzon70@gmail.com</t>
  </si>
  <si>
    <t>edeanrasu123@gmail.com</t>
  </si>
  <si>
    <t>zairaparada@yahoo.es</t>
  </si>
  <si>
    <t>luzde53374@gmail.com</t>
  </si>
  <si>
    <t>rosaeguerreros@gmail.com</t>
  </si>
  <si>
    <t>betty.esperanza4666@gmail.com</t>
  </si>
  <si>
    <t>yolispalacios@hotmail.com</t>
  </si>
  <si>
    <t>linaemontiel@gmail.com</t>
  </si>
  <si>
    <t>yapacla38@hotmail.es</t>
  </si>
  <si>
    <t>albalucia97@hotmail.com</t>
  </si>
  <si>
    <t>marthajanethacosta@hotmail.com</t>
  </si>
  <si>
    <t>blanca.tamara@coval.com.co</t>
  </si>
  <si>
    <t>yayaleguizamon@hotmail.com</t>
  </si>
  <si>
    <t>olgalutty@yahoo.es</t>
  </si>
  <si>
    <t>eeuugenia@hotmail.es</t>
  </si>
  <si>
    <t>pangale66@gmail.com</t>
  </si>
  <si>
    <t>danielabarrera_@hotmail.com</t>
  </si>
  <si>
    <t>fanny.maritza@outlook.es</t>
  </si>
  <si>
    <t>lilicava-71@hotmail.com</t>
  </si>
  <si>
    <t>dtdavilas@yahoo.com</t>
  </si>
  <si>
    <t>WIPE73@hotmail.com</t>
  </si>
  <si>
    <t>marthasalamanca09@gmail.com</t>
  </si>
  <si>
    <t>autoserviciolatrece@gmail.com</t>
  </si>
  <si>
    <t>claugbt3@gmail.com</t>
  </si>
  <si>
    <t>doanmaso0470@gmail.com</t>
  </si>
  <si>
    <t>gloriaigalloperez@gmail.com</t>
  </si>
  <si>
    <t>delfiuscategui1923@gmail.com</t>
  </si>
  <si>
    <t>bags.x70s@gmail.com</t>
  </si>
  <si>
    <t>monoduvan198@hotmail.es</t>
  </si>
  <si>
    <t>jrrojas@argos.com.co</t>
  </si>
  <si>
    <t>molano_ochoa@hotmail.com</t>
  </si>
  <si>
    <t>mariadelpilarcamargo@gmail.com</t>
  </si>
  <si>
    <t>bece4770@gmail.com</t>
  </si>
  <si>
    <t>espera2401@gmail.com</t>
  </si>
  <si>
    <t>amdsistem1001@gmail.com</t>
  </si>
  <si>
    <t>cecilitapalacios@gmail.com</t>
  </si>
  <si>
    <t>angidanseb@hotmail.com</t>
  </si>
  <si>
    <t>sammygam2004@yahoo.com</t>
  </si>
  <si>
    <t>miagoya@hotmail.com</t>
  </si>
  <si>
    <t>multirepuestos9@gmail.com</t>
  </si>
  <si>
    <t>astrithgallo@gmail.com</t>
  </si>
  <si>
    <t>olgalili117@hotmail.com</t>
  </si>
  <si>
    <t>alvarocio2007@gmail.com</t>
  </si>
  <si>
    <t>nicolas06angarita@gmail.com</t>
  </si>
  <si>
    <t>samada1906@yahoo.es</t>
  </si>
  <si>
    <t>marinogarciamariacristina973@gmail.com</t>
  </si>
  <si>
    <t>nome5257@gmail.com</t>
  </si>
  <si>
    <t>higueraniñofannyomaira@gmail.com</t>
  </si>
  <si>
    <t>miryamvelandia@gmail.com</t>
  </si>
  <si>
    <t>esperanza179@outlook.com</t>
  </si>
  <si>
    <t>monabrice@yahoo.es</t>
  </si>
  <si>
    <t>mp1252@yahoo.com</t>
  </si>
  <si>
    <t>michel.riveros2315@gmail.com</t>
  </si>
  <si>
    <t>nelydallos40@gmail.com</t>
  </si>
  <si>
    <t>jhpc14@hotmail.com</t>
  </si>
  <si>
    <t>nidiamolanovillate@gmail.com</t>
  </si>
  <si>
    <t>janetsaa@hotmail.com</t>
  </si>
  <si>
    <t>ALIXSA0629@gmail.com</t>
  </si>
  <si>
    <t>soniarojas757@gmail.com</t>
  </si>
  <si>
    <t>maryluzsolanoleon@gmail.com</t>
  </si>
  <si>
    <t>elizaflechas@hotmail.com</t>
  </si>
  <si>
    <t>nuvia.v.r@gmail.com</t>
  </si>
  <si>
    <t>lu.astrid1234@gmail.com</t>
  </si>
  <si>
    <t>luceros106@hotmail.com</t>
  </si>
  <si>
    <t>claudiaicastanedat@gmail.com</t>
  </si>
  <si>
    <t>ilisisa11@hotmail.com</t>
  </si>
  <si>
    <t>mateusluz2303@gmail.com</t>
  </si>
  <si>
    <t>nibialeticia.8893@gmail.com</t>
  </si>
  <si>
    <t>nellybaezbaez@yahoo.es</t>
  </si>
  <si>
    <t>luzdarytobo@hotmail.com</t>
  </si>
  <si>
    <t>lisasolbe@gmail.com</t>
  </si>
  <si>
    <t>lilisnitola0572@gmail.com</t>
  </si>
  <si>
    <t>anasoryserrano@gmail.com</t>
  </si>
  <si>
    <t>yennytorrescepeda@gmail.com</t>
  </si>
  <si>
    <t>yulimontanez34@gmail.com</t>
  </si>
  <si>
    <t>mendozabertha61@gmail.com</t>
  </si>
  <si>
    <t>anabell-780@hotmail.com</t>
  </si>
  <si>
    <t>albalu1809@gmail.com</t>
  </si>
  <si>
    <t>elicita5620@gmail.com</t>
  </si>
  <si>
    <t>terapeuta.sogamoso1@maplerespiratory.co</t>
  </si>
  <si>
    <t>claudinv@hotmail.es</t>
  </si>
  <si>
    <t>blancanno12@gmail.com</t>
  </si>
  <si>
    <t>printerdistribuciones@hotmail.com</t>
  </si>
  <si>
    <t>elviabarreto72@gmail.com</t>
  </si>
  <si>
    <t>nathalyfonseca99@gmail.com</t>
  </si>
  <si>
    <t>fuquenduranmaria@gmail.com</t>
  </si>
  <si>
    <t>patysacha@yahoo.com</t>
  </si>
  <si>
    <t>JANETH.MALPICAP@gmail.com</t>
  </si>
  <si>
    <t>alvaradopedrazamariasusana@gmail.com</t>
  </si>
  <si>
    <t>angynataliapuertotavera@gmail.com</t>
  </si>
  <si>
    <t>nidiasrinconp@yahoo.es</t>
  </si>
  <si>
    <t>blanca.duenash@gmail.com</t>
  </si>
  <si>
    <t>francycortes3@gmail.com</t>
  </si>
  <si>
    <t>ruth2018mireya@gmail.com</t>
  </si>
  <si>
    <t>factuaciondobladoralaisla@gmail.com</t>
  </si>
  <si>
    <t>profrutasjavilu@hotmail.com</t>
  </si>
  <si>
    <t>nancyriano6@gmail.com</t>
  </si>
  <si>
    <t>astrid.dazag@hotmail.com</t>
  </si>
  <si>
    <t>fisalu@gmail.com</t>
  </si>
  <si>
    <t>lizethflechas160@gmail.com</t>
  </si>
  <si>
    <t>rosaevelialemus@gmail.com</t>
  </si>
  <si>
    <t>adeliabecerrasosa@gmail.com</t>
  </si>
  <si>
    <t>fabiolitablancoparra@gmail.com</t>
  </si>
  <si>
    <t>maryphe772@gmail.com</t>
  </si>
  <si>
    <t>gilfabio335@gmail.com</t>
  </si>
  <si>
    <t>dorisruthrivera@gmail.com</t>
  </si>
  <si>
    <t>yamile089.abril@hotmail.com</t>
  </si>
  <si>
    <t>personaimpor@gmail.com</t>
  </si>
  <si>
    <t>mercedes.pele@gmail.com</t>
  </si>
  <si>
    <t>angelac.urapan@gmail.com</t>
  </si>
  <si>
    <t>gsosavivas649@gmail.com</t>
  </si>
  <si>
    <t>aydetrf@gmail.com</t>
  </si>
  <si>
    <t>nancyrociopuerto2@gmail.com</t>
  </si>
  <si>
    <t>francisleal312@hotmail.com</t>
  </si>
  <si>
    <t>jacquelincita2013@gmail.com</t>
  </si>
  <si>
    <t>difabival@gmail.com</t>
  </si>
  <si>
    <t>alejabar11uptc@yahoo.es</t>
  </si>
  <si>
    <t>nohorapaulis@gmail.com</t>
  </si>
  <si>
    <t>tacher.correa@gmail.com</t>
  </si>
  <si>
    <t>edimerxalcantar7@gmail.com</t>
  </si>
  <si>
    <t>alexaperez7374@gmail.com</t>
  </si>
  <si>
    <t>maryen.carvajal@gmail.com</t>
  </si>
  <si>
    <t>martik271@yahoo.com</t>
  </si>
  <si>
    <t>eojedap1@gmail.com</t>
  </si>
  <si>
    <t>dorisastrid51@gmail.com</t>
  </si>
  <si>
    <t>ofeliaciendua@gmail.com</t>
  </si>
  <si>
    <t>claro24@gmail.com</t>
  </si>
  <si>
    <t>alcirapuerto@gmail.com</t>
  </si>
  <si>
    <t>yolisossa73@hotmail.com</t>
  </si>
  <si>
    <t>doris.fracica@gmail.com</t>
  </si>
  <si>
    <t>cheilina26@gmail.com</t>
  </si>
  <si>
    <t>olgapatriciarivera20@gmail.com</t>
  </si>
  <si>
    <t>cervilimari@gmail.com</t>
  </si>
  <si>
    <t>edilmago73@gmail.com</t>
  </si>
  <si>
    <t>diaclaus18@hotmail.com</t>
  </si>
  <si>
    <t>yvalderramabarreto@gmail.com</t>
  </si>
  <si>
    <t>lumapasa1@hotmail.com</t>
  </si>
  <si>
    <t>mariacabra63@gmail.com</t>
  </si>
  <si>
    <t>lidarojascamargo@gmail.com</t>
  </si>
  <si>
    <t>nducon@hotmail.com</t>
  </si>
  <si>
    <t>floramanecer3@hotmail.com</t>
  </si>
  <si>
    <t>ivoncita0503@hotmail.com</t>
  </si>
  <si>
    <t>sandralarotta@hotmail.com</t>
  </si>
  <si>
    <t>syltsandra@hotmail.com</t>
  </si>
  <si>
    <t>claudiamilena190@gmail.com</t>
  </si>
  <si>
    <t>isabelnaranjo21@gmail.com</t>
  </si>
  <si>
    <t>novaflor069@gmail.com</t>
  </si>
  <si>
    <t>ladynancygonzalez@gmail.com</t>
  </si>
  <si>
    <t>jeavere@gmail.com</t>
  </si>
  <si>
    <t>regissativasur@gmail.com</t>
  </si>
  <si>
    <t>fannysan003@hotmail.com</t>
  </si>
  <si>
    <t>nelsyrodrig@hotmail.com</t>
  </si>
  <si>
    <t>psicos33@hotmail.com</t>
  </si>
  <si>
    <t>clauditaayalita@gmail.com</t>
  </si>
  <si>
    <t>glorisch2011@hotmail.com</t>
  </si>
  <si>
    <t>estela.orozco482@gmail.com</t>
  </si>
  <si>
    <t>patriciasepulvedac@hotmail.com</t>
  </si>
  <si>
    <t>glorianellychaparro@yahoo.es</t>
  </si>
  <si>
    <t>amandasalamanca@yahoo.com</t>
  </si>
  <si>
    <t>CHUCHISQUINTERO-2528@HOTMAIL.COM</t>
  </si>
  <si>
    <t>y_ula2009@hotmail.com</t>
  </si>
  <si>
    <t>marlifomon01@gmail.com</t>
  </si>
  <si>
    <t>lidato@hotmail.es</t>
  </si>
  <si>
    <t>elvi3838@gmail.com</t>
  </si>
  <si>
    <t>nanpaba@hotmail.com</t>
  </si>
  <si>
    <t>camargoana57@gmail.com</t>
  </si>
  <si>
    <t>martha.colpre@gmail.com</t>
  </si>
  <si>
    <t>amparoorganizatuevento@gmail.com</t>
  </si>
  <si>
    <t>nbsalazarc@hotmail.com</t>
  </si>
  <si>
    <t>danaacosta04@gmail.com</t>
  </si>
  <si>
    <t>paley31@gmail.com</t>
  </si>
  <si>
    <t>angelaovallet@yahoo.es</t>
  </si>
  <si>
    <t>blanquisli32@yahoo.es</t>
  </si>
  <si>
    <t>mariaecc12@gmail.com</t>
  </si>
  <si>
    <t>fafimc@hotmail.com</t>
  </si>
  <si>
    <t>firmalegal1117@gmail.com</t>
  </si>
  <si>
    <t>marthaaponte1@hotmail.com</t>
  </si>
  <si>
    <t>jamapaso99@hotmail.com</t>
  </si>
  <si>
    <t>edithcamarh@gmail.com</t>
  </si>
  <si>
    <t>liliahernadez1407@gmail.com</t>
  </si>
  <si>
    <t>helenmej05@hotmail.com</t>
  </si>
  <si>
    <t>maureenadri09@gmail.com</t>
  </si>
  <si>
    <t>luzmegaro@yahoo.es</t>
  </si>
  <si>
    <t>glorisy.14@gmail.com</t>
  </si>
  <si>
    <t>fedrasol4@gmail.com</t>
  </si>
  <si>
    <t>lsalcedobautista@gmail.com</t>
  </si>
  <si>
    <t>claudiamperezr74@gmail.com</t>
  </si>
  <si>
    <t>moranteshiguera@hotmail.com</t>
  </si>
  <si>
    <t>luzedithmesa7@gmail.com</t>
  </si>
  <si>
    <t>milekastro74@gmail.com</t>
  </si>
  <si>
    <t>maryluzberdugovargas@gmail.com</t>
  </si>
  <si>
    <t>anyelitarm@gmail.com</t>
  </si>
  <si>
    <t>esmeraldavillate@gmail.com</t>
  </si>
  <si>
    <t>olgayb2002@yahoo.com</t>
  </si>
  <si>
    <t>cristina.cardozo007@gmail.com</t>
  </si>
  <si>
    <t>veritosoto1@hotmail.com</t>
  </si>
  <si>
    <t>luzladino81@gmail.com</t>
  </si>
  <si>
    <t>stellachaparro@hotmail.com</t>
  </si>
  <si>
    <t>kamilesicuariza@hotmail.com</t>
  </si>
  <si>
    <t>ruby_puerto@hotmail.com</t>
  </si>
  <si>
    <t>marthaver74@hotmail.com</t>
  </si>
  <si>
    <t>mhersanchez19@gmail.com</t>
  </si>
  <si>
    <t>claudiapilart20@gmail.com</t>
  </si>
  <si>
    <t>snpineda1@hotmail.com</t>
  </si>
  <si>
    <t>rociotoscanog@gmail.com</t>
  </si>
  <si>
    <t>yaneth.flechas.c@gmail.com</t>
  </si>
  <si>
    <t>angelarivera@hotmail.es</t>
  </si>
  <si>
    <t>nuryangarita.0208@gmail.com</t>
  </si>
  <si>
    <t>dianavargas2307@gmail.com</t>
  </si>
  <si>
    <t>magdayanethm@hotmail.com</t>
  </si>
  <si>
    <t>leonorrobayo315@hotmail.com</t>
  </si>
  <si>
    <t>jimeneznavarro.nayibe81@gmail.com</t>
  </si>
  <si>
    <t>myrocio75@hotmail.com</t>
  </si>
  <si>
    <t>marthasanabria@hotmail.com</t>
  </si>
  <si>
    <t>adrianaboadad@gmail.com</t>
  </si>
  <si>
    <t>olgaluciamedinac@hotmail.com</t>
  </si>
  <si>
    <t>marianellyparada@hotmail.com</t>
  </si>
  <si>
    <t>alex8a12@hotmail.com</t>
  </si>
  <si>
    <t>lydamarcela99@yahoo.es</t>
  </si>
  <si>
    <t>belssyenith@gmail.com</t>
  </si>
  <si>
    <t>nubiauyiasan@gmail.com</t>
  </si>
  <si>
    <t>gloriskayeca@hotmail.com</t>
  </si>
  <si>
    <t>gloriamireyarincongomez@gmail.com</t>
  </si>
  <si>
    <t>gloyanic@gmail.com</t>
  </si>
  <si>
    <t>luzacap@gmail.com</t>
  </si>
  <si>
    <t>isaaamg19@gmail.com</t>
  </si>
  <si>
    <t>yolanditarojascorrea@hotmail.com</t>
  </si>
  <si>
    <t>bezucole.75@gmail.com</t>
  </si>
  <si>
    <t>byolanda1974@gmail.com</t>
  </si>
  <si>
    <t>ligiasolbec@gmail.com</t>
  </si>
  <si>
    <t>myriamcardenascely@gmail.com</t>
  </si>
  <si>
    <t>myrianpuerto75@gmail.com</t>
  </si>
  <si>
    <t>nidia.patico15@gmail.com</t>
  </si>
  <si>
    <t>patiruizrima@yahoo.com</t>
  </si>
  <si>
    <t>anayaniraa@hotmail.com</t>
  </si>
  <si>
    <t>mery54403@gmail.com</t>
  </si>
  <si>
    <t>yaquivargas24@hotmail.com</t>
  </si>
  <si>
    <t>elicano46@yahoo.es</t>
  </si>
  <si>
    <t>pereztulia@gmail.com</t>
  </si>
  <si>
    <t>olgaluci018@gmail.com</t>
  </si>
  <si>
    <t>establecimiento.belengourmet@gmail.com</t>
  </si>
  <si>
    <t>erlyjohana@gmail.com</t>
  </si>
  <si>
    <t>rcelybecerra@yahoo.es</t>
  </si>
  <si>
    <t>prof.aidecaceres@gmail.com</t>
  </si>
  <si>
    <t>floristeriacalifornia@gmail.com</t>
  </si>
  <si>
    <t>blancazabalap@hotmail.com</t>
  </si>
  <si>
    <t>jannethvelandia2007@yahoo.es</t>
  </si>
  <si>
    <t>henry.pedraza38@gmail.com</t>
  </si>
  <si>
    <t>mylupigo@gmail.com</t>
  </si>
  <si>
    <t>rojasclaudia813@gmail.com</t>
  </si>
  <si>
    <t>feriasandra@hotmail.com</t>
  </si>
  <si>
    <t>olayahernan@hotmail.com</t>
  </si>
  <si>
    <t>jospinzon@uniboyaca.edu.co</t>
  </si>
  <si>
    <t>zulmanino30@hotmail.com</t>
  </si>
  <si>
    <t>jessicachirili3@gmail.com</t>
  </si>
  <si>
    <t>carolina751308@gmail.com</t>
  </si>
  <si>
    <t>angelaconsuelopineda401@gmail.com</t>
  </si>
  <si>
    <t>rosita.671@hotmail.com</t>
  </si>
  <si>
    <t>roci145126@gmail.com</t>
  </si>
  <si>
    <t>lucilasusana1974@hotmail.com</t>
  </si>
  <si>
    <t>torresshirley20@gmail.com</t>
  </si>
  <si>
    <t>krito931023@hotmail.com</t>
  </si>
  <si>
    <t>auranelsandoval@gmail.com</t>
  </si>
  <si>
    <t>francycm21@gmail.com</t>
  </si>
  <si>
    <t>silviadueñas1973@gmail.com</t>
  </si>
  <si>
    <t>sebastianrojasrincon3@gmail.com</t>
  </si>
  <si>
    <t>ZORAIDACP@hotmail.com</t>
  </si>
  <si>
    <t>anye75cri@gmail.com</t>
  </si>
  <si>
    <t>guioangela@hotmail.com</t>
  </si>
  <si>
    <t>solymar209@gmail.com</t>
  </si>
  <si>
    <t>chanacastro21@hotmail.com</t>
  </si>
  <si>
    <t>albis.bautista@gmail.com</t>
  </si>
  <si>
    <t>clacarreno09@gmail.com</t>
  </si>
  <si>
    <t>lucia.tamara.melo@gmail.com</t>
  </si>
  <si>
    <t>yolisol@gmail.com</t>
  </si>
  <si>
    <t>sandramgonv@gmail.com</t>
  </si>
  <si>
    <t>olgaluciacorrea86n@gmail.com</t>
  </si>
  <si>
    <t>blancotibaduizamagdaliliana@gmail.com</t>
  </si>
  <si>
    <t>jvelillasalcedo@gmail.com</t>
  </si>
  <si>
    <t>mariaeugeniarojas@uptc.edu.co</t>
  </si>
  <si>
    <t>luzstelalbarracin@gmail.com</t>
  </si>
  <si>
    <t>luzmaina.rivero@hotmail.com</t>
  </si>
  <si>
    <t>mcrispueblito2025@gmail.com</t>
  </si>
  <si>
    <t>zandrapako@hotmail.com</t>
  </si>
  <si>
    <t>monilili9728@gmail.com</t>
  </si>
  <si>
    <t>lainamar1@hotmail.com</t>
  </si>
  <si>
    <t>aros755@hotmail.com</t>
  </si>
  <si>
    <t>paezm4060@gmail.com</t>
  </si>
  <si>
    <t>yamilequiroga.itirr@gmail.com</t>
  </si>
  <si>
    <t>lythosfera@yahoo.com</t>
  </si>
  <si>
    <t>korotaspt@hotmail.com</t>
  </si>
  <si>
    <t>clapaflolo417@hotmail.com</t>
  </si>
  <si>
    <t>nascortaza@gmail.com</t>
  </si>
  <si>
    <t>monibibigonzalez@hotmail.com</t>
  </si>
  <si>
    <t>sosaanarosa402@gmail.com</t>
  </si>
  <si>
    <t>georgeivanalbagomez@gmail.com</t>
  </si>
  <si>
    <t>fanocamaro@yahoo.es</t>
  </si>
  <si>
    <t>alcirarincon24@hotmail.com</t>
  </si>
  <si>
    <t>cesarluisvargasalbarracin@gmail.com</t>
  </si>
  <si>
    <t>clamavelbe@hotmail.com</t>
  </si>
  <si>
    <t>maguicotamo@hotmail.com</t>
  </si>
  <si>
    <t>anamanuelavalderramapedraza@gmail.com</t>
  </si>
  <si>
    <t>marthaisabelvega@gmail.com</t>
  </si>
  <si>
    <t>sosayaneth65@gmail.com</t>
  </si>
  <si>
    <t>YENNYMARCELA1224@GMAIL.COM</t>
  </si>
  <si>
    <t>emilcecely2009@hotmail.com</t>
  </si>
  <si>
    <t>limicani@gmail.com</t>
  </si>
  <si>
    <t>mvickymodu@gmail.com</t>
  </si>
  <si>
    <t>klaudiaelena29@hotmail.com</t>
  </si>
  <si>
    <t>asoyesperanza@gmail.com</t>
  </si>
  <si>
    <t>andres12214@hotmail.com</t>
  </si>
  <si>
    <t>sandygallo2010@hotmail.com</t>
  </si>
  <si>
    <t>loschanos@hotmail.com</t>
  </si>
  <si>
    <t>graficas.5star@hotmail.com</t>
  </si>
  <si>
    <t>yolandariosdiaz@gmail.com</t>
  </si>
  <si>
    <t>nelsyesper@gmail.com</t>
  </si>
  <si>
    <t>dinoracative@gmail.com</t>
  </si>
  <si>
    <t>maryfarbielly@gmail.com</t>
  </si>
  <si>
    <t>marlettyduitama@gmail.com</t>
  </si>
  <si>
    <t>anamateusgarcia@gmail.com</t>
  </si>
  <si>
    <t>rumidaes@hotmail.com</t>
  </si>
  <si>
    <t>lidazoraidadiaz76@gmail.com</t>
  </si>
  <si>
    <t>andreajds@outlook.com</t>
  </si>
  <si>
    <t>yamilesuarez@gmail.com</t>
  </si>
  <si>
    <t>paredesemma043@gmail.com</t>
  </si>
  <si>
    <t>elirue0307@gmail.com</t>
  </si>
  <si>
    <t>luzmargeldiaz@gmail.com</t>
  </si>
  <si>
    <t>lupaty76@gmail.com</t>
  </si>
  <si>
    <t>pinzonmarta93@gmail.com</t>
  </si>
  <si>
    <t>daviusmateus2006@gmail.com</t>
  </si>
  <si>
    <t>DIANAMELGAREJOCARRENO@gmail.com</t>
  </si>
  <si>
    <t>constancetorres@hotmail.com</t>
  </si>
  <si>
    <t>vilmalu1a@hotmail.com</t>
  </si>
  <si>
    <t>claudiabaez1510@gmail.com</t>
  </si>
  <si>
    <t>haidenchaparro.hc@gmail.com</t>
  </si>
  <si>
    <t>soniarodriguezabogada17@gmail.com</t>
  </si>
  <si>
    <t>mireyamoreno0920@gmail.com</t>
  </si>
  <si>
    <t>gomezmirandalinda@gmail.com</t>
  </si>
  <si>
    <t>marcelamateus1976@gmail.com</t>
  </si>
  <si>
    <t>elizanp19@gmail.com</t>
  </si>
  <si>
    <t>rosasamalia@hotmail.com</t>
  </si>
  <si>
    <t>yolisca_15@hotmail.com</t>
  </si>
  <si>
    <t>mariaazucenarojasalvarez@gmail.com</t>
  </si>
  <si>
    <t>mercedesbarrera54@gmail.com</t>
  </si>
  <si>
    <t>gloriayazminc@yahoo.es</t>
  </si>
  <si>
    <t>clabi0307@gmail.com</t>
  </si>
  <si>
    <t>anacorrea1406@gmail.com</t>
  </si>
  <si>
    <t>nayivevargas76@gmail.com</t>
  </si>
  <si>
    <t>nydiave@gmail.com</t>
  </si>
  <si>
    <t>nancy.ochoa0517@gmail.com</t>
  </si>
  <si>
    <t>yadibonza@gmail.com</t>
  </si>
  <si>
    <t>noinformadp@gmail.com</t>
  </si>
  <si>
    <t>eliana.montana.08@gmail.com</t>
  </si>
  <si>
    <t>dprestrepoc@sena.edu.co</t>
  </si>
  <si>
    <t>madeleinzamara@gmail.com</t>
  </si>
  <si>
    <t>bhayde11@yahoo.com.co</t>
  </si>
  <si>
    <t>afam12909@gmail.com</t>
  </si>
  <si>
    <t>milena.combariza@yahoo.com</t>
  </si>
  <si>
    <t>yeimitatis23@yahoo.com</t>
  </si>
  <si>
    <t>sandra1421@gmail.com</t>
  </si>
  <si>
    <t>molanoochoaluzmyriam0777@gmail.com</t>
  </si>
  <si>
    <t>crigus76@gmail.com</t>
  </si>
  <si>
    <t>edithgarzontamayo@gmail.com</t>
  </si>
  <si>
    <t>nurymontanez@gmail.com</t>
  </si>
  <si>
    <t>yudy.romero@uptc.edu.co</t>
  </si>
  <si>
    <t>luciabonilla013@gmail.com</t>
  </si>
  <si>
    <t>carolinafeliz2000@gmail.com</t>
  </si>
  <si>
    <t>namar29@hotmail.com</t>
  </si>
  <si>
    <t>carogo@gmail.com</t>
  </si>
  <si>
    <t>ricob1603@gmail.com</t>
  </si>
  <si>
    <t>anyamivi@hotmail.com</t>
  </si>
  <si>
    <t>s10ortiz77@gmail.com</t>
  </si>
  <si>
    <t>maryrl_77@hotmail.com</t>
  </si>
  <si>
    <t>angelahernandezg1977@gmail.com</t>
  </si>
  <si>
    <t>momedinam@gmail.com</t>
  </si>
  <si>
    <t>mariaisabelv05@gmail.com</t>
  </si>
  <si>
    <t>paolafuquenduran@yahoo.es</t>
  </si>
  <si>
    <t>sebenavides@gmail.com</t>
  </si>
  <si>
    <t>capipeca@hotmail.com</t>
  </si>
  <si>
    <t>sandram_n@hotmail.com</t>
  </si>
  <si>
    <t>claudiquer77@yahoo.es</t>
  </si>
  <si>
    <t>smcuervo77@gmail.com</t>
  </si>
  <si>
    <t>spgp035@gmail.com</t>
  </si>
  <si>
    <t>c_granadosa@yahoo.com</t>
  </si>
  <si>
    <t>mlilianalara@gmail.com</t>
  </si>
  <si>
    <t>patico.s@hotmail.com</t>
  </si>
  <si>
    <t>sandraacero77@hotmail.com</t>
  </si>
  <si>
    <t>mechitascely@hotmail.com</t>
  </si>
  <si>
    <t>dorisconsuelosolanocristancho@gmail.com</t>
  </si>
  <si>
    <t>ninomateusaleyda@gmail.com</t>
  </si>
  <si>
    <t>pinturasmariace@gmail.com</t>
  </si>
  <si>
    <t>claramilenam@hotmail.com</t>
  </si>
  <si>
    <t>sandramejiaa@gmail.com</t>
  </si>
  <si>
    <t>contadoruthmaty@gmail.com</t>
  </si>
  <si>
    <t>doraelmo@hotmail.com</t>
  </si>
  <si>
    <t>gagope2000@yahoo.es</t>
  </si>
  <si>
    <t>angelitaflechas@hotmail.com</t>
  </si>
  <si>
    <t>sandraduran10@gmail.com</t>
  </si>
  <si>
    <t>ingrysusana@gmail.com</t>
  </si>
  <si>
    <t>esperanzagil77@hotmail.com</t>
  </si>
  <si>
    <t>nellytabr@gmail.com</t>
  </si>
  <si>
    <t>jejoaldi@hotmail.com</t>
  </si>
  <si>
    <t>carime152@yahoo.es</t>
  </si>
  <si>
    <t>claudiaperez5074@gmail.com</t>
  </si>
  <si>
    <t>marlen.osma@gmail.com</t>
  </si>
  <si>
    <t>zulmatobito2@gmail.com</t>
  </si>
  <si>
    <t>sandrapsalcedo@gmail.com</t>
  </si>
  <si>
    <t>amaliariveros544@gmail.com</t>
  </si>
  <si>
    <t>sandrala961216@gmail.com</t>
  </si>
  <si>
    <t>derop.31@gmail.com</t>
  </si>
  <si>
    <t>rosalvinachaparro@gmail.com</t>
  </si>
  <si>
    <t>diana_riverat@hotmail.com</t>
  </si>
  <si>
    <t>nidia8731@gmail.com</t>
  </si>
  <si>
    <t>nelly.ravelo@hotmail.com</t>
  </si>
  <si>
    <t>p.neiracar@gmail.com</t>
  </si>
  <si>
    <t>laviejamide@hotmail.com</t>
  </si>
  <si>
    <t>lmruizl16@gmail.com</t>
  </si>
  <si>
    <t>aixaestupinan51@gmail.com</t>
  </si>
  <si>
    <t>rosalbaavendano7463@gmail.com</t>
  </si>
  <si>
    <t>daryamado1977@gmail.com</t>
  </si>
  <si>
    <t>luzmaritzasuna@gmail.com</t>
  </si>
  <si>
    <t>sandratuzo@hotmail.com</t>
  </si>
  <si>
    <t>ynsgarm75@gmail.com</t>
  </si>
  <si>
    <t>arismendipatricia08@gmail.com</t>
  </si>
  <si>
    <t>sandraflechas012@gmail.com</t>
  </si>
  <si>
    <t>yannethsiza@gmail.com</t>
  </si>
  <si>
    <t>NANCYASTRID0111@GMAIL.COM</t>
  </si>
  <si>
    <t>yessikac97@gmail.com</t>
  </si>
  <si>
    <t>rochyplazas@hotmail.com</t>
  </si>
  <si>
    <t>jannethsand45@gmail.com</t>
  </si>
  <si>
    <t>sandra.simbaqueba@gmail.com</t>
  </si>
  <si>
    <t>adrisofi2008@gmail.com</t>
  </si>
  <si>
    <t>anamariapsicologia2004@hotmail.com</t>
  </si>
  <si>
    <t>julisblancatorres@gmail.com</t>
  </si>
  <si>
    <t>manosalvakarol@gmail.com</t>
  </si>
  <si>
    <t>gladysmedinarubio76@gmail.com</t>
  </si>
  <si>
    <t>melmvz13@hotmail.com</t>
  </si>
  <si>
    <t>maritzapintofacturacion@gmail.com</t>
  </si>
  <si>
    <t>sonia.4.77@hotmail.com</t>
  </si>
  <si>
    <t>anabetzabe04@gmail.com</t>
  </si>
  <si>
    <t>da_np_z@hotmail.com</t>
  </si>
  <si>
    <t>arismendy150306@gmail.com</t>
  </si>
  <si>
    <t>marthasofiacely@yahoo.com</t>
  </si>
  <si>
    <t>sierraandrea2901@gmail.com</t>
  </si>
  <si>
    <t>apomarheladeria@gmail.com</t>
  </si>
  <si>
    <t>luzval1@yahoo.es</t>
  </si>
  <si>
    <t>dianatoca9701@gmail.com</t>
  </si>
  <si>
    <t>svcruz37@hotmail.com</t>
  </si>
  <si>
    <t>jupaceti@hotmail.com</t>
  </si>
  <si>
    <t>nancyespe2018@gmail.com</t>
  </si>
  <si>
    <t>adry8920@gmail.com</t>
  </si>
  <si>
    <t>milenacaceres361@gmail.com</t>
  </si>
  <si>
    <t>mldb1803@gmail.com</t>
  </si>
  <si>
    <t>lanitaalvarado@gmail.com</t>
  </si>
  <si>
    <t>marialolita113@hotmail.com</t>
  </si>
  <si>
    <t>dironi78@gmail.com</t>
  </si>
  <si>
    <t>bautistaguerrero14@hotmail.com</t>
  </si>
  <si>
    <t>agrobochica@hotmail.com</t>
  </si>
  <si>
    <t>carvalcia13@gmail.com</t>
  </si>
  <si>
    <t>samirira@gmail.com</t>
  </si>
  <si>
    <t>ayanperz@gmail.com</t>
  </si>
  <si>
    <t>emilseleomarquez@hotmail.com</t>
  </si>
  <si>
    <t>rumarodriguez78@gmail.com</t>
  </si>
  <si>
    <t>blancalizarazo1@gmail.com</t>
  </si>
  <si>
    <t>zulma2ml@hotmail.com</t>
  </si>
  <si>
    <t>yessan21@outlook.com</t>
  </si>
  <si>
    <t>jovandiaz@hotmail.com</t>
  </si>
  <si>
    <t>ingenieraangelita46674353@gmail.com</t>
  </si>
  <si>
    <t>anggiemesa@gmail.com</t>
  </si>
  <si>
    <t>celyjudy@gmail.com</t>
  </si>
  <si>
    <t>soedbetri@gmail.com</t>
  </si>
  <si>
    <t>Avellanedalida@gmail.com</t>
  </si>
  <si>
    <t>facturacionhuerta17@gmail.com</t>
  </si>
  <si>
    <t>vanigomesa78@gmail.com</t>
  </si>
  <si>
    <t>asecontamilena@gmail.com</t>
  </si>
  <si>
    <t>zaidaximena.rinc@gmail.com</t>
  </si>
  <si>
    <t>nubisarchila@gmail.com</t>
  </si>
  <si>
    <t>najuda.12@hotmail.com</t>
  </si>
  <si>
    <t>angelaolartemorales@gmail.com</t>
  </si>
  <si>
    <t>santisalex@hotmail.com</t>
  </si>
  <si>
    <t>elia.carvajal@yahoo.es</t>
  </si>
  <si>
    <t>sayagan1327@hotmail.com</t>
  </si>
  <si>
    <t>fabiolapuerto@hotmail.com</t>
  </si>
  <si>
    <t>mari_flaquis@hotmail.com</t>
  </si>
  <si>
    <t>mdiazcely@gmail.com</t>
  </si>
  <si>
    <t>caryta35@hotmail.com</t>
  </si>
  <si>
    <t>jhcahebl@gmail.com</t>
  </si>
  <si>
    <t>gerencia.oilcompany@gmail.com</t>
  </si>
  <si>
    <t>rosacorredor128@gmail.com</t>
  </si>
  <si>
    <t>zibp_78@hotmail.com</t>
  </si>
  <si>
    <t>norap442@gmail.com</t>
  </si>
  <si>
    <t>monadjalexa95@outlook.com</t>
  </si>
  <si>
    <t>luyaparo@hotmail.com</t>
  </si>
  <si>
    <t>omairacarrillo913@gmail.com</t>
  </si>
  <si>
    <t>fannypico@gmail.com</t>
  </si>
  <si>
    <t>neyluzv13@gmail.com</t>
  </si>
  <si>
    <t>esmeralda289@hotmail.com</t>
  </si>
  <si>
    <t>vmpacheco2307@gmail.com</t>
  </si>
  <si>
    <t>maglary558@hotmail.com</t>
  </si>
  <si>
    <t>anasofiavera2018@gmail.com</t>
  </si>
  <si>
    <t>myla39_78@hotmail.com</t>
  </si>
  <si>
    <t>domaroar2014@gmail.com</t>
  </si>
  <si>
    <t>adricorpe78@gmail.com</t>
  </si>
  <si>
    <t>alejandronomezque@hotmail.com</t>
  </si>
  <si>
    <t>yrojas82@hotmail.com</t>
  </si>
  <si>
    <t>clapaovro@yahoo.com</t>
  </si>
  <si>
    <t>electrcosimperial@yahoo.com.co</t>
  </si>
  <si>
    <t>milenadu1978@gmail.com</t>
  </si>
  <si>
    <t>aguacero927@gmail.com</t>
  </si>
  <si>
    <t>nydialuagudelo@gmail.com</t>
  </si>
  <si>
    <t>solmaro2014@gmail.com</t>
  </si>
  <si>
    <t>carolvivianaf@gmail.com</t>
  </si>
  <si>
    <t>angemar@outlook.com</t>
  </si>
  <si>
    <t>luchis0994@gmail.com</t>
  </si>
  <si>
    <t>elohim77patty@outlom.com</t>
  </si>
  <si>
    <t>lilianapinedamar@gmail.com</t>
  </si>
  <si>
    <t>neidaximenas@gmail.com</t>
  </si>
  <si>
    <t>jhonedyfonsecaperez@gmail.com</t>
  </si>
  <si>
    <t>finserautos@gmail.com</t>
  </si>
  <si>
    <t>repuchasumerced@hotmail.com</t>
  </si>
  <si>
    <t>bolivaresperanza62@gmail.com</t>
  </si>
  <si>
    <t>jcpamplonat@sena.edu.com</t>
  </si>
  <si>
    <t>nancyandream@gmail.com</t>
  </si>
  <si>
    <t>criscam091977@gmail.com</t>
  </si>
  <si>
    <t>leydypv67@gmail.com</t>
  </si>
  <si>
    <t>penadglads3@gmail.com</t>
  </si>
  <si>
    <t>enithyadira@yahoo.es</t>
  </si>
  <si>
    <t>ostosbrijaldoclaraedith@gmail.com</t>
  </si>
  <si>
    <t>edimoar78@hotmail.com</t>
  </si>
  <si>
    <t>lidarous@yahoo.es</t>
  </si>
  <si>
    <t>mariel.pla@gmail.com</t>
  </si>
  <si>
    <t>sayavala@hotmail.com</t>
  </si>
  <si>
    <t>emithc3@yahoo.es</t>
  </si>
  <si>
    <t>annysosabenavides@gmail.com</t>
  </si>
  <si>
    <t>nidiajaimes79@gmail.com</t>
  </si>
  <si>
    <t>zandylopez2012@hotmail.com</t>
  </si>
  <si>
    <t>nidiacrisgarzon@yahoo.es</t>
  </si>
  <si>
    <t>profemctc@gmail.com</t>
  </si>
  <si>
    <t>marthal.agudelo@fiscalia.gov.co</t>
  </si>
  <si>
    <t>nellyarp@hotmail.com</t>
  </si>
  <si>
    <t>sandramilenaaceronino@gmail.com</t>
  </si>
  <si>
    <t>claudia.rojas03@uptc.edu.co</t>
  </si>
  <si>
    <t>mczf16@outlook.co</t>
  </si>
  <si>
    <t>claudiafaromarino@hotmail.com</t>
  </si>
  <si>
    <t>gloxirb16@hotmail.com</t>
  </si>
  <si>
    <t>cpyadiradiazs@gmail.com</t>
  </si>
  <si>
    <t>caromedina28@gmail.com</t>
  </si>
  <si>
    <t>velandiaortizadrianacarolina@gmail.com</t>
  </si>
  <si>
    <t>jhepag@gmail.com</t>
  </si>
  <si>
    <t>luzdaryhernandezpedraza@gmail.com</t>
  </si>
  <si>
    <t>saraleandro1820@gmail.com</t>
  </si>
  <si>
    <t>adrianachaparro39@gmail.com</t>
  </si>
  <si>
    <t>ochoabenitezm1@gmail.com</t>
  </si>
  <si>
    <t>dorisdiaz83@gmail.com</t>
  </si>
  <si>
    <t>sojumipatarroyo@gmail.com</t>
  </si>
  <si>
    <t>aferbapi@hotmail.com</t>
  </si>
  <si>
    <t>dfonseca2673@gmail.com</t>
  </si>
  <si>
    <t>audsandrahy@gmail.com</t>
  </si>
  <si>
    <t>nelma1974@hotmail.com</t>
  </si>
  <si>
    <t>islenaabril@gmail.com</t>
  </si>
  <si>
    <t>romeroslore@gmail.com</t>
  </si>
  <si>
    <t>evillero@sena.edu.co</t>
  </si>
  <si>
    <t>edithvargas2209@gmail.com</t>
  </si>
  <si>
    <t>brigida_perez@hotmail.com</t>
  </si>
  <si>
    <t>inesmao@gmail.com</t>
  </si>
  <si>
    <t>maria.rincon332@casur.gov.co</t>
  </si>
  <si>
    <t>maelizalbaco@hotmail.com</t>
  </si>
  <si>
    <t>eliznu268@gmail.com</t>
  </si>
  <si>
    <t>gomezamanda634@gmail.com</t>
  </si>
  <si>
    <t>mariarogon@hotmail.com</t>
  </si>
  <si>
    <t>yolibc59@hotmail.com</t>
  </si>
  <si>
    <t>mariagiraldo.13f@gmail.com</t>
  </si>
  <si>
    <t>consultorio6067@gmail.com</t>
  </si>
  <si>
    <t>emmoro17@yahoo.com</t>
  </si>
  <si>
    <t>fernanda.oa82@gmail.com</t>
  </si>
  <si>
    <t>marca_2_8@gmail.com</t>
  </si>
  <si>
    <t>monik-245@hotmail.com</t>
  </si>
  <si>
    <t>alexanderlopezb@hotmail.com</t>
  </si>
  <si>
    <t>wanmij24@hotmail.com</t>
  </si>
  <si>
    <t>nubiacarrilo16@gmail.com</t>
  </si>
  <si>
    <t>esperanza.arevalo@hotmail.es</t>
  </si>
  <si>
    <t>becoro16@gmail.com</t>
  </si>
  <si>
    <t>patyrojas5@hotmail.com</t>
  </si>
  <si>
    <t>AIPONGUTTAS@gmail.com</t>
  </si>
  <si>
    <t>anadorelly12@gmail.com</t>
  </si>
  <si>
    <t>marcaja146@hotmail.com</t>
  </si>
  <si>
    <t>clesbrisi@gmail.com</t>
  </si>
  <si>
    <t>luzmar243@yahoo.es</t>
  </si>
  <si>
    <t>risabelra@gmail.com</t>
  </si>
  <si>
    <t>simonprietosilva@gmail.com</t>
  </si>
  <si>
    <t>summerli134@hotmail.com</t>
  </si>
  <si>
    <t>madelfa94@gmail.com</t>
  </si>
  <si>
    <t>vivibena3@gmail.com</t>
  </si>
  <si>
    <t>blara1234@hotmail.com</t>
  </si>
  <si>
    <t>elbamendez25@hotmail.com</t>
  </si>
  <si>
    <t>cely98.perez@gmail.com</t>
  </si>
  <si>
    <t>romerovitalia@gmail.com</t>
  </si>
  <si>
    <t>ofeliagr1627@gmail.com</t>
  </si>
  <si>
    <t>yolandaacosta0032@gmail.com</t>
  </si>
  <si>
    <t>personalaltimax@gmail.com</t>
  </si>
  <si>
    <t>lidyaru@hotmail.com</t>
  </si>
  <si>
    <t>blinaresbolivar@gmail.com</t>
  </si>
  <si>
    <t>ANAIBETH18@gmail.com</t>
  </si>
  <si>
    <t>amaliabema@yahoo.com</t>
  </si>
  <si>
    <t>luzmary.50@hotmail.com</t>
  </si>
  <si>
    <t>anaceripe@gmail.com</t>
  </si>
  <si>
    <t>mariu0206@hotmail.com</t>
  </si>
  <si>
    <t>patriciaescndon@yahoo.com</t>
  </si>
  <si>
    <t>kla.cico@hotmail.com</t>
  </si>
  <si>
    <t>sanproasuservicio@hotmail.com</t>
  </si>
  <si>
    <t>omaicard@hotmail.com</t>
  </si>
  <si>
    <t>francylmary@hotmail.com</t>
  </si>
  <si>
    <t>cmariela759@gmail.com</t>
  </si>
  <si>
    <t>anedga24@hotmail.com</t>
  </si>
  <si>
    <t>r.lizarazoz@gmail.com</t>
  </si>
  <si>
    <t>edihortiz6624@gmail.com</t>
  </si>
  <si>
    <t>martha.tiriah@gmail.com</t>
  </si>
  <si>
    <t>mrubuianom@hotmail.com</t>
  </si>
  <si>
    <t>normamarino1@hotmail.com</t>
  </si>
  <si>
    <t>vaccaquinterom@gmail.com</t>
  </si>
  <si>
    <t>marcecija@gmail.com</t>
  </si>
  <si>
    <t>manoaparque@gmail.com</t>
  </si>
  <si>
    <t>CLEMEN_PEREZ2025@OUTLOOK.COM</t>
  </si>
  <si>
    <t>luegomezpa@unal.edu.co</t>
  </si>
  <si>
    <t>falmocid@gmail.com</t>
  </si>
  <si>
    <t>argenisrogo@gmail.com</t>
  </si>
  <si>
    <t>dianabu_11@hotmail.com</t>
  </si>
  <si>
    <t>ninogonzalesluzmarina@gmail.com</t>
  </si>
  <si>
    <t>patriciagranad@gmail.com</t>
  </si>
  <si>
    <t>ncristinarodriguezc@gmail.com</t>
  </si>
  <si>
    <t>cielocetina@hotmail.com</t>
  </si>
  <si>
    <t>anaiscmargo123@gmail.com</t>
  </si>
  <si>
    <t>tatilandinez@hotmail.com</t>
  </si>
  <si>
    <t>quiropae@yahoo.es</t>
  </si>
  <si>
    <t>soncrist2009@hotmail.com</t>
  </si>
  <si>
    <t>hedybed2@yahoo.es</t>
  </si>
  <si>
    <t>ibonneya@gmail.com</t>
  </si>
  <si>
    <t>nelsyproyectos@gmail.com</t>
  </si>
  <si>
    <t>jannethpaez_06@hotmail.com</t>
  </si>
  <si>
    <t>esteticacoe@gmail.com</t>
  </si>
  <si>
    <t>gladisangaita@gmail.com</t>
  </si>
  <si>
    <t>blancadoris1@yahoo.com</t>
  </si>
  <si>
    <t>lorenatrodriguez28@gmail.com</t>
  </si>
  <si>
    <t>cleliapatricia2009@gmail.com</t>
  </si>
  <si>
    <t>jehinsontorres@gmail.com</t>
  </si>
  <si>
    <t>evecabu@yahoo.com</t>
  </si>
  <si>
    <t>margaridie@gmail.com</t>
  </si>
  <si>
    <t>olgacanoagredo64@hotmail.com</t>
  </si>
  <si>
    <t>ayde09@hotmail.com</t>
  </si>
  <si>
    <t>dannasofireyes@gmail.com</t>
  </si>
  <si>
    <t>olgalupintoj@hotmail.com</t>
  </si>
  <si>
    <t>miangeldelcielo10@gmail.com</t>
  </si>
  <si>
    <t>marthamejiaguevara@gmail.com</t>
  </si>
  <si>
    <t>smgb007@hotmail.com</t>
  </si>
  <si>
    <t>gladysl.torresb@gmail.com</t>
  </si>
  <si>
    <t>marki74@yahoo.com</t>
  </si>
  <si>
    <t>mariacristinacr@hotmail.com</t>
  </si>
  <si>
    <t>mariahortenciaperezgonzales@gmail.com</t>
  </si>
  <si>
    <t>inetesugui23@gmail.com</t>
  </si>
  <si>
    <t>angiedaesmartinez@gmail.com</t>
  </si>
  <si>
    <t>ruby_elisa@yahoo.com</t>
  </si>
  <si>
    <t>mapyco75@hotmail.com</t>
  </si>
  <si>
    <t>paolag.opt@gmail.com</t>
  </si>
  <si>
    <t>mayerlypuentes@gmail.com</t>
  </si>
  <si>
    <t>oladis.b.h@gmail.com</t>
  </si>
  <si>
    <t>maryruthri18@gmail.com</t>
  </si>
  <si>
    <t>mireyitaru@hotmail.com</t>
  </si>
  <si>
    <t>pilindamujer@hotmail.com</t>
  </si>
  <si>
    <t>elsae.mr77@gmail.com</t>
  </si>
  <si>
    <t>marceruizba@yahoo.com</t>
  </si>
  <si>
    <t>aydecarvajal@hotmail.com</t>
  </si>
  <si>
    <t>albertogonz967@gmail.com</t>
  </si>
  <si>
    <t>DAMARISGONZALEZ.V@gmail.com</t>
  </si>
  <si>
    <t>mariaobduliarodriguez2021@gmail.com</t>
  </si>
  <si>
    <t>paticarr@hotmail.com</t>
  </si>
  <si>
    <t>marmagalvis061@gmail.com</t>
  </si>
  <si>
    <t>claudia.cristancho@correo.policia.gov.co</t>
  </si>
  <si>
    <t>vanecerinza5237@gmail.com</t>
  </si>
  <si>
    <t>marthasilv05@gmail.com</t>
  </si>
  <si>
    <t>ftcarvy@gmail.com</t>
  </si>
  <si>
    <t>maryluz_356@hotmail.com</t>
  </si>
  <si>
    <t>elizeth86@gmail.com</t>
  </si>
  <si>
    <t>liliamarlen1277@gmail.com</t>
  </si>
  <si>
    <t>milemayadira.verdugo08@gmail.com</t>
  </si>
  <si>
    <t>dianam1916@hotmail.com</t>
  </si>
  <si>
    <t>nelly.icbf@gmail.com</t>
  </si>
  <si>
    <t>luzgarzonpi@gmail.com</t>
  </si>
  <si>
    <t>yamile.unidos.jerico@gmail.com</t>
  </si>
  <si>
    <t>sincorrreo@gmail.com</t>
  </si>
  <si>
    <t>tatiana.cerro@gmail.com</t>
  </si>
  <si>
    <t>andrea.albarracin01@hotmail.com</t>
  </si>
  <si>
    <t>mapapugui@hotmail.com</t>
  </si>
  <si>
    <t>asesoraexterna@hotmail.com</t>
  </si>
  <si>
    <t>magdasilvasandoval@gmail.com</t>
  </si>
  <si>
    <t>adrimartind@gmail.com</t>
  </si>
  <si>
    <t>nyadirarg@hotmail.com</t>
  </si>
  <si>
    <t>alexandraxi@gmail.com</t>
  </si>
  <si>
    <t>27natasalamanca@gmail.com</t>
  </si>
  <si>
    <t>moralejacoach@gmail.com</t>
  </si>
  <si>
    <t>gacha.andrea@gmail.com</t>
  </si>
  <si>
    <t>nectys@gmail.com</t>
  </si>
  <si>
    <t>nelsybenitez06@gmail.com</t>
  </si>
  <si>
    <t>cons28@gmail.com</t>
  </si>
  <si>
    <t>EPOLOG@CENDOJ.RAMAJUDICIAL.GOV.CO</t>
  </si>
  <si>
    <t>perezmonicamaria708@gmail.com</t>
  </si>
  <si>
    <t>30esperanza@gmail.com</t>
  </si>
  <si>
    <t>nanccy3199@gmail.com</t>
  </si>
  <si>
    <t>floar26@hotmail.com</t>
  </si>
  <si>
    <t>indiraperezvega@hotmail.com</t>
  </si>
  <si>
    <t>camilaalvarezmedina@gmail.com</t>
  </si>
  <si>
    <t>jumirava77@gmail.com</t>
  </si>
  <si>
    <t>nelsycubides17@gmail.com</t>
  </si>
  <si>
    <t>julisavila1977@hotmail.com</t>
  </si>
  <si>
    <t>mabell_23vbo@hotmail.com</t>
  </si>
  <si>
    <t>adrianasanchezlemus@hotmail.com</t>
  </si>
  <si>
    <t>almacenanghelo@hotmail.com</t>
  </si>
  <si>
    <t>brigitty4@hotmail.com</t>
  </si>
  <si>
    <t>lizeth_real@hotmail.com</t>
  </si>
  <si>
    <t>alcirarojas1995@gmail.com</t>
  </si>
  <si>
    <t>muebles.mabel@gmail.com</t>
  </si>
  <si>
    <t>marieta.contadora@gmail.com</t>
  </si>
  <si>
    <t>carolinaridriguez1902@gmail.com</t>
  </si>
  <si>
    <t>helena_montejor@hotmail.com</t>
  </si>
  <si>
    <t>nubisa1974@gmail.com</t>
  </si>
  <si>
    <t>sthellar2016@gmail.com</t>
  </si>
  <si>
    <t>refrigeracionylavadorasnico@gmail.com</t>
  </si>
  <si>
    <t>nancyamezquita4@gmail.com</t>
  </si>
  <si>
    <t>ing.marthapgm.rh199@gmail.com</t>
  </si>
  <si>
    <t>l.ximena0113@gmail.com</t>
  </si>
  <si>
    <t>florezjenny3325@gmail.com</t>
  </si>
  <si>
    <t>yennyacero19@gmail.com</t>
  </si>
  <si>
    <t>marcelita282@hotmail.com</t>
  </si>
  <si>
    <t>yegridube@gmail.com</t>
  </si>
  <si>
    <t>yessydappi79@hotmail.com</t>
  </si>
  <si>
    <t>lilil20@gmail.com</t>
  </si>
  <si>
    <t>astridsita_1307@hotmail.com</t>
  </si>
  <si>
    <t>zuly345@hotmail.com</t>
  </si>
  <si>
    <t>andreacarolina.rubiano@hotmail.com</t>
  </si>
  <si>
    <t>t.atys@hotmail.es</t>
  </si>
  <si>
    <t>claudiamendivelsomalambo@gmail.com</t>
  </si>
  <si>
    <t>chorromarta@gmail.com</t>
  </si>
  <si>
    <t>pasianledor@hotmail.com</t>
  </si>
  <si>
    <t>mariaga0603@gmail.com</t>
  </si>
  <si>
    <t>jackelinemoros@gmail.com</t>
  </si>
  <si>
    <t>lmcantor@gmail.com</t>
  </si>
  <si>
    <t>luzmaribel.23@hotmail.com</t>
  </si>
  <si>
    <t>laurabarrera80@yahoo.es</t>
  </si>
  <si>
    <t>feragro_2005@yahoo.com</t>
  </si>
  <si>
    <t>garcezbetty@gmail.com</t>
  </si>
  <si>
    <t>lumorita@gmail.com</t>
  </si>
  <si>
    <t>molicafi@gmail.com</t>
  </si>
  <si>
    <t>deisytenjo2882@gmail.com</t>
  </si>
  <si>
    <t>dicacrazy@hotmail.com</t>
  </si>
  <si>
    <t>angelpst@gmail.com</t>
  </si>
  <si>
    <t>luzmitim@hotmail.com</t>
  </si>
  <si>
    <t>mireyaangarita2020@gmail.com</t>
  </si>
  <si>
    <t>yactaybr2004@gmail.com</t>
  </si>
  <si>
    <t>montoyayaneth@gmail.com</t>
  </si>
  <si>
    <t>saidis2004@hotmail.com</t>
  </si>
  <si>
    <t>carolinacastelblanco@hotmail.com</t>
  </si>
  <si>
    <t>ladyhseqava@gmail.com</t>
  </si>
  <si>
    <t>cardenas.patricia24@hotmail.com</t>
  </si>
  <si>
    <t>linapaola147@gmail.com</t>
  </si>
  <si>
    <t>JENNY.PA@hotmail.com</t>
  </si>
  <si>
    <t>sorannycar@gmail.com</t>
  </si>
  <si>
    <t>CATTA_25@hotmail.com</t>
  </si>
  <si>
    <t>lssb5508@hotmail.com</t>
  </si>
  <si>
    <t>liramado@gmail.com</t>
  </si>
  <si>
    <t>malkairinabarreradiaz@gmail.com</t>
  </si>
  <si>
    <t>ailiormo@hotmail.com</t>
  </si>
  <si>
    <t>luzhmendozac@misena.edu.co</t>
  </si>
  <si>
    <t>ESTHERBEATRIZ1825@gmail.com</t>
  </si>
  <si>
    <t>smas3008@gmail.com</t>
  </si>
  <si>
    <t>jovis3022@hotmail.com</t>
  </si>
  <si>
    <t>martinezyaned04@gmail.com</t>
  </si>
  <si>
    <t>marianarecalder@hotmail.com</t>
  </si>
  <si>
    <t>mayisdavis@gmail.com</t>
  </si>
  <si>
    <t>mona03thomas@gmail.com</t>
  </si>
  <si>
    <t>rocivar83@hotmail.com</t>
  </si>
  <si>
    <t>claudiamarcelalozano32@gmail.com</t>
  </si>
  <si>
    <t>cristell8519@hotmail.com</t>
  </si>
  <si>
    <t>merkagina@gmail.com</t>
  </si>
  <si>
    <t>elimayl.2403@gmail.com</t>
  </si>
  <si>
    <t>vivianareyeslara@gmail.com</t>
  </si>
  <si>
    <t>monitag11@hotmail.com</t>
  </si>
  <si>
    <t>yeromes@gmail.com</t>
  </si>
  <si>
    <t>nellymarcela69@gmail.com</t>
  </si>
  <si>
    <t>labinegu@hotmail.com</t>
  </si>
  <si>
    <t>lorenrey28@gmail.com</t>
  </si>
  <si>
    <t>matiaschaparro189@gmail.com</t>
  </si>
  <si>
    <t>johanaguio22@hotmail.com</t>
  </si>
  <si>
    <t>dplr08@yahoo.com</t>
  </si>
  <si>
    <t>salcedorojasadriana@gmail.com</t>
  </si>
  <si>
    <t>tatianaarismendy@hotmail.com</t>
  </si>
  <si>
    <t>yeya2086@hotmail.com</t>
  </si>
  <si>
    <t>dpvasquezc@gmail.com</t>
  </si>
  <si>
    <t>jacquie.diaz@gmail.com</t>
  </si>
  <si>
    <t>angelapatriciamejis@gmail.com</t>
  </si>
  <si>
    <t>dkecifus@gmail.com</t>
  </si>
  <si>
    <t>neisa.liliana@gmail.com</t>
  </si>
  <si>
    <t>vivianaestupinan@gmail.com</t>
  </si>
  <si>
    <t>jullybaezcabra@gmail.com</t>
  </si>
  <si>
    <t>patriciagaviria888@gmail.com</t>
  </si>
  <si>
    <t>candyveracabra@gmail.com</t>
  </si>
  <si>
    <t>accampos@uniboyaca.edu.co</t>
  </si>
  <si>
    <t>marthlilisotomayor@hotmail.com</t>
  </si>
  <si>
    <t>marcegonzalez62@hotmail.com</t>
  </si>
  <si>
    <t>Natis1985d@gmail.com</t>
  </si>
  <si>
    <t>elizabethc160531@gmail.com</t>
  </si>
  <si>
    <t>sandralilianapolanco@gmail.com</t>
  </si>
  <si>
    <t>yanidlys@hotmail.com</t>
  </si>
  <si>
    <t>ednaesmeraldagonzalezhernandez@gmail.com</t>
  </si>
  <si>
    <t>marinelapolania@gmail.com</t>
  </si>
  <si>
    <t>lilianatera316@gmail.com</t>
  </si>
  <si>
    <t>monicamontenegro@yahoo.com</t>
  </si>
  <si>
    <t>rudaraca@hotmail.com</t>
  </si>
  <si>
    <t>geraldinevillamizardiaz@gmail.com</t>
  </si>
  <si>
    <t>maty1005fer@gmail.com</t>
  </si>
  <si>
    <t>kellyrodriguez1182@gmail.com</t>
  </si>
  <si>
    <t>marianelaaraqueg@gmail.com</t>
  </si>
  <si>
    <t>almacen.vesubio@gmail.com</t>
  </si>
  <si>
    <t>luzmaryperdomo66@gmail.com</t>
  </si>
  <si>
    <t>corredorcecilia@gmail.com</t>
  </si>
  <si>
    <t>sicocastro70@gmail.com</t>
  </si>
  <si>
    <t>marianoriega0411@gmail.com</t>
  </si>
  <si>
    <t>melvis816@hotmail.com</t>
  </si>
  <si>
    <t>leylamariacote@gmail.com</t>
  </si>
  <si>
    <t>Inversionesgonzalez03@gmail.com</t>
  </si>
  <si>
    <t>suli.426@hotmail.com</t>
  </si>
  <si>
    <t>luzdarygonzalez1120@hotmail.com</t>
  </si>
  <si>
    <t>gutierrezpaezb@gmail.com</t>
  </si>
  <si>
    <t>valeropaola972@gmail.com</t>
  </si>
  <si>
    <t>servicioscontablespremiumplus@gmail.com</t>
  </si>
  <si>
    <t>glorialopezprada@hotmail.com</t>
  </si>
  <si>
    <t>anitarodriguezigua@gmail.com</t>
  </si>
  <si>
    <t>elicivarcely@gmail.com</t>
  </si>
  <si>
    <t>jpb3482@gmail.com</t>
  </si>
  <si>
    <t>milena_270286@hotmail.com</t>
  </si>
  <si>
    <t>lumylav@hotmail.com</t>
  </si>
  <si>
    <t>claudiacetina@yahoo.com</t>
  </si>
  <si>
    <t>solmar19@yahoo.es</t>
  </si>
  <si>
    <t>edithcita123@hotmail.com</t>
  </si>
  <si>
    <t>esperanzaaponte6587@gmail.com</t>
  </si>
  <si>
    <t>rosjey@hotmail.com</t>
  </si>
  <si>
    <t>yaneth22caceres@hotmail.com</t>
  </si>
  <si>
    <t>nohoragomez2201@gmail.com</t>
  </si>
  <si>
    <t>claxiso13@gmail.com</t>
  </si>
  <si>
    <t>allubesu@gmail.com</t>
  </si>
  <si>
    <t>guia.fe@hotmail.com</t>
  </si>
  <si>
    <t>marisoljaimes279@gmail.com</t>
  </si>
  <si>
    <t>juliequirogarivas@gmail.com</t>
  </si>
  <si>
    <t>florsanchez64@hotmail.com</t>
  </si>
  <si>
    <t>yecasta@yahoo.es</t>
  </si>
  <si>
    <t>rossmerypuentes220@gmail.com</t>
  </si>
  <si>
    <t>jennsramirez1976@hotmail.com</t>
  </si>
  <si>
    <t>lucyleon07@hotmail.com</t>
  </si>
  <si>
    <t>samipela76@hotmail.com</t>
  </si>
  <si>
    <t>paolitagalvis83@yahoo.com</t>
  </si>
  <si>
    <t>derechopersonalabogada@gmail.com</t>
  </si>
  <si>
    <t>paulatrianae@gmail.com</t>
  </si>
  <si>
    <t>lizethsolares4@gmail.com</t>
  </si>
  <si>
    <t>arleydi.rios@outlook.es</t>
  </si>
  <si>
    <t>eamayamejia@gmail.com</t>
  </si>
  <si>
    <t>elenarojas03@hotmail.com</t>
  </si>
  <si>
    <t>pilys124@hotmail.com</t>
  </si>
  <si>
    <t>pinedaadriana056@gmail.com</t>
  </si>
  <si>
    <t>luzmaka21@gmail.com</t>
  </si>
  <si>
    <t>marthis7423@hotmail.com</t>
  </si>
  <si>
    <t>pativifra03@gmail.com</t>
  </si>
  <si>
    <t>mariae.boni97@hotmail.com</t>
  </si>
  <si>
    <t>miryanicadavid72@gmail.com</t>
  </si>
  <si>
    <t>sandrarojas02@hotmail.com</t>
  </si>
  <si>
    <t>vjmonroy@hotmail.com</t>
  </si>
  <si>
    <t>sandritaruge18@gmail.com</t>
  </si>
  <si>
    <t>s_arenas2008@hotmail.com</t>
  </si>
  <si>
    <t>NOINFORMADO@hotmail.com</t>
  </si>
  <si>
    <t>luzma8010@gmail.com</t>
  </si>
  <si>
    <t>myrianmunoz533@gmail.com</t>
  </si>
  <si>
    <t>fabiovd0107@gmail.com</t>
  </si>
  <si>
    <t>ulaliasanchez@hotmail.com</t>
  </si>
  <si>
    <t>pereznidia833@gmail.com</t>
  </si>
  <si>
    <t>chapidandrea22@gmail.com</t>
  </si>
  <si>
    <t>gilbercabra12@hotmail.com</t>
  </si>
  <si>
    <t>henrialonso123@gmail.com</t>
  </si>
  <si>
    <t>octafor85@gmail.com</t>
  </si>
  <si>
    <t>luisedgar575@gmail.com</t>
  </si>
  <si>
    <t>carlosegiraldog@gmail.com</t>
  </si>
  <si>
    <t>hugo.jurado@outlook.com</t>
  </si>
  <si>
    <t>aparugi@hotmail.com</t>
  </si>
  <si>
    <t>faleo2810@gmail.com</t>
  </si>
  <si>
    <t>alexbarriosalmanza@gmail.com</t>
  </si>
  <si>
    <t>chuchorcl123@hotmail.com</t>
  </si>
  <si>
    <t>heinz5634@hotmail.com</t>
  </si>
  <si>
    <t>oskar_torres@yahoo.com</t>
  </si>
  <si>
    <t>willybecerra.s@gmail.com</t>
  </si>
  <si>
    <t>fidelromerotoledo@gmail.com</t>
  </si>
  <si>
    <t>alfredodaccarett@hotmail.com</t>
  </si>
  <si>
    <t>ediolza@hotmail.com</t>
  </si>
  <si>
    <t>luchoeduarrodri@hotmail.com</t>
  </si>
  <si>
    <t>davidjimenezmesa@gmail.com</t>
  </si>
  <si>
    <t>1935alitasjusticia@gmail.com</t>
  </si>
  <si>
    <t>drbarrios2@gmail.com</t>
  </si>
  <si>
    <t>rinconjorge850@gmail.com</t>
  </si>
  <si>
    <t>luchogarciak9@gmail.com</t>
  </si>
  <si>
    <t>josecetina1981@hotmail.com</t>
  </si>
  <si>
    <t>in-gelecvargas@hotmail.com</t>
  </si>
  <si>
    <t>john.arciniegas@correo.policia.gov.co</t>
  </si>
  <si>
    <t>sami85pj@hotmail.com</t>
  </si>
  <si>
    <t>alarconsthiff@gmail.com</t>
  </si>
  <si>
    <t>castellpatricia88@gmail.com</t>
  </si>
  <si>
    <t>karcherojas@hotmail.com</t>
  </si>
  <si>
    <t>distribuidorasanvalu@gmail.com</t>
  </si>
  <si>
    <t>diegoferadame1@gmail.com</t>
  </si>
  <si>
    <t>victorjuliogodoy@hotmail.com</t>
  </si>
  <si>
    <t>millercardenas60@gmail.com</t>
  </si>
  <si>
    <t>omararevalo553@gmail.com</t>
  </si>
  <si>
    <t>porrazomarwilliam58@gmail.com</t>
  </si>
  <si>
    <t>gabrielayala1583@hotmail.com</t>
  </si>
  <si>
    <t>gonzalomillan352@gmail.com</t>
  </si>
  <si>
    <t>oswaldoandresguio@hotmail.com</t>
  </si>
  <si>
    <t>kanabravaorquesta@gmail.com</t>
  </si>
  <si>
    <t>cabaro25@gmail.com</t>
  </si>
  <si>
    <t>pterlopez3183@gmail.com</t>
  </si>
  <si>
    <t>josejaimegilr84@gmail.com</t>
  </si>
  <si>
    <t>oscardini2014@gmail.com</t>
  </si>
  <si>
    <t>diegoarmando.barinas@gmail.com</t>
  </si>
  <si>
    <t>andreslopez02062011@yahoo.es</t>
  </si>
  <si>
    <t>oscarpedraza1985@outlook.com</t>
  </si>
  <si>
    <t>chass984@gmail.com</t>
  </si>
  <si>
    <t>favioe56@hotmail.com</t>
  </si>
  <si>
    <t>guiovaniardila16@gmail.com</t>
  </si>
  <si>
    <t>r.alejohol@gmail.com</t>
  </si>
  <si>
    <t>rodrizeag1984@gmail.com</t>
  </si>
  <si>
    <t>johnlopezroa1984@gmail.com</t>
  </si>
  <si>
    <t>diegoc1129@gmail.com</t>
  </si>
  <si>
    <t>df-84@hotmail.com</t>
  </si>
  <si>
    <t>alexander74084@hotmail.com</t>
  </si>
  <si>
    <t>oscarjrm@hotmail.es</t>
  </si>
  <si>
    <t>maoarevalo.1057@gmail.com</t>
  </si>
  <si>
    <t>viviyin704@gmail.com</t>
  </si>
  <si>
    <t>ASDRUBAL1985@hotmail.com</t>
  </si>
  <si>
    <t>rfhb85@hotmail.com</t>
  </si>
  <si>
    <t>OMARGPM1@gmail.com</t>
  </si>
  <si>
    <t>arq.jhonpulido@gmail.com</t>
  </si>
  <si>
    <t>bolivarjulio543@gmail.com</t>
  </si>
  <si>
    <t>wilian.pava@hotmail.com</t>
  </si>
  <si>
    <t>yebradd@hotmail.com</t>
  </si>
  <si>
    <t>jameslkn527@gmail.com</t>
  </si>
  <si>
    <t>linamoreno22@hotmail.com</t>
  </si>
  <si>
    <t>njrodriguezb@outlook.com</t>
  </si>
  <si>
    <t>diegoladsol@gmail.com</t>
  </si>
  <si>
    <t>corespad@yahoo.com</t>
  </si>
  <si>
    <t>puertopalaciosluisgabriel@gmail.com</t>
  </si>
  <si>
    <t>CAJUCA1402@hotmail.com</t>
  </si>
  <si>
    <t>omarroblesgarcia22@hotmail.com</t>
  </si>
  <si>
    <t>guiastallerestic@gmail.com</t>
  </si>
  <si>
    <t>jhonnyjavierg@yahoo.com</t>
  </si>
  <si>
    <t>JOSE.9122023@gmail.com</t>
  </si>
  <si>
    <t>fabianfvh@yahoo.es</t>
  </si>
  <si>
    <t>chacarito5369@gmail.com</t>
  </si>
  <si>
    <t>arturobarreramartinez80@gmail.com</t>
  </si>
  <si>
    <t>arleyperezg@hotmail.com</t>
  </si>
  <si>
    <t>orlandocely907@gmail.com</t>
  </si>
  <si>
    <t>aliricris@hotmail.com</t>
  </si>
  <si>
    <t>anaedithnio@hotmail.es</t>
  </si>
  <si>
    <t>drogueriasuper@hotmail.com</t>
  </si>
  <si>
    <t>oscarperez2228@yahoo.com</t>
  </si>
  <si>
    <t>joraufonsi@hotmail.com</t>
  </si>
  <si>
    <t>tobo48@hotmail.com</t>
  </si>
  <si>
    <t>autmundiexito@gmail.com</t>
  </si>
  <si>
    <t>vargascelyluisfernando@gmail.com</t>
  </si>
  <si>
    <t>nelsonguauque@gmail.com</t>
  </si>
  <si>
    <t>jaimequijano@gmail.com</t>
  </si>
  <si>
    <t>claus_2482@hotmail.com</t>
  </si>
  <si>
    <t>optopul@gmail.com</t>
  </si>
  <si>
    <t>sacoroa7@hotmail.com</t>
  </si>
  <si>
    <t>jgaviria218@gmail.com</t>
  </si>
  <si>
    <t>cesarfc749@hotmail.com</t>
  </si>
  <si>
    <t>victoryleon@outlook.es</t>
  </si>
  <si>
    <t>salomrinco@hotmail.com</t>
  </si>
  <si>
    <t>juliocesarbarreratibavija@gmail.com</t>
  </si>
  <si>
    <t>bladimircardenas@hotmail.com</t>
  </si>
  <si>
    <t>josemesa11@hotmail.com</t>
  </si>
  <si>
    <t>EMMANUELCELY8@gmail.com</t>
  </si>
  <si>
    <t>alecamo25@gmail.com</t>
  </si>
  <si>
    <t>andresolca@hotmail.com</t>
  </si>
  <si>
    <t>alayariveros@hotmail.com</t>
  </si>
  <si>
    <t>oscarg979@hotmail.com</t>
  </si>
  <si>
    <t>nesajidi@hotmail.com</t>
  </si>
  <si>
    <t>juanpisfb1@gmail.com</t>
  </si>
  <si>
    <t>ronyp1998@gmail.com</t>
  </si>
  <si>
    <t>fabio_340agu@hotmail.com</t>
  </si>
  <si>
    <t>lehders@hotmail.com</t>
  </si>
  <si>
    <t>NESMON50@HOTMAIL.COM</t>
  </si>
  <si>
    <t>victorjulioperezcardenas@yahoo.es</t>
  </si>
  <si>
    <t>aechiquillo@gmail.com</t>
  </si>
  <si>
    <t>kceron0207@gmail.com</t>
  </si>
  <si>
    <t>frankingmecanico@hotmail.com</t>
  </si>
  <si>
    <t>egonzalez0216@gmail.com</t>
  </si>
  <si>
    <t>nestor980@hotmail.com</t>
  </si>
  <si>
    <t>omarvargasalba3@gmail.com</t>
  </si>
  <si>
    <t>juancastro200880@gmail.com</t>
  </si>
  <si>
    <t>w.gonzalar@hotmail.com</t>
  </si>
  <si>
    <t>juanmanosalva28@gmail.com</t>
  </si>
  <si>
    <t>cenisduitama@gmail.com</t>
  </si>
  <si>
    <t>oscaruizba@hotmail.com</t>
  </si>
  <si>
    <t>rafavijahol.1984@gmail.com</t>
  </si>
  <si>
    <t>cesar.mongui@gmail.com</t>
  </si>
  <si>
    <t>johannacelyleon@gmail.com</t>
  </si>
  <si>
    <t>carlosn479@hotmail.com</t>
  </si>
  <si>
    <t>lquintanagranados@gmail.com</t>
  </si>
  <si>
    <t>c1r2o3@yahoo.com</t>
  </si>
  <si>
    <t>luiscastanedarincon@gmail.com</t>
  </si>
  <si>
    <t>gguerrerol2909@gmail.com</t>
  </si>
  <si>
    <t>darioalpi@yahoo.com</t>
  </si>
  <si>
    <t>manuel5andres@gmail.com</t>
  </si>
  <si>
    <t>yennymarturas@hotmail.com</t>
  </si>
  <si>
    <t>ingtitog8@gmail.com</t>
  </si>
  <si>
    <t>minerales.cont@gmail.com</t>
  </si>
  <si>
    <t>jhoncliriorodriguezherrera@gmail.com</t>
  </si>
  <si>
    <t>fabiodanielbeltranruiz@gmail.com</t>
  </si>
  <si>
    <t>ccoy@comfaboy.com.co</t>
  </si>
  <si>
    <t>luchoalicante972@gmail.com</t>
  </si>
  <si>
    <t>er8190397@gmail.com</t>
  </si>
  <si>
    <t>fhag125@hotmail.com</t>
  </si>
  <si>
    <t>JL4238870@gmail.com</t>
  </si>
  <si>
    <t>jdariocuervo05@gmail.com</t>
  </si>
  <si>
    <t>rodrigotriana02@gmail.com</t>
  </si>
  <si>
    <t>josepp74@gmail.com</t>
  </si>
  <si>
    <t>carlosjuliovegavega382@gmail.com</t>
  </si>
  <si>
    <t>olgagualteros983@gmail.com</t>
  </si>
  <si>
    <t>TALLERESARAQUE@GMAIL.COM</t>
  </si>
  <si>
    <t>viverestescauen@hotmail.es</t>
  </si>
  <si>
    <t>rcely2107@gmail.com</t>
  </si>
  <si>
    <t>lacteossogamoso@gmail.com</t>
  </si>
  <si>
    <t>gualteroscenen@gmail.com</t>
  </si>
  <si>
    <t>marcoantoniosanabriaalfonso@gmail.com</t>
  </si>
  <si>
    <t>mulanoluisalvaro@gmail.com</t>
  </si>
  <si>
    <t>VICDEM69@gmail.com</t>
  </si>
  <si>
    <t>parramario537@gmail.com</t>
  </si>
  <si>
    <t>javierrincon282@gmial.com</t>
  </si>
  <si>
    <t>pavagonzales@gmail.com</t>
  </si>
  <si>
    <t>carlosfuentes74270725@gmail.com</t>
  </si>
  <si>
    <t>ealexischiquilloalfonso@gmail.com</t>
  </si>
  <si>
    <t>carlosberdugo0849@gmail.com</t>
  </si>
  <si>
    <t>hrarincon@hotmail.com</t>
  </si>
  <si>
    <t>charlie192327@gmail.com</t>
  </si>
  <si>
    <t>fredy_amaya21@hotmail.com</t>
  </si>
  <si>
    <t>anaevangeline@hotmail.com</t>
  </si>
  <si>
    <t>elverdari20@gmail.com</t>
  </si>
  <si>
    <t>jaer.ebsa@gmail.com</t>
  </si>
  <si>
    <t>edifu2010@gmail.com</t>
  </si>
  <si>
    <t>henryagomez1985@gmail.com</t>
  </si>
  <si>
    <t>mduartecorrea@hotmail.com</t>
  </si>
  <si>
    <t>jairohernanruiz@gmail.com</t>
  </si>
  <si>
    <t>maryigarzon494@gmail.com</t>
  </si>
  <si>
    <t>LORENAMANRIQUE0712@gmail.com</t>
  </si>
  <si>
    <t>tulipan611@gmail.com</t>
  </si>
  <si>
    <t>joggomez62@gmail.com</t>
  </si>
  <si>
    <t>camafa.c@gmail.com</t>
  </si>
  <si>
    <t>flaminio551@gmail.com</t>
  </si>
  <si>
    <t>alvarezmontanezagustin@gmail.com</t>
  </si>
  <si>
    <t>pedrazalva@hotmail.com</t>
  </si>
  <si>
    <t>luchorodriguezp@gmail.com</t>
  </si>
  <si>
    <t>hansernesto@hotmail.com</t>
  </si>
  <si>
    <t>hugoboyyyy@hotmail.com</t>
  </si>
  <si>
    <t>ogomez@ebsa.com.co</t>
  </si>
  <si>
    <t>alejandron25@hotmail.com</t>
  </si>
  <si>
    <t>ph1901099@gmail.com</t>
  </si>
  <si>
    <t>fannylu2474@gmail.com</t>
  </si>
  <si>
    <t>gallitoaris1966@gmail.com</t>
  </si>
  <si>
    <t>jorgetorresbecerra80@gmail.com</t>
  </si>
  <si>
    <t>alonsopuertotorres@gmail.com</t>
  </si>
  <si>
    <t>dallosovidio@hotmail.com</t>
  </si>
  <si>
    <t>benedictoadame@gmail.com</t>
  </si>
  <si>
    <t>lujaceor269@yahoo.com.co</t>
  </si>
  <si>
    <t>arnoldofacturacion24@gmail.com</t>
  </si>
  <si>
    <t>dariandresv7_7@yahoo.es</t>
  </si>
  <si>
    <t>luis.bautista.rivera70@gmail.com</t>
  </si>
  <si>
    <t>jsjsj@gmail.com</t>
  </si>
  <si>
    <t>3138953696ab@gmail.com</t>
  </si>
  <si>
    <t>joserodrigodiazguio@gmail.com</t>
  </si>
  <si>
    <t>jdazapoveda@gmail.com</t>
  </si>
  <si>
    <t>nolbertoflorez20@gmail.com</t>
  </si>
  <si>
    <t>ricardodiaznio@gmail.com</t>
  </si>
  <si>
    <t>alfonsouptc@gmail.com</t>
  </si>
  <si>
    <t>jpin24@gmail.com</t>
  </si>
  <si>
    <t>dario2904espitia@gmail.com</t>
  </si>
  <si>
    <t>grangomez@hotmail.com</t>
  </si>
  <si>
    <t>omarfernandovalderrama@hotmail.com</t>
  </si>
  <si>
    <t>mao10331973@hotmail.com</t>
  </si>
  <si>
    <t>juanpablo1629@hotmail.com</t>
  </si>
  <si>
    <t>jhonfredyfajardo77@gmail.com</t>
  </si>
  <si>
    <t>eliasninocely26@gmail.com</t>
  </si>
  <si>
    <t>edilbertosalamanca3@gmail.com</t>
  </si>
  <si>
    <t>martinforestal@gmail.com</t>
  </si>
  <si>
    <t>oscar.medinazabala@gmail.com</t>
  </si>
  <si>
    <t>wrativas@ramajudicial.gov.co</t>
  </si>
  <si>
    <t>caduartechap@hotmail.com</t>
  </si>
  <si>
    <t>nelserrano2000@gmail.com</t>
  </si>
  <si>
    <t>avjoma@gmail.com</t>
  </si>
  <si>
    <t>hectorjulio.gonzalez2810@gmail.com</t>
  </si>
  <si>
    <t>saidachinome@gmail.com</t>
  </si>
  <si>
    <t>giovannymartindiaz@gmail.com</t>
  </si>
  <si>
    <t>yenyr27@yahoo.com</t>
  </si>
  <si>
    <t>icaro0mile@yahoo.com</t>
  </si>
  <si>
    <t>maocamacho33@gmail.com</t>
  </si>
  <si>
    <t>cauchimo05@gmail.com</t>
  </si>
  <si>
    <t>doctorfredyc@hotmail.com</t>
  </si>
  <si>
    <t>taovictor225@gmail.com</t>
  </si>
  <si>
    <t>martinezpedrom.1979@gmail.com</t>
  </si>
  <si>
    <t>ing.wilson.baez@gmail.com</t>
  </si>
  <si>
    <t>jadbjadb@gmail.com</t>
  </si>
  <si>
    <t>manchego20102010@hotmail.com</t>
  </si>
  <si>
    <t>luisantonior2012@gmail.com</t>
  </si>
  <si>
    <t>fabiangalvis4620@gmail.com</t>
  </si>
  <si>
    <t>gm5381518@gmail.com</t>
  </si>
  <si>
    <t>jhonalexandergomezrojas17@gmail.com</t>
  </si>
  <si>
    <t>sistefrenos05@gmail.com</t>
  </si>
  <si>
    <t>juanpablobecerraquiroz@gmail.com</t>
  </si>
  <si>
    <t>camifonjms@gmail.com</t>
  </si>
  <si>
    <t>edwinkeda@hotmail.com</t>
  </si>
  <si>
    <t>fredyrincon26@hotmail.com</t>
  </si>
  <si>
    <t>juanpacruzn@gmail.com</t>
  </si>
  <si>
    <t>fernandon83@hotmail.com</t>
  </si>
  <si>
    <t>jesuslfacturacion2022@gmail.com</t>
  </si>
  <si>
    <t>cesarsilva020982@gmail.com</t>
  </si>
  <si>
    <t>danielmarman@gmail.com</t>
  </si>
  <si>
    <t>hernandosgilrios@hotmail.com</t>
  </si>
  <si>
    <t>julioalonsoalvarezmartinez@yahoo.es</t>
  </si>
  <si>
    <t>lidiayanneth13@gmail.com</t>
  </si>
  <si>
    <t>abrilholguinclarahibet@gmail.com</t>
  </si>
  <si>
    <t>micamarguin@gmail.com</t>
  </si>
  <si>
    <t>eliasherreraleon@gmail.com</t>
  </si>
  <si>
    <t>jaime2r@hotmail.com</t>
  </si>
  <si>
    <t>valenntiinbarrera@gmail.com</t>
  </si>
  <si>
    <t>mauroestupinan6417@gmail.com</t>
  </si>
  <si>
    <t>pedrodejesusmojica@gmail.com</t>
  </si>
  <si>
    <t>hectorsabino1766@hotmail.com</t>
  </si>
  <si>
    <t>publioverfacturaelectronica@gmail.com</t>
  </si>
  <si>
    <t>xic-xja@hotmail.es</t>
  </si>
  <si>
    <t>carlosamayaa69@gmail.com</t>
  </si>
  <si>
    <t>lumica70@gmail.com</t>
  </si>
  <si>
    <t>jrobinsonal1208@hotmail.com</t>
  </si>
  <si>
    <t>jesusparada188@hotmail.com</t>
  </si>
  <si>
    <t>oscarcuyamo@gmail.com</t>
  </si>
  <si>
    <t>orlandomalpicaabril@gmail.com</t>
  </si>
  <si>
    <t>paulavherrerac057@gmail.com</t>
  </si>
  <si>
    <t>joseagr2272@gmail.com</t>
  </si>
  <si>
    <t>llanosmercedes090@gmail.com</t>
  </si>
  <si>
    <t>meminsito5@gmail.com</t>
  </si>
  <si>
    <t>cealdufer19@gmail.com</t>
  </si>
  <si>
    <t>alfredomojica2008@gmail.com</t>
  </si>
  <si>
    <t>victorgonzalovf@gmail.com</t>
  </si>
  <si>
    <t>maueltorresni12@gmail.com</t>
  </si>
  <si>
    <t>alexanderpinzon22@hotmail.com</t>
  </si>
  <si>
    <t>araquemartinezomar@gmail.com</t>
  </si>
  <si>
    <t>omararaquemontanez@gmail.com</t>
  </si>
  <si>
    <t>joaquin8a084@gmail.com</t>
  </si>
  <si>
    <t>victores-05@hotmail.com</t>
  </si>
  <si>
    <t>jorgesolver@yahoo.es</t>
  </si>
  <si>
    <t>mercasocha@gmail.com</t>
  </si>
  <si>
    <t>oscarjavierbenitezromero@gmail.com</t>
  </si>
  <si>
    <t>sisosanpatricio@gmail.com</t>
  </si>
  <si>
    <t>estupinan778@gmail.com</t>
  </si>
  <si>
    <t>alonsocarvajalr@hotmail.com</t>
  </si>
  <si>
    <t>tractosiberia@gmail.com</t>
  </si>
  <si>
    <t>magyasvargas@gmail.com</t>
  </si>
  <si>
    <t>rodulfopedraza456@gmail.com</t>
  </si>
  <si>
    <t>tcorrea254@gmail.com</t>
  </si>
  <si>
    <t>pedrozajulio04@hotmail.com</t>
  </si>
  <si>
    <t>jorgefonseca1963@hotmail.com</t>
  </si>
  <si>
    <t>jairofonsec@hotmail.com</t>
  </si>
  <si>
    <t>banquetesviandaschg@hotmail.com</t>
  </si>
  <si>
    <t>paipa854@gmail.com</t>
  </si>
  <si>
    <t>luisvi33@gmail.com</t>
  </si>
  <si>
    <t>cesarospina676@gmail.com</t>
  </si>
  <si>
    <t>victorhe67@hotmail.com</t>
  </si>
  <si>
    <t>luisgtellez@gmail.com</t>
  </si>
  <si>
    <t>miguelapontecorrea@gmail.com</t>
  </si>
  <si>
    <t>VICTORDAZA1@YAHOO.COM</t>
  </si>
  <si>
    <t>mercaplazapaipa@hotmail.com</t>
  </si>
  <si>
    <t>hernanhurtadolo@outlook.es</t>
  </si>
  <si>
    <t>nanesadi12@gmail.com</t>
  </si>
  <si>
    <t>edgarcorredor1970@gmail.com</t>
  </si>
  <si>
    <t>rodmiguel93@gmail.com</t>
  </si>
  <si>
    <t>r.piraban@hotmail.com</t>
  </si>
  <si>
    <t>lilianamarcelacardenas28@gmail.com</t>
  </si>
  <si>
    <t>jorge.sanchez01@uptc.edu.co</t>
  </si>
  <si>
    <t>parritaricardo035@gmail.com</t>
  </si>
  <si>
    <t>jasari034@gmail.com</t>
  </si>
  <si>
    <t>viamri@hotmail.com</t>
  </si>
  <si>
    <t>alvarosilvarinco@gmail.com</t>
  </si>
  <si>
    <t>anmisuga89@hotmail.com</t>
  </si>
  <si>
    <t>orlando.ignacio69@hotmail.com</t>
  </si>
  <si>
    <t>joditelmo@hotmail.com</t>
  </si>
  <si>
    <t>guevaramaria336@gmail.com</t>
  </si>
  <si>
    <t>VALBALBUENAA463@gmail.com</t>
  </si>
  <si>
    <t>alejandromarquezcarvajal@hotmail.com</t>
  </si>
  <si>
    <t>jacobopinto69@hotmail.com</t>
  </si>
  <si>
    <t>vargasnepo2015@gmail.com</t>
  </si>
  <si>
    <t>viviana_marquez_94@hotmail.com</t>
  </si>
  <si>
    <t>wilchobelenboy@hotmail.com</t>
  </si>
  <si>
    <t>merchanbalaguera@gmail.com</t>
  </si>
  <si>
    <t>aristoalv@gmail.com</t>
  </si>
  <si>
    <t>amnudy08@hotmail.com</t>
  </si>
  <si>
    <t>faustobalaguera42@gmail.com</t>
  </si>
  <si>
    <t>carlosmartinez0273@gmail.com</t>
  </si>
  <si>
    <t>diazfernandezraulantonio@gmail.com</t>
  </si>
  <si>
    <t>orlangomez04@gmail.com</t>
  </si>
  <si>
    <t>rojasbalaguera@gmail.com</t>
  </si>
  <si>
    <t>LBALAGUERA1@gmail.com</t>
  </si>
  <si>
    <t>celiramico@gmail.com</t>
  </si>
  <si>
    <t>silvagomezfrancisco@gmail.com</t>
  </si>
  <si>
    <t>juanaraque2@gmail.com</t>
  </si>
  <si>
    <t>jersanalfonso2@gmail.com</t>
  </si>
  <si>
    <t>fredyabalaguera@hotmail.com</t>
  </si>
  <si>
    <t>joparoba2018@hotmail.com</t>
  </si>
  <si>
    <t>cardenasv74@hotmail.com</t>
  </si>
  <si>
    <t>hermestibaduiza715@gmail.com</t>
  </si>
  <si>
    <t>pedroevargas75@hotmail.com</t>
  </si>
  <si>
    <t>palitus19@yahoo.es</t>
  </si>
  <si>
    <t>penarandaalvarez@yahoo.com.ar</t>
  </si>
  <si>
    <t>misclientes.hrc@gmail.com</t>
  </si>
  <si>
    <t>luchoespitia0206@hotmail.com</t>
  </si>
  <si>
    <t>orlando-at@hotmail.com</t>
  </si>
  <si>
    <t>dismaelbalaguera74@gmail.com</t>
  </si>
  <si>
    <t>jnasalarcon@gmail.com</t>
  </si>
  <si>
    <t>yoobanybautista@hotmail.com</t>
  </si>
  <si>
    <t>diaz.roberto.c@hotmail.com</t>
  </si>
  <si>
    <t>edisonpbalaguera11@gmail.com</t>
  </si>
  <si>
    <t>hernandez141979@gmail.com</t>
  </si>
  <si>
    <t>jonfao1980@gmail.com</t>
  </si>
  <si>
    <t>ovani-103@hotmail.com</t>
  </si>
  <si>
    <t>balaguerawilmer1@gmail.com</t>
  </si>
  <si>
    <t>yeimisitaleon@gmail.com</t>
  </si>
  <si>
    <t>yeferamado81@gmail.com</t>
  </si>
  <si>
    <t>juankvas81@gmail.com</t>
  </si>
  <si>
    <t>castrosandra211983@gmail.com</t>
  </si>
  <si>
    <t>erbincastro@hotmail.com</t>
  </si>
  <si>
    <t>ingedwinpachon@gmail.com</t>
  </si>
  <si>
    <t>rojashenry569@gmail.com</t>
  </si>
  <si>
    <t>hermesgcadena@hotmail.com</t>
  </si>
  <si>
    <t>cdrodriguez9411@gmail.com</t>
  </si>
  <si>
    <t>andreapp.h11@hotmail.com</t>
  </si>
  <si>
    <t>saenzbarretoangelmauricio@gmail.com</t>
  </si>
  <si>
    <t>luise.v@hotmail.com</t>
  </si>
  <si>
    <t>germanmolanopineda79@gmail.com</t>
  </si>
  <si>
    <t>luiscarlosguio@gmail.com</t>
  </si>
  <si>
    <t>jujhsaal21@gmail.com</t>
  </si>
  <si>
    <t>fabiodiaz.1@hotmail.com</t>
  </si>
  <si>
    <t>luisedilzonvergara@gmail.com</t>
  </si>
  <si>
    <t>brauliocu@gmail.com</t>
  </si>
  <si>
    <t>leocely.07@gmail.com</t>
  </si>
  <si>
    <t>norbertodjrincon123@gmail.com</t>
  </si>
  <si>
    <t>fmontanez926@gmail.com</t>
  </si>
  <si>
    <t>velandiacardenas@yahoo.com</t>
  </si>
  <si>
    <t>chinome74@gmail.com</t>
  </si>
  <si>
    <t>angelrobertogarciarincon@gmail.com</t>
  </si>
  <si>
    <t>jaimehiguerah.q@gmail.com</t>
  </si>
  <si>
    <t>mauroalvarez456@gmail.com</t>
  </si>
  <si>
    <t>hectorelmono302@hotmail.com</t>
  </si>
  <si>
    <t>oscarcristancho10@gmail.com</t>
  </si>
  <si>
    <t>maurcely@gmail.com</t>
  </si>
  <si>
    <t>fmartinez@ebsa.com.co</t>
  </si>
  <si>
    <t>chinomejose02@gmail.com</t>
  </si>
  <si>
    <t>alpedraza@sena.edu.co</t>
  </si>
  <si>
    <t>altuzarra115@hotmail.com</t>
  </si>
  <si>
    <t>marco_castellanos@hotmail.com</t>
  </si>
  <si>
    <t>jgvelasquez@yahoo.es</t>
  </si>
  <si>
    <t>hectorbarreto777@hotmail.com</t>
  </si>
  <si>
    <t>wilferh2@hotmail.com</t>
  </si>
  <si>
    <t>ugarzon@hotmail.com</t>
  </si>
  <si>
    <t>neilyamitcontreras80@gmail.com</t>
  </si>
  <si>
    <t>cialpale@yahoo.com</t>
  </si>
  <si>
    <t>fenoca079@hotmail.com</t>
  </si>
  <si>
    <t>metalcar1@hotmail.com</t>
  </si>
  <si>
    <t>fabio.perez81@hotmail.com</t>
  </si>
  <si>
    <t>alvaro.ramirez49@yahoo.es</t>
  </si>
  <si>
    <t>rogelio.molina825@hotmail.com</t>
  </si>
  <si>
    <t>mauricioarevalo05@hotmail.com</t>
  </si>
  <si>
    <t>luisalvarogranados@gmail.com</t>
  </si>
  <si>
    <t>miavecc73@gmail.com</t>
  </si>
  <si>
    <t>caticp@gmail.com</t>
  </si>
  <si>
    <t>albertin39@gmail.com</t>
  </si>
  <si>
    <t>pedrocas753@outklook.com</t>
  </si>
  <si>
    <t>rensoleonardom1013@gmail.com</t>
  </si>
  <si>
    <t>jmhurtadov@gmail.com</t>
  </si>
  <si>
    <t>jodasaro75@yahoo.com</t>
  </si>
  <si>
    <t>ingmecjaj@hotmail.com</t>
  </si>
  <si>
    <t>gonzaloyen2@gmail.com</t>
  </si>
  <si>
    <t>euclidesgl@hotmail.com</t>
  </si>
  <si>
    <t>carlos.vargas.v@gmail.com</t>
  </si>
  <si>
    <t>majulana6@gmail.com</t>
  </si>
  <si>
    <t>leotico1975@gmail.com</t>
  </si>
  <si>
    <t>eduwinrei7@yahoo.com</t>
  </si>
  <si>
    <t>jkos_ie@yahoo.com</t>
  </si>
  <si>
    <t>jhonroda.jfra@gmail.com</t>
  </si>
  <si>
    <t>germanandres78@yahoo.es</t>
  </si>
  <si>
    <t>azabachejc77@gmail.com</t>
  </si>
  <si>
    <t>cadirccheff@gmail.com</t>
  </si>
  <si>
    <t>juanchitovargas01@gmail.com</t>
  </si>
  <si>
    <t>hugipic@yahoo.es</t>
  </si>
  <si>
    <t>fredynixon2015@gmail.com</t>
  </si>
  <si>
    <t>alfonsoarguell@gmail.com</t>
  </si>
  <si>
    <t>antonyrbt78@gmail.com</t>
  </si>
  <si>
    <t>fg2726770@gmail.com</t>
  </si>
  <si>
    <t>espejoc584@gmail.com</t>
  </si>
  <si>
    <t>matachpsico@gmail.com</t>
  </si>
  <si>
    <t>fredyrosasnitola@gmail.com</t>
  </si>
  <si>
    <t>yerman.rz@gmail.com</t>
  </si>
  <si>
    <t>yohnhenry@gmail.com</t>
  </si>
  <si>
    <t>avendanojeferson712@gmail.com</t>
  </si>
  <si>
    <t>danielflorezdam@hotmail.com</t>
  </si>
  <si>
    <t>fabianvllg@hotmail.com</t>
  </si>
  <si>
    <t>natico_1122@hotmail.com</t>
  </si>
  <si>
    <t>hacuevas@hotmail.com</t>
  </si>
  <si>
    <t>internetmongui@gmail.com</t>
  </si>
  <si>
    <t>luis.sia@hotmail.com</t>
  </si>
  <si>
    <t>enigu2005@gmail.com</t>
  </si>
  <si>
    <t>albanourian215@hotmail.com</t>
  </si>
  <si>
    <t>henrydia119@gmail.com</t>
  </si>
  <si>
    <t>jairosissas@gmail.com</t>
  </si>
  <si>
    <t>eor84@yahoo.es</t>
  </si>
  <si>
    <t>hectorarleybarrera@yahoo.es</t>
  </si>
  <si>
    <t>ingnealbale@gmail.com</t>
  </si>
  <si>
    <t>segundoorlandomartinez20@gmail.com</t>
  </si>
  <si>
    <t>pedrotitomorales@gmail.com</t>
  </si>
  <si>
    <t>dariosilvazea1234@gamil.com</t>
  </si>
  <si>
    <t>geoscarjuli@gmail.com</t>
  </si>
  <si>
    <t>loenardofabio38@gmail.com</t>
  </si>
  <si>
    <t>joleamortegui@yahoo.es</t>
  </si>
  <si>
    <t>yaorpv@hotmail.com</t>
  </si>
  <si>
    <t>segundocarvajal@hotmail.com</t>
  </si>
  <si>
    <t>milerivera08@gmail.com</t>
  </si>
  <si>
    <t>luisorlandopinzon09@gmail.com</t>
  </si>
  <si>
    <t>ricardobautista1408@hotmail.com</t>
  </si>
  <si>
    <t>jhonalbarracin36@gmail.com</t>
  </si>
  <si>
    <t>wilson.elieser.torres.m@gmail.com</t>
  </si>
  <si>
    <t>henry.eslava1980@gmail.com</t>
  </si>
  <si>
    <t>oscarsuarezburgos@gmail.com</t>
  </si>
  <si>
    <t>robertotutacaro@gmail.com</t>
  </si>
  <si>
    <t>luis.tobacia@policia.gov.co</t>
  </si>
  <si>
    <t>jolmanveg6126@hotmail.com</t>
  </si>
  <si>
    <t>lisethpara@gmail.com</t>
  </si>
  <si>
    <t>josealba784@gmail.com</t>
  </si>
  <si>
    <t>oscarma83@gmail.com</t>
  </si>
  <si>
    <t>ing_joalusta@hotmail.com</t>
  </si>
  <si>
    <t>javiervegaa1@gmail.com</t>
  </si>
  <si>
    <t>javiersolano3316@gmail.com</t>
  </si>
  <si>
    <t>ignaciomartinezcivilun@gmail.com</t>
  </si>
  <si>
    <t>israelblanco055@gmail.com</t>
  </si>
  <si>
    <t>serari7316@gmail.com</t>
  </si>
  <si>
    <t>terzettovocal@gmail.com</t>
  </si>
  <si>
    <t>cadajefa@hotmail.com</t>
  </si>
  <si>
    <t>carlosjbarbosa19@gmail.com</t>
  </si>
  <si>
    <t>tyron2012@gmail.com</t>
  </si>
  <si>
    <t>edfergutz10@hotmail.com</t>
  </si>
  <si>
    <t>wipez73@yahoo.com</t>
  </si>
  <si>
    <t>norbertosilvam73@gmail.com</t>
  </si>
  <si>
    <t>fredyfon1209@gmail.com</t>
  </si>
  <si>
    <t>oscar.cely.rojas@gmail.com</t>
  </si>
  <si>
    <t>joseavelinomarquez@hotmail.com</t>
  </si>
  <si>
    <t>sinipalacios087@hotmail.com</t>
  </si>
  <si>
    <t>gloris.18@hotmail.com</t>
  </si>
  <si>
    <t>josearaque@hotmail.com</t>
  </si>
  <si>
    <t>ger.mauricio.h@hotmail.com</t>
  </si>
  <si>
    <t>germanjim74@yahoo.es</t>
  </si>
  <si>
    <t>jorgemalaver033@gmail.com</t>
  </si>
  <si>
    <t>fgranadosrios@gmail.com</t>
  </si>
  <si>
    <t>gegavi29@gmail.com</t>
  </si>
  <si>
    <t>hectorrivera2860@gmail.com</t>
  </si>
  <si>
    <t>cardenasjuanka14@gmail.com</t>
  </si>
  <si>
    <t>nelsonarturomr@hotmail.com</t>
  </si>
  <si>
    <t>javierdavila2703@gmail.com</t>
  </si>
  <si>
    <t>gjavierto08@gmail.com</t>
  </si>
  <si>
    <t>julioclay74@hotmail.com</t>
  </si>
  <si>
    <t>dahucati74@gmail.com</t>
  </si>
  <si>
    <t>nelson11guevara@gmail.com</t>
  </si>
  <si>
    <t>aortega50@gmail.com</t>
  </si>
  <si>
    <t>alexandercamargo729@gmail.com</t>
  </si>
  <si>
    <t>tristanchoedgarmonje@gmail.com</t>
  </si>
  <si>
    <t>nelsrinc076@outlook.com</t>
  </si>
  <si>
    <t>sergiomoscoso.028@hotmail.com</t>
  </si>
  <si>
    <t>stopro@hotmail.com</t>
  </si>
  <si>
    <t>jorgebecerra0175@gmail.com</t>
  </si>
  <si>
    <t>alexpuerto26@gmail.com</t>
  </si>
  <si>
    <t>willianj24@hotmail.com</t>
  </si>
  <si>
    <t>elverli1973@gmail.com</t>
  </si>
  <si>
    <t>carlosjuliomoreno768@gmail.com</t>
  </si>
  <si>
    <t>gestionsuit@gmail.com</t>
  </si>
  <si>
    <t>lui.agomen@gmail.com</t>
  </si>
  <si>
    <t>luchocastillo2009@gmail.com</t>
  </si>
  <si>
    <t>martinpachecoc@gmail.com</t>
  </si>
  <si>
    <t>millan_h@yahoo.com</t>
  </si>
  <si>
    <t>luisduran.xjb489@gmail.com</t>
  </si>
  <si>
    <t>ogomez717@gmail.com</t>
  </si>
  <si>
    <t>malagonduran@hotmail.com</t>
  </si>
  <si>
    <t>autobusesbonicar@hotmail.com</t>
  </si>
  <si>
    <t>NELHVARGAS@YAHOO.COM.AR</t>
  </si>
  <si>
    <t>harveygarcia.lara@gmail.com</t>
  </si>
  <si>
    <t>fereducas273@gmail.com</t>
  </si>
  <si>
    <t>maderasjr0328@hotmail.com</t>
  </si>
  <si>
    <t>inversionestorin01@hotmail.com</t>
  </si>
  <si>
    <t>obravo_ig@yahoo.es</t>
  </si>
  <si>
    <t>johan.calderon@misena.edu.co</t>
  </si>
  <si>
    <t>luisaguilarlozano@hotmail.com</t>
  </si>
  <si>
    <t>charles_891@hotmail.com</t>
  </si>
  <si>
    <t>yolacris9@hotmail.com</t>
  </si>
  <si>
    <t>marco1975tamayo@gmail.com</t>
  </si>
  <si>
    <t>wilfer890@gmail.com</t>
  </si>
  <si>
    <t>ortizoscarmauricio@gmail.com</t>
  </si>
  <si>
    <t>ricardovegag76@gmail.com</t>
  </si>
  <si>
    <t>hfba22@gmail.com</t>
  </si>
  <si>
    <t>ORLANDOMENDIVELSO7@gmail.com</t>
  </si>
  <si>
    <t>mauriciofernandezmurillo@gmail.com</t>
  </si>
  <si>
    <t>joserojasr74@gmail.com</t>
  </si>
  <si>
    <t>pablomorales2110@gmail.com</t>
  </si>
  <si>
    <t>estebanvaldepro@gmail.com</t>
  </si>
  <si>
    <t>vargasgiovany25@gmail.com</t>
  </si>
  <si>
    <t>CARLOSANDRESCAMARGO@GMAIL.COM</t>
  </si>
  <si>
    <t>canagoz@gmail.com</t>
  </si>
  <si>
    <t>woguilar@gmail.com</t>
  </si>
  <si>
    <t>juanchr75@hotmail.com</t>
  </si>
  <si>
    <t>jorgefernandochaparro23@gmail.com</t>
  </si>
  <si>
    <t>dorissanabria0001@gmail.com</t>
  </si>
  <si>
    <t>henrymauriciomd@gmail.com</t>
  </si>
  <si>
    <t>dg874301@gmail.com</t>
  </si>
  <si>
    <t>wa930918@gmail.com</t>
  </si>
  <si>
    <t>camargolvarezj@yahoo.com</t>
  </si>
  <si>
    <t>leonardofangel@gmail.com</t>
  </si>
  <si>
    <t>maocruz75@gmail.com</t>
  </si>
  <si>
    <t>lady3140@hotmail.com</t>
  </si>
  <si>
    <t>dersawilsonquijano@gmail.com</t>
  </si>
  <si>
    <t>fonsecajaimea@hotmail.com</t>
  </si>
  <si>
    <t>omargonza63@gmail.com</t>
  </si>
  <si>
    <t>meyeregoh@hotmail.com</t>
  </si>
  <si>
    <t>luisjleon24@hotmail.com</t>
  </si>
  <si>
    <t>jairomesa75@hotmail.com</t>
  </si>
  <si>
    <t>germanrcs@gmail.com</t>
  </si>
  <si>
    <t>dilsonholguin4@gmail.com</t>
  </si>
  <si>
    <t>femesa1@hotmail.com</t>
  </si>
  <si>
    <t>seconc1075@gmail.com</t>
  </si>
  <si>
    <t>luigabriellop@gmail.com</t>
  </si>
  <si>
    <t>jaimezabala40@gmail.com</t>
  </si>
  <si>
    <t>rcorredor1118@gmail.com</t>
  </si>
  <si>
    <t>migoba.33@gmail.com</t>
  </si>
  <si>
    <t>willington8a@gmail.com</t>
  </si>
  <si>
    <t>pwcb2011@hotmail.com</t>
  </si>
  <si>
    <t>w.morales.cely@gmail.com</t>
  </si>
  <si>
    <t>jose1735@hotmail.com</t>
  </si>
  <si>
    <t>eucaristico20@gmail.com</t>
  </si>
  <si>
    <t>montisregistrado@gmail.com</t>
  </si>
  <si>
    <t>pulidojohn150@gmail.com</t>
  </si>
  <si>
    <t>wily.ba75@gmail.com</t>
  </si>
  <si>
    <t>amayaedgar74@gmail.com</t>
  </si>
  <si>
    <t>milton.vegarincon@gmail.com</t>
  </si>
  <si>
    <t>gaapaca@yahoo.es</t>
  </si>
  <si>
    <t>regoba99@gmail.com</t>
  </si>
  <si>
    <t>xaviercelyar@gmail.com</t>
  </si>
  <si>
    <t>robegope28@gmail.com</t>
  </si>
  <si>
    <t>neljulian16@gmail.com</t>
  </si>
  <si>
    <t>miguelcamargo75@gmail.com</t>
  </si>
  <si>
    <t>leonidasbaez31@gmail.com</t>
  </si>
  <si>
    <t>luis.valderrama696@casur.gov.co</t>
  </si>
  <si>
    <t>higinioangaritarodriguez75@gmail.com</t>
  </si>
  <si>
    <t>fsolerco@gmail.com</t>
  </si>
  <si>
    <t>alextorresf73@gmail.com</t>
  </si>
  <si>
    <t>jhgonzalez443@gmail.com</t>
  </si>
  <si>
    <t>ram.tes.1@gmail.com</t>
  </si>
  <si>
    <t>marpupo19@outlook.com</t>
  </si>
  <si>
    <t>diegosolago@gmail.com</t>
  </si>
  <si>
    <t>julio.tobito@hotmail.com</t>
  </si>
  <si>
    <t>giovannyt590@gmail.com</t>
  </si>
  <si>
    <t>wilsontorres0847@gmail.com</t>
  </si>
  <si>
    <t>geisoncamacho56@gmail.com</t>
  </si>
  <si>
    <t>rlu9063@gmail.com</t>
  </si>
  <si>
    <t>ingporcolombia@gmail.com</t>
  </si>
  <si>
    <t>wilsontato32@gmail.com</t>
  </si>
  <si>
    <t>tecnidetltda@gmail.com</t>
  </si>
  <si>
    <t>jaime.garzon76@gmail.com</t>
  </si>
  <si>
    <t>gabrielzarabanda04@gmail.com</t>
  </si>
  <si>
    <t>juancajimenez76@gmail.com</t>
  </si>
  <si>
    <t>mauricio-ballesteros@hotmail.com</t>
  </si>
  <si>
    <t>alex_synthes@yahoo.es</t>
  </si>
  <si>
    <t>joselekcuspoca@hotmail.com</t>
  </si>
  <si>
    <t>libardobautista@hotmail.com</t>
  </si>
  <si>
    <t>holrivito@hotmail.com</t>
  </si>
  <si>
    <t>paolaguevarab710@gmail.com</t>
  </si>
  <si>
    <t>gustavojimenezs@gmail.com</t>
  </si>
  <si>
    <t>dannyroalexander@gmail.com</t>
  </si>
  <si>
    <t>miltonbri75@gmail.com</t>
  </si>
  <si>
    <t>william.f.d@hotmail.com</t>
  </si>
  <si>
    <t>oscarpizac2@gmail.com</t>
  </si>
  <si>
    <t>WLRICO83@gmail.com</t>
  </si>
  <si>
    <t>miangel_jb@yahoo.es</t>
  </si>
  <si>
    <t>GERMANCELY@YAHOO.ES</t>
  </si>
  <si>
    <t>bector23@hotmail.com</t>
  </si>
  <si>
    <t>jorgeenriqueqp@hotmail.com</t>
  </si>
  <si>
    <t>yoyeduitama@gmail.com</t>
  </si>
  <si>
    <t>hugonelsonreyes75@gmail.com</t>
  </si>
  <si>
    <t>wjchara@gmail.com</t>
  </si>
  <si>
    <t>dianissmejii99@gmail.com</t>
  </si>
  <si>
    <t>orlandoparadam017@gmail.com</t>
  </si>
  <si>
    <t>crobayo458@gmail.com</t>
  </si>
  <si>
    <t>angelmiromorenobaez@gmail.com</t>
  </si>
  <si>
    <t>torresprietoeduardo570@gmail.com</t>
  </si>
  <si>
    <t>manuelantoniobecerrabecerra@gmail.com</t>
  </si>
  <si>
    <t>armandorondonbuitrago@yahoo.es</t>
  </si>
  <si>
    <t>miltonrodri_25@hotmail.com</t>
  </si>
  <si>
    <t>guevarawilson06@gmail.com</t>
  </si>
  <si>
    <t>jairoalejandrobecerrabonza@gmail.com</t>
  </si>
  <si>
    <t>wilsongomez655@hotmail.com</t>
  </si>
  <si>
    <t>amilkar_grimaldos@hotmail.com</t>
  </si>
  <si>
    <t>cristianpiton@hotmail.com</t>
  </si>
  <si>
    <t>julin49676@gmail.com</t>
  </si>
  <si>
    <t>migelangelyuyu@gmail.com</t>
  </si>
  <si>
    <t>luisacastiblanco@yahoo.es</t>
  </si>
  <si>
    <t>nmorantes76@yahoo.es</t>
  </si>
  <si>
    <t>ricardoalonso0276@gmail.com</t>
  </si>
  <si>
    <t>alejandronomesqe@hotmail.com</t>
  </si>
  <si>
    <t>eduarelectric@yahoo.com</t>
  </si>
  <si>
    <t>carlos.gomez@jesuseucaristia.edu.co</t>
  </si>
  <si>
    <t>wilson.pedraza.diaz@gmail.com</t>
  </si>
  <si>
    <t>johncpd4@gmail.com</t>
  </si>
  <si>
    <t>jonelfon@gmail.com</t>
  </si>
  <si>
    <t>arnulforc14@hotmail.com</t>
  </si>
  <si>
    <t>ecamargom@gmail.com</t>
  </si>
  <si>
    <t>ivanballesterosc@gmail.com</t>
  </si>
  <si>
    <t>darylu011@gmail.com</t>
  </si>
  <si>
    <t>oscar.camargo534@casur.gov.co</t>
  </si>
  <si>
    <t>juancarloscombarizavargas@gmail.com</t>
  </si>
  <si>
    <t>cesarupc1995@gmail.com</t>
  </si>
  <si>
    <t>hernando.hgg@gmail.com</t>
  </si>
  <si>
    <t>edwrosas@gmail.com</t>
  </si>
  <si>
    <t>omardatorres22@gmail.com</t>
  </si>
  <si>
    <t>daladiermed76@yahoo.com</t>
  </si>
  <si>
    <t>anyelinvelandia25@hotmail.com</t>
  </si>
  <si>
    <t>juliceloarima@yahoo.es</t>
  </si>
  <si>
    <t>jorgebaez1976@gmail.com</t>
  </si>
  <si>
    <t>nelson5palacios@gmail.com</t>
  </si>
  <si>
    <t>rafgotor@gmail.com</t>
  </si>
  <si>
    <t>jairo.pabon75@gmail.com</t>
  </si>
  <si>
    <t>angelsamuel0318@gmail.com</t>
  </si>
  <si>
    <t>neancear@gmail.com</t>
  </si>
  <si>
    <t>libertadoresfstp@gmail.com</t>
  </si>
  <si>
    <t>mariosuareztovar@gmail.com</t>
  </si>
  <si>
    <t>javieracg33@yahoo.com</t>
  </si>
  <si>
    <t>hejamahu@live.com</t>
  </si>
  <si>
    <t>maurofonsk77@gmail.com</t>
  </si>
  <si>
    <t>jose8a19@gmail.com</t>
  </si>
  <si>
    <t>wilbcami@hotmail.com</t>
  </si>
  <si>
    <t>william.patarroyo.wp@gmail.com</t>
  </si>
  <si>
    <t>Marcoantoniorodriguezgallo74@gmail.com</t>
  </si>
  <si>
    <t>infantilesmimunequita@gmail.com</t>
  </si>
  <si>
    <t>hugoserranouscategui@gmail.com</t>
  </si>
  <si>
    <t>jorgeariasgasnatural@hotmail.com</t>
  </si>
  <si>
    <t>sofiahurtado0816@gmail.com</t>
  </si>
  <si>
    <t>fredysuper312@gmail.com</t>
  </si>
  <si>
    <t>truckspartsservice@gmail.com</t>
  </si>
  <si>
    <t>elimarbecher@gmail.com</t>
  </si>
  <si>
    <t>vivisvillamizar846@gmail.com</t>
  </si>
  <si>
    <t>mhhi1976@hotmail.com</t>
  </si>
  <si>
    <t>nelsonroman0825@gmail.com</t>
  </si>
  <si>
    <t>1975sandromojica@gmail.com</t>
  </si>
  <si>
    <t>digobe77@gmail.com</t>
  </si>
  <si>
    <t>jsanabriat@gmail.com</t>
  </si>
  <si>
    <t>jimerba19@gmail.com</t>
  </si>
  <si>
    <t>rolandocarrillovargas@hotmail.com</t>
  </si>
  <si>
    <t>luisignaciosoler01@gmail.com</t>
  </si>
  <si>
    <t>lucafipe1@hotmail.com</t>
  </si>
  <si>
    <t>emiliofiquitiva230@gmail.com</t>
  </si>
  <si>
    <t>wbernalmejia@gmail.com</t>
  </si>
  <si>
    <t>josealfonso.ingem@gmail.com</t>
  </si>
  <si>
    <t>molanoluis927@gmail.com</t>
  </si>
  <si>
    <t>ignaciorojas@gmail.com</t>
  </si>
  <si>
    <t>EDWIN.NITOLA@gmail.com</t>
  </si>
  <si>
    <t>fmelectrotecnica77@hotmail.com</t>
  </si>
  <si>
    <t>morenowillian905@gmail.com</t>
  </si>
  <si>
    <t>ferchodue@outlook.es</t>
  </si>
  <si>
    <t>ivanmatallanam@yahoo.com</t>
  </si>
  <si>
    <t>nleonelddaza@gmail.com</t>
  </si>
  <si>
    <t>heinarcastro.22222@gmail.com</t>
  </si>
  <si>
    <t>moredylan2816@gmail.com</t>
  </si>
  <si>
    <t>andresrodriguez12@yahoo.com</t>
  </si>
  <si>
    <t>edgarvasquez2024@hotmail.com</t>
  </si>
  <si>
    <t>malcada77@yahoo.com</t>
  </si>
  <si>
    <t>jrsilva@postobon.com.co</t>
  </si>
  <si>
    <t>wilsontorresrodriguez4@gmail.com</t>
  </si>
  <si>
    <t>nelsonroco@gmail.com</t>
  </si>
  <si>
    <t>nggomezrincon@gmail.com</t>
  </si>
  <si>
    <t>yeoha556@gmail.com</t>
  </si>
  <si>
    <t>carlosjmoreno7@gmail.com</t>
  </si>
  <si>
    <t>psegundobenjamin@yahoo.com</t>
  </si>
  <si>
    <t>gioparra@hotmail.com</t>
  </si>
  <si>
    <t>leofonck@gmail.com</t>
  </si>
  <si>
    <t>oasm86@hotmail.com</t>
  </si>
  <si>
    <t>jairoguevara170@hotmail.com</t>
  </si>
  <si>
    <t>miltonespejo2019@gmail.com</t>
  </si>
  <si>
    <t>fernandocamelop@hotmail.com</t>
  </si>
  <si>
    <t>agudeloed@yahoo.com</t>
  </si>
  <si>
    <t>fredyadavila@gmail.com</t>
  </si>
  <si>
    <t>richarc33@gmail.com</t>
  </si>
  <si>
    <t>tradicionferretera@gmail.com</t>
  </si>
  <si>
    <t>edwinniñodiaz44@gmail.com</t>
  </si>
  <si>
    <t>freddyariza1976@gmail.com</t>
  </si>
  <si>
    <t>pedrazanelsonmauricio@gmail.com</t>
  </si>
  <si>
    <t>contabilidadservitecsa@gmail.com</t>
  </si>
  <si>
    <t>luisraulespindolaperez@gmail.com</t>
  </si>
  <si>
    <t>yeferssonmedina@gmail.com</t>
  </si>
  <si>
    <t>juancarlosvalenzuela.abogados@gmail.com</t>
  </si>
  <si>
    <t>jcdr@gmail.com</t>
  </si>
  <si>
    <t>juliolibardoc@hotmail.com</t>
  </si>
  <si>
    <t>jeisonefren@hotmail.com</t>
  </si>
  <si>
    <t>jchaparroru2@hotmail.com</t>
  </si>
  <si>
    <t>jibq1677s@gmail.com</t>
  </si>
  <si>
    <t>tatiquiroga18@gmail.com</t>
  </si>
  <si>
    <t>solanofer091@gmail.com</t>
  </si>
  <si>
    <t>esneider77silva@hotmail.com</t>
  </si>
  <si>
    <t>aleman1368@gmail.com</t>
  </si>
  <si>
    <t>calerome28@yahoo.es</t>
  </si>
  <si>
    <t>carlos.contrerasf77@gmail.com</t>
  </si>
  <si>
    <t>alisanpe7709@gmail.com</t>
  </si>
  <si>
    <t>javieralexanderlara@gmail.com</t>
  </si>
  <si>
    <t>gtialejo1977@hotmail.com</t>
  </si>
  <si>
    <t>josemar907@hotmail.com</t>
  </si>
  <si>
    <t>jairoaponte51@gmail.com</t>
  </si>
  <si>
    <t>wagb29@hotmail.com</t>
  </si>
  <si>
    <t>espindola110477@hotmail.com</t>
  </si>
  <si>
    <t>Gdvdc666@gmail.com</t>
  </si>
  <si>
    <t>hugorincontul178@gmail.com</t>
  </si>
  <si>
    <t>geovanypat.ingesol@gmail.com</t>
  </si>
  <si>
    <t>gerardo.segomez@gmail.com</t>
  </si>
  <si>
    <t>maxi.minoj2016@gmail.com</t>
  </si>
  <si>
    <t>alexander.montanez@correo.policia.gov.co</t>
  </si>
  <si>
    <t>ricardoapita47@gmail.com</t>
  </si>
  <si>
    <t>angela.amezquita01@uptc.edu.co</t>
  </si>
  <si>
    <t>juanca78sant@gmail.com</t>
  </si>
  <si>
    <t>ecovidaforestal@gmail.com</t>
  </si>
  <si>
    <t>henry.vargas1616@gmail.com</t>
  </si>
  <si>
    <t>xspreym@hotmail.com</t>
  </si>
  <si>
    <t>gustavomolano864@gmail.com</t>
  </si>
  <si>
    <t>alejoherg@hotmail.com</t>
  </si>
  <si>
    <t>camargozp110901@hotmail.com</t>
  </si>
  <si>
    <t>cial77sogo@gmail.com</t>
  </si>
  <si>
    <t>dioscar_rosas@hotmail.com</t>
  </si>
  <si>
    <t>leonfranantonio@gmail.com</t>
  </si>
  <si>
    <t>cettobito@gmail.com</t>
  </si>
  <si>
    <t>alfredo7800@gmail.com</t>
  </si>
  <si>
    <t>yorsjark24@hotmail.com</t>
  </si>
  <si>
    <t>ERWINDIAZ19771122@gmail.com</t>
  </si>
  <si>
    <t>anyuliethcontrrasguerrero@gmail.com</t>
  </si>
  <si>
    <t>alonsocastellanosizaquita@gmail.com</t>
  </si>
  <si>
    <t>remleoala@hotmail.com</t>
  </si>
  <si>
    <t>sanjose5657@gmail.com</t>
  </si>
  <si>
    <t>jujosa2017@gmail.com</t>
  </si>
  <si>
    <t>gblancojaime78@gmail.com</t>
  </si>
  <si>
    <t>juanpabloninodiaz@yahoo.com</t>
  </si>
  <si>
    <t>edwingalindo123@hotmail.com</t>
  </si>
  <si>
    <t>herctorvc824@gmail.com</t>
  </si>
  <si>
    <t>jjarguello@outlook.es</t>
  </si>
  <si>
    <t>javiertoam@hotmail.com</t>
  </si>
  <si>
    <t>eliasp15@hotmail.com</t>
  </si>
  <si>
    <t>clajai19798@hotmail.com</t>
  </si>
  <si>
    <t>daneord@icloud.com</t>
  </si>
  <si>
    <t>ozx13@hotmail.com</t>
  </si>
  <si>
    <t>bricenomartinezo@gmail.com</t>
  </si>
  <si>
    <t>osc.gon@gmail.com</t>
  </si>
  <si>
    <t>josianpedraza@gmail.com</t>
  </si>
  <si>
    <t>fercho-78@hotmail.com</t>
  </si>
  <si>
    <t>edw2faj@gmail.com</t>
  </si>
  <si>
    <t>ardila.jorge@gmail.com</t>
  </si>
  <si>
    <t>javierchaparro055@gmail.com</t>
  </si>
  <si>
    <t>drcolmenares10@gmail.com</t>
  </si>
  <si>
    <t>juanbec952@gmail.com</t>
  </si>
  <si>
    <t>cabehi@yahoo.com</t>
  </si>
  <si>
    <t>jomagoni1978@gmail.com</t>
  </si>
  <si>
    <t>williams.merchan@gmail.com</t>
  </si>
  <si>
    <t>infantejose195@gmail.com</t>
  </si>
  <si>
    <t>fabergus.78@gmail.com</t>
  </si>
  <si>
    <t>candreschaparro13@gmail.com</t>
  </si>
  <si>
    <t>orlando473330@gmail.com</t>
  </si>
  <si>
    <t>romancho1@hotmail.com</t>
  </si>
  <si>
    <t>rafitatristancho@gmail.com</t>
  </si>
  <si>
    <t>cevarco@yahoo.es</t>
  </si>
  <si>
    <t>fredy_galindo@hotmail.com</t>
  </si>
  <si>
    <t>alexfatal@hotmail.com</t>
  </si>
  <si>
    <t>leidy290495@gmail.com</t>
  </si>
  <si>
    <t>jorgeeyaquen@hotmail.com</t>
  </si>
  <si>
    <t>CENTROALUM@hotmail.com</t>
  </si>
  <si>
    <t>facturacionalex85@hotmail.com</t>
  </si>
  <si>
    <t>cristanchoalbeirus@gmail.com</t>
  </si>
  <si>
    <t>ingenierogeologocristian@gmail.com</t>
  </si>
  <si>
    <t>yesidvale@hotmail.com</t>
  </si>
  <si>
    <t>corronbo@hotmail.com</t>
  </si>
  <si>
    <t>macotri77@gmail.com</t>
  </si>
  <si>
    <t>jhonadelvalero@gmail.com</t>
  </si>
  <si>
    <t>juangomez3538@gmail.com</t>
  </si>
  <si>
    <t>fredyvillamizar0407@hotmail.com</t>
  </si>
  <si>
    <t>juanzo1978@hotmail.com</t>
  </si>
  <si>
    <t>pedrocamargo31@hotmail.com</t>
  </si>
  <si>
    <t>gelmanapp@yahoo.com</t>
  </si>
  <si>
    <t>josesanabria.29@gmail.com</t>
  </si>
  <si>
    <t>ricardo18_78@hotmail.com</t>
  </si>
  <si>
    <t>richarhernandezvivas@gmail.com</t>
  </si>
  <si>
    <t>luarrodrigueznino@gmail.com</t>
  </si>
  <si>
    <t>dtsj.ingeneria@gmail.com</t>
  </si>
  <si>
    <t>j.tobito@gmail.com</t>
  </si>
  <si>
    <t>CHINAZO26@hotmail.com</t>
  </si>
  <si>
    <t>fbbotia@gmail.com</t>
  </si>
  <si>
    <t>lidayazminartinez@hotmail.com</t>
  </si>
  <si>
    <t>diickriicardo@gmail.com</t>
  </si>
  <si>
    <t>gjolman349@gmail.com</t>
  </si>
  <si>
    <t>neitaguio@gmail.com</t>
  </si>
  <si>
    <t>willblancog@gmail.com</t>
  </si>
  <si>
    <t>rcamachozafra@yahoo.es</t>
  </si>
  <si>
    <t>divinoastro7909@gmail.com</t>
  </si>
  <si>
    <t>pulidonelson21@gmail.com</t>
  </si>
  <si>
    <t>dominus12@hotmail.com</t>
  </si>
  <si>
    <t>luhoayala79@yahoo.es</t>
  </si>
  <si>
    <t>freddy.macro@gmail.com</t>
  </si>
  <si>
    <t>jennymil2707@gmail.com</t>
  </si>
  <si>
    <t>fredybaezv@gmail.com</t>
  </si>
  <si>
    <t>johnatan89@gmail.com</t>
  </si>
  <si>
    <t>w.rivera2112@hotmail.com</t>
  </si>
  <si>
    <t>giovani.fervet@gmail.com</t>
  </si>
  <si>
    <t>giraldomolano2012@hotmail.com</t>
  </si>
  <si>
    <t>miguelvr_07@hotmail.com</t>
  </si>
  <si>
    <t>rensoparra03@gmail.com</t>
  </si>
  <si>
    <t>nocuaedwin@yahoo.es</t>
  </si>
  <si>
    <t>miguerdotto@hotmail.com</t>
  </si>
  <si>
    <t>lraigosov@hotmail.com</t>
  </si>
  <si>
    <t>aguilar0306@gmail.com</t>
  </si>
  <si>
    <t>cargeal@gmail.com</t>
  </si>
  <si>
    <t>yolysbarrera@gmail.com</t>
  </si>
  <si>
    <t>nefacu@hotmail.com</t>
  </si>
  <si>
    <t>juanvicentecr@yahoo.com.co</t>
  </si>
  <si>
    <t>pedrojlp@hotmail.com</t>
  </si>
  <si>
    <t>uyasan67@gmail.com</t>
  </si>
  <si>
    <t>marzoeyod79@hotmail.com</t>
  </si>
  <si>
    <t>jeac1804@gmail.com</t>
  </si>
  <si>
    <t>deltaseg2010@gmail.com</t>
  </si>
  <si>
    <t>rutmary2078@gmail.com</t>
  </si>
  <si>
    <t>lacasadelcromo@gmail.com</t>
  </si>
  <si>
    <t>darioolarte@yahoo.com</t>
  </si>
  <si>
    <t>marianayibec56@gmail.com</t>
  </si>
  <si>
    <t>guiovanniantonioreyesserrano@gmail.com</t>
  </si>
  <si>
    <t>osc_vanegas@misena.edu.co</t>
  </si>
  <si>
    <t>vcduitama@hotmail.com</t>
  </si>
  <si>
    <t>rosagnozalez215872@gmail.com</t>
  </si>
  <si>
    <t>beto_v7474@hotmail.com</t>
  </si>
  <si>
    <t>sanchezcendales@gmail.com</t>
  </si>
  <si>
    <t>wilsonengativa@gmail.com</t>
  </si>
  <si>
    <t>dmolano.rueda@gmail.com</t>
  </si>
  <si>
    <t>oterolalo@gmail.com</t>
  </si>
  <si>
    <t>yovani1242@gmail.com</t>
  </si>
  <si>
    <t>samuelfercho@hotmail.com</t>
  </si>
  <si>
    <t>luiscarlos1617@hotmail.com</t>
  </si>
  <si>
    <t>daniel.avila.pita@gmail.com</t>
  </si>
  <si>
    <t>orlandoortiz28@gmail.com</t>
  </si>
  <si>
    <t>aucale@hotmail.com</t>
  </si>
  <si>
    <t>ingcesar@gmail.com</t>
  </si>
  <si>
    <t>juanpis473@hotmail.com</t>
  </si>
  <si>
    <t>belymartinez@gmail.com</t>
  </si>
  <si>
    <t>fernandos_33@hotmail.com</t>
  </si>
  <si>
    <t>facturalagranja@hotmail.com</t>
  </si>
  <si>
    <t>gallodazaj1979@gmail.com</t>
  </si>
  <si>
    <t>freal54@hotmail.com</t>
  </si>
  <si>
    <t>rodrigoceli33@gmail.com</t>
  </si>
  <si>
    <t>nelsonmorales93@yahoo.es</t>
  </si>
  <si>
    <t>alfagahi95@yahoo.es</t>
  </si>
  <si>
    <t>rpulido829@gmail.com</t>
  </si>
  <si>
    <t>plasmando@gmail.com</t>
  </si>
  <si>
    <t>luzg88492@gmail.com</t>
  </si>
  <si>
    <t>carlitosamostos79@gmail.com</t>
  </si>
  <si>
    <t>carvajalpedraza@gmail.com</t>
  </si>
  <si>
    <t>lucian_z@yahoo.es</t>
  </si>
  <si>
    <t>molanojuan221@gmail.com</t>
  </si>
  <si>
    <t>julrojas012@gmail.com</t>
  </si>
  <si>
    <t>emir.arasu79@gmail.com</t>
  </si>
  <si>
    <t>acostaw606@gmail.com</t>
  </si>
  <si>
    <t>tavosanabrialozano@hotmail.com</t>
  </si>
  <si>
    <t>fmoisocoy@gmail.com</t>
  </si>
  <si>
    <t>javier.adolfo@gmail.com</t>
  </si>
  <si>
    <t>cesargonzalezpamplo@hotmail.com</t>
  </si>
  <si>
    <t>dalrou1@yahoo.com</t>
  </si>
  <si>
    <t>leolizarazo8@gmail.com</t>
  </si>
  <si>
    <t>manuelparadakiss@gmail.com</t>
  </si>
  <si>
    <t>javier.cardenas79@hotmail.com</t>
  </si>
  <si>
    <t>jimmyale79@hotmail.com</t>
  </si>
  <si>
    <t>mdcjairobonilla@hotmail.com</t>
  </si>
  <si>
    <t>willmrqz@gmail.com</t>
  </si>
  <si>
    <t>chaparrojavier122@gmail.com</t>
  </si>
  <si>
    <t>javierfm1424@gmail.com</t>
  </si>
  <si>
    <t>donadrivargas@hotmail.com</t>
  </si>
  <si>
    <t>jomialba7911@hotmail.com</t>
  </si>
  <si>
    <t>yobanycristancho@gmail.com</t>
  </si>
  <si>
    <t>mlucerito133@gmail.com</t>
  </si>
  <si>
    <t>muebleslacapilla@yahoo.com</t>
  </si>
  <si>
    <t>eliecertamara@gmail.com</t>
  </si>
  <si>
    <t>f.valderrama@javeriana.edu.co</t>
  </si>
  <si>
    <t>parracamaccho2020@gmail.com</t>
  </si>
  <si>
    <t>wimar23@hotmail.com</t>
  </si>
  <si>
    <t>omar8az@hotmail.com</t>
  </si>
  <si>
    <t>jeimysepulveda79@gmail.com</t>
  </si>
  <si>
    <t>ximena1510@hotmail.com</t>
  </si>
  <si>
    <t>orlandopc@msn.com</t>
  </si>
  <si>
    <t>mauroya102@gmail.com</t>
  </si>
  <si>
    <t>segundochaparro@yahoo.es</t>
  </si>
  <si>
    <t>josealbertoparrarivera@gmail.com</t>
  </si>
  <si>
    <t>williamvargascg@gmail.com</t>
  </si>
  <si>
    <t>ditecom@hotmail.com</t>
  </si>
  <si>
    <t>oscarjavierrojas@gmail.com</t>
  </si>
  <si>
    <t>soymiangel.b@gmail.com</t>
  </si>
  <si>
    <t>luisapriento79@gmail.com</t>
  </si>
  <si>
    <t>farit2000@hotmail.com</t>
  </si>
  <si>
    <t>penagurinjoseantoni@gmail.com</t>
  </si>
  <si>
    <t>aawer16@gmail.com</t>
  </si>
  <si>
    <t>jaimesneyther2229@gmail.com</t>
  </si>
  <si>
    <t>joseedison088@hotmail.com</t>
  </si>
  <si>
    <t>yovaflor@hotmail.com</t>
  </si>
  <si>
    <t>jaimitoortiz65@gmail.com</t>
  </si>
  <si>
    <t>nelson.sotaquira@hotmail.com</t>
  </si>
  <si>
    <t>henrycristiano32@gmail.com</t>
  </si>
  <si>
    <t>laura.0322@hotmail.com</t>
  </si>
  <si>
    <t>mariodiaz0127@yahoo.com</t>
  </si>
  <si>
    <t>victor.alfonso1726@gmail.com</t>
  </si>
  <si>
    <t>luis.alex.j05@gmail.com</t>
  </si>
  <si>
    <t>marystllaricaurte11@gmail.com</t>
  </si>
  <si>
    <t>javiersanchezavila2019@gmail.com</t>
  </si>
  <si>
    <t>JCBLANCOING@hotmail.com</t>
  </si>
  <si>
    <t>josegermanm27@gmail.com</t>
  </si>
  <si>
    <t>alex62020@hotmail.com</t>
  </si>
  <si>
    <t>tekrelmed@gmail.com</t>
  </si>
  <si>
    <t>pablo1.cam@gmail.com</t>
  </si>
  <si>
    <t>carlosjp24@yahoo.es</t>
  </si>
  <si>
    <t>vargasarmando572@gmail.com</t>
  </si>
  <si>
    <t>ruizjaime219@gmail.com</t>
  </si>
  <si>
    <t>rickymoreno162@gmail.com</t>
  </si>
  <si>
    <t>armandocely@gmail.com</t>
  </si>
  <si>
    <t>ANIBALB45@gmail.com</t>
  </si>
  <si>
    <t>giovanygustavo720@gmail.com</t>
  </si>
  <si>
    <t>alcizv@outlook.com</t>
  </si>
  <si>
    <t>OMAR-GARCIA66@HOTMAIL.COM</t>
  </si>
  <si>
    <t>fernely.verdugo@hotmail.com</t>
  </si>
  <si>
    <t>oscarjulian.chaparro@gmail.com</t>
  </si>
  <si>
    <t>henrryarango07@gmail.com</t>
  </si>
  <si>
    <t>ronaldgomez261980@gmail.com</t>
  </si>
  <si>
    <t>ismaelcamargo@hotmail.com</t>
  </si>
  <si>
    <t>julian-barragan@hotmail.com</t>
  </si>
  <si>
    <t>bandiego526@hotmail.com</t>
  </si>
  <si>
    <t>luismiguelestupinan@gmail.com</t>
  </si>
  <si>
    <t>yeisonrueda@gmail.com</t>
  </si>
  <si>
    <t>vibramtk@gmail.com</t>
  </si>
  <si>
    <t>javiervillamizartrasolsas@gmail.com</t>
  </si>
  <si>
    <t>llanosalexis@hotmail.com</t>
  </si>
  <si>
    <t>descartes918@hotmail.com</t>
  </si>
  <si>
    <t>ralf1581@hotmail.com</t>
  </si>
  <si>
    <t>alexbernal2426@hotmail.com</t>
  </si>
  <si>
    <t>leandromartinez80@hotmail.com</t>
  </si>
  <si>
    <t>nolbertocruz2808@hotmail.com</t>
  </si>
  <si>
    <t>carlosemiroaraquearaque@gmail.com</t>
  </si>
  <si>
    <t>williamarenas.facturacion2020@gmail.com</t>
  </si>
  <si>
    <t>Adriancastanedaalvarado5@gmail.com</t>
  </si>
  <si>
    <t>garciaand@gmail.com</t>
  </si>
  <si>
    <t>mgta.camargo9@gmail.com</t>
  </si>
  <si>
    <t>mauricio.fonsecabarrera@gmail.com</t>
  </si>
  <si>
    <t>wilincho80@gmail.com</t>
  </si>
  <si>
    <t>wilreyes80@hotmail.com</t>
  </si>
  <si>
    <t>galeno2023j@gmail.com</t>
  </si>
  <si>
    <t>fredypgasnatural@gmail.com</t>
  </si>
  <si>
    <t>edwincristancho.abogados@gmail.com</t>
  </si>
  <si>
    <t>ingronaldrojas@outlook.com</t>
  </si>
  <si>
    <t>guillo_555@hotmail.com</t>
  </si>
  <si>
    <t>german_edu2000@yahoo.com</t>
  </si>
  <si>
    <t>holmanhfonseca@gmail.com</t>
  </si>
  <si>
    <t>edwartorrec@hotmail.com</t>
  </si>
  <si>
    <t>mauricioo811@gmail.com</t>
  </si>
  <si>
    <t>diegofer106@yahoo.com</t>
  </si>
  <si>
    <t>bomfam82a@gmail.com</t>
  </si>
  <si>
    <t>monsalves@outlook.com</t>
  </si>
  <si>
    <t>eduardo.f35@hotmail.com</t>
  </si>
  <si>
    <t>fuerte_selva_auxilio@hotmail.es</t>
  </si>
  <si>
    <t>nicolasmoreno3219984667@gmail.com</t>
  </si>
  <si>
    <t>rivera2017alfonso@gmail.com</t>
  </si>
  <si>
    <t>alexleal8@gmail.com</t>
  </si>
  <si>
    <t>vieftorres@yahoo.es</t>
  </si>
  <si>
    <t>rojashumberto6@gmail.com</t>
  </si>
  <si>
    <t>dialemagnos@gmail.com</t>
  </si>
  <si>
    <t>ricardocorredorg@gmail.com</t>
  </si>
  <si>
    <t>oswaldgrosso@gmail.com</t>
  </si>
  <si>
    <t>germandario2302@gmail.com</t>
  </si>
  <si>
    <t>silviamilenaolarte@gmail.com</t>
  </si>
  <si>
    <t>carloschaparro0808@gmail.com</t>
  </si>
  <si>
    <t>join7924@hotmail.com</t>
  </si>
  <si>
    <t>willianl@hotmail.com</t>
  </si>
  <si>
    <t>puertomauricio80@hotmail.com</t>
  </si>
  <si>
    <t>facturacionservicampo@hotmail.com</t>
  </si>
  <si>
    <t>juank1780@hotmail.com</t>
  </si>
  <si>
    <t>locohperez@hotmail.com</t>
  </si>
  <si>
    <t>fredymalpik80@gmail.com</t>
  </si>
  <si>
    <t>yemert03@hotmail.com</t>
  </si>
  <si>
    <t>ferchom80@gmail.com</t>
  </si>
  <si>
    <t>kmil04@hotmail.com</t>
  </si>
  <si>
    <t>luiscarlossanabria@gmail.com</t>
  </si>
  <si>
    <t>a2g1980@gmail.com</t>
  </si>
  <si>
    <t>adamejuan@gmail.com</t>
  </si>
  <si>
    <t>jfpa80@yahoo.com</t>
  </si>
  <si>
    <t>ING.MONTERO@GMAIL.COM</t>
  </si>
  <si>
    <t>fermateus26@hotmail.com</t>
  </si>
  <si>
    <t>joanlohi.admon@gmail.com</t>
  </si>
  <si>
    <t>giovansuarez@hotmail.com</t>
  </si>
  <si>
    <t>geol92@gmail.com</t>
  </si>
  <si>
    <t>roberbaezmar@gmail.com</t>
  </si>
  <si>
    <t>fredyman1324@yahoo.es</t>
  </si>
  <si>
    <t>ingerasiva@gmail.com</t>
  </si>
  <si>
    <t>edwin.amaya29@hotmail.com</t>
  </si>
  <si>
    <t>oscarfernando11@hotmail.com</t>
  </si>
  <si>
    <t>ferneyalvarado1@gmail.com</t>
  </si>
  <si>
    <t>familiatorrestuta@gmail.com</t>
  </si>
  <si>
    <t>cafr-k@hotmail.com</t>
  </si>
  <si>
    <t>rrolosan@hotmail.com</t>
  </si>
  <si>
    <t>libardo.alvarez.pinzon@gmail.com</t>
  </si>
  <si>
    <t>opoveda8101@gmail.com</t>
  </si>
  <si>
    <t>jhonbaez04@gmail.com</t>
  </si>
  <si>
    <t>victorg.vg20@gmail.com</t>
  </si>
  <si>
    <t>jaimurris22@gmail.com</t>
  </si>
  <si>
    <t>pabloenriquelopezhurtado464@gmail.com</t>
  </si>
  <si>
    <t>willyfuxia2015@gmail.com</t>
  </si>
  <si>
    <t>angelcastor999@gmail.com</t>
  </si>
  <si>
    <t>acarrenh@gmail.com</t>
  </si>
  <si>
    <t>jbarrerasiaucho@gmail.com</t>
  </si>
  <si>
    <t>marmafe56@hotmail.com</t>
  </si>
  <si>
    <t>quinte-79@hotmail.com</t>
  </si>
  <si>
    <t>wilmansch29@gmail.com</t>
  </si>
  <si>
    <t>nunesjairo884@gmail.com</t>
  </si>
  <si>
    <t>leovillate81@gmail.com</t>
  </si>
  <si>
    <t>ing.juantorresducon@gmail.com</t>
  </si>
  <si>
    <t>capejalex@hotmail.com</t>
  </si>
  <si>
    <t>nanoo012@gmail.com</t>
  </si>
  <si>
    <t>jimmypoblador3@hotmail.com</t>
  </si>
  <si>
    <t>germanvargas5633@gmail.com</t>
  </si>
  <si>
    <t>luisrodolfocely@gmail.com</t>
  </si>
  <si>
    <t>quintykora@gmail.com</t>
  </si>
  <si>
    <t>wilfredo@hotmail.com</t>
  </si>
  <si>
    <t>angelmariapuentes96@gmail.com</t>
  </si>
  <si>
    <t>richaparro@hotmail.com</t>
  </si>
  <si>
    <t>edgopin@gmail.com</t>
  </si>
  <si>
    <t>hectormerchan74@gmail.com</t>
  </si>
  <si>
    <t>jg519329@gmail.com</t>
  </si>
  <si>
    <t>belkyns.tapias@hotmail.com</t>
  </si>
  <si>
    <t>josericardoperezc@gmail.com</t>
  </si>
  <si>
    <t>jfriano8133@gmail.com</t>
  </si>
  <si>
    <t>flaminioc1981@hotmail.com</t>
  </si>
  <si>
    <t>josecuy@gmail.com</t>
  </si>
  <si>
    <t>wrodriguezamen@gmail.com</t>
  </si>
  <si>
    <t>betobelen1952@gmail.com</t>
  </si>
  <si>
    <t>archiladazad@gmail.com</t>
  </si>
  <si>
    <t>diegorincon93@hotmail.com</t>
  </si>
  <si>
    <t>jairo.fernando.carvajal@gmail.com</t>
  </si>
  <si>
    <t>ing.ricardo.alrs@gmail.com</t>
  </si>
  <si>
    <t>camiloalbertobecerra711@gmail.com</t>
  </si>
  <si>
    <t>alejopaipa174@gmail.com</t>
  </si>
  <si>
    <t>leonardop0611@yahoo.com</t>
  </si>
  <si>
    <t>afracris26@gmail.com</t>
  </si>
  <si>
    <t>dariopuerto94@gmail.com</t>
  </si>
  <si>
    <t>jg7245545@gmail.com</t>
  </si>
  <si>
    <t>alexaderbecerra82@hotmail.com</t>
  </si>
  <si>
    <t>leonard_p86@yahoo.es</t>
  </si>
  <si>
    <t>fonsecaedgar81@hotmail.com</t>
  </si>
  <si>
    <t>milto_22@hotmail.com</t>
  </si>
  <si>
    <t>robertograciabecerra@gmail.com</t>
  </si>
  <si>
    <t>maho8006@gmail.com</t>
  </si>
  <si>
    <t>diegoarquitecto810@gmail.com</t>
  </si>
  <si>
    <t>cbarajasjuli@hotmail.com</t>
  </si>
  <si>
    <t>fermin_cava@hotmail.com</t>
  </si>
  <si>
    <t>ing.nestorsolano@gmail.com</t>
  </si>
  <si>
    <t>oscarni726@gmail.com</t>
  </si>
  <si>
    <t>facturacionwcw@hotmail.com</t>
  </si>
  <si>
    <t>yovany_camacho@yahoo.es</t>
  </si>
  <si>
    <t>castro2635@gmail.com</t>
  </si>
  <si>
    <t>gustvo86@hotmail.com</t>
  </si>
  <si>
    <t>karenjulianam47@gmail.com</t>
  </si>
  <si>
    <t>chaparroluis114@gmail.com</t>
  </si>
  <si>
    <t>rick.avendano@outlook.com</t>
  </si>
  <si>
    <t>kistriangarcia@gmail.com</t>
  </si>
  <si>
    <t>erosw_@hotmail.com</t>
  </si>
  <si>
    <t>carlitoslizarazo@gmail.com</t>
  </si>
  <si>
    <t>juancarlosgonzalezberdugo@gmail.com</t>
  </si>
  <si>
    <t>jandresnunez@hotmail.com</t>
  </si>
  <si>
    <t>alfredo336rojas@gmail.com</t>
  </si>
  <si>
    <t>darejp@gmail.com</t>
  </si>
  <si>
    <t>frojasleo@hotmail.com</t>
  </si>
  <si>
    <t>jfwaldomiro@gmail.com</t>
  </si>
  <si>
    <t>gsolano.medina@gmail.com</t>
  </si>
  <si>
    <t>edwinjavierherrerab@gmail.com</t>
  </si>
  <si>
    <t>compu-line@hotmail.com</t>
  </si>
  <si>
    <t>miguel.p.1981@hotmail.com</t>
  </si>
  <si>
    <t>wilsonjimenez_2013@hotmail.com</t>
  </si>
  <si>
    <t>pedroplazas81@gmail.com</t>
  </si>
  <si>
    <t>cesarcaromejia56@gmail.com</t>
  </si>
  <si>
    <t>edgardosanguino@yahoo.es</t>
  </si>
  <si>
    <t>carloserrodriguez81@gmail.com</t>
  </si>
  <si>
    <t>oscarbohorqueza@gmail.com</t>
  </si>
  <si>
    <t>jorgesalamanca1981@hotmail.com</t>
  </si>
  <si>
    <t>hectosh@gmail.com</t>
  </si>
  <si>
    <t>alexanderpita420@gmail.com</t>
  </si>
  <si>
    <t>rodrigoalbeirogt@gmail.com</t>
  </si>
  <si>
    <t>camiloespitiaasesor@gmail.com</t>
  </si>
  <si>
    <t>gdguio@hotmail.com</t>
  </si>
  <si>
    <t>dandresfm@hotmail.com</t>
  </si>
  <si>
    <t>niojalcn@yahoo.es</t>
  </si>
  <si>
    <t>inghernandobaron18@gmail.com</t>
  </si>
  <si>
    <t>wipi7437@hotmail.com</t>
  </si>
  <si>
    <t>wohrostins@gmail.com</t>
  </si>
  <si>
    <t>oramezquita1@hotmail.com</t>
  </si>
  <si>
    <t>cabeto.ramos@gmail.com</t>
  </si>
  <si>
    <t>javier.espindola073@gmail.com</t>
  </si>
  <si>
    <t>alejoalva354@gmail.com</t>
  </si>
  <si>
    <t>edisongc@hotmail.com</t>
  </si>
  <si>
    <t>crisnapi1508@hotmail.es</t>
  </si>
  <si>
    <t>fercho335@hotmail.com</t>
  </si>
  <si>
    <t>fernandez5400@hotmail.com</t>
  </si>
  <si>
    <t>jhobeto23@hotmail.com</t>
  </si>
  <si>
    <t>oscardth119@gmail.com</t>
  </si>
  <si>
    <t>julces1218@yahoo.es</t>
  </si>
  <si>
    <t>edwinycg81@gmail.com</t>
  </si>
  <si>
    <t>magalligf@yahoo.es</t>
  </si>
  <si>
    <t>wilsonfpita@gmail.com</t>
  </si>
  <si>
    <t>jaimewilliamc@yahoo.com</t>
  </si>
  <si>
    <t>willybernal2009@gmail.com</t>
  </si>
  <si>
    <t>luisenriquect@hotmail.com</t>
  </si>
  <si>
    <t>lgonzalezd757@hotmail.com</t>
  </si>
  <si>
    <t>ing.leonardocamargo@gmail.com</t>
  </si>
  <si>
    <t>MIREYACUBIDES@OUTLOOK.COM</t>
  </si>
  <si>
    <t>juangabrielsalamanca@hotmail.com</t>
  </si>
  <si>
    <t>emiparra1@hotmail.com</t>
  </si>
  <si>
    <t>rodomarq21@gmail.com</t>
  </si>
  <si>
    <t>alejaortiz111419@gmail.com</t>
  </si>
  <si>
    <t>carlos82chapa@gmail.com</t>
  </si>
  <si>
    <t>dyfreri@hotmail.com</t>
  </si>
  <si>
    <t>carloscucunuba1@gmail.com</t>
  </si>
  <si>
    <t>rolocamargo484@gmail.com</t>
  </si>
  <si>
    <t>alexandercoy02@gmail.com</t>
  </si>
  <si>
    <t>hjhcamargo@gmail.com</t>
  </si>
  <si>
    <t>edgarsanchezb@hotmail.com</t>
  </si>
  <si>
    <t>edwinagredo@gmail.com</t>
  </si>
  <si>
    <t>libardoholguinleon@gmail.com</t>
  </si>
  <si>
    <t>oswaldocm82@hotmail.com</t>
  </si>
  <si>
    <t>facturasjuanmanuel2295@gmail.com</t>
  </si>
  <si>
    <t>diegosanchezochoa@hotmail.com</t>
  </si>
  <si>
    <t>fredyalexanderr@hotmail.com</t>
  </si>
  <si>
    <t>wilsonmejia19801@gmail.com</t>
  </si>
  <si>
    <t>fazzpoli@hotmail.com</t>
  </si>
  <si>
    <t>thormanalexislopez@gmail.com</t>
  </si>
  <si>
    <t>arquitectojuaquinperea@gmail.com</t>
  </si>
  <si>
    <t>ingjaecrv@gmail.com</t>
  </si>
  <si>
    <t>arturovalvuena2@gmail.com</t>
  </si>
  <si>
    <t>mar.elen.ros@hotmail.com</t>
  </si>
  <si>
    <t>adrialexpri18@gmail.com</t>
  </si>
  <si>
    <t>diegoarmando8216@gmail.com</t>
  </si>
  <si>
    <t>giovanigalindo@gmail.com</t>
  </si>
  <si>
    <t>nacho.c28@gmail.com</t>
  </si>
  <si>
    <t>jhon3449438@gmail.com</t>
  </si>
  <si>
    <t>jomi2891@gmail.com</t>
  </si>
  <si>
    <t>edwinasilva11@gmail.com</t>
  </si>
  <si>
    <t>hernandococorosas@gmail.com</t>
  </si>
  <si>
    <t>riman571@hotmail.com</t>
  </si>
  <si>
    <t>mile14832464@gmail.com</t>
  </si>
  <si>
    <t>segucuy82@hotmail.com</t>
  </si>
  <si>
    <t>jchaparro82@gmail.com</t>
  </si>
  <si>
    <t>julietteliliam3@gmail.com</t>
  </si>
  <si>
    <t>suaseuriel@gmail.com</t>
  </si>
  <si>
    <t>karinagonzalezglv@gmail.com</t>
  </si>
  <si>
    <t>hyeffe@yahoo.es</t>
  </si>
  <si>
    <t>cesar.ulloa82@hotmail.com</t>
  </si>
  <si>
    <t>julianjoya198234@gmail.com</t>
  </si>
  <si>
    <t>oscar730@gmail.com</t>
  </si>
  <si>
    <t>higfonse.1983@hotmail.com</t>
  </si>
  <si>
    <t>joannieto82@gmail.com</t>
  </si>
  <si>
    <t>astridgomez177@gmail.com</t>
  </si>
  <si>
    <t>helcid@gmail.com</t>
  </si>
  <si>
    <t>peater111@hotmail.com</t>
  </si>
  <si>
    <t>apontesisajuancarlos@gmail.com</t>
  </si>
  <si>
    <t>gprietom@hotmail.com</t>
  </si>
  <si>
    <t>halejandro0946@gmail.com</t>
  </si>
  <si>
    <t>caturrope@hotmail.com</t>
  </si>
  <si>
    <t>edwingil1@live.com</t>
  </si>
  <si>
    <t>jgb_1982@yahoo.es</t>
  </si>
  <si>
    <t>luzda191@hotmail.com</t>
  </si>
  <si>
    <t>luisca.rodriguez@outlook.es</t>
  </si>
  <si>
    <t>Williamsedgardo82@gmail.com</t>
  </si>
  <si>
    <t>afvg20@hotmail.com</t>
  </si>
  <si>
    <t>riverosluiscarlos@gmail.com</t>
  </si>
  <si>
    <t>joardv@gmail.com</t>
  </si>
  <si>
    <t>yinfantev82@gmail.com</t>
  </si>
  <si>
    <t>salmaijulianadiazchisino@gmail.com</t>
  </si>
  <si>
    <t>ing.nestoracosta@gmail.com</t>
  </si>
  <si>
    <t>cesarhc09@gmail.com</t>
  </si>
  <si>
    <t>arqcuadrosrojas@gmail.com</t>
  </si>
  <si>
    <t>jahirdiaz@gmail.com</t>
  </si>
  <si>
    <t>leon.cha82@hotmail.com</t>
  </si>
  <si>
    <t>jopamvz@hotmail.com</t>
  </si>
  <si>
    <t>oscaredubo@gmail.com</t>
  </si>
  <si>
    <t>idmgo@hotmail.com</t>
  </si>
  <si>
    <t>fausto.mesa@gmail.com</t>
  </si>
  <si>
    <t>alejo944@hotmail.com</t>
  </si>
  <si>
    <t>LEONARDORODRIGUEZTORRES@hotmail.com</t>
  </si>
  <si>
    <t>cristofinca@gmail.com</t>
  </si>
  <si>
    <t>leoacerias@hotmail.com</t>
  </si>
  <si>
    <t>agustin-correa@hotmail.com</t>
  </si>
  <si>
    <t>edgartamayo.24@hotmail.com</t>
  </si>
  <si>
    <t>FREALFISA@gmail.com</t>
  </si>
  <si>
    <t>brillithrincon16@gmail.com</t>
  </si>
  <si>
    <t>gvhvillate@gmail.com</t>
  </si>
  <si>
    <t>oskarflowerz@gmail.com</t>
  </si>
  <si>
    <t>yeisonchaparro@hotmail.com</t>
  </si>
  <si>
    <t>guillermotobos25@gmail.com</t>
  </si>
  <si>
    <t>jhonalfonsoorjuela@gmail.com</t>
  </si>
  <si>
    <t>mjrinconpedraza@gmail.com</t>
  </si>
  <si>
    <t>william31guio82@gmail.com</t>
  </si>
  <si>
    <t>oslecon@gmail.com</t>
  </si>
  <si>
    <t>leidyamezquita06@gmail.com</t>
  </si>
  <si>
    <t>omar.varon@correo.policia.gov.co</t>
  </si>
  <si>
    <t>maograncel@gmail.com</t>
  </si>
  <si>
    <t>jm750207@gmail.com</t>
  </si>
  <si>
    <t>ferruchonancy@gmail.com</t>
  </si>
  <si>
    <t>luzarletf@gmail.com</t>
  </si>
  <si>
    <t>mateusfreddy@gmail.com</t>
  </si>
  <si>
    <t>miguelliliana2683@gmail.com</t>
  </si>
  <si>
    <t>oscard13@hotmail.com</t>
  </si>
  <si>
    <t>edwinvargas8212@gmail.com</t>
  </si>
  <si>
    <t>edwin80.elbb@gmail.com</t>
  </si>
  <si>
    <t>jjbbd82@gmail.com</t>
  </si>
  <si>
    <t>servisolucionesintegrales1@gmail.com</t>
  </si>
  <si>
    <t>yesidbrifer3@gmail.com</t>
  </si>
  <si>
    <t>haherto@gmail.com</t>
  </si>
  <si>
    <t>rubencho_5@hotmail.com</t>
  </si>
  <si>
    <t>wilsonmedina82@hotmail.com</t>
  </si>
  <si>
    <t>jcastronino10@gmail.com</t>
  </si>
  <si>
    <t>jjcuspoca@misena.edu.co</t>
  </si>
  <si>
    <t>olartecastroluisfernndo@gmail.com</t>
  </si>
  <si>
    <t>utavorojas@gmail.com</t>
  </si>
  <si>
    <t>pedrojsanzg@gmail.com</t>
  </si>
  <si>
    <t>carlosealbarracinm@gmail.com</t>
  </si>
  <si>
    <t>germanbecerra39@gmail.com</t>
  </si>
  <si>
    <t>luise010@hotmail.com</t>
  </si>
  <si>
    <t>edjad@yahoo.es</t>
  </si>
  <si>
    <t>higuera_juancarlos@hotmail.com</t>
  </si>
  <si>
    <t>artelaudi@gmail.com</t>
  </si>
  <si>
    <t>masbecha_26@hotmail.com</t>
  </si>
  <si>
    <t>nelsonsuarezcastro4@gmail.com</t>
  </si>
  <si>
    <t>edisonch.743@gmail.com</t>
  </si>
  <si>
    <t>mirandaamaya@gmail.com</t>
  </si>
  <si>
    <t>gjuanas@gmail.com</t>
  </si>
  <si>
    <t>ismaelbg0705@hotmail.com</t>
  </si>
  <si>
    <t>zamudiovargasm@gmail.com</t>
  </si>
  <si>
    <t>chapajavi83@gmail.com</t>
  </si>
  <si>
    <t>wilmerlcamargo@gmail.com</t>
  </si>
  <si>
    <t>blcr82@gmail.com</t>
  </si>
  <si>
    <t>ochoa_fabio@yahoo.es</t>
  </si>
  <si>
    <t>andresmr82@outlook.com</t>
  </si>
  <si>
    <t>diegocardona160@hotmail.com</t>
  </si>
  <si>
    <t>allejo_990@hotmail.com</t>
  </si>
  <si>
    <t>diegofperez9999@gmail.com</t>
  </si>
  <si>
    <t>camilo.gar136@gmail.com</t>
  </si>
  <si>
    <t>fuentescorredorjohnfredy@gmail.com</t>
  </si>
  <si>
    <t>yenysnyd@gmail.com</t>
  </si>
  <si>
    <t>g-rodriguez27@hotmail.com</t>
  </si>
  <si>
    <t>lvelandiaa@hotmail.com</t>
  </si>
  <si>
    <t>holmanpmonroy02@gmail.com</t>
  </si>
  <si>
    <t>fabian.burgos83@gmail.com</t>
  </si>
  <si>
    <t>radziel23@hotmail.com</t>
  </si>
  <si>
    <t>castiblancowilsonleopoldo@gmail.com</t>
  </si>
  <si>
    <t>FPUENTESM@HOTMAIL.COM</t>
  </si>
  <si>
    <t>oscaraguilar198235@outlook.com</t>
  </si>
  <si>
    <t>ingmichael8ad@hotmail.com</t>
  </si>
  <si>
    <t>braulioacostarodruiguez@gmail.com</t>
  </si>
  <si>
    <t>gordoromero1983@hotmail.com</t>
  </si>
  <si>
    <t>lic.rolando_edu@misena.edu.co</t>
  </si>
  <si>
    <t>juliantorresabogado@hotmail.com</t>
  </si>
  <si>
    <t>ALEXANDERPALACIOSPEREZ2707@gmail.com</t>
  </si>
  <si>
    <t>dilsongonzalezs100@gmail.com</t>
  </si>
  <si>
    <t>wiljanic9@gmail.com</t>
  </si>
  <si>
    <t>MIGUELARTUROHERRERALARROTA@hotmail.com</t>
  </si>
  <si>
    <t>roggerivansilva@gmail.com</t>
  </si>
  <si>
    <t>cecivarca81@hotmail.com</t>
  </si>
  <si>
    <t>auralix59@gmail.com</t>
  </si>
  <si>
    <t>ing.javierojas@gmail.com</t>
  </si>
  <si>
    <t>dltch9045@gmail.com</t>
  </si>
  <si>
    <t>yessid1725@hotmail.com</t>
  </si>
  <si>
    <t>harvar.25@hotmail.com</t>
  </si>
  <si>
    <t>jo520688@gmail.com</t>
  </si>
  <si>
    <t>fandiego@hotmail.es</t>
  </si>
  <si>
    <t>fjulian.s.fjs@gmail.com</t>
  </si>
  <si>
    <t>saumedbe@gmail.com</t>
  </si>
  <si>
    <t>fabianosvaldocamargo@gmail.com</t>
  </si>
  <si>
    <t>urich1983@hotmail.com</t>
  </si>
  <si>
    <t>jecf_2@hotmail.com</t>
  </si>
  <si>
    <t>luistrianagal26@gmail.com</t>
  </si>
  <si>
    <t>mojicamauricio8@gmail.com</t>
  </si>
  <si>
    <t>rubensolanogomez@gmail.com</t>
  </si>
  <si>
    <t>alejo29rb@gmail.com</t>
  </si>
  <si>
    <t>juaneduardopardo@gmail.com</t>
  </si>
  <si>
    <t>omar.198309@gmail.com</t>
  </si>
  <si>
    <t>wowlisam@gmail.com</t>
  </si>
  <si>
    <t>josepascualgomez@gmail.com</t>
  </si>
  <si>
    <t>agustinjquintero@hotmail.com</t>
  </si>
  <si>
    <t>tigreosorio12@gmail.om</t>
  </si>
  <si>
    <t>fonsecasilvaluisalejandro@gmail.com</t>
  </si>
  <si>
    <t>dsalas21@gmail.com</t>
  </si>
  <si>
    <t>leonardoivang@hotmail.com</t>
  </si>
  <si>
    <t>fredyoswaldochu@gmail.com</t>
  </si>
  <si>
    <t>cpda83@gmail.com</t>
  </si>
  <si>
    <t>orlandoolguin45@gmail.com</t>
  </si>
  <si>
    <t>edumao14@hotmail.com</t>
  </si>
  <si>
    <t>carlossuarez5065@gmail.com</t>
  </si>
  <si>
    <t>jagonzalez1017@gmail.com</t>
  </si>
  <si>
    <t>jacor1722@hotmail.com</t>
  </si>
  <si>
    <t>fredalex0798@gmail.com</t>
  </si>
  <si>
    <t>fabianmauricio.poveda@gmail.com</t>
  </si>
  <si>
    <t>helmer.barrera13@gmail.com</t>
  </si>
  <si>
    <t>cesaredubec@gmail.com</t>
  </si>
  <si>
    <t>wrboada@gmail.com</t>
  </si>
  <si>
    <t>yovann_13@hotmail.com</t>
  </si>
  <si>
    <t>carrosquiroz@gmail.com</t>
  </si>
  <si>
    <t>keosp1201@gmail.com</t>
  </si>
  <si>
    <t>jsepulvedaca@unal.edu.co</t>
  </si>
  <si>
    <t>mauro_081@hotmail.com</t>
  </si>
  <si>
    <t>facturasfjfpaezp@gmail.com</t>
  </si>
  <si>
    <t>jhango82@hotmail.com</t>
  </si>
  <si>
    <t>ballesterosgarciag@gmail.com</t>
  </si>
  <si>
    <t>luchowayne60@gmail.com</t>
  </si>
  <si>
    <t>robbinsputo@gmail.com</t>
  </si>
  <si>
    <t>wide.1983@hotmail.com</t>
  </si>
  <si>
    <t>julianlarota83@gmail.com</t>
  </si>
  <si>
    <t>rascuaran25@hotmail.com</t>
  </si>
  <si>
    <t>vargas.jhon.martinez@gmail.com</t>
  </si>
  <si>
    <t>julk-0182@hotmail.com</t>
  </si>
  <si>
    <t>1984lescagu@gmail.com</t>
  </si>
  <si>
    <t>jcdacerin@hotmail.com</t>
  </si>
  <si>
    <t>faferortiz840124@gmail.com</t>
  </si>
  <si>
    <t>hrzambranot@gmail.com</t>
  </si>
  <si>
    <t>wilsonedu24@hotmail.com</t>
  </si>
  <si>
    <t>ferley0130@gmail.com</t>
  </si>
  <si>
    <t>cagb10@hotmail.com</t>
  </si>
  <si>
    <t>barinaswilmar27@gmail.com</t>
  </si>
  <si>
    <t>jhed1023@hotmail.com</t>
  </si>
  <si>
    <t>mauriciosando22@hotmail.com</t>
  </si>
  <si>
    <t>vivisrinconm@hotmail.com</t>
  </si>
  <si>
    <t>edwinmen7@gmail.com</t>
  </si>
  <si>
    <t>vidarosi1984@gmail.com</t>
  </si>
  <si>
    <t>dfcaceres2012@gmail.com</t>
  </si>
  <si>
    <t>victorfonseca_84@yahoo.es</t>
  </si>
  <si>
    <t>geologyfer@hotmail.com</t>
  </si>
  <si>
    <t>dmrch21@gmail.com</t>
  </si>
  <si>
    <t>johnjhc24@gmail.com</t>
  </si>
  <si>
    <t>waltergalvisc@gmail.com</t>
  </si>
  <si>
    <t>ELVERJAIR84@hotmail.com</t>
  </si>
  <si>
    <t>hf.kikes@gmail.com</t>
  </si>
  <si>
    <t>ivandariocuy84@gmail.com</t>
  </si>
  <si>
    <t>solanojimenez@gmail.com</t>
  </si>
  <si>
    <t>davidct22@hotmail.com</t>
  </si>
  <si>
    <t>jscaballito@hotmail.com</t>
  </si>
  <si>
    <t>luoscamargot81@gmail.com</t>
  </si>
  <si>
    <t>delitamalesduitama@gmail.com</t>
  </si>
  <si>
    <t>ejperez.a@gmail.com</t>
  </si>
  <si>
    <t>oscarfsalamanca@gmail.com</t>
  </si>
  <si>
    <t>dianarf_01@hotmail.com</t>
  </si>
  <si>
    <t>wgt1057@gmail.com</t>
  </si>
  <si>
    <t>martinezluis133@yahoo.es</t>
  </si>
  <si>
    <t>juanchaco_6@hotmail.com</t>
  </si>
  <si>
    <t>catalinacastillo1293@gmail.com</t>
  </si>
  <si>
    <t>salamankamauro@gmail.com</t>
  </si>
  <si>
    <t>omarj2primeomar1@gmail.com</t>
  </si>
  <si>
    <t>jugaarca@hotmail.com</t>
  </si>
  <si>
    <t>naz.th27@gmail.com</t>
  </si>
  <si>
    <t>duriguan@gmail.com</t>
  </si>
  <si>
    <t>carlosriveros01@hotmail.com</t>
  </si>
  <si>
    <t>talomeba1724@yahoo.es</t>
  </si>
  <si>
    <t>NOINFORMA@gmail.com</t>
  </si>
  <si>
    <t>maxitodo@gmail.com</t>
  </si>
  <si>
    <t>yeologo27@hotmail.com</t>
  </si>
  <si>
    <t>freni.repuestos@hotmail.com</t>
  </si>
  <si>
    <t>wilson-cardenas10@outlook.com</t>
  </si>
  <si>
    <t>and_card555@hotmail.com</t>
  </si>
  <si>
    <t>msilva@navitrans.com.co</t>
  </si>
  <si>
    <t>edgareduardotorradomaldonado@gmail.com</t>
  </si>
  <si>
    <t>julibaba84@gmail.com</t>
  </si>
  <si>
    <t>camilomerchans96@gmail.com</t>
  </si>
  <si>
    <t>cesarespico@gmail.com</t>
  </si>
  <si>
    <t>fabianparada84@gmail.com</t>
  </si>
  <si>
    <t>osunaivan936@gmail.com</t>
  </si>
  <si>
    <t>jalexandermonroy@gmail.com</t>
  </si>
  <si>
    <t>neidulydelgado@gmail.com</t>
  </si>
  <si>
    <t>yorfi14@hotmail.com</t>
  </si>
  <si>
    <t>hollmannalvarado1@gmail.com</t>
  </si>
  <si>
    <t>andresbernal0728@gmail.com</t>
  </si>
  <si>
    <t>camilonuncira3@gmail.com</t>
  </si>
  <si>
    <t>adrenalinaalcien@gmail.com</t>
  </si>
  <si>
    <t>YEFERSON.VEGA@hotmail.com</t>
  </si>
  <si>
    <t>eduardosolano264@gmail.com</t>
  </si>
  <si>
    <t>JBT26BARRETO60@GMAIL.COM</t>
  </si>
  <si>
    <t>efrain.cruz1909@gmail.com</t>
  </si>
  <si>
    <t>wilsonalexandergutierrez@gmail.com</t>
  </si>
  <si>
    <t>alvarouptc@hotmail.com</t>
  </si>
  <si>
    <t>fucad111@hotmail.com</t>
  </si>
  <si>
    <t>yeca_leon@hotmail.com</t>
  </si>
  <si>
    <t>elver8309@hotmail.com</t>
  </si>
  <si>
    <t>yhersonrincon09@gmail.com</t>
  </si>
  <si>
    <t>nelver182@hotmail.com</t>
  </si>
  <si>
    <t>alejos_s@hotmail.com</t>
  </si>
  <si>
    <t>wilmerlaverde17@gmail.com</t>
  </si>
  <si>
    <t>wilman0904@gmail.com</t>
  </si>
  <si>
    <t>carlos.alvarez.caracas@gmail.com</t>
  </si>
  <si>
    <t>wnavm84@gmail.com</t>
  </si>
  <si>
    <t>vicmansolper@gmail.com</t>
  </si>
  <si>
    <t>jasaach@hotmail.com</t>
  </si>
  <si>
    <t>dilsonespitiajuan123@yahoo.com</t>
  </si>
  <si>
    <t>alejodu10@hotmail.com</t>
  </si>
  <si>
    <t>leoplazas74@gmail.com</t>
  </si>
  <si>
    <t>cripter@gmail.com</t>
  </si>
  <si>
    <t>jgoyeneche1215@gmail.com</t>
  </si>
  <si>
    <t>franciscolopez0908@gmail.com</t>
  </si>
  <si>
    <t>willopvel005@gmail.com</t>
  </si>
  <si>
    <t>juancavieles@gmail.com</t>
  </si>
  <si>
    <t>yesidc01@gmail.com</t>
  </si>
  <si>
    <t>gabomb84@hotmail.com</t>
  </si>
  <si>
    <t>maderfigjuan@gmail.com</t>
  </si>
  <si>
    <t>hormazafredy@gmail.com</t>
  </si>
  <si>
    <t>oscarlizarazo3524@gmail.com</t>
  </si>
  <si>
    <t>nelsonyamit@gmail.com</t>
  </si>
  <si>
    <t>rojasnel53@gmail.com</t>
  </si>
  <si>
    <t>NOTENGO@yahoo.com</t>
  </si>
  <si>
    <t>lagos19_84@hotmail.com</t>
  </si>
  <si>
    <t>companyc.juanes@gmail.com</t>
  </si>
  <si>
    <t>maikia123456@gmail.com</t>
  </si>
  <si>
    <t>inghernando84@gmail.com</t>
  </si>
  <si>
    <t>juan19851701@yahoo.com</t>
  </si>
  <si>
    <t>rocka166@hotmail.com</t>
  </si>
  <si>
    <t>wilsonsantos1612@hotmail.com</t>
  </si>
  <si>
    <t>MARTINEZELICER161@gmail.com</t>
  </si>
  <si>
    <t>maythecaballero24@gmail.com</t>
  </si>
  <si>
    <t>miguelflorez3325@gmail.com</t>
  </si>
  <si>
    <t>ejaviermg.84@gmail.com</t>
  </si>
  <si>
    <t>edison8a@hotmail.es</t>
  </si>
  <si>
    <t>myranchocampestre@hotmail.com</t>
  </si>
  <si>
    <t>carlos.colmenares74381232@gmail.com</t>
  </si>
  <si>
    <t>edisoncely253@gmail.com</t>
  </si>
  <si>
    <t>lalogamc19@hotmail.com</t>
  </si>
  <si>
    <t>MITSU_27@hotmail.com</t>
  </si>
  <si>
    <t>cesar.medina.abogado@hotmail.com</t>
  </si>
  <si>
    <t>henryedufisico@hotmail.com</t>
  </si>
  <si>
    <t>combita820@gmail.com</t>
  </si>
  <si>
    <t>daniel.grimaldos@yahoo.es</t>
  </si>
  <si>
    <t>juanprada112@gmail.com</t>
  </si>
  <si>
    <t>ASTRIDOLIVIROS21@gmail.com</t>
  </si>
  <si>
    <t>joalpava2002@hotmail.com</t>
  </si>
  <si>
    <t>marlon8076@gmail.com</t>
  </si>
  <si>
    <t>julian4571@hotmail.com</t>
  </si>
  <si>
    <t>edggaitan@hotmail.com</t>
  </si>
  <si>
    <t>KROBMX85@hotmail.com</t>
  </si>
  <si>
    <t>rubenpita986@gmail.com</t>
  </si>
  <si>
    <t>fabianbp@gmail.com</t>
  </si>
  <si>
    <t>guilleprieto0417@hotmail.com</t>
  </si>
  <si>
    <t>radiadoresmonroym@gmail.com</t>
  </si>
  <si>
    <t>ricardorudas@gmail.com</t>
  </si>
  <si>
    <t>cat869402@gmail.com</t>
  </si>
  <si>
    <t>nixongrosso84@gmail.com</t>
  </si>
  <si>
    <t>diegoarndo@hotmail.com</t>
  </si>
  <si>
    <t>ingwilliamc@gmail.com</t>
  </si>
  <si>
    <t>albeipaco19@outlook.com</t>
  </si>
  <si>
    <t>acevedop231@gmail.com</t>
  </si>
  <si>
    <t>javierchab123@gmail.com</t>
  </si>
  <si>
    <t>yony850@hotmail.com</t>
  </si>
  <si>
    <t>ompica777@hotmail.com</t>
  </si>
  <si>
    <t>fcombarizav@gmail.com</t>
  </si>
  <si>
    <t>jonathan_tauro18@hotmail.com</t>
  </si>
  <si>
    <t>vialrefo@hotmail.com</t>
  </si>
  <si>
    <t>miguelcamargogutierrez@gmail.com</t>
  </si>
  <si>
    <t>zcarolin@hotmail.com</t>
  </si>
  <si>
    <t>jedinson23@hotmail.com</t>
  </si>
  <si>
    <t>arielmedinah@gmail.com</t>
  </si>
  <si>
    <t>ing.faustocamargo@gmail.com</t>
  </si>
  <si>
    <t>williamcastrossp951@gmail.com</t>
  </si>
  <si>
    <t>mesajoya@yahoo.com</t>
  </si>
  <si>
    <t>fabiodj48@gmail.com</t>
  </si>
  <si>
    <t>edinsonvalbe@gmail.com</t>
  </si>
  <si>
    <t>dariopuerto@hotmail.es</t>
  </si>
  <si>
    <t>celyandrescamilo@hotmail.com</t>
  </si>
  <si>
    <t>cache6880@gmail.com</t>
  </si>
  <si>
    <t>diego.bonilla.a@gmail.com</t>
  </si>
  <si>
    <t>wd_torrec@hotmail.com</t>
  </si>
  <si>
    <t>carlosfiracative10@gmail.com</t>
  </si>
  <si>
    <t>trvictorgomez@hotmail.com</t>
  </si>
  <si>
    <t>cogariadario@gmail.com</t>
  </si>
  <si>
    <t>uni.guevara@gmail.com</t>
  </si>
  <si>
    <t>ronald_0717@hotmail.com</t>
  </si>
  <si>
    <t>yesidaceroch@gmail.com</t>
  </si>
  <si>
    <t>camioneroxxj@hotmail.com</t>
  </si>
  <si>
    <t>jctamara@gmail.com</t>
  </si>
  <si>
    <t>gcelyc@hotmail.com</t>
  </si>
  <si>
    <t>fernandos144@gmail.com</t>
  </si>
  <si>
    <t>OMARMEDRANO7@gmail.com</t>
  </si>
  <si>
    <t>andres852009@gmail.com</t>
  </si>
  <si>
    <t>victorinotto11@gmail.com</t>
  </si>
  <si>
    <t>cesarcha3002@gmail.com</t>
  </si>
  <si>
    <t>herrerapuentes85@hotmail.com</t>
  </si>
  <si>
    <t>gasantamariap@gmail.com</t>
  </si>
  <si>
    <t>raul.balaguera85@gmail.com</t>
  </si>
  <si>
    <t>pancalino20@gmail.com</t>
  </si>
  <si>
    <t>fredybcg85@gmail.com</t>
  </si>
  <si>
    <t>helmerleon33@gmail.com</t>
  </si>
  <si>
    <t>alek_marth@hotmail.com</t>
  </si>
  <si>
    <t>olver.gertordeobra@gmail.com</t>
  </si>
  <si>
    <t>andresleo2@hotmail.com</t>
  </si>
  <si>
    <t>ofdocely@gmail.com</t>
  </si>
  <si>
    <t>trista023@hotmail.com</t>
  </si>
  <si>
    <t>arismendicesar451@gmail.com</t>
  </si>
  <si>
    <t>diegoavellamachuca2023@gmail.com</t>
  </si>
  <si>
    <t>fabianconde1008@gmail.com</t>
  </si>
  <si>
    <t>yogomar05@gmail.com</t>
  </si>
  <si>
    <t>andresmanga@hotmail.com</t>
  </si>
  <si>
    <t>alexis12nitola@hotmail.com</t>
  </si>
  <si>
    <t>sofimk0983@gmail.com</t>
  </si>
  <si>
    <t>rensonfelipe99@hotmail.com</t>
  </si>
  <si>
    <t>riveramani092@gmail.com</t>
  </si>
  <si>
    <t>gamboaalexander2021@gmail.com</t>
  </si>
  <si>
    <t>var.k.1@hotmail.com</t>
  </si>
  <si>
    <t>david.gayon@hotmail.com</t>
  </si>
  <si>
    <t>jaime_a17@hotmail.com</t>
  </si>
  <si>
    <t>andresdu94@gmail.com</t>
  </si>
  <si>
    <t>juancae85@gmail.com</t>
  </si>
  <si>
    <t>crisostos86@hotmail.com</t>
  </si>
  <si>
    <t>tecno.mec@hotmail.com</t>
  </si>
  <si>
    <t>sjtc1001@gmail.com</t>
  </si>
  <si>
    <t>blankaluxalvarexayala@gmail.com</t>
  </si>
  <si>
    <t>fabiancely3@hotmail.com</t>
  </si>
  <si>
    <t>cesararmandohiguerabecerra@gmail.com</t>
  </si>
  <si>
    <t>zemag86@gmail.com</t>
  </si>
  <si>
    <t>auralis6@hotmail.com</t>
  </si>
  <si>
    <t>lagrimita2425@hotmail.com</t>
  </si>
  <si>
    <t>nelsoncelytorres@gmail.com</t>
  </si>
  <si>
    <t>fabioacero.07@gmail.com</t>
  </si>
  <si>
    <t>dayritogoye@gmail.com</t>
  </si>
  <si>
    <t>romerosegundo074@gmail.com</t>
  </si>
  <si>
    <t>alirioabs@gmail.com</t>
  </si>
  <si>
    <t>diomedesblanco9@gmail.com</t>
  </si>
  <si>
    <t>domingo.x@hotmail.com</t>
  </si>
  <si>
    <t>monguijhonatan89@gmail.com</t>
  </si>
  <si>
    <t>linamarce525@gmail.com</t>
  </si>
  <si>
    <t>luiseliecermojica@hotmail.com</t>
  </si>
  <si>
    <t>yamithvalbuena1909@gmail.com</t>
  </si>
  <si>
    <t>ferchomolano20@gmail.com</t>
  </si>
  <si>
    <t>omarmogollon27@outlook.com</t>
  </si>
  <si>
    <t>EFRAPV11@gmail.com</t>
  </si>
  <si>
    <t>hugoernestosanchezbayona@gmail.com</t>
  </si>
  <si>
    <t>morenochaparromarthaesmeralda@gmail.com</t>
  </si>
  <si>
    <t>nancigarzon2017@gmail.com</t>
  </si>
  <si>
    <t>joseharveyma@hotmail.com</t>
  </si>
  <si>
    <t>jonathanfarfan1308@gmail.com</t>
  </si>
  <si>
    <t>mauriciocm12843213912779@gmail.com</t>
  </si>
  <si>
    <t>luisernestogalloduarte@hotmail.com</t>
  </si>
  <si>
    <t>fuentesjuancarlos451@hotmail.com</t>
  </si>
  <si>
    <t>josecardozo080@gmail.com</t>
  </si>
  <si>
    <t>andresmartinez@gmail.com</t>
  </si>
  <si>
    <t>richy860207@gmail.com</t>
  </si>
  <si>
    <t>leoncioortizsuarez@gmail.com</t>
  </si>
  <si>
    <t>andreabarrera15@hotmail.com</t>
  </si>
  <si>
    <t>sirwill@hotmail.es</t>
  </si>
  <si>
    <t>caleshernandez@gmail.com</t>
  </si>
  <si>
    <t>arqdiegofernandotorres@gmail.com</t>
  </si>
  <si>
    <t>pato5402@yahoo.com</t>
  </si>
  <si>
    <t>josebotia28@gmail.com</t>
  </si>
  <si>
    <t>ritoangarita263@hotmail.com</t>
  </si>
  <si>
    <t>mancipe.fredy@gmail.com</t>
  </si>
  <si>
    <t>rectidieselduitama@hotmail.com</t>
  </si>
  <si>
    <t>arma2330@gmail.com</t>
  </si>
  <si>
    <t>feliz2109@hotmail.com</t>
  </si>
  <si>
    <t>mchrod38@gmail.com</t>
  </si>
  <si>
    <t>williammerizalde@hotmail.com</t>
  </si>
  <si>
    <t>dermajavier@gmail.com</t>
  </si>
  <si>
    <t>roberthlhj@gmail.com</t>
  </si>
  <si>
    <t>rodriguezhse@gmail.com</t>
  </si>
  <si>
    <t>ovid79@hotmail.com</t>
  </si>
  <si>
    <t>adrian-murillo147@outlook.com</t>
  </si>
  <si>
    <t>juancarloscastrogaleano@gmail.com</t>
  </si>
  <si>
    <t>diegodey5@hotmail.com</t>
  </si>
  <si>
    <t>jorgejopoma@gmail.com</t>
  </si>
  <si>
    <t>carzulvi@hotmail.com</t>
  </si>
  <si>
    <t>josemiguelgozalez@gmail.com</t>
  </si>
  <si>
    <t>gustavomoraleslopez1975@gmail.com</t>
  </si>
  <si>
    <t>ejjimenez19@gmail.com</t>
  </si>
  <si>
    <t>perezlibardo06@gmail.com</t>
  </si>
  <si>
    <t>fisaadri@gmail.com</t>
  </si>
  <si>
    <t>BOLETINTEC@GMAIL.COM</t>
  </si>
  <si>
    <t>joseepifanio70@gmail.com</t>
  </si>
  <si>
    <t>avega2104@gmail.com</t>
  </si>
  <si>
    <t>fabioalvarado1@hotmail.com</t>
  </si>
  <si>
    <t>gercan9@hotmail.com</t>
  </si>
  <si>
    <t>jmpublicidadgraficas@yahoo.es</t>
  </si>
  <si>
    <t>trucksjmr@hotmail.com</t>
  </si>
  <si>
    <t>aleroce67@hotmail.com</t>
  </si>
  <si>
    <t>juancarloszenaida96@gmail.com</t>
  </si>
  <si>
    <t>juanctellez12@gmail.com</t>
  </si>
  <si>
    <t>jeadr1130@yahoo.com</t>
  </si>
  <si>
    <t>josehbecerravelandia@gmail.com</t>
  </si>
  <si>
    <t>marpecosmetic@gmail.com</t>
  </si>
  <si>
    <t>loromec@hotmail.com</t>
  </si>
  <si>
    <t>sixtor607@gmail.com</t>
  </si>
  <si>
    <t>NESMO08@gmail.com</t>
  </si>
  <si>
    <t>molinajose949@yahoo.co</t>
  </si>
  <si>
    <t>jhonsa079@gmail.com</t>
  </si>
  <si>
    <t>constructoragonzalezserrano@gmail.com</t>
  </si>
  <si>
    <t>alvertonader@yahoo.com</t>
  </si>
  <si>
    <t>geersa.salinas@gmail.com</t>
  </si>
  <si>
    <t>oscarjaviersua@hotmail.com</t>
  </si>
  <si>
    <t>facthotrod@gmail.com</t>
  </si>
  <si>
    <t>john.parrales10@gmail.com</t>
  </si>
  <si>
    <t>rvanegam@gmail.com</t>
  </si>
  <si>
    <t>yayomarce@hotmail.com</t>
  </si>
  <si>
    <t>wilson_alvarez2@hotmail.com</t>
  </si>
  <si>
    <t>eduardocaro2123@gmail.com</t>
  </si>
  <si>
    <t>jajerez@hotmail.com</t>
  </si>
  <si>
    <t>jubalesu@yahoo.com</t>
  </si>
  <si>
    <t>maria.guarin@supernotariado.gov.co</t>
  </si>
  <si>
    <t>ph16@protonmail.com</t>
  </si>
  <si>
    <t>igamba@impulsemillas.com</t>
  </si>
  <si>
    <t>hljarro@hotmail.com</t>
  </si>
  <si>
    <t>german.fonseca1964@hotmail.com</t>
  </si>
  <si>
    <t>joaquing12soacha@hotmail.com</t>
  </si>
  <si>
    <t>rubencho642@hotmail.com</t>
  </si>
  <si>
    <t>hevalvi@hotmail.com</t>
  </si>
  <si>
    <t>toboyecid1963@gmail.com</t>
  </si>
  <si>
    <t>humbertoperez842@gmail.com</t>
  </si>
  <si>
    <t>hoarcol2005@yahoo.es</t>
  </si>
  <si>
    <t>jdazat@gmail.com</t>
  </si>
  <si>
    <t>karlgustav77@gmail.com</t>
  </si>
  <si>
    <t>duitamajz@gmail.com</t>
  </si>
  <si>
    <t>nelson.castillo@uptc.edu.co</t>
  </si>
  <si>
    <t>jpongutas@gmail.com</t>
  </si>
  <si>
    <t>macarpin3@yahoo.com</t>
  </si>
  <si>
    <t>alarconjimenez2024@gmail.com</t>
  </si>
  <si>
    <t>ibanmejia@hotmail.com</t>
  </si>
  <si>
    <t>maruly0609@gmail.com</t>
  </si>
  <si>
    <t>fartubanez@yahoo.com</t>
  </si>
  <si>
    <t>omarbobadillavasquez@gmail.com</t>
  </si>
  <si>
    <t>peantoga6620@gmail.com</t>
  </si>
  <si>
    <t>second.corredor@hotmail.com</t>
  </si>
  <si>
    <t>carlsil71@yahoo.es</t>
  </si>
  <si>
    <t>fredycamargo50@gmail.com</t>
  </si>
  <si>
    <t>ferrejmgalvis@gmail.com</t>
  </si>
  <si>
    <t>agrimarin@hotmail.com</t>
  </si>
  <si>
    <t>ourb2001@hotmail.com</t>
  </si>
  <si>
    <t>elizaalarcon1234@hotmail.com</t>
  </si>
  <si>
    <t>olgafaura123@gmail.com</t>
  </si>
  <si>
    <t>vivianr@misena.edu.co</t>
  </si>
  <si>
    <t>peritecroberto@hotmail.com</t>
  </si>
  <si>
    <t>jairofonseca@gmail.com</t>
  </si>
  <si>
    <t>maoperez794@gmail.com</t>
  </si>
  <si>
    <t>jnavarrq@gmail.com</t>
  </si>
  <si>
    <t>wiquinsero@yahoo.com.co</t>
  </si>
  <si>
    <t>renanvargas1365@gmail.com</t>
  </si>
  <si>
    <t>rivera.oscar68@yahoo.es</t>
  </si>
  <si>
    <t>juanalejandrofotografo@hotmail.com</t>
  </si>
  <si>
    <t>lucho_490@hotmail.com</t>
  </si>
  <si>
    <t>jgsn2@hotmail.com</t>
  </si>
  <si>
    <t>fjoze2469@gmail.com</t>
  </si>
  <si>
    <t>cristiantalero@gmail.com</t>
  </si>
  <si>
    <t>fernandopadillablanco@gmail.com</t>
  </si>
  <si>
    <t>npjavier@hotmail.com</t>
  </si>
  <si>
    <t>heem690917@gmail.com</t>
  </si>
  <si>
    <t>jcardenascorredor@gmail.com</t>
  </si>
  <si>
    <t>valbuenajuanito119@gmail.com</t>
  </si>
  <si>
    <t>pfgonzalez@hotmail.com</t>
  </si>
  <si>
    <t>joaquinrodu@hotmail.com</t>
  </si>
  <si>
    <t>desiderio.ramirez@outlook.com</t>
  </si>
  <si>
    <t>alfonsocasolano@gmail.com</t>
  </si>
  <si>
    <t>carboboavitasas@gmail.com</t>
  </si>
  <si>
    <t>colinpuerto@gmail.com</t>
  </si>
  <si>
    <t>jaimemorroco@yahoo.es</t>
  </si>
  <si>
    <t>parcas@me.com</t>
  </si>
  <si>
    <t>protecnicol@gmail.com</t>
  </si>
  <si>
    <t>jairodiaz42.ca@gmail.com</t>
  </si>
  <si>
    <t>jorge.sanabria@otransalt.com</t>
  </si>
  <si>
    <t>jairoari@hotmail.com</t>
  </si>
  <si>
    <t>ventas@sumiboy.com</t>
  </si>
  <si>
    <t>franciscodiaz5964@gmail.com</t>
  </si>
  <si>
    <t>germanicov@hotmail.com</t>
  </si>
  <si>
    <t>aego19tl@gmail.com</t>
  </si>
  <si>
    <t>guilletoca@gmil.com</t>
  </si>
  <si>
    <t>wilsongonzales1516@gmail.com</t>
  </si>
  <si>
    <t>javi_pana_co@yahoo.com</t>
  </si>
  <si>
    <t>jofocar@gmail.com</t>
  </si>
  <si>
    <t>rodriguez.conejo1972@gmail.com</t>
  </si>
  <si>
    <t>simeonpedraza@hotmail.com</t>
  </si>
  <si>
    <t>edstavinmontoya@yahoo.es</t>
  </si>
  <si>
    <t>juantoniozafra@gmail.com</t>
  </si>
  <si>
    <t>jaimerubio85@gmail.com</t>
  </si>
  <si>
    <t>cecilia.lopez.lopez46@gmail.com</t>
  </si>
  <si>
    <t>rocka2325@gmail.com</t>
  </si>
  <si>
    <t>egvasquez@gmail.com</t>
  </si>
  <si>
    <t>aliriohernandez79@gmail.com</t>
  </si>
  <si>
    <t>holperico@gmail.com</t>
  </si>
  <si>
    <t>kamboya79@hotmail.com</t>
  </si>
  <si>
    <t>jlp0529@gmail.com</t>
  </si>
  <si>
    <t>misael.socota@gmail.com</t>
  </si>
  <si>
    <t>pizzaalparque@gmail.com</t>
  </si>
  <si>
    <t>jvxnata@gmail.com</t>
  </si>
  <si>
    <t>oreocomercial@gmail.com</t>
  </si>
  <si>
    <t>nebiguel@hotmail.com</t>
  </si>
  <si>
    <t>yowanyroncancio1@hotmail.com</t>
  </si>
  <si>
    <t>hectorjromerop23@gmail.com</t>
  </si>
  <si>
    <t>privatearchibaldo@gmail.com</t>
  </si>
  <si>
    <t>mickolgomezjoya@gmail.com</t>
  </si>
  <si>
    <t>clientesagricolapuntalarga@gmail.com</t>
  </si>
  <si>
    <t>jafmap@gmail.com</t>
  </si>
  <si>
    <t>alfredo.murcia27@gmail.com</t>
  </si>
  <si>
    <t>giencorc@gmail.com</t>
  </si>
  <si>
    <t>arfaja1979@gmail.com</t>
  </si>
  <si>
    <t>humbe2940@hotmail.com</t>
  </si>
  <si>
    <t>elchaconco@gmail.com</t>
  </si>
  <si>
    <t>gersonls@hotmail.com</t>
  </si>
  <si>
    <t>mario.medina@gmail.com</t>
  </si>
  <si>
    <t>facturacion.arandarestaurante@gmail.com</t>
  </si>
  <si>
    <t>pablo05201309@hotmail.com</t>
  </si>
  <si>
    <t>wilmanpineda@gmail.com</t>
  </si>
  <si>
    <t>alexanderjimy@yahoo.es</t>
  </si>
  <si>
    <t>willmandiaz78@gmail.com</t>
  </si>
  <si>
    <t>corredorvictor09@gmail.com</t>
  </si>
  <si>
    <t>jhoniya18@hotmail.com</t>
  </si>
  <si>
    <t>fredymhernandez87@gmail.com</t>
  </si>
  <si>
    <t>jmpinzonv@gmail.com</t>
  </si>
  <si>
    <t>henry.77@hotmail.com</t>
  </si>
  <si>
    <t>edwinh1976@hotmail.com</t>
  </si>
  <si>
    <t>civcesar@gmail.com</t>
  </si>
  <si>
    <t>leonardolee27@yahoo.com</t>
  </si>
  <si>
    <t>naranjorobinson@yahoo.com</t>
  </si>
  <si>
    <t>haroldandrespiedrahita@yahoo.com</t>
  </si>
  <si>
    <t>chaparrowilmer58@gmail.com</t>
  </si>
  <si>
    <t>juanpdm76@gmail.com</t>
  </si>
  <si>
    <t>diegoalozano10@gmail.com</t>
  </si>
  <si>
    <t>ablancoc@yahoo.es</t>
  </si>
  <si>
    <t>jaimeguerrero1406@hotmail.com</t>
  </si>
  <si>
    <t>andrea3232molina@gmail.com</t>
  </si>
  <si>
    <t>bigdealwill2009@gmail.com</t>
  </si>
  <si>
    <t>pintucochesboyaca@gmail.com</t>
  </si>
  <si>
    <t>wilcas05@hotmail.com</t>
  </si>
  <si>
    <t>demart77@hotmail.com</t>
  </si>
  <si>
    <t>david7595@gmail.com</t>
  </si>
  <si>
    <t>luis1524s@hotmail.com</t>
  </si>
  <si>
    <t>yojai14@hotmail.com</t>
  </si>
  <si>
    <t>karmides68@hotmail.com</t>
  </si>
  <si>
    <t>alexmesa35@gmail.com</t>
  </si>
  <si>
    <t>leo_0575@hotmail.com</t>
  </si>
  <si>
    <t>gafas76@gmail.com</t>
  </si>
  <si>
    <t>cristiano.joseefren@gmail.com</t>
  </si>
  <si>
    <t>camilolal@gmail.com</t>
  </si>
  <si>
    <t>jlacosta977@gmail.com</t>
  </si>
  <si>
    <t>yebrail_50@hotmail.com</t>
  </si>
  <si>
    <t>olmedolog07@gmail.com</t>
  </si>
  <si>
    <t>pedrorico20222@gmail.com</t>
  </si>
  <si>
    <t>direccionesduitama@gmail.com</t>
  </si>
  <si>
    <t>wilsonernesto.vaca@gmail.com</t>
  </si>
  <si>
    <t>ronny.parra8@gmail.com</t>
  </si>
  <si>
    <t>roland197750@hotmail.com</t>
  </si>
  <si>
    <t>josehernandojunio@hotmail.com</t>
  </si>
  <si>
    <t>larr460@gmail.com</t>
  </si>
  <si>
    <t>wilsonrivera230278@gmail.com</t>
  </si>
  <si>
    <t>henryalexanderbarrera@hotmail.com</t>
  </si>
  <si>
    <t>contabilidad.innovadiesel@gmail.com</t>
  </si>
  <si>
    <t>miguel0427323@gmail.com</t>
  </si>
  <si>
    <t>Salamanca.camilo@gmail.com</t>
  </si>
  <si>
    <t>juacart3@gmail.com</t>
  </si>
  <si>
    <t>claris_04617@hotmail.com</t>
  </si>
  <si>
    <t>dariolomunar@gmail.com</t>
  </si>
  <si>
    <t>miguelbg2979@gmail.com</t>
  </si>
  <si>
    <t>alexzambranoa@yahoo.com</t>
  </si>
  <si>
    <t>drleogutierrez@gmail.com</t>
  </si>
  <si>
    <t>oscarrodriguezabogado@hotmail.com</t>
  </si>
  <si>
    <t>electrotuning@gmail.com</t>
  </si>
  <si>
    <t>camc1030@hotmail.com</t>
  </si>
  <si>
    <t>sandramr1102@hotmail.com</t>
  </si>
  <si>
    <t>nestorpedraza0347@hotmail.com</t>
  </si>
  <si>
    <t>servidieselmyp@hotmail.com</t>
  </si>
  <si>
    <t>luislizarazo1979@gmail.com</t>
  </si>
  <si>
    <t>jhosonchamoli@gmail.com</t>
  </si>
  <si>
    <t>giovannypulido2478@hotmail.com</t>
  </si>
  <si>
    <t>julivargas3456@gmail.com</t>
  </si>
  <si>
    <t>delcubio22@gmail.com</t>
  </si>
  <si>
    <t>jaime.81rodriguez@hotmail.com</t>
  </si>
  <si>
    <t>fpadilla32@gmail.com</t>
  </si>
  <si>
    <t>bacondri@gmail.com</t>
  </si>
  <si>
    <t>maurofarieta@gmail.com</t>
  </si>
  <si>
    <t>chatogalvis02@hotmail.com</t>
  </si>
  <si>
    <t>puentesjuan@gmail.com</t>
  </si>
  <si>
    <t>irvingaleano8000@hotmail.com</t>
  </si>
  <si>
    <t>jmparra1981@hotmail.com</t>
  </si>
  <si>
    <t>hernansf03@hotmail.com</t>
  </si>
  <si>
    <t>frank_8219@hotmail.com</t>
  </si>
  <si>
    <t>homintiml@gmail.com</t>
  </si>
  <si>
    <t>davidjsotelo@gmail.com</t>
  </si>
  <si>
    <t>oscar.camacho@gmail.com</t>
  </si>
  <si>
    <t>gabriel.timaran@gmail.com</t>
  </si>
  <si>
    <t>fargry8821@gmail.com</t>
  </si>
  <si>
    <t>joserubend.alonso@gmail.com</t>
  </si>
  <si>
    <t>juanparo80@hotmail.com</t>
  </si>
  <si>
    <t>miguelfonsecabarrera@gmail.com</t>
  </si>
  <si>
    <t>sacama0610@gmail.com</t>
  </si>
  <si>
    <t>javiercarrillo.ing@gmail.com</t>
  </si>
  <si>
    <t>el5quinto@gmail.com</t>
  </si>
  <si>
    <t>jmiguelito1914@gmail.com</t>
  </si>
  <si>
    <t>suarez_jezid@hotmail.com</t>
  </si>
  <si>
    <t>mateusc1981@gmail.com</t>
  </si>
  <si>
    <t>mcepedareyez@gmail.com</t>
  </si>
  <si>
    <t>johanforero28@gmail.com</t>
  </si>
  <si>
    <t>nelysilva1281@gmail.com</t>
  </si>
  <si>
    <t>edwin.2706@hotmail.com</t>
  </si>
  <si>
    <t>steve2883bejarano@gmail.com</t>
  </si>
  <si>
    <t>billeocast@gmail.com</t>
  </si>
  <si>
    <t>llaassmm@yahoo.com</t>
  </si>
  <si>
    <t>cesarpalencia365@hotmail.com</t>
  </si>
  <si>
    <t>angelicanop2017@gmail.com</t>
  </si>
  <si>
    <t>omarbaezbasto@gmail.com</t>
  </si>
  <si>
    <t>cesart823@gmail.com</t>
  </si>
  <si>
    <t>marcelavargasestevez@gmail.com</t>
  </si>
  <si>
    <t>ingeniero.telematico@gmail.com</t>
  </si>
  <si>
    <t>elkinpinzon36@gmail.com</t>
  </si>
  <si>
    <t>edwin.sierra7@gmail.com</t>
  </si>
  <si>
    <t>emirob126@hotmail.com</t>
  </si>
  <si>
    <t>javiacevedo1984@gmail.com</t>
  </si>
  <si>
    <t>sanajairo@gmail.com</t>
  </si>
  <si>
    <t>joseisaiashernandez0908@gmail.com</t>
  </si>
  <si>
    <t>diegopewal@gmail.com</t>
  </si>
  <si>
    <t>raremar@hotmail.com</t>
  </si>
  <si>
    <t>JDVEGAC@HOTMAIL.COM</t>
  </si>
  <si>
    <t>frank.lanc@hotmail.com</t>
  </si>
  <si>
    <t>olmososcar2011@gmail.com</t>
  </si>
  <si>
    <t>inguayara@gmail.com</t>
  </si>
  <si>
    <t>n.marinc@hotmail.com</t>
  </si>
  <si>
    <t>chocofabis24@gmail.com</t>
  </si>
  <si>
    <t>francscbb@gmail.com</t>
  </si>
  <si>
    <t>mrforesta@yahoo.com.mx</t>
  </si>
  <si>
    <t>pajubri178@gmail.com</t>
  </si>
  <si>
    <t>juanitoluis13@gmail.com</t>
  </si>
  <si>
    <t>carlosmendezsancheza@gmail.com</t>
  </si>
  <si>
    <t>cerrajeriaalpes@gmail.com</t>
  </si>
  <si>
    <t>apaliz@hotmail.com</t>
  </si>
  <si>
    <t>vitelmopulido@gmail.com</t>
  </si>
  <si>
    <t>barretoluisenrique822@gmail.com</t>
  </si>
  <si>
    <t>oscarandresriveraamortegui@gmail.com</t>
  </si>
  <si>
    <t>saulbarreto.fe1@gmail.com</t>
  </si>
  <si>
    <t>leonguerrero80@hotmail.com</t>
  </si>
  <si>
    <t>becerraraul311@gmail.com</t>
  </si>
  <si>
    <t>ricastro2@gmail.com</t>
  </si>
  <si>
    <t>j_j_cch@hotmail.com</t>
  </si>
  <si>
    <t>jaenalarconj66@gmail.com</t>
  </si>
  <si>
    <t>julio_h857@hotmail.com</t>
  </si>
  <si>
    <t>aapcl23071971@gmail.com</t>
  </si>
  <si>
    <t>brayan.or9709@gmail.com</t>
  </si>
  <si>
    <t>wilsonjavier729@hotmail.com</t>
  </si>
  <si>
    <t>avella.la@hotmail.com</t>
  </si>
  <si>
    <t>jesuslaesmeralda@gmail.com</t>
  </si>
  <si>
    <t>hugoamejia9@gmail.com</t>
  </si>
  <si>
    <t>sofiab13@gmail.com</t>
  </si>
  <si>
    <t>druiz075@yahoo.es</t>
  </si>
  <si>
    <t>fabioenriquetobar@hotmail.com</t>
  </si>
  <si>
    <t>reyesmorenojose876@gmail.com</t>
  </si>
  <si>
    <t>bricenomesacarlos@gmail.com</t>
  </si>
  <si>
    <t>rondonliz44@gmail.com</t>
  </si>
  <si>
    <t>luisavelinop@hotmail.com</t>
  </si>
  <si>
    <t>angel230382@hotmail.com</t>
  </si>
  <si>
    <t>pebuitrago10@gmail.com</t>
  </si>
  <si>
    <t>davidchejt@gmail.com</t>
  </si>
  <si>
    <t>NO@gmail.com</t>
  </si>
  <si>
    <t>alvvargas@uniboyaca.edu.co</t>
  </si>
  <si>
    <t>jorgecarreno372@gmail.com</t>
  </si>
  <si>
    <t>jleonardo0728@gmail.com</t>
  </si>
  <si>
    <t>emgb3@hotmail.com</t>
  </si>
  <si>
    <t>and_forero@hotmail.com</t>
  </si>
  <si>
    <t>jcastellanose82@gmail.com</t>
  </si>
  <si>
    <t>decorautos.car@hotmail.com</t>
  </si>
  <si>
    <t>alvarezalexander2@gmail.com</t>
  </si>
  <si>
    <t>jackehu1@hotmail.com</t>
  </si>
  <si>
    <t>leonardoramirez0607@gmail.com</t>
  </si>
  <si>
    <t>wilmarrodriguezdiaz@gmail.com</t>
  </si>
  <si>
    <t>bsl8396@gmail.com</t>
  </si>
  <si>
    <t>mauriciocondearanda@hotmail.com</t>
  </si>
  <si>
    <t>mini2115_@hotmail.com</t>
  </si>
  <si>
    <t>furques@hotmail.com</t>
  </si>
  <si>
    <t>fabsep1@gmail.com</t>
  </si>
  <si>
    <t>jebm23@gmail.com</t>
  </si>
  <si>
    <t>mariodiez007@gmail.com</t>
  </si>
  <si>
    <t>juliancho1704@gmail.com</t>
  </si>
  <si>
    <t>migueloacevedo85@hotmail.com</t>
  </si>
  <si>
    <t>pedroivan8a@hotmail.com</t>
  </si>
  <si>
    <t>reprologiaequina@gmail.com</t>
  </si>
  <si>
    <t>l3sanca@yahoo.com</t>
  </si>
  <si>
    <t>beltranino@gmail.com</t>
  </si>
  <si>
    <t>ivanmahi10@msn.com</t>
  </si>
  <si>
    <t>gedicht2011@hotmail.com</t>
  </si>
  <si>
    <t>feather.diseno@gmail.com</t>
  </si>
  <si>
    <t>Alanpachon.jp@gmail.com</t>
  </si>
  <si>
    <t>brayansantiago2711@gmail.com</t>
  </si>
  <si>
    <t>rikrdo2204@gmail.com</t>
  </si>
  <si>
    <t>jairoalonso7@gmail.com</t>
  </si>
  <si>
    <t>nortemay@outlook.es</t>
  </si>
  <si>
    <t>cangrejovargasadelmo@gmail.com</t>
  </si>
  <si>
    <t>jorgecas73@hotmail.com</t>
  </si>
  <si>
    <t>jjmorenorubio@gmail.com</t>
  </si>
  <si>
    <t>pasfranciscoruiz@gmail.com</t>
  </si>
  <si>
    <t>andres_3900@yahoo.es</t>
  </si>
  <si>
    <t>e_dominguez@hotmail.es</t>
  </si>
  <si>
    <t>olguer1782@gmail.com</t>
  </si>
  <si>
    <t>EDGUVANI1974@gmail.com</t>
  </si>
  <si>
    <t>yaderconde@gmail.com</t>
  </si>
  <si>
    <t>alvarogomez0720@gmail.com</t>
  </si>
  <si>
    <t>jorgeale03@hotmail.com</t>
  </si>
  <si>
    <t>jairorodriguezcadena200875@gmail.com</t>
  </si>
  <si>
    <t>h.caballero77@hotmail.com</t>
  </si>
  <si>
    <t>ALVARODURAN233@gmail.com</t>
  </si>
  <si>
    <t>joteodoro1971@hotmail.com</t>
  </si>
  <si>
    <t>romerohernando738@gmail.com</t>
  </si>
  <si>
    <t>jccb_5472@hotmail.com</t>
  </si>
  <si>
    <t>marlongomez25@gmail.com</t>
  </si>
  <si>
    <t>giovani.gonzalez2302@gmail.com</t>
  </si>
  <si>
    <t>joseuribe8822@gmail.com</t>
  </si>
  <si>
    <t>josemeneses7712016@gmail.com</t>
  </si>
  <si>
    <t>ranger2512@hotmail.com</t>
  </si>
  <si>
    <t>jg.gomeznino@gmail.com</t>
  </si>
  <si>
    <t>NELSONGUERREROP88@gmail.com</t>
  </si>
  <si>
    <t>pp848627@gmail.com</t>
  </si>
  <si>
    <t>lawcruz48@hotmail.com</t>
  </si>
  <si>
    <t>alexander.alfonso.guerrero77@gmail.com</t>
  </si>
  <si>
    <t>ariasglizette@gmail.com</t>
  </si>
  <si>
    <t>garciaemiro381@gmail.com</t>
  </si>
  <si>
    <t>laytonacero1976@gmail.com</t>
  </si>
  <si>
    <t>fepane31@gmail.com</t>
  </si>
  <si>
    <t>parraescobarleonardo@gmail.com</t>
  </si>
  <si>
    <t>eliecergutierrez75@gmail.com</t>
  </si>
  <si>
    <t>berdugojesus122@gmail.com</t>
  </si>
  <si>
    <t>ansgoni00@gmail.com</t>
  </si>
  <si>
    <t>radabe1104@hotmail.com</t>
  </si>
  <si>
    <t>diegonumpaque@hotmail.com</t>
  </si>
  <si>
    <t>arbeynovoa1@gmail.com</t>
  </si>
  <si>
    <t>carbozarzal@gmail.com</t>
  </si>
  <si>
    <t>armandomedinagarzon@gmail.com</t>
  </si>
  <si>
    <t>norberto.dominguez@gmail.com</t>
  </si>
  <si>
    <t>gsanchez1491@hotmail.com</t>
  </si>
  <si>
    <t>jrueda5811@gmail.com</t>
  </si>
  <si>
    <t>criveraparra@gmail.com</t>
  </si>
  <si>
    <t>vaceros_9@gmail.com</t>
  </si>
  <si>
    <t>alfredo062@yahoo.com</t>
  </si>
  <si>
    <t>joseignaciodietes@gmail.com</t>
  </si>
  <si>
    <t>alviplastindustrial@hotmail.com</t>
  </si>
  <si>
    <t>facturaelectronicajlbs@gmail.com</t>
  </si>
  <si>
    <t>amboguer@hotmail.com</t>
  </si>
  <si>
    <t>ivanhazbon@gmail.com</t>
  </si>
  <si>
    <t>ludiaz6720@gmail.com</t>
  </si>
  <si>
    <t>alejandro69abril@gmail.com</t>
  </si>
  <si>
    <t>crisnocove70@gmail.com</t>
  </si>
  <si>
    <t>jaoc15@gmail.com</t>
  </si>
  <si>
    <t>urpublica@gmail.com</t>
  </si>
  <si>
    <t>henryballes@hotmail.com</t>
  </si>
  <si>
    <t>carestu@hotmail.com</t>
  </si>
  <si>
    <t>luandanychavez74@hotmail.com</t>
  </si>
  <si>
    <t>maespo24@gmail.com</t>
  </si>
  <si>
    <t>edgar281980@hotmail.com</t>
  </si>
  <si>
    <t>gustavo.cruz6767@gmail.com</t>
  </si>
  <si>
    <t>miguelalmendrales@hotmail.com</t>
  </si>
  <si>
    <t>amcastillo2022@gmail.com</t>
  </si>
  <si>
    <t>galviscarlosj@gmail.com</t>
  </si>
  <si>
    <t>orlandovecino815@gmail.com</t>
  </si>
  <si>
    <t>luzmita1907@gmail.com</t>
  </si>
  <si>
    <t>luisequintero@hotmail.com</t>
  </si>
  <si>
    <t>garavitofredyhumberto968@gmail.com</t>
  </si>
  <si>
    <t>wilevale77@hotmail.com</t>
  </si>
  <si>
    <t>jccasallas@yahoo.com</t>
  </si>
  <si>
    <t>ssarmiento2214@gmail.com</t>
  </si>
  <si>
    <t>altre1@hotmail.com</t>
  </si>
  <si>
    <t>arepasexquisitasl@yahoo.es</t>
  </si>
  <si>
    <t>omarlopez83@hotmail.es</t>
  </si>
  <si>
    <t>charcky18@hotmail.com</t>
  </si>
  <si>
    <t>belisarioorduz05@gmail.com</t>
  </si>
  <si>
    <t>alexander.ingambiental@gmail.com</t>
  </si>
  <si>
    <t>davidmathias1504@gmail.com</t>
  </si>
  <si>
    <t>nicolay.trujillo@outlook.com</t>
  </si>
  <si>
    <t>carlos.tamara@gmail.com</t>
  </si>
  <si>
    <t>paeg1980@gmail.com</t>
  </si>
  <si>
    <t>jcalderoncnch@yahoo.es</t>
  </si>
  <si>
    <t>fernando.campos02@hotmail.com</t>
  </si>
  <si>
    <t>os_salamank@gmail.com</t>
  </si>
  <si>
    <t>JHON.JERLY.GONZALEZ@gmail.com</t>
  </si>
  <si>
    <t>germanagudelo@hotmail.com</t>
  </si>
  <si>
    <t>jzambranocorrea@gmail.com</t>
  </si>
  <si>
    <t>evercalena@hotmail.com</t>
  </si>
  <si>
    <t>hvidalurrea@gmail.com</t>
  </si>
  <si>
    <t>depositorueda@gmail.com</t>
  </si>
  <si>
    <t>cmalondario@yahoo.com.co</t>
  </si>
  <si>
    <t>lm6444@hotmail.com</t>
  </si>
  <si>
    <t>mastebike.col@gmail.com</t>
  </si>
  <si>
    <t>rubendariocarabali49@gmail.com</t>
  </si>
  <si>
    <t>avemarias80@hotmail.com</t>
  </si>
  <si>
    <t>wilson232018@hotmail.com</t>
  </si>
  <si>
    <t>pedrocombita849@gmail.com</t>
  </si>
  <si>
    <t>hector3365@hotmail.com</t>
  </si>
  <si>
    <t>wilson_181@yahoo.com</t>
  </si>
  <si>
    <t>karen.dmf1503@gmail.com</t>
  </si>
  <si>
    <t>EXNEIDEROMEDURAN20@gmail.com</t>
  </si>
  <si>
    <t>aleja.aleja1606@gmail.com</t>
  </si>
  <si>
    <t>camiloperez.com@gmail.com</t>
  </si>
  <si>
    <t>leonrojasjuanpablo63@gmail.com</t>
  </si>
  <si>
    <t>juanvargas207@hotmail.com</t>
  </si>
  <si>
    <t>andres.becerra666@gmail.com</t>
  </si>
  <si>
    <t>becerrasaenzs@gmail.com</t>
  </si>
  <si>
    <t>JULIANASAENZ63@gmail.com</t>
  </si>
  <si>
    <t>leidyortizsandoval123@gmail.com</t>
  </si>
  <si>
    <t>pilarmontaes.33@gmail.com</t>
  </si>
  <si>
    <t>yadamsda2015@gmail.com</t>
  </si>
  <si>
    <t>vyafranvelazco@gmail.com</t>
  </si>
  <si>
    <t>higifonse.1983@hotmail.com</t>
  </si>
  <si>
    <t>diegoestevanavellaneda@gmail.com</t>
  </si>
  <si>
    <t>mjsuarezt@gmail.com</t>
  </si>
  <si>
    <t>patricio.re@hotmail.com</t>
  </si>
  <si>
    <t>recepcion.bdf.co@pginvoice.com</t>
  </si>
  <si>
    <t>facturacion@discon.com.co</t>
  </si>
  <si>
    <t>dulcubio22@gmail.com</t>
  </si>
  <si>
    <t>procoturmaguncia@gmail.com</t>
  </si>
  <si>
    <t>dlandinez@arrozsonora.com.co</t>
  </si>
  <si>
    <t>sysman@sysman.com.co</t>
  </si>
  <si>
    <t>svalencia@velnec.com</t>
  </si>
  <si>
    <t>duitama@cruzrojacolombiana.org</t>
  </si>
  <si>
    <t>parroquiansrtibasosa@gmail.com</t>
  </si>
  <si>
    <t>civelmecltda@gmail.com</t>
  </si>
  <si>
    <t>diaco.tuta@lavianda.co</t>
  </si>
  <si>
    <t>publicidad@ritchi.com.co</t>
  </si>
  <si>
    <t>cootraheroesltda@gmail.com</t>
  </si>
  <si>
    <t>distribuidoradevidriosanluis@gmail.com</t>
  </si>
  <si>
    <t>direccioncontable@serlecomsas.com</t>
  </si>
  <si>
    <t>cordinaltra@gmail.com</t>
  </si>
  <si>
    <t>hogarinfantilduitama2021@gmail.com</t>
  </si>
  <si>
    <t>mmesa@adium.com.co</t>
  </si>
  <si>
    <t>rinconyserrano@yahoo.es</t>
  </si>
  <si>
    <t>iconlimitada@gmail.com</t>
  </si>
  <si>
    <t>recepcion.facturacion@bellezaexpress.com</t>
  </si>
  <si>
    <t>pineda.adriana@optisalud.com</t>
  </si>
  <si>
    <t>mineralesboyaca@hotmail.com</t>
  </si>
  <si>
    <t>electrohernadezehijos@hotmail.com</t>
  </si>
  <si>
    <t>recibofe.procesos@summar.com.co</t>
  </si>
  <si>
    <t>m.nellydelosrios05@gmail.com</t>
  </si>
  <si>
    <t>amanda.giral@optionsa.com</t>
  </si>
  <si>
    <t>recepcioncompras.fe@gyj.com</t>
  </si>
  <si>
    <t>800136310@factureinbox.co</t>
  </si>
  <si>
    <t>iradio@iradio.com.co</t>
  </si>
  <si>
    <t>siesaferecepcion@siesafe.co</t>
  </si>
  <si>
    <t>mcvalderrama@elecmer.com</t>
  </si>
  <si>
    <t>fuentesmazano@yahoo.es</t>
  </si>
  <si>
    <t>gerencia@cootransbol.com</t>
  </si>
  <si>
    <t>contadora@katori.com.co</t>
  </si>
  <si>
    <t>huerfanoT@hotmail.com</t>
  </si>
  <si>
    <t>provitur2016@gmail.com</t>
  </si>
  <si>
    <t>marco.contreras@pinturassuper.com</t>
  </si>
  <si>
    <t>tures93@hotmail.com</t>
  </si>
  <si>
    <t>asotraind@yahoo.es</t>
  </si>
  <si>
    <t>tecser@pyvascosmetic.com</t>
  </si>
  <si>
    <t>cuentasporpagarmediagnostica@gmail.com</t>
  </si>
  <si>
    <t>cimingeniero@hotmail.com</t>
  </si>
  <si>
    <t>contabilidad@agrocanaveralejo.com.co</t>
  </si>
  <si>
    <t>teeielectricistas@gmail.com</t>
  </si>
  <si>
    <t>recepcion.facturas@ces.com.co</t>
  </si>
  <si>
    <t>eurocol_ltda@hotmail.com</t>
  </si>
  <si>
    <t>facturacionelectronica@brinsa.com.co</t>
  </si>
  <si>
    <t>notificacionesjudiciales.fms.co@sodexo.com</t>
  </si>
  <si>
    <t>metroconstruccionessas@yahoo.es</t>
  </si>
  <si>
    <t>feproveedores@faesfarma.com.co</t>
  </si>
  <si>
    <t>gerencia@grupomineralex.com</t>
  </si>
  <si>
    <t>usochicamochafacturae@gmail.com</t>
  </si>
  <si>
    <t>contabilidad@cimpa.com.co</t>
  </si>
  <si>
    <t>centromgerencia@gmail.com</t>
  </si>
  <si>
    <t>clientesduitama@imailbestos.com</t>
  </si>
  <si>
    <t>tunja@simetric.com.co</t>
  </si>
  <si>
    <t>colminerltda@gmail.com</t>
  </si>
  <si>
    <t>parroquiaelcarmenduitama@gmail.com</t>
  </si>
  <si>
    <t>auxiliarecursohumanoboyacaleon@gmail.com</t>
  </si>
  <si>
    <t>ongvisionfutura@hotmail.com</t>
  </si>
  <si>
    <t>fongensa@gensa.com.co</t>
  </si>
  <si>
    <t>facturacion.electronica@lamontanacol.com</t>
  </si>
  <si>
    <t>directoradmonlubritrans@gmail.com</t>
  </si>
  <si>
    <t>sintrametaltuta@yahoo.com</t>
  </si>
  <si>
    <t>recepcionduitama@nefrouros.net</t>
  </si>
  <si>
    <t>solomaquinas@live.com</t>
  </si>
  <si>
    <t>notificaciones@osf.com.co</t>
  </si>
  <si>
    <t>inverdiamonds@gmail.com</t>
  </si>
  <si>
    <t>proenergeticos@yahoo.com</t>
  </si>
  <si>
    <t>facturaelectronica.staelisa@gmail.com</t>
  </si>
  <si>
    <t>inducab.operaciones@gmail.com</t>
  </si>
  <si>
    <t>gerencia@ingeconsa.com.co</t>
  </si>
  <si>
    <t>cementeriodeduitama12@hotmail.co</t>
  </si>
  <si>
    <t>carbopazges@gmail.com</t>
  </si>
  <si>
    <t>contabilidadanalizar@gmail.com</t>
  </si>
  <si>
    <t>factelectronica@almacenesparaiso.com</t>
  </si>
  <si>
    <t>edisonvelandia7@gmail.com</t>
  </si>
  <si>
    <t>c.paraiso@yahoo.es</t>
  </si>
  <si>
    <t>parroquiasantisimatrinidad1960@gmail.com</t>
  </si>
  <si>
    <t>bygcia@yahoo.com</t>
  </si>
  <si>
    <t>sochaparroquia@gmail.com</t>
  </si>
  <si>
    <t>invarsas@gmail.com</t>
  </si>
  <si>
    <t>marquesdepuntalarga1@yahoo.es</t>
  </si>
  <si>
    <t>eventos1a@yahoo.es</t>
  </si>
  <si>
    <t>coomultesco@gmail.com</t>
  </si>
  <si>
    <t>finanzas@matcol.co</t>
  </si>
  <si>
    <t>contabilidad@meltecoriente.co</t>
  </si>
  <si>
    <t>multiproyectos.facturas@gmail.com</t>
  </si>
  <si>
    <t>constmontmoreno@yahoo.es</t>
  </si>
  <si>
    <t>info@servicol.inmobiliaria.com</t>
  </si>
  <si>
    <t>parroquiadebeteitivayotenga@gmail.com</t>
  </si>
  <si>
    <t>felisahurtadodemanrique@gmail.com</t>
  </si>
  <si>
    <t>acueductocerinza@gmail.com</t>
  </si>
  <si>
    <t>vicollimitada@gmail.com</t>
  </si>
  <si>
    <t>gerencia@transunicol.co</t>
  </si>
  <si>
    <t>servicolltda@hotmail.com</t>
  </si>
  <si>
    <t>acueductolaflorida@hotmail.com</t>
  </si>
  <si>
    <t>acueductotrinidad@hotmail.com</t>
  </si>
  <si>
    <t>distriserviciosibs@gmail.com</t>
  </si>
  <si>
    <t>acueductosanduitama2022@outlook.com</t>
  </si>
  <si>
    <t>laislaltda@gmail.com</t>
  </si>
  <si>
    <t>admaltosdelmaranta@gmail.com</t>
  </si>
  <si>
    <t>multifamiliarelparque@hotmail.com</t>
  </si>
  <si>
    <t>sub.financiera@cargandosa.com</t>
  </si>
  <si>
    <t>acueductosanluisduitama@gmail.com</t>
  </si>
  <si>
    <t>tundamaestereo@gmail.com</t>
  </si>
  <si>
    <t>torresdesantaisabel.2018@gmail.com</t>
  </si>
  <si>
    <t>admonpueblitoboy0819@gmail.com</t>
  </si>
  <si>
    <t>ancianatolaprovidencia123@gmail.com</t>
  </si>
  <si>
    <t>masersas.03@gmail.com</t>
  </si>
  <si>
    <t>edificiomagdaph@gmail.com</t>
  </si>
  <si>
    <t>grupovinculamos@gmail.com</t>
  </si>
  <si>
    <t>contabilidad@espumol.com</t>
  </si>
  <si>
    <t>edsvilladelrioltda@yahoo.es</t>
  </si>
  <si>
    <t>servipagosdtma@hotmail.com</t>
  </si>
  <si>
    <t>sicmeltda@hotmail.com</t>
  </si>
  <si>
    <t>admon.quintasdelaesperanza@hotmail.com</t>
  </si>
  <si>
    <t>parroquiasativa.sanjose@gmail.com</t>
  </si>
  <si>
    <t>admonedificiocosmocentrola16@gmail.com</t>
  </si>
  <si>
    <t>geotecluis@yahoo.es</t>
  </si>
  <si>
    <t>imegocarga@hotmail.com</t>
  </si>
  <si>
    <t>asopadressantoto@gmail.com</t>
  </si>
  <si>
    <t>facturaelectronica@discolmets.com.co</t>
  </si>
  <si>
    <t>facturacion@ingeniarsas.co</t>
  </si>
  <si>
    <t>luis.a.chaparro@grupobimbo.com</t>
  </si>
  <si>
    <t>asistentecaja.duitama@apuestasjer.com</t>
  </si>
  <si>
    <t>contabilidad@kolpingfund.org</t>
  </si>
  <si>
    <t>facturacion@close-upinternational.com.co</t>
  </si>
  <si>
    <t>norida.alarcon@ecolab.com</t>
  </si>
  <si>
    <t>info@protexsa.com.co</t>
  </si>
  <si>
    <t>altimax.93@gmail.com</t>
  </si>
  <si>
    <t>830063800@siesa.com</t>
  </si>
  <si>
    <t>mcaro@isabelcolombia.com.co</t>
  </si>
  <si>
    <t>reynaldotoledo@hotmail.com</t>
  </si>
  <si>
    <t>factura.electronica@fundacionmarialuisa.org</t>
  </si>
  <si>
    <t>laura.barrera@conaltra.com</t>
  </si>
  <si>
    <t>sanchez_alfonso@ciudadconexiondigital.com</t>
  </si>
  <si>
    <t>ELIESIDCASTROCASTILLA@gmail.com</t>
  </si>
  <si>
    <t>laesperanzaia@hotmail.com</t>
  </si>
  <si>
    <t>gerencia@cge.com.co</t>
  </si>
  <si>
    <t>contabilidad@ati.net.co</t>
  </si>
  <si>
    <t>agrojla_varios@hotmail.com</t>
  </si>
  <si>
    <t>contabilidad@interproyectos.com.co</t>
  </si>
  <si>
    <t>proveedoresfe@gloria.com.co</t>
  </si>
  <si>
    <t>facturacion@manfil.com.com</t>
  </si>
  <si>
    <t>proyectos@mtisas.com</t>
  </si>
  <si>
    <t>facturacionelectronica@levapan.com</t>
  </si>
  <si>
    <t>tributaria@dinissan.com.co</t>
  </si>
  <si>
    <t>xhernandez@automundial.com.co</t>
  </si>
  <si>
    <t>recepcionfe@gaslux.com.co</t>
  </si>
  <si>
    <t>proveedoresactividadescomerciales@co.nestle.com</t>
  </si>
  <si>
    <t>factura.grupoeterna@eterna.com.co</t>
  </si>
  <si>
    <t>admonproyectoapdr@colmaquinas.com</t>
  </si>
  <si>
    <t>recepcionfe@alqueria.com.co</t>
  </si>
  <si>
    <t>congregacion@amigonianossanjose.org</t>
  </si>
  <si>
    <t>ojaime@gradezco.com</t>
  </si>
  <si>
    <t>fe@lapresentacionprovinciabogota.org</t>
  </si>
  <si>
    <t>tesorerianazareth@hotmail.com</t>
  </si>
  <si>
    <t>rfacturacionelectronica@dersa.com.co</t>
  </si>
  <si>
    <t>contabilidadduitama@sdbcob.org</t>
  </si>
  <si>
    <t>impuestos@positiva.gov.co</t>
  </si>
  <si>
    <t>acebnacional@gmail.com</t>
  </si>
  <si>
    <t>boyaca@sintrabancol.org</t>
  </si>
  <si>
    <t>facturacionelectronica@superricas.com</t>
  </si>
  <si>
    <t>col_intercambio@einvoicing.signature-cloud.com</t>
  </si>
  <si>
    <t>astrith.lopez@mibanco.com.co</t>
  </si>
  <si>
    <t>notificaciones@elrey.com.co</t>
  </si>
  <si>
    <t>gelossscjp@gmail.com</t>
  </si>
  <si>
    <t>facturacion@fequala.com.co</t>
  </si>
  <si>
    <t>iwiest@juriscoop.com.co</t>
  </si>
  <si>
    <t>GERENCIA.GENERAL@COOINDEGABO.COM.CO</t>
  </si>
  <si>
    <t>juantorres@impocoma.com</t>
  </si>
  <si>
    <t>cavella@lanzettarengifo.com.co</t>
  </si>
  <si>
    <t>transer@transer.com.co</t>
  </si>
  <si>
    <t>resepcionfacturas@grupoasd.com.co</t>
  </si>
  <si>
    <t>maria.melo@unad.edu.co</t>
  </si>
  <si>
    <t>recepcionfeocsas@organizacioncardenas.com.co</t>
  </si>
  <si>
    <t>FECO@SOLIDARIA.COM</t>
  </si>
  <si>
    <t>impuestos@tgtgamas.com</t>
  </si>
  <si>
    <t>vocinesnotificaciones@outlook.com</t>
  </si>
  <si>
    <t>MASTER@UNIBOL.COM.CO</t>
  </si>
  <si>
    <t>jguevar1@kenvue.com</t>
  </si>
  <si>
    <t>agrosantuario333ltda@gmail.com</t>
  </si>
  <si>
    <t>auxtesoycarteratunja@avsasa.com</t>
  </si>
  <si>
    <t>facturaelectronica@codiesel.co</t>
  </si>
  <si>
    <t>890203225@recepciondefacturas.co</t>
  </si>
  <si>
    <t>facturaelectronica@dpjd.com</t>
  </si>
  <si>
    <t>gironesogaboyaca@hotmail.com</t>
  </si>
  <si>
    <t>cafeaguilarojadtm04@yahoo.es</t>
  </si>
  <si>
    <t>recepcion-fe@colombina.com</t>
  </si>
  <si>
    <t>melva.avella@hotelesestelar.com</t>
  </si>
  <si>
    <t>recepcion_fe@alimentoscarnicos.com.co</t>
  </si>
  <si>
    <t>marielaarauca@hotmail.com</t>
  </si>
  <si>
    <t>proimpo@proimpo.com</t>
  </si>
  <si>
    <t>890326050@factureinbox.co</t>
  </si>
  <si>
    <t>walter.cely@colgas.com</t>
  </si>
  <si>
    <t>estudastrales.secretaria@gmail.com</t>
  </si>
  <si>
    <t>atencion.proveedores@casaluker.com.co</t>
  </si>
  <si>
    <t>maria.vasquez@landers.com.co</t>
  </si>
  <si>
    <t>facturafamiliacol.gf@essity.com</t>
  </si>
  <si>
    <t>facturas_proveedores@colcomercio.com.co</t>
  </si>
  <si>
    <t>recibo.facturas@prebel.com.co</t>
  </si>
  <si>
    <t>hernan.florez@dislicores.com</t>
  </si>
  <si>
    <t>891300043@siesa.com</t>
  </si>
  <si>
    <t>recepcionfactura@hv.com.co</t>
  </si>
  <si>
    <t>contabilidad@cosmoagro.com</t>
  </si>
  <si>
    <t>coflotax@yahoo.es</t>
  </si>
  <si>
    <t>tesoreria@cootrachica.com</t>
  </si>
  <si>
    <t>recepcionfacturas@comfaboy.com.co</t>
  </si>
  <si>
    <t>monasterio.santisimorosario@hotmail.com</t>
  </si>
  <si>
    <t>facturaelectronicadds@gmail.com</t>
  </si>
  <si>
    <t>gerencia@cootransvalle.com.co</t>
  </si>
  <si>
    <t>diacoop@gmail.com</t>
  </si>
  <si>
    <t>tono954@yahoo.es</t>
  </si>
  <si>
    <t>companiaminerayforestal@gmail.com</t>
  </si>
  <si>
    <t>facturaelectronica@ccduitama.org.co</t>
  </si>
  <si>
    <t>bomberosduitamafacturacion@gmail.com</t>
  </si>
  <si>
    <t>coomultelecom@yahoo.es</t>
  </si>
  <si>
    <t>equisisfac@gmail.com</t>
  </si>
  <si>
    <t>sintrapazriofacturacion@gmail.com</t>
  </si>
  <si>
    <t>rosatuliatundama@hotmail.com</t>
  </si>
  <si>
    <t>891855600@factureinbox.co</t>
  </si>
  <si>
    <t>contabilidadinstitutolega@gmail.com</t>
  </si>
  <si>
    <t>facturacion@inprosas.co</t>
  </si>
  <si>
    <t>fundacionsanisidro80@gmail.com</t>
  </si>
  <si>
    <t>suserviboy@yahoo.es</t>
  </si>
  <si>
    <t>hotelescondestino@hotelescondestino.com</t>
  </si>
  <si>
    <t>hoicata9@hotmail.com</t>
  </si>
  <si>
    <t>almacons.ltda@gmail.com</t>
  </si>
  <si>
    <t>facturacion@inverdorados.com</t>
  </si>
  <si>
    <t>clinicaboyaca@gmail.com</t>
  </si>
  <si>
    <t>cmenergyltda@gmail.com</t>
  </si>
  <si>
    <t>contabilidadsotrasma@gmail.com</t>
  </si>
  <si>
    <t>coopdoradoltda@hotmail.com</t>
  </si>
  <si>
    <t>farmacia13302041@eticos.com</t>
  </si>
  <si>
    <t>acueductovereda.santalucia@gmail.com</t>
  </si>
  <si>
    <t>dishumano@yahoo.com</t>
  </si>
  <si>
    <t>latinaeditores@gmail.com</t>
  </si>
  <si>
    <t>resplandorlimpieza1@gmail.com</t>
  </si>
  <si>
    <t>aguasvitalsanantonio@gmail.com</t>
  </si>
  <si>
    <t>sintramunicipiosdeboyaca2020@gmail.com</t>
  </si>
  <si>
    <t>claesgaba@yahoo.com</t>
  </si>
  <si>
    <t>canalboyacatv@gmail.com</t>
  </si>
  <si>
    <t>arborisanltda@yahoo.com</t>
  </si>
  <si>
    <t>coquetasco2@yahoo.es</t>
  </si>
  <si>
    <t>comercializadoralmltda4@hotmail.com</t>
  </si>
  <si>
    <t>marcas.y.llantas@hotmail.com</t>
  </si>
  <si>
    <t>ceintrans@hotmail.com</t>
  </si>
  <si>
    <t>contabilidad@inmobiliariaavivar.com</t>
  </si>
  <si>
    <t>administracion@roxtro.co</t>
  </si>
  <si>
    <t>soltecas@hotmail.com</t>
  </si>
  <si>
    <t>secretaria.gerencia@olt.com.co</t>
  </si>
  <si>
    <t>gerencia@siec.com.co</t>
  </si>
  <si>
    <t>contabilidad@colombiacrane.com</t>
  </si>
  <si>
    <t>termalescolombia@yahoo.es</t>
  </si>
  <si>
    <t>almapint@hotmail.es</t>
  </si>
  <si>
    <t>centrodepastoraldonbosco@hotmail.com</t>
  </si>
  <si>
    <t>corponaturaleza@hotmail.com</t>
  </si>
  <si>
    <t>info@carbonesdeoriente.com</t>
  </si>
  <si>
    <t>jacsanjuanboscodtma2226@gmail.com</t>
  </si>
  <si>
    <t>contactenos@clublagranja.com</t>
  </si>
  <si>
    <t>marca@marcaconstructores.com</t>
  </si>
  <si>
    <t>dispoenergiassas@gmail.com</t>
  </si>
  <si>
    <t>movi.express@hotmail.com</t>
  </si>
  <si>
    <t>condimentosdonarosa@gmail.com</t>
  </si>
  <si>
    <t>gerecia@vultransteam.com</t>
  </si>
  <si>
    <t>thmsa900@yahoo.com</t>
  </si>
  <si>
    <t>lluviasdebendicionduitama@hotmail.com</t>
  </si>
  <si>
    <t>biomedicsadmon@hotmail.com</t>
  </si>
  <si>
    <t>facturas@ahtcolombia.com</t>
  </si>
  <si>
    <t>gerencia@comagrico.com</t>
  </si>
  <si>
    <t>oscar.bermudez@opegin.com</t>
  </si>
  <si>
    <t>p.misericordia@hotmail.com</t>
  </si>
  <si>
    <t>servicioalcliente@urbania-es.com</t>
  </si>
  <si>
    <t>suministros@grupofesa.co</t>
  </si>
  <si>
    <t>contador@healthyamerica.com.co</t>
  </si>
  <si>
    <t>fundacionfidesocial@gmail.com</t>
  </si>
  <si>
    <t>unirepuestosduitama@gmail.com</t>
  </si>
  <si>
    <t>facturacion.e@extremmarketing.com</t>
  </si>
  <si>
    <t>absinversiones@hotmail.com</t>
  </si>
  <si>
    <t>pizarrola@churchofjesuschrist.org</t>
  </si>
  <si>
    <t>iaconsultores@yahoo.com</t>
  </si>
  <si>
    <t>servilaperlaeu@gmail.com</t>
  </si>
  <si>
    <t>assistant@kadicaconsulting.com</t>
  </si>
  <si>
    <t>contabilidad3@gares.com.co</t>
  </si>
  <si>
    <t>mineraleslaluz@gmail.com</t>
  </si>
  <si>
    <t>recreativos.insuber@yahoo.es</t>
  </si>
  <si>
    <t>contabilidad@cercasbalkran.com</t>
  </si>
  <si>
    <t>carboriverltda@hotmail.com</t>
  </si>
  <si>
    <t>dicarga.sas@gmail.com</t>
  </si>
  <si>
    <t>conaced.duitama@gmail.com</t>
  </si>
  <si>
    <t>facturacion@monteazul.co</t>
  </si>
  <si>
    <t>conjunto.sorrento@gmail.com</t>
  </si>
  <si>
    <t>gesproindustrial@yahoo.com.co</t>
  </si>
  <si>
    <t>industrias.cem@hotmail.com</t>
  </si>
  <si>
    <t>cominorteltda@hotmail.com</t>
  </si>
  <si>
    <t>condusalup_ips@yahoo.es</t>
  </si>
  <si>
    <t>tecniindustrialviera@hotmail.com</t>
  </si>
  <si>
    <t>contabilidad@tecnifibrasboyaca.com</t>
  </si>
  <si>
    <t>info.contabilidad@eco7396.com</t>
  </si>
  <si>
    <t>monasteriosoata@yahoo.com</t>
  </si>
  <si>
    <t>contabilidad.byd.multiproyectos@gmail.com</t>
  </si>
  <si>
    <t>edslosheroes@gmail.com</t>
  </si>
  <si>
    <t>villaclaudiaeventos@gmail.com</t>
  </si>
  <si>
    <t>corseing.sas@gmail.com</t>
  </si>
  <si>
    <t>fundacangurosog@hotmail.com</t>
  </si>
  <si>
    <t>mixtaduitama@gmail.com</t>
  </si>
  <si>
    <t>ACOY2470@gmail.com</t>
  </si>
  <si>
    <t>comercializadoraboyacense@gmail.com</t>
  </si>
  <si>
    <t>unilimpia@gmail.com</t>
  </si>
  <si>
    <t>pepcomercio@hotmail.com</t>
  </si>
  <si>
    <t>sucursal@suelopetrol.com.co</t>
  </si>
  <si>
    <t>carlos.carreno@uptc.edu.co</t>
  </si>
  <si>
    <t>agarcia@plastident.com</t>
  </si>
  <si>
    <t>eyvingenieria@hotmail.com</t>
  </si>
  <si>
    <t>admoncmarketing@gmail.com</t>
  </si>
  <si>
    <t>centraldeabastosduitama@hotmail.com</t>
  </si>
  <si>
    <t>pagduria@itirr.edu.co</t>
  </si>
  <si>
    <t>elemecanic@gmail.com</t>
  </si>
  <si>
    <t>recepcion_fe@comercialnutresa.com.co</t>
  </si>
  <si>
    <t>epv.consultoresempresariales@gmail.com</t>
  </si>
  <si>
    <t>procesosfamedit@fundacionfamedit.com</t>
  </si>
  <si>
    <t>maxiporterias.yess@gmail.com</t>
  </si>
  <si>
    <t>tobos@tobos.com.co</t>
  </si>
  <si>
    <t>administradora@innovoplazaduitama.com</t>
  </si>
  <si>
    <t>corpoartecul@gmail.com</t>
  </si>
  <si>
    <t>industriascardenasfire@gmail.com</t>
  </si>
  <si>
    <t>refrasing.sas@gmail.com</t>
  </si>
  <si>
    <t>cecolsevsas@outlook.com</t>
  </si>
  <si>
    <t>cgomez.garzon@hotmail.com</t>
  </si>
  <si>
    <t>saludvitalfacturacion2024@gmail.com</t>
  </si>
  <si>
    <t>comercializadorasionsas21@gmail.com</t>
  </si>
  <si>
    <t>facturaelectronica@legal-colombia.com</t>
  </si>
  <si>
    <t>contabilidad@mbls.com.co</t>
  </si>
  <si>
    <t>los.camiones@comdisllantas.com</t>
  </si>
  <si>
    <t>edif.royalcenter@gmail.com</t>
  </si>
  <si>
    <t>fundacionsomosmanosunidas25@hotmail.com</t>
  </si>
  <si>
    <t>dimapboyaca@hotmail.com</t>
  </si>
  <si>
    <t>turismoavanzar.sas@gmail.com</t>
  </si>
  <si>
    <t>oratranse09@yahoo.com</t>
  </si>
  <si>
    <t>ferreaceros.sas@hotmail.com</t>
  </si>
  <si>
    <t>albaluzgonzalez63@gmail.com</t>
  </si>
  <si>
    <t>proyectos.sei@gmail.com</t>
  </si>
  <si>
    <t>robledalesparqueresidencialph@gmail.com</t>
  </si>
  <si>
    <t>autobusemuiscasas@hotmail.com</t>
  </si>
  <si>
    <t>janeth_ballesteros@hotmail.com</t>
  </si>
  <si>
    <t>facturacion.fondeces@gmail.com</t>
  </si>
  <si>
    <t>diatomitaduitama@hotmail.com</t>
  </si>
  <si>
    <t>info@construccioneseficientes.com.co</t>
  </si>
  <si>
    <t>mecho0427@hotmail.com</t>
  </si>
  <si>
    <t>carbonesdeloriente@hotmail.com</t>
  </si>
  <si>
    <t>sintraces.cuarta@hotmail.com</t>
  </si>
  <si>
    <t>acero116@hotmail.com</t>
  </si>
  <si>
    <t>anbar_v@hotmail.com</t>
  </si>
  <si>
    <t>tecnicrane@gmail.com</t>
  </si>
  <si>
    <t>llantas.reencauche.nar@gmail.com</t>
  </si>
  <si>
    <t>enfermeria.duitama@clinicos.com.co</t>
  </si>
  <si>
    <t>compras@armesconstructora.com</t>
  </si>
  <si>
    <t>gerencia@tcasanare.com</t>
  </si>
  <si>
    <t>pabloepg@hotmail.com</t>
  </si>
  <si>
    <t>comprastoliboy@gmail.com</t>
  </si>
  <si>
    <t>transcarga.pp@hotmail.com</t>
  </si>
  <si>
    <t>contador@invercoal.com</t>
  </si>
  <si>
    <t>clubdeportivoccsd@gmail.com</t>
  </si>
  <si>
    <t>gerenciacodimsa@hotmail.com</t>
  </si>
  <si>
    <t>espertaipesas@yahoo.com</t>
  </si>
  <si>
    <t>bananeraduitama@hotmail.com</t>
  </si>
  <si>
    <t>facturas@arfeseg.com</t>
  </si>
  <si>
    <t>revisorfiscal@dejamusubachoque.com</t>
  </si>
  <si>
    <t>gerenci@ulcsas.com</t>
  </si>
  <si>
    <t>yarmukmedicalcenter@gmail.com</t>
  </si>
  <si>
    <t>Seagram.col@gmail.com</t>
  </si>
  <si>
    <t>comprascolmas@recepcion.alegra.com</t>
  </si>
  <si>
    <t>Facturacion@pyophthalmics.com</t>
  </si>
  <si>
    <t>tspfacturacionelec@gmail.com</t>
  </si>
  <si>
    <t>ttc.sas@gmail.com</t>
  </si>
  <si>
    <t>distribucionesalumboy@hotmail.com</t>
  </si>
  <si>
    <t>trigosmch@hotmail.com</t>
  </si>
  <si>
    <t>hc.ingenieriaymontajes@gmail.com</t>
  </si>
  <si>
    <t>gerencia@nutrirac.com.co</t>
  </si>
  <si>
    <t>direccioncomercialitcertifica@gmail.com</t>
  </si>
  <si>
    <t>administracion@cfecentral.org</t>
  </si>
  <si>
    <t>nelsoncarrillomojica3@gmail.com</t>
  </si>
  <si>
    <t>rmseguros1@gmail.com</t>
  </si>
  <si>
    <t>sisomin@hotmail.com</t>
  </si>
  <si>
    <t>templadosdelllano@gmail.com</t>
  </si>
  <si>
    <t>acontabilidad@certificaciongruas.com</t>
  </si>
  <si>
    <t>nidialuzmateus@yahoo.com</t>
  </si>
  <si>
    <t>facturacion@pronavid.com.co</t>
  </si>
  <si>
    <t>operadores.rubi.sas@gmail.com</t>
  </si>
  <si>
    <t>mtrlufersas@gmail.com</t>
  </si>
  <si>
    <t>cemicnc@hotmail.com</t>
  </si>
  <si>
    <t>fundespertar.spa@gamil.com</t>
  </si>
  <si>
    <t>carbonessyr@gmail.com</t>
  </si>
  <si>
    <t>gerencia@altaid.com.co</t>
  </si>
  <si>
    <t>ingelparrasas@gmail.com</t>
  </si>
  <si>
    <t>maucepe@gmail.com</t>
  </si>
  <si>
    <t>contacto@fumigacioneseltriunfo.com</t>
  </si>
  <si>
    <t>seminariosalvator.mundi@gmail.com</t>
  </si>
  <si>
    <t>pjameseduardo@yahoo.es</t>
  </si>
  <si>
    <t>facturas@semalsas.com</t>
  </si>
  <si>
    <t>CONTABILIDAD@BERCALL.COM</t>
  </si>
  <si>
    <t>artecali@hotmail.com</t>
  </si>
  <si>
    <t>eacarrenom@jersalud.com</t>
  </si>
  <si>
    <t>kattyvesga@gmail.com</t>
  </si>
  <si>
    <t>adminapartado@estinsa.com</t>
  </si>
  <si>
    <t>sluribe1@gmail.com</t>
  </si>
  <si>
    <t>solicitudes.vida@zurich.com</t>
  </si>
  <si>
    <t>balconesdevillaauroraduitama@gmail.com</t>
  </si>
  <si>
    <t>Lyda.barragan@transolicar.com</t>
  </si>
  <si>
    <t>ocpmingenieria@gmail.com</t>
  </si>
  <si>
    <t>contabilidadconstrudiseno@hotmail.com</t>
  </si>
  <si>
    <t>vivianaemi159@hotmail.com</t>
  </si>
  <si>
    <t>innovo.ad@gmail.com</t>
  </si>
  <si>
    <t>gerencia.comssem@gmail.com</t>
  </si>
  <si>
    <t>balconesdelasamericas@hotmail.com</t>
  </si>
  <si>
    <t>contabilidadorizzonte@gmail.com</t>
  </si>
  <si>
    <t>milsang70@hotmail.com</t>
  </si>
  <si>
    <t>labstransportedecarga@gmail.com</t>
  </si>
  <si>
    <t>asofruchic@gmail.com</t>
  </si>
  <si>
    <t>maderasalirio@hotmail.com</t>
  </si>
  <si>
    <t>facturacionruizguzmansas@gmail.com</t>
  </si>
  <si>
    <t>juan_g_maria@yahoo.com</t>
  </si>
  <si>
    <t>financierajuriscoop@juriscoop.com.co</t>
  </si>
  <si>
    <t>contabilidad@cjnasesores.com.co</t>
  </si>
  <si>
    <t>jarenas@reinventarte.co</t>
  </si>
  <si>
    <t>ong.pornuestromundo@gmail.com</t>
  </si>
  <si>
    <t>orientaldepartes@gmail.com</t>
  </si>
  <si>
    <t>hrequipossas@gmail.com</t>
  </si>
  <si>
    <t>olgalu023@hotmail.com</t>
  </si>
  <si>
    <t>asjpdr@hotmail.com</t>
  </si>
  <si>
    <t>tractotamayo@gmail.com</t>
  </si>
  <si>
    <t>oficina.sogamoso@rocaseguros.com</t>
  </si>
  <si>
    <t>juancarlospenapuerto@hotmail.com</t>
  </si>
  <si>
    <t>advidayrestauracion@hotmail.com</t>
  </si>
  <si>
    <t>fundacionmas.org@gmail.com</t>
  </si>
  <si>
    <t>EJECUTIVO704@UNI2.COM.CO</t>
  </si>
  <si>
    <t>organizacionoit@gmail.com</t>
  </si>
  <si>
    <t>asprolevac87@gmail.com</t>
  </si>
  <si>
    <t>info.duitama@gmail.com</t>
  </si>
  <si>
    <t>gerenciacombisen@gmail.com</t>
  </si>
  <si>
    <t>recepcionfacturas.solucarbones@gmail.com</t>
  </si>
  <si>
    <t>carterampjingenieria@gmail.com</t>
  </si>
  <si>
    <t>grupoingsat@gmail.com</t>
  </si>
  <si>
    <t>luisktr02@hotmail.com</t>
  </si>
  <si>
    <t>tractoflorezsas@gmail.com</t>
  </si>
  <si>
    <t>marigomez982@hotmail.com</t>
  </si>
  <si>
    <t>crcmedicduitama@hotmail.com</t>
  </si>
  <si>
    <t>salitredeorosas@gmail.com</t>
  </si>
  <si>
    <t>ing.jpereira@hotmail.com</t>
  </si>
  <si>
    <t>bomberosvoluntariostibasosa@gmail.com</t>
  </si>
  <si>
    <t>otepsas@gmail.com</t>
  </si>
  <si>
    <t>cultivolima@hotmail.com</t>
  </si>
  <si>
    <t>caetracolombia@gmail.com</t>
  </si>
  <si>
    <t>vavitroalumsas@gmail.com</t>
  </si>
  <si>
    <t>fundeprogreso2017@gmail.com</t>
  </si>
  <si>
    <t>contabilidad@minutricionsas.com</t>
  </si>
  <si>
    <t>mantenimientob@berlinasdelfoce.com</t>
  </si>
  <si>
    <t>hotel.puntalarga7@gmail.com</t>
  </si>
  <si>
    <t>facturacionsuamigo@gmail.com</t>
  </si>
  <si>
    <t>luzmarina_2607@hotmail.com</t>
  </si>
  <si>
    <t>ensotec.ingenieria@gmail.com</t>
  </si>
  <si>
    <t>facturacion@dicemcol.com</t>
  </si>
  <si>
    <t>info@consoltin.com.co</t>
  </si>
  <si>
    <t>facturacionenripan@gmail.com</t>
  </si>
  <si>
    <t>facturacionesjyr@gmail.com</t>
  </si>
  <si>
    <t>inprosolsas@gmail.com</t>
  </si>
  <si>
    <t>contabilidad@tricondor.com.co</t>
  </si>
  <si>
    <t>amabesenc@gmail.com</t>
  </si>
  <si>
    <t>elbodegonsogamoso@gmail.com</t>
  </si>
  <si>
    <t>facturas@randommonkey.io</t>
  </si>
  <si>
    <t>gerencia@sclubricantes.com.co</t>
  </si>
  <si>
    <t>incordis.ing@gmail.com</t>
  </si>
  <si>
    <t>silvatorresalirio@hotmal.com</t>
  </si>
  <si>
    <t>hotelmilan10@gmail.com</t>
  </si>
  <si>
    <t>ambitecsas@gmail.com</t>
  </si>
  <si>
    <t>williamsas@hotmail.com</t>
  </si>
  <si>
    <t>maurorduz@hotmail.com</t>
  </si>
  <si>
    <t>corporacionbiorregion@gmail.com</t>
  </si>
  <si>
    <t>inghenrymesa@yahoo.es</t>
  </si>
  <si>
    <t>contabilidad@mannasoluciones.com</t>
  </si>
  <si>
    <t>jucaro724@hotmail.com</t>
  </si>
  <si>
    <t>torresdemarsella@gmail.com</t>
  </si>
  <si>
    <t>sonia.mayorga@isointec.com</t>
  </si>
  <si>
    <t>fabrismetsas@gmail.com</t>
  </si>
  <si>
    <t>crcolinarealalamos@gmail.com</t>
  </si>
  <si>
    <t>multiserviciosvilladelrosario@gmail.com</t>
  </si>
  <si>
    <t>servicentro.sochaviejo.eds@gmail.com</t>
  </si>
  <si>
    <t>pochinim@gmail.com</t>
  </si>
  <si>
    <t>valentin55@gmail.com</t>
  </si>
  <si>
    <t>solaacol@gmail.com</t>
  </si>
  <si>
    <t>csmsolucionessas@gmail.com</t>
  </si>
  <si>
    <t>arincon@refra.com.mx</t>
  </si>
  <si>
    <t>facturascreamoscolombia@gmail.com</t>
  </si>
  <si>
    <t>compras@fabricajas.co</t>
  </si>
  <si>
    <t>camape36@gmail.com</t>
  </si>
  <si>
    <t>equipospesadosmultiservicios@gmail.com</t>
  </si>
  <si>
    <t>ind.fabrimet@gmail.com</t>
  </si>
  <si>
    <t>john@iluminacion.co</t>
  </si>
  <si>
    <t>espiritudeboyaca@gmail.com</t>
  </si>
  <si>
    <t>tunsalud@hotmail.com</t>
  </si>
  <si>
    <t>facturacion.cferet@gmail.com</t>
  </si>
  <si>
    <t>contabilidadlunaips@gmail.com</t>
  </si>
  <si>
    <t>atalayaduitama@gmail.com</t>
  </si>
  <si>
    <t>YMORENO@GRUPOSUNA.COM</t>
  </si>
  <si>
    <t>facturacionadmon.sol@grupotnc.com</t>
  </si>
  <si>
    <t>ronald.megamarket@gmail.com</t>
  </si>
  <si>
    <t>eyfcomercializadora@gmail.com</t>
  </si>
  <si>
    <t>artepcosas@gmail.com</t>
  </si>
  <si>
    <t>zarando71@hotmail.com</t>
  </si>
  <si>
    <t>hoteleslafloresta@gmail.com</t>
  </si>
  <si>
    <t>TAGCONSULTORES.SERVICIOS@gmail.com</t>
  </si>
  <si>
    <t>cr.robledales2@gmail.com</t>
  </si>
  <si>
    <t>gerencia@g5soluciones.com</t>
  </si>
  <si>
    <t>espinosasecs@gmail.com</t>
  </si>
  <si>
    <t>corporacioncodesboy@gmail.com</t>
  </si>
  <si>
    <t>dimercassas@hotmail.com</t>
  </si>
  <si>
    <t>dismets.sl.sas@hotmail.com</t>
  </si>
  <si>
    <t>contabilidad@ingenieriaprac.com.co</t>
  </si>
  <si>
    <t>esisas.contabilidad@gmail.com</t>
  </si>
  <si>
    <t>hotelhaciendadelcarmen@hotmail.com</t>
  </si>
  <si>
    <t>hernandezjimenez23@gmail.com</t>
  </si>
  <si>
    <t>agroservicioselmanasas@gmail.com</t>
  </si>
  <si>
    <t>constructora_sigmar.ut@hotmail.com</t>
  </si>
  <si>
    <t>bermon.ave@gmail.com</t>
  </si>
  <si>
    <t>altosdeltundama@gmail.com</t>
  </si>
  <si>
    <t>dtsj.ingenieria@gmail.com</t>
  </si>
  <si>
    <t>servitronic.contabilidad@gmail.com</t>
  </si>
  <si>
    <t>systemticc@gmail.com</t>
  </si>
  <si>
    <t>casasprinterelboyaco@hotmail.com</t>
  </si>
  <si>
    <t>atabanza.sociocultural@gmail.com</t>
  </si>
  <si>
    <t>alsapi80@hotmail.com</t>
  </si>
  <si>
    <t>megamarkettibasosa01@gmail.com</t>
  </si>
  <si>
    <t>ceincarsas@hotmail.com</t>
  </si>
  <si>
    <t>asolaguna.admon@gmail.com</t>
  </si>
  <si>
    <t>kyjasesoriascontable@gmail.com</t>
  </si>
  <si>
    <t>catalinamejia303@gmail.com</t>
  </si>
  <si>
    <t>solarqgyg@gmail.com</t>
  </si>
  <si>
    <t>cdamotocentroduitama@gmail.com</t>
  </si>
  <si>
    <t>edificiomejia.duitama@gmail.com</t>
  </si>
  <si>
    <t>solcargassas@gmail.com</t>
  </si>
  <si>
    <t>contabilidad1setasfresh@gmail.com</t>
  </si>
  <si>
    <t>renovautosmultiservicios@gmail.com</t>
  </si>
  <si>
    <t>trasolsas@gmail.com</t>
  </si>
  <si>
    <t>ed.zenithadmon@gmail.com</t>
  </si>
  <si>
    <t>reservasdealamedac@gmail.com</t>
  </si>
  <si>
    <t>direccion@hotelnivariduitama.com</t>
  </si>
  <si>
    <t>contabilidaddismadekor@gmail.com</t>
  </si>
  <si>
    <t>andreita.010@hotmail.com</t>
  </si>
  <si>
    <t>ingecarbones.sas@gmail.com</t>
  </si>
  <si>
    <t>edificiolasmercedesduitama@gmail.com</t>
  </si>
  <si>
    <t>901112920@factureinbox.co</t>
  </si>
  <si>
    <t>gerencia@sandovalingenieria.com.co</t>
  </si>
  <si>
    <t>rafatranssas@gmail.com</t>
  </si>
  <si>
    <t>brasassecretaric@gmail.com</t>
  </si>
  <si>
    <t>contabilidad.jm@otransalt.com</t>
  </si>
  <si>
    <t>gerencia@rutaim.com</t>
  </si>
  <si>
    <t>bomberosbeteitiva@gmail.com</t>
  </si>
  <si>
    <t>comprascortilinesas@gmail.com</t>
  </si>
  <si>
    <t>josesamigranados@gmail.com</t>
  </si>
  <si>
    <t>ingeproy360@hotmail.com</t>
  </si>
  <si>
    <t>compras@savne.net</t>
  </si>
  <si>
    <t>asistenteprovemallas@gmail.com</t>
  </si>
  <si>
    <t>ssintegrales.mantenimiento@gmail.com</t>
  </si>
  <si>
    <t>edif.mariafernanda@gmail.com</t>
  </si>
  <si>
    <t>maxiboysas@gmail.com</t>
  </si>
  <si>
    <t>lisettemorenooo@gmail.com</t>
  </si>
  <si>
    <t>proambientes2020@gmail.com</t>
  </si>
  <si>
    <t>carbozarzalsas@gmail.com</t>
  </si>
  <si>
    <t>valdezconstruccioneingenieria@gmail.com</t>
  </si>
  <si>
    <t>facturacionnobraccbc@gmail.com</t>
  </si>
  <si>
    <t>lizalvarado971@gmail.com</t>
  </si>
  <si>
    <t>lorena.cepeda@glf.com.co</t>
  </si>
  <si>
    <t>santiagoriconvargas@yahoo.es</t>
  </si>
  <si>
    <t>reinamariaips2023@gmail.com</t>
  </si>
  <si>
    <t>floralba1982@gmail.com</t>
  </si>
  <si>
    <t>minaselalticosas@gmail.com</t>
  </si>
  <si>
    <t>industrialglobberry@gmail.com</t>
  </si>
  <si>
    <t>CONFIADUITAMA.SAS@GMAIL.COM</t>
  </si>
  <si>
    <t>sblanco@sbconsulting.com.co</t>
  </si>
  <si>
    <t>facturasconairepublicidad@gmail.com</t>
  </si>
  <si>
    <t>yechiquillo@hotmail.com</t>
  </si>
  <si>
    <t>certigruas@gmail.com</t>
  </si>
  <si>
    <t>kapittaliussas@yahoo.com</t>
  </si>
  <si>
    <t>lanceros_8688@hotmail.com</t>
  </si>
  <si>
    <t>edificioalkarmel@gmail.com</t>
  </si>
  <si>
    <t>parraisazagrupoinversionista@smlc.co</t>
  </si>
  <si>
    <t>daliedificio01@gmail.com</t>
  </si>
  <si>
    <t>scristancho@zixcorporation.com</t>
  </si>
  <si>
    <t>recepcionfacturacioncointesa@gmail.com</t>
  </si>
  <si>
    <t>geriatricotundama@ooutlook.com</t>
  </si>
  <si>
    <t>imedoilcomercial@gmail.com</t>
  </si>
  <si>
    <t>david.argumedo@cafesoluble.com</t>
  </si>
  <si>
    <t>centraldepagosserviciodeaseo@gmail.com</t>
  </si>
  <si>
    <t>jcristancho@elitebluproduce.com</t>
  </si>
  <si>
    <t>orinocohempfarms@gmail.com</t>
  </si>
  <si>
    <t>singercas1705@gmail.com</t>
  </si>
  <si>
    <t>alejandrobecerradiaz@gmail.com</t>
  </si>
  <si>
    <t>gerencia@dexiperu.com</t>
  </si>
  <si>
    <t>becerradiazyasociadossas@gmail.com</t>
  </si>
  <si>
    <t>camargoadameinverciones@gmail.com</t>
  </si>
  <si>
    <t>jnontoa@hotmail.com</t>
  </si>
  <si>
    <t>inqubosas@gmail.com</t>
  </si>
  <si>
    <t>efifacturacion@gmail.com</t>
  </si>
  <si>
    <t>laboratoriodieselyturbos@outlook.com</t>
  </si>
  <si>
    <t>ventas@vidriosanlorenzo.com</t>
  </si>
  <si>
    <t>contabilidad@centric.com.co</t>
  </si>
  <si>
    <t>jalconstrucciones11@gmail.com</t>
  </si>
  <si>
    <t>solucioneshidraulicaslf@gmail.com</t>
  </si>
  <si>
    <t>contabilidadosholimpia@gmail.com</t>
  </si>
  <si>
    <t>transcarelicp@hotmail.com</t>
  </si>
  <si>
    <t>unamigodelavidaFE@hotmail.com</t>
  </si>
  <si>
    <t>pachonrd125@gmail.com</t>
  </si>
  <si>
    <t>contabilidad@grupovalue.co</t>
  </si>
  <si>
    <t>ingefral.ingenieria@gmail.com</t>
  </si>
  <si>
    <t>agregadosjhonp@gmail.com</t>
  </si>
  <si>
    <t>gboyacamundial@gmail.com</t>
  </si>
  <si>
    <t>conjuntoresidencialbugambiles@gmail.com</t>
  </si>
  <si>
    <t>belsaninversiones@gmail.com</t>
  </si>
  <si>
    <t>avigan.sas@yahoo.com</t>
  </si>
  <si>
    <t>gonzalezminerales.sas@yahoo.com</t>
  </si>
  <si>
    <t>marvarasesores@gmail.com</t>
  </si>
  <si>
    <t>metsapsas@gmail.com</t>
  </si>
  <si>
    <t>alvarotorresprieto@gmail.com</t>
  </si>
  <si>
    <t>inversionesarcasas@hotmail.com</t>
  </si>
  <si>
    <t>cetrans.sas@gmail.com</t>
  </si>
  <si>
    <t>gruporoler@gmail.com</t>
  </si>
  <si>
    <t>jc_ft29@hotmail.com</t>
  </si>
  <si>
    <t>fe@cocinasnt.com</t>
  </si>
  <si>
    <t>celubellexito@gmail.com</t>
  </si>
  <si>
    <t>gerencia@ingemedt.com</t>
  </si>
  <si>
    <t>servisolution2023@gmail.com</t>
  </si>
  <si>
    <t>ahcdistribuciones@gmail.com</t>
  </si>
  <si>
    <t>disalingenieria@gmail.com</t>
  </si>
  <si>
    <t>casablancaphduitama@gmail.com</t>
  </si>
  <si>
    <t>facturacion.lpcsas@gmail.com</t>
  </si>
  <si>
    <t>TRANSPORTESF140@gmail.com</t>
  </si>
  <si>
    <t>ALONSOHERNANEZ011@gmail.com</t>
  </si>
  <si>
    <t>solmevargas.sas@hotmail.com</t>
  </si>
  <si>
    <t>administrativo@logistikoscass.com</t>
  </si>
  <si>
    <t>nmedina.electroind@gmail.com</t>
  </si>
  <si>
    <t>ricarqui49@gmail.com</t>
  </si>
  <si>
    <t>facturacion.theburgerbistro@gmail.com</t>
  </si>
  <si>
    <t>tesoreria.sandiego@hotmail.com</t>
  </si>
  <si>
    <t>alistaconcordesas@gmail.com</t>
  </si>
  <si>
    <t>edificiosantamonika@gmail.com</t>
  </si>
  <si>
    <t>ribercoal15@gmail.com</t>
  </si>
  <si>
    <t>ferchomusical@gmail.com</t>
  </si>
  <si>
    <t>estservitemporales04@gmail.com</t>
  </si>
  <si>
    <t>molinosanjose_ventas@yahoo.es</t>
  </si>
  <si>
    <t>jcfs206@hotmail.com</t>
  </si>
  <si>
    <t>gerardotalora28@gmail.com</t>
  </si>
  <si>
    <t>meganobsa01@gmail.com</t>
  </si>
  <si>
    <t>cmolavina@gmail.com</t>
  </si>
  <si>
    <t>facturacion@silubmaq.com</t>
  </si>
  <si>
    <t>argemirochia@gmail.com</t>
  </si>
  <si>
    <t>f.m.equiposyconstrucciones.s.a.s@gmail.com</t>
  </si>
  <si>
    <t>carbotransportesas@gmail.com</t>
  </si>
  <si>
    <t>gerencia@packsa.biz</t>
  </si>
  <si>
    <t>gidagropecuariosas@gmail.com</t>
  </si>
  <si>
    <t>elsolucionesconstructivas@gmail.com</t>
  </si>
  <si>
    <t>dendritasactivas@yahoo.es</t>
  </si>
  <si>
    <t>sasgebo@gmail.com</t>
  </si>
  <si>
    <t>facturacionmercatullanta@gmail.com</t>
  </si>
  <si>
    <t>grupopatcar@gmail.com</t>
  </si>
  <si>
    <t>admoncoinserviciossas@gmail.com</t>
  </si>
  <si>
    <t>inspecciones@infrana.net</t>
  </si>
  <si>
    <t>miriamcely@gmail.com</t>
  </si>
  <si>
    <t>mauriciosilva1980@hotmail.com</t>
  </si>
  <si>
    <t>jenzarsas@gmail.com</t>
  </si>
  <si>
    <t>sandroserrano1@gmail.com</t>
  </si>
  <si>
    <t>centuples@yahoo.com</t>
  </si>
  <si>
    <t>ferrelospinos@hotmail.com</t>
  </si>
  <si>
    <t>contabilidad@proleboy.com</t>
  </si>
  <si>
    <t>contabilidad.powergrid@gmail.com</t>
  </si>
  <si>
    <t>empresajapsas@gmail.com</t>
  </si>
  <si>
    <t>condominiolomatibia@gmail.com</t>
  </si>
  <si>
    <t>andinaautos2020@outlook.com</t>
  </si>
  <si>
    <t>ppsolucionescivilessas@gmail.com</t>
  </si>
  <si>
    <t>gustytortascontabilidad@gmail.com</t>
  </si>
  <si>
    <t>colcleanjagar@gmail.com</t>
  </si>
  <si>
    <t>cdaboyacamotor@gmail.com</t>
  </si>
  <si>
    <t>gutierrezhugo377@gmail.com</t>
  </si>
  <si>
    <t>ing.jabejaranoc@eroes.com.co</t>
  </si>
  <si>
    <t>ingejjch@gmail.com</t>
  </si>
  <si>
    <t>gerencia@arwill.com.co</t>
  </si>
  <si>
    <t>carbonerabyc@gmail.com</t>
  </si>
  <si>
    <t>prohadmon@gmail.com</t>
  </si>
  <si>
    <t>contabilidad@felexdecolombia.com</t>
  </si>
  <si>
    <t>edgarcor70@hotmail.com</t>
  </si>
  <si>
    <t>amperelectricsas@gmail.com</t>
  </si>
  <si>
    <t>ladespensafamiliarsas@hotmail.com</t>
  </si>
  <si>
    <t>servisegduitama@hotmail.com</t>
  </si>
  <si>
    <t>facturacionelectronica@gamamotors.com.co</t>
  </si>
  <si>
    <t>karenjquintero93@hotmail.com</t>
  </si>
  <si>
    <t>randarsas2020@gmail.com</t>
  </si>
  <si>
    <t>hibocheconstrucciones901@gmail.com</t>
  </si>
  <si>
    <t>megasotaquira01@gmail.com</t>
  </si>
  <si>
    <t>contabilidad2transct@gmail.com</t>
  </si>
  <si>
    <t>golosinasbelensas@gmail.com</t>
  </si>
  <si>
    <t>villamilacsas@gmail.com</t>
  </si>
  <si>
    <t>transegcarga@gmail.com</t>
  </si>
  <si>
    <t>novacontrolyseguridad@gmail.com</t>
  </si>
  <si>
    <t>jiam.ingenieria@gmail.com</t>
  </si>
  <si>
    <t>samifonseca7@hotmail.com</t>
  </si>
  <si>
    <t>facturassteelvital@gmail.com</t>
  </si>
  <si>
    <t>facturacion@veytrans.com.co</t>
  </si>
  <si>
    <t>adm-colombia@cemosa.es</t>
  </si>
  <si>
    <t>aa.gemasas05@gmail.com</t>
  </si>
  <si>
    <t>crcmedicar2021@gmail.com</t>
  </si>
  <si>
    <t>practicarduitama@gmail.com</t>
  </si>
  <si>
    <t>judyfonsecab23@gmail.com</t>
  </si>
  <si>
    <t>altosbellasuizaduitama@gmail.com</t>
  </si>
  <si>
    <t>transportesjac2016@gmail.com</t>
  </si>
  <si>
    <t>contabilidad@ingmultiserv.com</t>
  </si>
  <si>
    <t>carnicolasretaurante@gmail.com</t>
  </si>
  <si>
    <t>santorserviciosintegralessas@gmail.com</t>
  </si>
  <si>
    <t>tomoxradiologico@gmail.com</t>
  </si>
  <si>
    <t>vacarconstrucciones@gmail.com</t>
  </si>
  <si>
    <t>sioningenieria.gerencia@gmail.com</t>
  </si>
  <si>
    <t>inversionessannahbsas@gmail.com</t>
  </si>
  <si>
    <t>marcoantonioush@hotmail.com</t>
  </si>
  <si>
    <t>facturacionshmsas@gmail.com</t>
  </si>
  <si>
    <t>brainfitfood@gmail.com</t>
  </si>
  <si>
    <t>CONSTRUCMETALINGENIERIA@GMAIL.COM</t>
  </si>
  <si>
    <t>invhospitalarias@gmail.com</t>
  </si>
  <si>
    <t>bratomineralresources@gmail.com</t>
  </si>
  <si>
    <t>ideologyhcs@gmail.com</t>
  </si>
  <si>
    <t>farmaceuiticosboyacasas@gmail.com</t>
  </si>
  <si>
    <t>factelectronica@kbina.com</t>
  </si>
  <si>
    <t>bellezapro@gmail.com</t>
  </si>
  <si>
    <t>rusticoslacabana@hotmail.com</t>
  </si>
  <si>
    <t>edif.senderosdelcarmen@gmail.com</t>
  </si>
  <si>
    <t>ceacapacitar@gmail.com</t>
  </si>
  <si>
    <t>servi.pitsduitama74@gmail.com</t>
  </si>
  <si>
    <t>seintinsas@gmail.com</t>
  </si>
  <si>
    <t>secunecialingenieria@gmail.com</t>
  </si>
  <si>
    <t>surtirepuestosytornillos@gmail.com</t>
  </si>
  <si>
    <t>inversionessanandressas@gmail.com</t>
  </si>
  <si>
    <t>mastermecanizados19@hotmail.com</t>
  </si>
  <si>
    <t>restauranteboyacareal@hotmail.com</t>
  </si>
  <si>
    <t>ceacondumasterboyaca@gmail.com</t>
  </si>
  <si>
    <t>inversionesgomezmendivelso@hotmail.com</t>
  </si>
  <si>
    <t>inversionesgonzalez03@gmail.com</t>
  </si>
  <si>
    <t>pnd1996duitama@gmail.com</t>
  </si>
  <si>
    <t>anamaria7486@hotmail.com</t>
  </si>
  <si>
    <t>conconexiongroup@gmail.com</t>
  </si>
  <si>
    <t>orin.metalmecanica@outlook.com</t>
  </si>
  <si>
    <t>agregadosyconstrucionesmajes@gmail.com</t>
  </si>
  <si>
    <t>construlgfingenieros@gmail.com</t>
  </si>
  <si>
    <t>he7zons@gmail.com</t>
  </si>
  <si>
    <t>snicosas@gmail.com</t>
  </si>
  <si>
    <t>solucionescomerciales1@outlook.com</t>
  </si>
  <si>
    <t>lubriserviciosdelnortesas@gmail.com</t>
  </si>
  <si>
    <t>importirecol@hotmail.com</t>
  </si>
  <si>
    <t>ganaderiasantahelena2021@gmail.com</t>
  </si>
  <si>
    <t>carbocorsa@gmail.com</t>
  </si>
  <si>
    <t>gygsuministrosltda@gmail.com</t>
  </si>
  <si>
    <t>info@sicarcomercializacion.com</t>
  </si>
  <si>
    <t>radscolombia@gmail.com</t>
  </si>
  <si>
    <t>submerce@hotmail.com</t>
  </si>
  <si>
    <t>transportesylogisticafullcarga@gmail.com</t>
  </si>
  <si>
    <t>minertecdotaciones@gmail.com</t>
  </si>
  <si>
    <t>fruanti.sas@gmail.com</t>
  </si>
  <si>
    <t>cocobainteriorismo@gmail.com</t>
  </si>
  <si>
    <t>fmskyconstrucionessas@gmail.com</t>
  </si>
  <si>
    <t>ctalentoscolombia@gmail.com</t>
  </si>
  <si>
    <t>ciavialgranada@hotmail.com</t>
  </si>
  <si>
    <t>tracrepuestosdr@gmail.com</t>
  </si>
  <si>
    <t>servialar@hotmail.com</t>
  </si>
  <si>
    <t>nhboyaca@gmail.com</t>
  </si>
  <si>
    <t>guillermomoreno427@gmail.com</t>
  </si>
  <si>
    <t>eyfdieseltruck@gmail.com</t>
  </si>
  <si>
    <t>avgrupoasesor@gmail.com</t>
  </si>
  <si>
    <t>SUASERVICIO@gmail.com</t>
  </si>
  <si>
    <t>mecadiesel29@gmail.com</t>
  </si>
  <si>
    <t>asiltecelioparada@hotmail.com</t>
  </si>
  <si>
    <t>aleyparsas@hotmail.com</t>
  </si>
  <si>
    <t>byringenieria23@gmail.com</t>
  </si>
  <si>
    <t>j.e.t.b.1612@gmail.com</t>
  </si>
  <si>
    <t>contabilidadepazclean@gmail.com</t>
  </si>
  <si>
    <t>Vikhenso37@hotmail.com</t>
  </si>
  <si>
    <t>rociorussi1@hotmail.com</t>
  </si>
  <si>
    <t>contabilidadsiecsas@gmail.com</t>
  </si>
  <si>
    <t>eltallerdesantaritasas@gmail.com</t>
  </si>
  <si>
    <t>contabilidadsancristobal4@gmail.com</t>
  </si>
  <si>
    <t>ecoelci65@gmail.com</t>
  </si>
  <si>
    <t>facelectronicaservicummins@gmail.com</t>
  </si>
  <si>
    <t>seveautos23@gmail.com</t>
  </si>
  <si>
    <t>cruzbarrera2004@gmail.com</t>
  </si>
  <si>
    <t>facturacioncarboneranobrac@gmail.com</t>
  </si>
  <si>
    <t>laboringsas@gmail.com</t>
  </si>
  <si>
    <t>facturacioncrealo@gmail.com</t>
  </si>
  <si>
    <t>facturacion@autobusesaga.com</t>
  </si>
  <si>
    <t>dizaproductions2@gmail.com</t>
  </si>
  <si>
    <t>CONTABILIDADASBRU@gmail.com</t>
  </si>
  <si>
    <t>yenithvergara@yahoo.com</t>
  </si>
  <si>
    <t>impuestos@sistecredito.com</t>
  </si>
  <si>
    <t>hdato2412@hotmail.com</t>
  </si>
  <si>
    <t>joalgoba@gmail.com</t>
  </si>
  <si>
    <t>ambisaningenieria@gmail.com</t>
  </si>
  <si>
    <t>mdhdesarrolloeingenieria@gmail.com</t>
  </si>
  <si>
    <t>cmdlideremos@gmail.com</t>
  </si>
  <si>
    <t>phvillamercedessogamoso@outlook.com</t>
  </si>
  <si>
    <t>holcostsas@gmail.com</t>
  </si>
  <si>
    <t>villasahara18@gmail.com</t>
  </si>
  <si>
    <t>operaciones@carboneslada.com.co</t>
  </si>
  <si>
    <t>mwinkitasas@gmail.com</t>
  </si>
  <si>
    <t>czmineralssas@gmail.com</t>
  </si>
  <si>
    <t>facturae@imporllantascol.com.co</t>
  </si>
  <si>
    <t>saboratropicosas@gmail.com</t>
  </si>
  <si>
    <t>tayita0313@hotmail.com</t>
  </si>
  <si>
    <t>construservicioshorizonte@gmail.com</t>
  </si>
  <si>
    <t>grupocentsas@gmail.com</t>
  </si>
  <si>
    <t>andre3al@hotmail.com</t>
  </si>
  <si>
    <t>proyectossuministrosyservicios@gmail.com</t>
  </si>
  <si>
    <t>surtirielessas@gmail.com</t>
  </si>
  <si>
    <t>carbones.taurus@gmail.com</t>
  </si>
  <si>
    <t>contabilidad@carbodiams.com</t>
  </si>
  <si>
    <t>soluciones.aaa10@gmail.com</t>
  </si>
  <si>
    <t>jascapsas@gmail.com</t>
  </si>
  <si>
    <t>mdmedicacontable@gmail.com</t>
  </si>
  <si>
    <t>sascarbomac@gmail.com</t>
  </si>
  <si>
    <t>hertcoal@gmail.com</t>
  </si>
  <si>
    <t>umamiduitama@gmail.com</t>
  </si>
  <si>
    <t>info@agroventurecapital.co</t>
  </si>
  <si>
    <t>laespecialsas@gmail.com</t>
  </si>
  <si>
    <t>carbonesrdriguezsas@gmail.com</t>
  </si>
  <si>
    <t>porkyland.sas@gmail.com</t>
  </si>
  <si>
    <t>granjaslorenzo@gmail.com</t>
  </si>
  <si>
    <t>operacion.nacional.transporte@gmail.com</t>
  </si>
  <si>
    <t>edificioportaldealamos@gmail.com</t>
  </si>
  <si>
    <t>construccionesr596@gmail.com</t>
  </si>
  <si>
    <t>talentohumano.renacemos@gmail.com</t>
  </si>
  <si>
    <t>inversionestorregrandesas@gmail.com</t>
  </si>
  <si>
    <t>vitalberries1@gmail.com</t>
  </si>
  <si>
    <t>solucionestemporalestemso@gmail.com</t>
  </si>
  <si>
    <t>facturacionfrutosdeleden@gmail.com</t>
  </si>
  <si>
    <t>MONI_1817@hotmail.com</t>
  </si>
  <si>
    <t>contabilidad.distritocentro@adcolombia.org</t>
  </si>
  <si>
    <t>ejecutivoamerseguros@gmail.com</t>
  </si>
  <si>
    <t>msgroupcol@gmail.com</t>
  </si>
  <si>
    <t>juansalasvalde@gmail.com</t>
  </si>
  <si>
    <t>facturacion.tlmjsanchez@gmail.com</t>
  </si>
  <si>
    <t>bioambientegroupsas@gmail.com</t>
  </si>
  <si>
    <t>rosasflordeliz877@gmail.com</t>
  </si>
  <si>
    <t>laura.rinconmanrique@slalom.com</t>
  </si>
  <si>
    <t>himeicdecolombia@gmail.com</t>
  </si>
  <si>
    <t>cesar.barrera@baringingenieria.com</t>
  </si>
  <si>
    <t>smartseg2024@gmail.com</t>
  </si>
  <si>
    <t>edificioterracotaduitama@gmail.com</t>
  </si>
  <si>
    <t>delta.ingenieria.hseq@gmail.com</t>
  </si>
  <si>
    <t>DUITAMACENECOB@GMAIL.COM</t>
  </si>
  <si>
    <t>edificiomillet@gmail.com</t>
  </si>
  <si>
    <t>sm.motorsas@gmail.com</t>
  </si>
  <si>
    <t>lmpc1609@gmail.com</t>
  </si>
  <si>
    <t>facturacion@rugantinodiroma.com</t>
  </si>
  <si>
    <t>carbonesycoquesdiegogilsas@gmail.com</t>
  </si>
  <si>
    <t>coordinacionevego@gmail.com</t>
  </si>
  <si>
    <t>contabilidad@americandy.com.co</t>
  </si>
  <si>
    <t>silvis088@hotmail.com</t>
  </si>
  <si>
    <t>lamadejanobsacentroartesanal@gmail.com</t>
  </si>
  <si>
    <t>cafemanabaruch@gmail.com</t>
  </si>
  <si>
    <t>sejodario1981@gmail.com</t>
  </si>
  <si>
    <t>mineriaguadalupesas@gmail.com</t>
  </si>
  <si>
    <t>laplacitajya.sas@gmail.com</t>
  </si>
  <si>
    <t>COMMERCE23X@gmail.com</t>
  </si>
  <si>
    <t>cdacamilotorres@gmail.com</t>
  </si>
  <si>
    <t>gerencia@rematesmil.com</t>
  </si>
  <si>
    <t>grupoempresarialpintufer@gmail.com</t>
  </si>
  <si>
    <t>solucioneshemza@gmail.com</t>
  </si>
  <si>
    <t>MILTON2122@YAHOO.ES</t>
  </si>
  <si>
    <t>rdr55sasbelen@gmail.com</t>
  </si>
  <si>
    <t>blhduitama@gmail.com</t>
  </si>
  <si>
    <t>maruza751@gmail.com</t>
  </si>
  <si>
    <t>puntolimpiocolombia@gmail.com</t>
  </si>
  <si>
    <t>contabilidad.goldenait@gmail.com</t>
  </si>
  <si>
    <t>hoteloyr@gmail.com</t>
  </si>
  <si>
    <t>campifruits@gmail.com</t>
  </si>
  <si>
    <t>facturacion@polimatix.com</t>
  </si>
  <si>
    <t>xaverio18.admon@gmail.com</t>
  </si>
  <si>
    <t>facturaelectronica@maosazon.com</t>
  </si>
  <si>
    <t>alimentacionsogamoso@gmial.com</t>
  </si>
  <si>
    <t>oscorpweb@gmail.com</t>
  </si>
  <si>
    <t>PARISCARPASYEVENTOSSAS@GMAIL.COM</t>
  </si>
  <si>
    <t>gerencia@medicfarsi.com</t>
  </si>
  <si>
    <t>anglos.paipa@gmail.com</t>
  </si>
  <si>
    <t>dygcons_diseysuministros@hotmail.com</t>
  </si>
  <si>
    <t>cortespremiumch@gmail.com</t>
  </si>
  <si>
    <t>gerenciahoruossas@gmail.com</t>
  </si>
  <si>
    <t>danielanasayo.mv@gmail.com</t>
  </si>
  <si>
    <t>tatianaley1997@gmail.com</t>
  </si>
  <si>
    <t>facturacion.jorgerobles@gmail.com</t>
  </si>
  <si>
    <t>wilmarmalpica@gmail.com</t>
  </si>
  <si>
    <t>salvitasaludable@gmail.com</t>
  </si>
  <si>
    <t>manejoneuropsicopedagogico@gmail.com</t>
  </si>
  <si>
    <t>jcgnacionrodante@gmail.com</t>
  </si>
  <si>
    <t>carlosjoelrinconnoy777@gmail.com</t>
  </si>
  <si>
    <t>nutrialimentoslabodegasas@gmail.com</t>
  </si>
  <si>
    <t>rpdistribucionessas@gmail.com</t>
  </si>
  <si>
    <t>rodatechsoluciones@gmail.com</t>
  </si>
  <si>
    <t>carnesfleesch@gmail.com</t>
  </si>
  <si>
    <t>santisteban188@hotmail.com</t>
  </si>
  <si>
    <t>contacto.wydingenieria@gmail.com</t>
  </si>
  <si>
    <t>gerencia.dekacontrucciones@gmail.com</t>
  </si>
  <si>
    <t>distribucionesmedicast.2025@gmail.com</t>
  </si>
  <si>
    <t>elbodegazo123@hotmail.com</t>
  </si>
  <si>
    <t>trenzaboy.boyaca1@gmail.com</t>
  </si>
  <si>
    <t>medicionestecnologicascol@gmail.com</t>
  </si>
  <si>
    <t>barosconstructorasas@gmail.com</t>
  </si>
  <si>
    <t>suministrosespecializados14@gmail.com</t>
  </si>
  <si>
    <t>sanantoniosasg@gmail.com</t>
  </si>
  <si>
    <t>mpcgrsas@gmail.com</t>
  </si>
  <si>
    <t>comidayplatosalamesasas@gmail.com</t>
  </si>
  <si>
    <t>admon.alsetra@gmail.com</t>
  </si>
  <si>
    <t>etamp.contabilidad@gmail.com</t>
  </si>
  <si>
    <t>fsolydar@gmail.com</t>
  </si>
  <si>
    <t>construccionesasociadosjm@gmail.com</t>
  </si>
  <si>
    <t>marioalja@hotmail.com</t>
  </si>
  <si>
    <t>fundacioninterralab@gmail.com</t>
  </si>
  <si>
    <t>cienciadelenergismo@gmail.com</t>
  </si>
  <si>
    <t>carbonessibariasas@gmail.com</t>
  </si>
  <si>
    <t>grupoducansas@gmail.com</t>
  </si>
  <si>
    <t>ENERGIASELECTRICOSRINCON@GMAIL.COM</t>
  </si>
  <si>
    <t>gerenciapromincarbon@gmail.com</t>
  </si>
  <si>
    <t>mundimeksl@gmail.com</t>
  </si>
  <si>
    <t>gaiacr.admon@gmail.com</t>
  </si>
  <si>
    <t>compagourmet@gmail.com</t>
  </si>
  <si>
    <t>inversionessedy.sas@gmail.com</t>
  </si>
  <si>
    <t>geraldinelopez1423@gmail.com</t>
  </si>
  <si>
    <t>victorcifuentes344@gmail.com</t>
  </si>
  <si>
    <t>sharonmedina2020@gmail.com</t>
  </si>
  <si>
    <t>alvarorizobarbosa@gmail.com</t>
  </si>
  <si>
    <t>namjayuli939@gmail.com</t>
  </si>
  <si>
    <t>alejandraromero768@gmail.com</t>
  </si>
  <si>
    <t>sofisdelkadillo@gmail.com</t>
  </si>
  <si>
    <t>paulaguio24@hotmail.com</t>
  </si>
  <si>
    <t>erikcuevasurbina@gmail.com</t>
  </si>
  <si>
    <t>lmendez44@uan.edu.co</t>
  </si>
  <si>
    <t>camilacardenas952@gmail.com</t>
  </si>
  <si>
    <t>laura.1000zapatalargo@gmail.com</t>
  </si>
  <si>
    <t>camilo.cuevas.24@hotmail.com</t>
  </si>
  <si>
    <t>camilonoguera.facturas@gmail.com</t>
  </si>
  <si>
    <t>juan.puentes.cantor@gmail.com</t>
  </si>
  <si>
    <t>clizethjohana@gmail.com</t>
  </si>
  <si>
    <t>maricarcam2@gmail.com</t>
  </si>
  <si>
    <t>soficarcam@gmail.com</t>
  </si>
  <si>
    <t>pinedaalvolante@gmail.com</t>
  </si>
  <si>
    <t>liz28g@gmail.com</t>
  </si>
  <si>
    <t>chorromartha@gmail.com</t>
  </si>
  <si>
    <t>salomearbelaez2949@gmail.com</t>
  </si>
  <si>
    <t>juancarl708@gmail.com</t>
  </si>
  <si>
    <t>tannyatorrejanocastillo@gmail.com</t>
  </si>
  <si>
    <t>elfrediomedes99@gmail.com</t>
  </si>
  <si>
    <t>marianananino@gmail.com</t>
  </si>
  <si>
    <t>kamilomongi@gmail.com</t>
  </si>
  <si>
    <t>angelicarodriguez1002@gmail.com</t>
  </si>
  <si>
    <t>cjairo422@gmail.com</t>
  </si>
  <si>
    <t>danielrichard1025@gmail.com</t>
  </si>
  <si>
    <t>johanatorres2430@gmail.com</t>
  </si>
  <si>
    <t>soniamireyacarreno444@gmail.com</t>
  </si>
  <si>
    <t>viviana.rinconb05@gmail.com</t>
  </si>
  <si>
    <t>catalina1002330415@gmail.com</t>
  </si>
  <si>
    <t>luigarciaa.fact@gmail.com</t>
  </si>
  <si>
    <t>giselajg2019@gmail.com</t>
  </si>
  <si>
    <t>karoll.baez11@gmail.com</t>
  </si>
  <si>
    <t>rmarmol534@gmail.com</t>
  </si>
  <si>
    <t>Crodriguez506070@gmail.com</t>
  </si>
  <si>
    <t>bolivar28danna@gmail.com</t>
  </si>
  <si>
    <t>julian.galindo@uptc.edu.co</t>
  </si>
  <si>
    <t>maicolquintero@gmail.com</t>
  </si>
  <si>
    <t>alejolargo24@outlook.com</t>
  </si>
  <si>
    <t>josembermudezr18@gmail.com</t>
  </si>
  <si>
    <t>myorladyvelandia@gmail.com</t>
  </si>
  <si>
    <t>missdorisfigueredo@gmail.com</t>
  </si>
  <si>
    <t>contreduran2001@gmail.com</t>
  </si>
  <si>
    <t>MIGUELTIRIA1992@gmail.com</t>
  </si>
  <si>
    <t>ximena130402paez@gmail.com</t>
  </si>
  <si>
    <t>odperezp1@gmail.com</t>
  </si>
  <si>
    <t>topopineda28@gmail.com</t>
  </si>
  <si>
    <t>angily1003@yahoo.com</t>
  </si>
  <si>
    <t>ivonnj83@gmail.com</t>
  </si>
  <si>
    <t>erikalopezbu@gmail.com</t>
  </si>
  <si>
    <t>crackgil99@gmail.com</t>
  </si>
  <si>
    <t>sebastianbecerra468@gmail.com</t>
  </si>
  <si>
    <t>johansilva346@gmail.com</t>
  </si>
  <si>
    <t>darwinchino50@gmail.com</t>
  </si>
  <si>
    <t>johanita14cely@gmail.com</t>
  </si>
  <si>
    <t>angelamadiaz1997@gmail.com</t>
  </si>
  <si>
    <t>morenoerikam27@gmail.com</t>
  </si>
  <si>
    <t>mayerlitinjaca2@gmail.com</t>
  </si>
  <si>
    <t>karolsisita@gmail.com</t>
  </si>
  <si>
    <t>castellangelica34@gmail.com</t>
  </si>
  <si>
    <t>nayibecristanchoayala@gmail.com</t>
  </si>
  <si>
    <t>carlosvidalsandovalgil@gmail.com</t>
  </si>
  <si>
    <t>mairatatianalopez@gmail.com</t>
  </si>
  <si>
    <t>santosjuanpablo29@gmail.com</t>
  </si>
  <si>
    <t>rinconaleja11@gmail.com</t>
  </si>
  <si>
    <t>julianabolivar70@gmail.com</t>
  </si>
  <si>
    <t>tatisyhelen@gmail.com</t>
  </si>
  <si>
    <t>vanessareyes0400@gmail.com</t>
  </si>
  <si>
    <t>camilocelyf@gmail.com</t>
  </si>
  <si>
    <t>angybuitrago33@gmail.com</t>
  </si>
  <si>
    <t>leo212789l@gmail.com</t>
  </si>
  <si>
    <t>aidalyherrera78@gmail.com</t>
  </si>
  <si>
    <t>valentinalaraquintero0@gmail.com</t>
  </si>
  <si>
    <t>monicasolano018@gmail.com</t>
  </si>
  <si>
    <t>oscarjulianbotia@gmail.com</t>
  </si>
  <si>
    <t>elkincardenas9117@gmail.com</t>
  </si>
  <si>
    <t>monicafonseca199@gmail.com</t>
  </si>
  <si>
    <t>julianapasachoa2001@gmail.com</t>
  </si>
  <si>
    <t>brayanestibenmartinezvargas93@gmail.com</t>
  </si>
  <si>
    <t>KTFS.MV@gmail.com</t>
  </si>
  <si>
    <t>jeancarloscastro145@gmail.com</t>
  </si>
  <si>
    <t>erickleonardopdrz@gmail.com</t>
  </si>
  <si>
    <t>carlosespitia0104@gmail.com</t>
  </si>
  <si>
    <t>ingeniero.nino2025@gmail.com</t>
  </si>
  <si>
    <t>amarguti01@gmail.com</t>
  </si>
  <si>
    <t>LAURIATIRIA317@gmail.com</t>
  </si>
  <si>
    <t>antaaluy.96@gmail.com</t>
  </si>
  <si>
    <t>cj397798@gmail.com</t>
  </si>
  <si>
    <t>lopezsilvabrayanfernando@gmail.com</t>
  </si>
  <si>
    <t>karen.julieth81@hotmail.com</t>
  </si>
  <si>
    <t>edinson160408@gmail.com</t>
  </si>
  <si>
    <t>juanpna476@gmail.com</t>
  </si>
  <si>
    <t>nataliabaez249@gmail.com</t>
  </si>
  <si>
    <t>vivistar110830@gmail.com</t>
  </si>
  <si>
    <t>brayannino714@gmail.com</t>
  </si>
  <si>
    <t>bedodoya2001@gmail.com</t>
  </si>
  <si>
    <t>sarasofiachaparro@gmail.com</t>
  </si>
  <si>
    <t>castelblancoromerog@gmail.com</t>
  </si>
  <si>
    <t>VARGASALARCON2001@gmail.com</t>
  </si>
  <si>
    <t>stivenandez@gmail.com</t>
  </si>
  <si>
    <t>ndoriselena@gmail.com</t>
  </si>
  <si>
    <t>acostatrianamariaconsuelo@gmail.com</t>
  </si>
  <si>
    <t>angiepaolacorredor@gmail.com</t>
  </si>
  <si>
    <t>juvalentina.moreno03@gmail.com</t>
  </si>
  <si>
    <t>ricocharli52@gmail.com</t>
  </si>
  <si>
    <t>dianarosioagudelo@gmail.com</t>
  </si>
  <si>
    <t>pipe.diazm@gmail.com</t>
  </si>
  <si>
    <t>denissrp22@gmail.com</t>
  </si>
  <si>
    <t>mmartinez686@gmail.com</t>
  </si>
  <si>
    <t>jineth0402@gmail.com</t>
  </si>
  <si>
    <t>yenifersolano31@gmail.com</t>
  </si>
  <si>
    <t>julianlpc1811@gmail.com</t>
  </si>
  <si>
    <t>jazkar2001@gmail.com</t>
  </si>
  <si>
    <t>kevin.lara26@hotmail.com</t>
  </si>
  <si>
    <t>brayanspinzon13@gmail.com</t>
  </si>
  <si>
    <t>cepedavivas9805@gmail.com</t>
  </si>
  <si>
    <t>sofiamedina1771@gmail.com</t>
  </si>
  <si>
    <t>jrojasneita@gmail.com</t>
  </si>
  <si>
    <t>michaelstiben19@gmail.com</t>
  </si>
  <si>
    <t>fredyarmandobolivarbolivar3@gmail.com</t>
  </si>
  <si>
    <t>pg401106@gmail.com</t>
  </si>
  <si>
    <t>johanitha.gonzalez.1410@gmal.com</t>
  </si>
  <si>
    <t>carlosvivas851@gmail.com</t>
  </si>
  <si>
    <t>cristianverdugo19@gmail.com</t>
  </si>
  <si>
    <t>lilisolano.r04@hotmail.com</t>
  </si>
  <si>
    <t>diegpulido@gmail.com</t>
  </si>
  <si>
    <t>laura28avellanis@gmail.com</t>
  </si>
  <si>
    <t>andreavargas10072002@gmail.com</t>
  </si>
  <si>
    <t>sergiosalas172017@hotmail.com</t>
  </si>
  <si>
    <t>mafa_1501@hotmail.com</t>
  </si>
  <si>
    <t>jaime146camrgo@gmail.com</t>
  </si>
  <si>
    <t>nathalysuarez2207@gmail.com</t>
  </si>
  <si>
    <t>lau.correa369@gmail.com</t>
  </si>
  <si>
    <t>saramongui3@gmail.com</t>
  </si>
  <si>
    <t>gabriela16mongui@gmail.com</t>
  </si>
  <si>
    <t>ligiaballesteros25@gmail.com</t>
  </si>
  <si>
    <t>oscar50816@gmail.com</t>
  </si>
  <si>
    <t>nacional24vega@gmail.com</t>
  </si>
  <si>
    <t>cooraline03@outlook.com</t>
  </si>
  <si>
    <t>angiepita211@gmail.com</t>
  </si>
  <si>
    <t>direccioncontabilidad.jyf@gmail.com</t>
  </si>
  <si>
    <t>garzonsal1520@gmail.com</t>
  </si>
  <si>
    <t>diegoalejandrorinonbalauera@gmail.com</t>
  </si>
  <si>
    <t>lucisroaaa24@gmail.com</t>
  </si>
  <si>
    <t>keedchia10@gmail.com</t>
  </si>
  <si>
    <t>socamepi01@gmail.com</t>
  </si>
  <si>
    <t>geraldine2003rin@gmail.com</t>
  </si>
  <si>
    <t>lorenagarcia17yg@gmail.com</t>
  </si>
  <si>
    <t>lauriss13sofi@gmail.com</t>
  </si>
  <si>
    <t>karen.sandovall@colpre.edu.co</t>
  </si>
  <si>
    <t>senejoaperez318@gmail.com</t>
  </si>
  <si>
    <t>duan.eslava@uptc.edu.co</t>
  </si>
  <si>
    <t>albajesus73@gmail.com</t>
  </si>
  <si>
    <t>maryanne.sofia@gmail.com</t>
  </si>
  <si>
    <t>frank0323tqm@gmail.com</t>
  </si>
  <si>
    <t>jissel.bayona@gmail.com</t>
  </si>
  <si>
    <t>sandralorenapatino06@gmail.com</t>
  </si>
  <si>
    <t>JUANCAMILO.0206@gmail.com</t>
  </si>
  <si>
    <t>luchodottor@gmail.com</t>
  </si>
  <si>
    <t>sepulvedajuanc9@gmail.com</t>
  </si>
  <si>
    <t>yeisontiria071221@gmail.com</t>
  </si>
  <si>
    <t>jjoanparra2017@gmail.com</t>
  </si>
  <si>
    <t>chaparrosantiago131@gmail.com</t>
  </si>
  <si>
    <t>consuelo792011@hotmail.com</t>
  </si>
  <si>
    <t>duartecristianfabian2003@gmail.com</t>
  </si>
  <si>
    <t>inelvaron@hotmail.com</t>
  </si>
  <si>
    <t>nelsonfcamachog@gmail.com</t>
  </si>
  <si>
    <t>rafaelricardo14.25@gmail.com</t>
  </si>
  <si>
    <t>rodrigoetbn@gmail.com</t>
  </si>
  <si>
    <t>fabiandariobecerrabecerra@gmail.com</t>
  </si>
  <si>
    <t>calderoneslavajohansebastian@gmail.com</t>
  </si>
  <si>
    <t>camilovcruz@icloud.com</t>
  </si>
  <si>
    <t>michaelleonardo.sr@gmail.com</t>
  </si>
  <si>
    <t>loreovirojas@gmail.com</t>
  </si>
  <si>
    <t>riossebastian07@gmail.com</t>
  </si>
  <si>
    <t>daniochoa027@gmail.com</t>
  </si>
  <si>
    <t>yesicah430@gmail.com</t>
  </si>
  <si>
    <t>cruz66herrera@gmail.com</t>
  </si>
  <si>
    <t>sballosmesa@gmail.com</t>
  </si>
  <si>
    <t>paula.rodriguez3101@gmail.com</t>
  </si>
  <si>
    <t>lauraman1325@hotmail.com</t>
  </si>
  <si>
    <t>EMYYMONTOYAC@gmail.com</t>
  </si>
  <si>
    <t>perezpaula841@gmail.com</t>
  </si>
  <si>
    <t>angelatmateus@gmail.com</t>
  </si>
  <si>
    <t>bryanolarte11@gmail.com</t>
  </si>
  <si>
    <t>nidiamartinezamaya3@gmail.com</t>
  </si>
  <si>
    <t>avellanedacristina7@gmail.com</t>
  </si>
  <si>
    <t>olivaresmarcela489@gmail.com</t>
  </si>
  <si>
    <t>georgefcb25@gmail.com</t>
  </si>
  <si>
    <t>duvancastilo01@gmail.com</t>
  </si>
  <si>
    <t>cardenasdaisy09@gmail.com</t>
  </si>
  <si>
    <t>camilaronderos204@hotmail.com</t>
  </si>
  <si>
    <t>rincondayana114@gmail.com</t>
  </si>
  <si>
    <t>zabala32290@gmail.com</t>
  </si>
  <si>
    <t>adrianaaramirez01@gmail.com</t>
  </si>
  <si>
    <t>rojasdeisytatiana@gmail.com</t>
  </si>
  <si>
    <t>lauturga@gmail.com</t>
  </si>
  <si>
    <t>fabianandresreyesvargas@gmail.com</t>
  </si>
  <si>
    <t>nataliacombariza22@gmail.com</t>
  </si>
  <si>
    <t>kevinza2018@gmail.com</t>
  </si>
  <si>
    <t>jdblancoflorezzz@gmail.com</t>
  </si>
  <si>
    <t>luigi.pipe11@gmail.com</t>
  </si>
  <si>
    <t>amarcela2000@gmail.com</t>
  </si>
  <si>
    <t>nikygomezz@gmail.com</t>
  </si>
  <si>
    <t>hollmansilva07@gmail.com</t>
  </si>
  <si>
    <t>linetcarolinam@gmail.com</t>
  </si>
  <si>
    <t>camilo2002castellanos@gmail.com</t>
  </si>
  <si>
    <t>ivanhernndez88@gmail.com</t>
  </si>
  <si>
    <t>sandraortegonlopez@gmail.com</t>
  </si>
  <si>
    <t>alexa14baez@gmail.com</t>
  </si>
  <si>
    <t>oymartinez14@gmail.com</t>
  </si>
  <si>
    <t>dayacamargo2406@gmail.com</t>
  </si>
  <si>
    <t>sequeragarciaronaldsequera@gmail.com</t>
  </si>
  <si>
    <t>gamboalily7@gmail.com</t>
  </si>
  <si>
    <t>liz02s@hotmail.com</t>
  </si>
  <si>
    <t>angelica.diaz.chacon@gmail.com</t>
  </si>
  <si>
    <t>juliandec0199@gmail.com</t>
  </si>
  <si>
    <t>dannasofialopez.2614@gmail.com</t>
  </si>
  <si>
    <t>omarsandovalforero24@gmail.com</t>
  </si>
  <si>
    <t>catalinastorres01@gmail.com</t>
  </si>
  <si>
    <t>diegofernandogarcia080@gmail.com</t>
  </si>
  <si>
    <t>bdhernadez364@gmail.com</t>
  </si>
  <si>
    <t>juliangomez.glv@gmail.com</t>
  </si>
  <si>
    <t>angelitha210623@gmail.com</t>
  </si>
  <si>
    <t>facturacionempresasiec@gmail.com</t>
  </si>
  <si>
    <t>leandroyinyer8899@gmail.com</t>
  </si>
  <si>
    <t>alexis2810772017@gmail.com</t>
  </si>
  <si>
    <t>memm202lffcrack@gmail.com</t>
  </si>
  <si>
    <t>santiagovasquezvar@gmail.com</t>
  </si>
  <si>
    <t>lecorredor81@uan.edu.co</t>
  </si>
  <si>
    <t>juliancardenas0304@gmail.com</t>
  </si>
  <si>
    <t>afrobarberlounge@gmail.com</t>
  </si>
  <si>
    <t>miguelalejandrolarac5@gmail.com</t>
  </si>
  <si>
    <t>jaiderbautista7@gmail.com</t>
  </si>
  <si>
    <t>holmanrodriguez_ing@hotmail.com</t>
  </si>
  <si>
    <t>rafael.saenz04@gmail.com</t>
  </si>
  <si>
    <t>fac.ivanrincon@gmail.com</t>
  </si>
  <si>
    <t>yenny.yftc02111@gmail.com</t>
  </si>
  <si>
    <t>stivenparedes173@gmail.com</t>
  </si>
  <si>
    <t>gallomaldonadoyimi@gmail.com</t>
  </si>
  <si>
    <t>paezjuanpablo79@gmail.com</t>
  </si>
  <si>
    <t>andresrodol1@gmail.com</t>
  </si>
  <si>
    <t>fidelandresmorenoleon@gmail.com</t>
  </si>
  <si>
    <t>scra0118@gmail.com</t>
  </si>
  <si>
    <t>davidmp124@gmail.com</t>
  </si>
  <si>
    <t>kjuliethb2@gmail.com</t>
  </si>
  <si>
    <t>deisydayanatobasea@gmail.com</t>
  </si>
  <si>
    <t>yuliethnova88@gmail.com</t>
  </si>
  <si>
    <t>adrianasanpati@hotmail.com</t>
  </si>
  <si>
    <t>mrativa@gmail.com</t>
  </si>
  <si>
    <t>henyer.sepulveda@gmail.com</t>
  </si>
  <si>
    <t>ortizedwar586@gmail.com</t>
  </si>
  <si>
    <t>lauravale.solano@gmail.com</t>
  </si>
  <si>
    <t>erika.gallo.2003@gmail.com</t>
  </si>
  <si>
    <t>ginaceron2002@gmail.com</t>
  </si>
  <si>
    <t>saraceron2002@gmail.com</t>
  </si>
  <si>
    <t>gualdronfelipe57@gmail.com</t>
  </si>
  <si>
    <t>juli180160@gmail.com</t>
  </si>
  <si>
    <t>michaelerreno@gmail.com</t>
  </si>
  <si>
    <t>cepedasantiago359@gmail.com</t>
  </si>
  <si>
    <t>dacristancho@gmail.com</t>
  </si>
  <si>
    <t>glrojas71@gmail.com</t>
  </si>
  <si>
    <t>comeandback.restaurantes@gmail.com</t>
  </si>
  <si>
    <t>1052399118@recepciondefacturas.co</t>
  </si>
  <si>
    <t>yuantemo240902@gmail.com</t>
  </si>
  <si>
    <t>SOFIAGONZALEZBRI1@GMAIL.COM</t>
  </si>
  <si>
    <t>mpma7555@gmail.com</t>
  </si>
  <si>
    <t>angietoba496@gmail.com</t>
  </si>
  <si>
    <t>marceperez5224@gmail.com</t>
  </si>
  <si>
    <t>jpedraza@gmail.com</t>
  </si>
  <si>
    <t>ximenaad_12@hotmail.com</t>
  </si>
  <si>
    <t>dianacalderonlemus17@gmail.com</t>
  </si>
  <si>
    <t>fagsgomez055@gmail.com</t>
  </si>
  <si>
    <t>angelaalarconb29@gmail.com</t>
  </si>
  <si>
    <t>samidtobo33@gmail.com</t>
  </si>
  <si>
    <t>cruzingrid9@gmail.com</t>
  </si>
  <si>
    <t>will_blanco@hotmail.com</t>
  </si>
  <si>
    <t>alejo_jd@hotmail.com</t>
  </si>
  <si>
    <t>maifer94.13@gamail.com</t>
  </si>
  <si>
    <t>aavilazea@gmail.com</t>
  </si>
  <si>
    <t>pimientomary449@gmail.com</t>
  </si>
  <si>
    <t>lorenarosas1426@gmail.com</t>
  </si>
  <si>
    <t>diegofernandoramirezdivantoque@gmail.com</t>
  </si>
  <si>
    <t>brayansuica0812@gmail.com</t>
  </si>
  <si>
    <t>floma.cao@gmail.com</t>
  </si>
  <si>
    <t>puertoflor120@gmail.com</t>
  </si>
  <si>
    <t>ferneyreyes.92@gmail.com</t>
  </si>
  <si>
    <t>tatianavergara757@gmail.com</t>
  </si>
  <si>
    <t>mayerlyperezg88@gmail.com</t>
  </si>
  <si>
    <t>marquezesperansa64@gmail.com</t>
  </si>
  <si>
    <t>dayana11rojas@outlook.com</t>
  </si>
  <si>
    <t>yennycuevas05@gmail.com</t>
  </si>
  <si>
    <t>nurysuaal@gmail.com</t>
  </si>
  <si>
    <t>diegorincon046@gmail.com</t>
  </si>
  <si>
    <t>juanpablo0290@hotmail.com</t>
  </si>
  <si>
    <t>lisethgoyeneche10@gmail.com</t>
  </si>
  <si>
    <t>ortizsuaangielorena0719@gmail.com</t>
  </si>
  <si>
    <t>ecorredor1973@gmail.com</t>
  </si>
  <si>
    <t>ana.mejiamesa02@gmail.com</t>
  </si>
  <si>
    <t>ximenamalagon131@gmail.com</t>
  </si>
  <si>
    <t>chacamelizabeth@gmail.com</t>
  </si>
  <si>
    <t>monicamarianino@yahoo.com</t>
  </si>
  <si>
    <t>galindocardenas2001@gmail.com</t>
  </si>
  <si>
    <t>hedyyalen@gmail.com</t>
  </si>
  <si>
    <t>daynerymeneses@gmail.com</t>
  </si>
  <si>
    <t>consultoryo@gmail.com</t>
  </si>
  <si>
    <t>jorgerincon102@gmail.com</t>
  </si>
  <si>
    <t>oscarivang22@gmail.com</t>
  </si>
  <si>
    <t>johanitha.04bolivar@gmail.com</t>
  </si>
  <si>
    <t>gonza30.valentina@gmail.com</t>
  </si>
  <si>
    <t>linamarcelafloresperez8@gmail.com</t>
  </si>
  <si>
    <t>obrascivilesls29@gmail.com</t>
  </si>
  <si>
    <t>lupachon2020@gmail.com</t>
  </si>
  <si>
    <t>holguingomezd@gmail.com</t>
  </si>
  <si>
    <t>carloslara3@gmail.com</t>
  </si>
  <si>
    <t>sulyochoa140@gmail.com</t>
  </si>
  <si>
    <t>kennar.kfgc2000@gmail.com</t>
  </si>
  <si>
    <t>josedelcarmenpepe74@hotmail.com</t>
  </si>
  <si>
    <t>ragallo5@misena.edu.co</t>
  </si>
  <si>
    <t>angiebenavide97@gmail.com</t>
  </si>
  <si>
    <t>josuec19gonzalez@gmail.com</t>
  </si>
  <si>
    <t>yesioncastro2224@gmail.com</t>
  </si>
  <si>
    <t>rduvan297@gmail.com</t>
  </si>
  <si>
    <t>camilosanz1322@gmail.com</t>
  </si>
  <si>
    <t>armando3208869435@gmail.com</t>
  </si>
  <si>
    <t>camagodiego1998@gmail.com</t>
  </si>
  <si>
    <t>ffccppbbfabian@gmail.com</t>
  </si>
  <si>
    <t>correa.ronderos.edgar@gmail.com</t>
  </si>
  <si>
    <t>sebastian86.prieto@gmail.com</t>
  </si>
  <si>
    <t>ar7895033@gmail.com</t>
  </si>
  <si>
    <t>BANESAMARTINEZ14@gmail.com</t>
  </si>
  <si>
    <t>SANDRAJULIANAVELANDIA1119@gmail.com</t>
  </si>
  <si>
    <t>pitaangie211@gmail.com</t>
  </si>
  <si>
    <t>dumarparedes@gmail.com</t>
  </si>
  <si>
    <t>carolyaleja.2000@gmail.com</t>
  </si>
  <si>
    <t>alfrevargas007@gmail.com</t>
  </si>
  <si>
    <t>claufonbe@gmail.com</t>
  </si>
  <si>
    <t>juaneduardosantander14@gmail.com</t>
  </si>
  <si>
    <t>paogohi19@gmail.com</t>
  </si>
  <si>
    <t>santapasc@gmail.com</t>
  </si>
  <si>
    <t>anderson.angel@hotmail.com</t>
  </si>
  <si>
    <t>andresitotorres2323@gmail.com</t>
  </si>
  <si>
    <t>karen.riao2001@gmail.com</t>
  </si>
  <si>
    <t>hcamilof@gmail.com</t>
  </si>
  <si>
    <t>derly96kata@gmail.com</t>
  </si>
  <si>
    <t>piertalaigua2118@gmail.com</t>
  </si>
  <si>
    <t>juandavidmonterroza70@gmail.com</t>
  </si>
  <si>
    <t>tecniac.javier@gmail.com</t>
  </si>
  <si>
    <t>cardena560@yahoo.com</t>
  </si>
  <si>
    <t>STEISYDAYANA15@gmail.com</t>
  </si>
  <si>
    <t>tatianatorres457@gmail.com</t>
  </si>
  <si>
    <t>anamariasalancaamaya20@gmail.com</t>
  </si>
  <si>
    <t>lizzethurrea1@gmail.com</t>
  </si>
  <si>
    <t>exneideromeduran20@gmail.com</t>
  </si>
  <si>
    <t>emiaraque1972@gmail.com</t>
  </si>
  <si>
    <t>lorenatellez24@hotmail.com</t>
  </si>
  <si>
    <t>leydimesa12345@gmail.com</t>
  </si>
  <si>
    <t>jhonnjag@gmail.com</t>
  </si>
  <si>
    <t>lopezyasleidy@hotmail.com</t>
  </si>
  <si>
    <t>3143301855abc@gmail.com</t>
  </si>
  <si>
    <t>jennifergarciagomez103@gmail.com</t>
  </si>
  <si>
    <t>omarsuarez69@gmail.com</t>
  </si>
  <si>
    <t>sebitasceal@gmail.com</t>
  </si>
  <si>
    <t>valejandranc@gmail.com</t>
  </si>
  <si>
    <t>caceresjorge049@gmail.com</t>
  </si>
  <si>
    <t>vgv02025@gmail.com</t>
  </si>
  <si>
    <t>20102042a@gmail.com</t>
  </si>
  <si>
    <t>joesk2016@gmail.com</t>
  </si>
  <si>
    <t>tatianaandreacarranzacaballero@gmail.com</t>
  </si>
  <si>
    <t>victoralfonsomarin873@gmail.com</t>
  </si>
  <si>
    <t>jl4451986@gmail.com</t>
  </si>
  <si>
    <t>poapaoenci@gmail.com</t>
  </si>
  <si>
    <t>ospinaluisafernanda37@gmail.com</t>
  </si>
  <si>
    <t>tatianaguilar341@gmail.com</t>
  </si>
  <si>
    <t>mendezlombana863@gmail.com</t>
  </si>
  <si>
    <t>hertorgiraldo1687@hotmail.com</t>
  </si>
  <si>
    <t>yeimy.tomy@gmail.com</t>
  </si>
  <si>
    <t>geidychaparro2014@gmail.com</t>
  </si>
  <si>
    <t>munozaura579@gmail.com</t>
  </si>
  <si>
    <t>anacristinajohasofia@gmail.com</t>
  </si>
  <si>
    <t>sandra.acero@udea.edu.co</t>
  </si>
  <si>
    <t>paula.reyes@unillanos.edu.co</t>
  </si>
  <si>
    <t>solesmeraldasilva409@gmail.com</t>
  </si>
  <si>
    <t>javysanchez123@gmail.com</t>
  </si>
  <si>
    <t>sneiderbecerra25@gmail.com</t>
  </si>
  <si>
    <t>rodrigolivos@gmail.com</t>
  </si>
  <si>
    <t>james.leonardo.mora@gmail.com</t>
  </si>
  <si>
    <t>edisonag104@gmail.com</t>
  </si>
  <si>
    <t>maikolmichell36@gmail.com</t>
  </si>
  <si>
    <t>mkbsaenz@gmail.com</t>
  </si>
  <si>
    <t>angiebmd091@gmail.com</t>
  </si>
  <si>
    <t>condiamonicagranados@gmail.com</t>
  </si>
  <si>
    <t>luchogomez49@yahoo.com.co</t>
  </si>
  <si>
    <t>yeisonrincon060128@gmail.com</t>
  </si>
  <si>
    <t>kmtv577775@gmail.com</t>
  </si>
  <si>
    <t>yeisonuriellopez06@gmail.com</t>
  </si>
  <si>
    <t>nestormolano67@gmail.com</t>
  </si>
  <si>
    <t>gysselatatiana@gmail.com</t>
  </si>
  <si>
    <t>angelavictoriahernandez@hotmail.com</t>
  </si>
  <si>
    <t>fernandaaldana26p@gmail.com</t>
  </si>
  <si>
    <t>chinomeleoneliandavid@gmail.com</t>
  </si>
  <si>
    <t>sandralorenapat603@gmail.com</t>
  </si>
  <si>
    <t>laurasofiasanabriarojas@outlook.com</t>
  </si>
  <si>
    <t>juanescastro29@gmail.com</t>
  </si>
  <si>
    <t>alejoyesid27@gmail.com</t>
  </si>
  <si>
    <t>fcamilo835@gmail.com</t>
  </si>
  <si>
    <t>kevinrc725@gmail.com</t>
  </si>
  <si>
    <t>alejamartinez625@gmail.com</t>
  </si>
  <si>
    <t>sebasgh94@gmail.com</t>
  </si>
  <si>
    <t>juandimateuz@gmail.com</t>
  </si>
  <si>
    <t>julioparrillasumerce@gmail.com</t>
  </si>
  <si>
    <t>cristianhiguera12@gmail.com</t>
  </si>
  <si>
    <t>daniel.lopez10889@gmail.com</t>
  </si>
  <si>
    <t>vargasnorbey98@gmail.com</t>
  </si>
  <si>
    <t>yddp05@gmail.com</t>
  </si>
  <si>
    <t>mafep4531@gmail.com</t>
  </si>
  <si>
    <t>angelarinconce@gmail.com</t>
  </si>
  <si>
    <t>moni.becerra025@gmail.com</t>
  </si>
  <si>
    <t>davidrincondu@gmail.com</t>
  </si>
  <si>
    <t>mabel.granados@uptc.edu.co</t>
  </si>
  <si>
    <t>tcatalina.fajardo@gmail.com</t>
  </si>
  <si>
    <t>zamarapita338@gmail.com</t>
  </si>
  <si>
    <t>dayanaravelo26@gmail.com</t>
  </si>
  <si>
    <t>go.growing31@gmail.com</t>
  </si>
  <si>
    <t>camilosanchez8658@gmail.com</t>
  </si>
  <si>
    <t>plaura287@gmail.com</t>
  </si>
  <si>
    <t>erikanata0305@gmail.com</t>
  </si>
  <si>
    <t>lauraballesteroscifuentes@gmail.com</t>
  </si>
  <si>
    <t>marialusv@gmail.com</t>
  </si>
  <si>
    <t>barrerayurian00@gmail.com</t>
  </si>
  <si>
    <t>yinetefer@gmail.com</t>
  </si>
  <si>
    <t>mr9293688@gmail.com</t>
  </si>
  <si>
    <t>stevenchapa2898@gmail.com</t>
  </si>
  <si>
    <t>consulitop.3@gmail.com</t>
  </si>
  <si>
    <t>mariacris1771@gmail.com</t>
  </si>
  <si>
    <t>arquimides720@gmail.com</t>
  </si>
  <si>
    <t>annynino.19@gmail.com</t>
  </si>
  <si>
    <t>camargopaula847@gmail.com</t>
  </si>
  <si>
    <t>rin.est2000@gmail.com</t>
  </si>
  <si>
    <t>johananino.03@gmail.com</t>
  </si>
  <si>
    <t>salazarwendy489@gmail.com</t>
  </si>
  <si>
    <t>leydy10073@gmail.com</t>
  </si>
  <si>
    <t>lizethpicon05@gmail.com</t>
  </si>
  <si>
    <t>oskarduartelds@gmail.com</t>
  </si>
  <si>
    <t>yeison8asilva@gmail.com</t>
  </si>
  <si>
    <t>fabioenmo17@gmail.com</t>
  </si>
  <si>
    <t>juliecitasanchez@gmail.com</t>
  </si>
  <si>
    <t>jormanandres21@gmail.com</t>
  </si>
  <si>
    <t>faridfelipe@outlook.com</t>
  </si>
  <si>
    <t>wilsonestiven3002016@gmail.com</t>
  </si>
  <si>
    <t>pasmaabogada@gmail.com</t>
  </si>
  <si>
    <t>marleni160586@gmail.com</t>
  </si>
  <si>
    <t>angieh05_1@hotmail.com</t>
  </si>
  <si>
    <t>amogollon2000@gmail.com</t>
  </si>
  <si>
    <t>tatianabecerra15@gmail.com</t>
  </si>
  <si>
    <t>agalindo@unal.edu.co</t>
  </si>
  <si>
    <t>zabalaviviana0608@gmail.com</t>
  </si>
  <si>
    <t>felipe322000@gmail.com</t>
  </si>
  <si>
    <t>david.lau0906@gmail.com</t>
  </si>
  <si>
    <t>lucycastrico2001@gmail.com</t>
  </si>
  <si>
    <t>tellezangaritaeliayineth@gmail.com</t>
  </si>
  <si>
    <t>karenguio34@gmail.com</t>
  </si>
  <si>
    <t>jampiercardozo901@gmail.com</t>
  </si>
  <si>
    <t>trianacarvajal86@gmail.com</t>
  </si>
  <si>
    <t>edierel@hotmail.com</t>
  </si>
  <si>
    <t>rodriguezmendozaleidycarolina@gmail.com</t>
  </si>
  <si>
    <t>deisonarley08@gmail.com</t>
  </si>
  <si>
    <t>marquezsandra2013@gmail.com</t>
  </si>
  <si>
    <t>CRISTIANMARQUEZFUENTES@GMAIL.COM</t>
  </si>
  <si>
    <t>maca8393@gmail.com</t>
  </si>
  <si>
    <t>garcia.vaiveth17@gmail.com</t>
  </si>
  <si>
    <t>torrescediel85@gmail.com</t>
  </si>
  <si>
    <t>yeimybarrera15@gmail.com</t>
  </si>
  <si>
    <t>lorenamanrique192@gmail.com</t>
  </si>
  <si>
    <t>maicolgarcia163@gmail.com</t>
  </si>
  <si>
    <t>18david05@gmail.com</t>
  </si>
  <si>
    <t>leidy1230@hotmail.com</t>
  </si>
  <si>
    <t>eliana_fonseca6333@gmail.com</t>
  </si>
  <si>
    <t>neitaalvarez@gmail.com</t>
  </si>
  <si>
    <t>alex28jhol@gmail.com</t>
  </si>
  <si>
    <t>katherinlimas@gmail.com</t>
  </si>
  <si>
    <t>wilmerariasgonzalez8@gmail.com</t>
  </si>
  <si>
    <t>sammyforerocastro2001@gmail.com</t>
  </si>
  <si>
    <t>medinagvanessa@gmail.com</t>
  </si>
  <si>
    <t>laurav.ardilad@gmail.com</t>
  </si>
  <si>
    <t>dcdr04@gmail.com</t>
  </si>
  <si>
    <t>juan20se02@gmail.com</t>
  </si>
  <si>
    <t>clau_81tike@yahoo.es</t>
  </si>
  <si>
    <t>didiermorales1492@hotmail.com</t>
  </si>
  <si>
    <t>crispinzon16@gmail.com</t>
  </si>
  <si>
    <t>diegoandry24@gmail.com</t>
  </si>
  <si>
    <t>zandritheliana@gmail.com</t>
  </si>
  <si>
    <t>garcialaura654@gmail.com</t>
  </si>
  <si>
    <t>garcesedilson19@gmail.com</t>
  </si>
  <si>
    <t>fonsecabryan64@gmail.com</t>
  </si>
  <si>
    <t>aguillontorrescristianorlando@gmail.com</t>
  </si>
  <si>
    <t>rojasferney876@gmail.com</t>
  </si>
  <si>
    <t>francisco.leguizamon25@gmail.com</t>
  </si>
  <si>
    <t>JFZM098@GMAIL.COM</t>
  </si>
  <si>
    <t>nicol.d@gmail.com</t>
  </si>
  <si>
    <t>dahiannapatino@gmail.com</t>
  </si>
  <si>
    <t>magnoliacortes193@gmail.com</t>
  </si>
  <si>
    <t>dar532@hotmail.com</t>
  </si>
  <si>
    <t>ROBERTP_30@hotmail.com</t>
  </si>
  <si>
    <t>jmoralesconectar@gmail.com</t>
  </si>
  <si>
    <t>emyosasa@hotmail.com</t>
  </si>
  <si>
    <t>baironca13@gmail.com</t>
  </si>
  <si>
    <t>laurita03pum@gmail.com</t>
  </si>
  <si>
    <t>dserranobarrera@gmail.com</t>
  </si>
  <si>
    <t>facturacion@armaviaje.com</t>
  </si>
  <si>
    <t>andresmv05@hotmail.com</t>
  </si>
  <si>
    <t>thehat.cs@gmail.com</t>
  </si>
  <si>
    <t>susanlorena22@hotmail.com</t>
  </si>
  <si>
    <t>duvanpe12@gmail.com</t>
  </si>
  <si>
    <t>catahdez.k18@gmail.com</t>
  </si>
  <si>
    <t>luisa.fernanda2623@gmail.com</t>
  </si>
  <si>
    <t>a.merchancantor@gmail.com</t>
  </si>
  <si>
    <t>vargasjuan367@gmail.com</t>
  </si>
  <si>
    <t>sergiobara97@gmail.com</t>
  </si>
  <si>
    <t>plantimoda@gmail.com</t>
  </si>
  <si>
    <t>afcasasgomez@gmail.com</t>
  </si>
  <si>
    <t>ximenacb777@gmail.com</t>
  </si>
  <si>
    <t>arqui.nathrc@gmail.com</t>
  </si>
  <si>
    <t>jimmyhamesd@gmail.com</t>
  </si>
  <si>
    <t>santiagoayala@uptc.edu.co</t>
  </si>
  <si>
    <t>yeberffers_arc@hotmail.com</t>
  </si>
  <si>
    <t>DELCA2905@gmail.com</t>
  </si>
  <si>
    <t>zulmanino30.2019@gmail.com</t>
  </si>
  <si>
    <t>helverrodriguez_10@hotmail.com</t>
  </si>
  <si>
    <t>ktalinas21@hotmail.com</t>
  </si>
  <si>
    <t>acevedotellez.20@gmail.com</t>
  </si>
  <si>
    <t>ympp2013@gmail.com</t>
  </si>
  <si>
    <t>mayuyis052009@hotmail.com</t>
  </si>
  <si>
    <t>jeanpuentes1998@gmail.com</t>
  </si>
  <si>
    <t>aperillarincon@yahoo.com</t>
  </si>
  <si>
    <t>mari_ye604@hotmail.com</t>
  </si>
  <si>
    <t>solangerincon90@gmail.com</t>
  </si>
  <si>
    <t>clausanchez9305@gmail.com</t>
  </si>
  <si>
    <t>camilobl93@gmail.com</t>
  </si>
  <si>
    <t>tatirivera252@outlook.com</t>
  </si>
  <si>
    <t>sildanacastaneda9@gmail.com</t>
  </si>
  <si>
    <t>pilar.alarcon.147@gmail.com</t>
  </si>
  <si>
    <t>monik088@hotmail.com</t>
  </si>
  <si>
    <t>edgarbarragan89@hotmail.com</t>
  </si>
  <si>
    <t>clalobasi89@gmail.com</t>
  </si>
  <si>
    <t>rinconandrea794@gmail.com</t>
  </si>
  <si>
    <t>paulanataliacamachoceballos@gmail.com</t>
  </si>
  <si>
    <t>marko0325reyes@gmail.com</t>
  </si>
  <si>
    <t>dayandrea1905@hotmail.com</t>
  </si>
  <si>
    <t>alejo0693@hotmail.com</t>
  </si>
  <si>
    <t>jeisonca0012@hotmail.com</t>
  </si>
  <si>
    <t>msilvabautista@gmail.com</t>
  </si>
  <si>
    <t>sebas950805@hotmail.com</t>
  </si>
  <si>
    <t>jhoselinvasquezrabase@gmail.com</t>
  </si>
  <si>
    <t>jim_acero@hotmail.com</t>
  </si>
  <si>
    <t>jsochoav@gmail.com</t>
  </si>
  <si>
    <t>linaquitian19@hotmail.com</t>
  </si>
  <si>
    <t>jhony1956@hotmail.es</t>
  </si>
  <si>
    <t>juanitabarbosadelgado06@gmail.com</t>
  </si>
  <si>
    <t>carolinacero@yahoo.com</t>
  </si>
  <si>
    <t>candidarosarinconrincon@gmail.com</t>
  </si>
  <si>
    <t>ememo87@gmail.com</t>
  </si>
  <si>
    <t>dianis_049@hotmail.com</t>
  </si>
  <si>
    <t>cericka726@gmail.com</t>
  </si>
  <si>
    <t>camileg88@gmail.com</t>
  </si>
  <si>
    <t>jonatanalpelo@gmail.com</t>
  </si>
  <si>
    <t>danfe.parra@gmail.com</t>
  </si>
  <si>
    <t>nataliarinconj@gmail.com</t>
  </si>
  <si>
    <t>camilojbravo@hotmail.com</t>
  </si>
  <si>
    <t>aamejiapion@gmail.com</t>
  </si>
  <si>
    <t>lucycomunicaciones24@gmail.com</t>
  </si>
  <si>
    <t>KARENBAMEN@gmail.com</t>
  </si>
  <si>
    <t>anfagua7@gmail.com</t>
  </si>
  <si>
    <t>dikatola2013@gmail.com</t>
  </si>
  <si>
    <t>FONCAL_842@YAHOO.ES</t>
  </si>
  <si>
    <t>williamraulgonzalezmejia@gmail.com</t>
  </si>
  <si>
    <t>sd.martinez@hv.com.co</t>
  </si>
  <si>
    <t>jonas4@hotmail.es</t>
  </si>
  <si>
    <t>d.lorena.j@hotmail.com</t>
  </si>
  <si>
    <t>jass.alba@hotmail.com</t>
  </si>
  <si>
    <t>neye91@gmail.com</t>
  </si>
  <si>
    <t>estefaniaa.duarte@gmail.com</t>
  </si>
  <si>
    <t>erikacastro0706@gmail.com</t>
  </si>
  <si>
    <t>micamix_16@hotmail.com</t>
  </si>
  <si>
    <t>claucas9423@hotmail.com</t>
  </si>
  <si>
    <t>mayuryromerosandoval@gmail.com</t>
  </si>
  <si>
    <t>yudililianaperezacero@gmail.com</t>
  </si>
  <si>
    <t>cristinaholguin1103@hotmail.com</t>
  </si>
  <si>
    <t>alcofa90@gmail.com</t>
  </si>
  <si>
    <t>seccastanova@gmail.com</t>
  </si>
  <si>
    <t>jherson_1999@hotmail.com</t>
  </si>
  <si>
    <t>hibonalba@gmail.com</t>
  </si>
  <si>
    <t>susitanlegu2224@hotmail.com</t>
  </si>
  <si>
    <t>juanaedilsernconsantos@gmail.com</t>
  </si>
  <si>
    <t>lana5562@hotmail.com</t>
  </si>
  <si>
    <t>diegotal@hotmail.com</t>
  </si>
  <si>
    <t>wilmerjosenoriegalopez@gmail.com</t>
  </si>
  <si>
    <t>monicarosas.col@gmail.com</t>
  </si>
  <si>
    <t>winismejia@gmail.com</t>
  </si>
  <si>
    <t>alejasaraisabella@gmail.com</t>
  </si>
  <si>
    <t>and.kro@gmail.com</t>
  </si>
  <si>
    <t>eabaezs.ing.elec@gmail.com</t>
  </si>
  <si>
    <t>lufegave@gmail.com</t>
  </si>
  <si>
    <t>jorgeandresparraparra@gmail.com</t>
  </si>
  <si>
    <t>dadelarosa.94@gmail.com</t>
  </si>
  <si>
    <t>julianajimenezc@gmail.com</t>
  </si>
  <si>
    <t>aleja3550@hotmail.com</t>
  </si>
  <si>
    <t>amgb1103@hotmail.com</t>
  </si>
  <si>
    <t>chuchobecerra912@gmail.com</t>
  </si>
  <si>
    <t>msmurillot@gmail.com</t>
  </si>
  <si>
    <t>sf.pulodo@gmail.com</t>
  </si>
  <si>
    <t>luzkarime1006@gmail.com</t>
  </si>
  <si>
    <t>diegoparra08@hotmail.com</t>
  </si>
  <si>
    <t>danielamoyano18@gmail.com</t>
  </si>
  <si>
    <t>ggomezmachuca@gmail.com</t>
  </si>
  <si>
    <t>zullyavellaneda@gmail.com</t>
  </si>
  <si>
    <t>quinteroscar28@gmail.com</t>
  </si>
  <si>
    <t>ivanricardodb@gmail.com</t>
  </si>
  <si>
    <t>jsanchezposada@gmail.com</t>
  </si>
  <si>
    <t>ariasyesid1998@gmail.com</t>
  </si>
  <si>
    <t>andrea.carol3650@hotmail.com</t>
  </si>
  <si>
    <t>chevitobatero@gmail.com</t>
  </si>
  <si>
    <t>sesoto88@gmail.com</t>
  </si>
  <si>
    <t>kasacrepes@outlook.com</t>
  </si>
  <si>
    <t>eddyes690@gmail.com</t>
  </si>
  <si>
    <t>willy.cl@hotmail.com</t>
  </si>
  <si>
    <t>diegofernandoriveros.dfrp@gmail.com</t>
  </si>
  <si>
    <t>miloforero10@hotmail.com</t>
  </si>
  <si>
    <t>angcons1212@hotmail.com</t>
  </si>
  <si>
    <t>ljz2513@gmail.com</t>
  </si>
  <si>
    <t>andreagama.se@gmail.com</t>
  </si>
  <si>
    <t>mkfonseca2012@gmail.com</t>
  </si>
  <si>
    <t>leidybolivar1908@gmail.com</t>
  </si>
  <si>
    <t>erikaengativa@yahoo.com</t>
  </si>
  <si>
    <t>tefa14gra@gmail.com</t>
  </si>
  <si>
    <t>petteer01@hotmail.com</t>
  </si>
  <si>
    <t>rodriguezw07@gmail.com</t>
  </si>
  <si>
    <t>leoriveraro14@gmail.com</t>
  </si>
  <si>
    <t>andreagomezc30@gmail.com</t>
  </si>
  <si>
    <t>juancho130894@gmail.com</t>
  </si>
  <si>
    <t>wilsonar94@gmail.com</t>
  </si>
  <si>
    <t>alarconantonella68@gmail.com</t>
  </si>
  <si>
    <t>lilianamolina0519@gmail.com</t>
  </si>
  <si>
    <t>miguel.cardenas.82@gmail.com</t>
  </si>
  <si>
    <t>soywasilva@outlook.com</t>
  </si>
  <si>
    <t>franky1986@gmail.com</t>
  </si>
  <si>
    <t>oscaruexternado@gmail.com</t>
  </si>
  <si>
    <t>eduinsonvarmu@hotmail.com</t>
  </si>
  <si>
    <t>carlos.fonseca.calderon@gmail.com</t>
  </si>
  <si>
    <t>yes.k89@hotmail.com</t>
  </si>
  <si>
    <t>amon7726@hotmail.com</t>
  </si>
  <si>
    <t>rositah_10@hotmail.com</t>
  </si>
  <si>
    <t>pau9020@gmail.com</t>
  </si>
  <si>
    <t>SONIA_122690@hotmail.com</t>
  </si>
  <si>
    <t>ingleonardo.gutite@gmail.com</t>
  </si>
  <si>
    <t>spapz20@gmail.com</t>
  </si>
  <si>
    <t>maferani.14@hotmail.com</t>
  </si>
  <si>
    <t>dianasepulveda9310@gmail.com</t>
  </si>
  <si>
    <t>leidyrojas049@gmail.com</t>
  </si>
  <si>
    <t>mitiendaexpress@gmail.com</t>
  </si>
  <si>
    <t>LEIDYMDIAZG@gmail.com</t>
  </si>
  <si>
    <t>anitamrl14@gmail.com</t>
  </si>
  <si>
    <t>arq.juan.abril@gmail.com</t>
  </si>
  <si>
    <t>gustavosuarezing.gerencia@gmail.com</t>
  </si>
  <si>
    <t>lclopez1020@gmail.com</t>
  </si>
  <si>
    <t>vanesuarez1@gmail.com</t>
  </si>
  <si>
    <t>gdrodriguezp2618@gmail.com</t>
  </si>
  <si>
    <t>tgsoalexis@gmail.com</t>
  </si>
  <si>
    <t>luisalejandrogarcia.ath@gmail.com</t>
  </si>
  <si>
    <t>jonathan.lopez303@hotmail.com</t>
  </si>
  <si>
    <t>carola4498@gmail.com</t>
  </si>
  <si>
    <t>anmagrafica@hotmail.com</t>
  </si>
  <si>
    <t>inproyelecte.ss@gmail.com</t>
  </si>
  <si>
    <t>yulyviviana.rojas@gmail.com</t>
  </si>
  <si>
    <t>s7gomez95@gmail.com</t>
  </si>
  <si>
    <t>gerson9601@gmail.com</t>
  </si>
  <si>
    <t>karen.perez.vega98@gmail.com</t>
  </si>
  <si>
    <t>mafe990113@gmail.com</t>
  </si>
  <si>
    <t>angeleste4@gmail.com</t>
  </si>
  <si>
    <t>inyo2302@hotmail.com</t>
  </si>
  <si>
    <t>yiovannisolerrj@gmail.com</t>
  </si>
  <si>
    <t>sluna4953@gmail.com</t>
  </si>
  <si>
    <t>stiferre@gmail.com</t>
  </si>
  <si>
    <t>haroldcastellanos95@hotmail.com</t>
  </si>
  <si>
    <t>kevinsmith.saenz@gmail.com</t>
  </si>
  <si>
    <t>patodonall23@hotmail.com</t>
  </si>
  <si>
    <t>julie.samaca@cun.edu.co</t>
  </si>
  <si>
    <t>anunez06@hotmail.com</t>
  </si>
  <si>
    <t>JENNYFER89CORTES@HOTMAIL.COM</t>
  </si>
  <si>
    <t>dimsey77@hotmail.com</t>
  </si>
  <si>
    <t>angie14_E@hotmail.com</t>
  </si>
  <si>
    <t>angelasua34@gmail.com</t>
  </si>
  <si>
    <t>deusdei08@gmail.com</t>
  </si>
  <si>
    <t>CELY.MARITZA@gmail.com</t>
  </si>
  <si>
    <t>edimon218@hotmail.com</t>
  </si>
  <si>
    <t>yeimysan2118@hotmail.com</t>
  </si>
  <si>
    <t>saraluciachavez19@gmail.com</t>
  </si>
  <si>
    <t>karolri06@hotmail.com</t>
  </si>
  <si>
    <t>modernhomeduitama@gmail.com</t>
  </si>
  <si>
    <t>vivianasilva877@gmail.com</t>
  </si>
  <si>
    <t>yeye1094@gmail.com</t>
  </si>
  <si>
    <t>BRAYANENRRIQUEZ@GMAIL.COM</t>
  </si>
  <si>
    <t>aleja_3950@hotmail.com</t>
  </si>
  <si>
    <t>alonso.becerra1026@hotmail.com</t>
  </si>
  <si>
    <t>alejandracec3@hotmail.com</t>
  </si>
  <si>
    <t>karen.bati77@gmail.com</t>
  </si>
  <si>
    <t>pinedachristian553@gmail.com</t>
  </si>
  <si>
    <t>jhonatangarcia70@hotmail.com</t>
  </si>
  <si>
    <t>f.y.4@hotmail.com</t>
  </si>
  <si>
    <t>linamariacelycastillo@gmail.com</t>
  </si>
  <si>
    <t>carolina.veralopez@gmail.com</t>
  </si>
  <si>
    <t>fabiola940925@gmail.com</t>
  </si>
  <si>
    <t>nelcyv09@gmail.com</t>
  </si>
  <si>
    <t>g.oacevedo24@gmail.com</t>
  </si>
  <si>
    <t>loreoena@gmail.com</t>
  </si>
  <si>
    <t>selik9802@hotmail.com</t>
  </si>
  <si>
    <t>sameto4444@gmail.com</t>
  </si>
  <si>
    <t>restauranteparrilla5fuegos@gmail.com</t>
  </si>
  <si>
    <t>dollandrea@hotmail.com</t>
  </si>
  <si>
    <t>paredesyohanna85@gmail.com</t>
  </si>
  <si>
    <t>fadr00@hotmail.com</t>
  </si>
  <si>
    <t>jorb9110@gmail.com</t>
  </si>
  <si>
    <t>breikeventos017@gmail.com</t>
  </si>
  <si>
    <t>omardyoy@gmail.com</t>
  </si>
  <si>
    <t>stefannyvillamil@gmail.com</t>
  </si>
  <si>
    <t>danielcbp2005@gmail.com</t>
  </si>
  <si>
    <t>dayanna.cardenas09@gmail.com</t>
  </si>
  <si>
    <t>camilo_lopez_fdr@hotmail.com</t>
  </si>
  <si>
    <t>baezmerchan10@hotmail.com</t>
  </si>
  <si>
    <t>heniguma@gmail.com</t>
  </si>
  <si>
    <t>laurasalamanca937@gmail.com</t>
  </si>
  <si>
    <t>juankmiloalarcon@gmail.com</t>
  </si>
  <si>
    <t>sph.2000@hotmail.com</t>
  </si>
  <si>
    <t>edwinleomartinez14@gmail.com</t>
  </si>
  <si>
    <t>julioechavarria@yahoo.com</t>
  </si>
  <si>
    <t>kc.docenteidiomas@gmail.com</t>
  </si>
  <si>
    <t>armas93daar@gmail.com</t>
  </si>
  <si>
    <t>agronobsaconcentrados@gmail.com</t>
  </si>
  <si>
    <t>jansophiee@gmail.com</t>
  </si>
  <si>
    <t>katherinefarfancortes@gmail.com</t>
  </si>
  <si>
    <t>cristianduvanmorantes96@gmail.com</t>
  </si>
  <si>
    <t>danielpcampos1804@gmail.com</t>
  </si>
  <si>
    <t>jpjdstiven2017@gmail.com</t>
  </si>
  <si>
    <t>caro.hortua123@gmail.com</t>
  </si>
  <si>
    <t>ludysilva07@gmail.com</t>
  </si>
  <si>
    <t>somosjaragourmet@gmail.com</t>
  </si>
  <si>
    <t>quinterotovar67@gmail.com</t>
  </si>
  <si>
    <t>camilominotas@gmail.com</t>
  </si>
  <si>
    <t>kellysolarh25@gmail.com</t>
  </si>
  <si>
    <t>marisoltorres.galindo@gmail.com</t>
  </si>
  <si>
    <t>cvc286@gmail.com</t>
  </si>
  <si>
    <t>willplaneacion@gmail.com</t>
  </si>
  <si>
    <t>alejavillit@hotmail.com</t>
  </si>
  <si>
    <t>pinerosalbeiro59@gmail.com</t>
  </si>
  <si>
    <t>naalmano@hotmail.com</t>
  </si>
  <si>
    <t>cripsicolo@hotmail.com</t>
  </si>
  <si>
    <t>roci13_86@gmail.com</t>
  </si>
  <si>
    <t>RAPALACIOS54@MISENA.EDU.CO</t>
  </si>
  <si>
    <t>mpvivast@gmail.com</t>
  </si>
  <si>
    <t>diego.combariza@live.com</t>
  </si>
  <si>
    <t>guillermogv1987@gmail.com</t>
  </si>
  <si>
    <t>oscar142005@gmail.com</t>
  </si>
  <si>
    <t>mayerlylievano@gmail.com</t>
  </si>
  <si>
    <t>cesaraugustorojsmarino@gmail.com</t>
  </si>
  <si>
    <t>ing.johnsandoval@hotmail.com</t>
  </si>
  <si>
    <t>yamilepuentes@hotmail.com</t>
  </si>
  <si>
    <t>aleja19058@hotmail.com</t>
  </si>
  <si>
    <t>angelita_910225@hotmail.com</t>
  </si>
  <si>
    <t>and.bus.2011@hotmail.es</t>
  </si>
  <si>
    <t>alfa.omegatiendadebelleza@gmail.com</t>
  </si>
  <si>
    <t>alejo.avila091@gmail.com</t>
  </si>
  <si>
    <t>ivonne.recaldemvz@gmail.com</t>
  </si>
  <si>
    <t>adriti0817@hotmail.com</t>
  </si>
  <si>
    <t>ajsarmientom@gmail.com</t>
  </si>
  <si>
    <t>jlalfonsoc19@gmail.com</t>
  </si>
  <si>
    <t>camilo.velandiap@gmail.com</t>
  </si>
  <si>
    <t>baezcristiam64@gmail.com</t>
  </si>
  <si>
    <t>johancamargo9731@gmail.com</t>
  </si>
  <si>
    <t>anni98_@hotmail.com</t>
  </si>
  <si>
    <t>3cristian1@gmail.com</t>
  </si>
  <si>
    <t>sofiaisaza1998@gmail.com</t>
  </si>
  <si>
    <t>andresariza029@gmail.com</t>
  </si>
  <si>
    <t>viviana_khp@hotmail.com</t>
  </si>
  <si>
    <t>sadavaor@hotmail.com</t>
  </si>
  <si>
    <t>erikavasco191411@gmail.com</t>
  </si>
  <si>
    <t>juansebastianc397@gmail.com</t>
  </si>
  <si>
    <t>kika.1529@hotmail.com</t>
  </si>
  <si>
    <t>jhon404789@gmail.com</t>
  </si>
  <si>
    <t>marcoemilio1993@gmail.com</t>
  </si>
  <si>
    <t>dianajuliethgonzales@gmail.com</t>
  </si>
  <si>
    <t>tatianabalaguera13@gmail.com</t>
  </si>
  <si>
    <t>karolaysvalerojas0@gmail.com</t>
  </si>
  <si>
    <t>qami.100@gmail.com</t>
  </si>
  <si>
    <t>anitamejia31@gmail.com</t>
  </si>
  <si>
    <t>mayralejandracely@gmail.com</t>
  </si>
  <si>
    <t>carlosmesavanegas92@gmail.com</t>
  </si>
  <si>
    <t>mariazapata.avila1809@gmail.com</t>
  </si>
  <si>
    <t>thebigblcak@gmail.com</t>
  </si>
  <si>
    <t>ricardo1045023@gmail.com</t>
  </si>
  <si>
    <t>meidagomez777@gmail.com</t>
  </si>
  <si>
    <t>araquearaqueluzmireya@gmail.com</t>
  </si>
  <si>
    <t>arley0789daza@gmail.com</t>
  </si>
  <si>
    <t>leidysilvacely@gmail.com</t>
  </si>
  <si>
    <t>luzmar126@gmail.com</t>
  </si>
  <si>
    <t>lasfuentes123@gmail.com</t>
  </si>
  <si>
    <t>edisonsebastianvargasleon@gmail.com</t>
  </si>
  <si>
    <t>anlileoc2606@gmail.com</t>
  </si>
  <si>
    <t>carlitosvargas18@hotmail.com</t>
  </si>
  <si>
    <t>sininformado@gmail.com</t>
  </si>
  <si>
    <t>ferchoh2013@gmail.com</t>
  </si>
  <si>
    <t>miltoncolmenares57@gmail.com</t>
  </si>
  <si>
    <t>emmogollon73@gmail.com</t>
  </si>
  <si>
    <t>julian027rojas@gmail.com</t>
  </si>
  <si>
    <t>saydaverji88@gmail.com</t>
  </si>
  <si>
    <t>cfsilvar98@gmail.com</t>
  </si>
  <si>
    <t>angiekathe837@gmail.com</t>
  </si>
  <si>
    <t>cusumbocovarachia@gmail.com</t>
  </si>
  <si>
    <t>nubiasiza302@gmail.com</t>
  </si>
  <si>
    <t>jlibardosilvag@gmail.com</t>
  </si>
  <si>
    <t>paoquinteros14@hotmail.com</t>
  </si>
  <si>
    <t>nayealarcon0330@gmail.com</t>
  </si>
  <si>
    <t>clamicogollo15@gmail.com</t>
  </si>
  <si>
    <t>fuenteseugenia43@gmail.com</t>
  </si>
  <si>
    <t>jodaffc@gmail.com</t>
  </si>
  <si>
    <t>achoamonica12@gmail.com</t>
  </si>
  <si>
    <t>mundineksl@gmail.com</t>
  </si>
  <si>
    <t>wilyder@hotmail.com</t>
  </si>
  <si>
    <t>neidyrocio133@gmail.com</t>
  </si>
  <si>
    <t>JAHERQUIEN@gmail.com</t>
  </si>
  <si>
    <t>LJOM9009@gmail.com</t>
  </si>
  <si>
    <t>paulavelandia08@gmail.com</t>
  </si>
  <si>
    <t>mar.azul.19@hotmail.com</t>
  </si>
  <si>
    <t>alonsojaime892@gmail.com</t>
  </si>
  <si>
    <t>jolucobo@gmail.com</t>
  </si>
  <si>
    <t>mercatodomym4@gmail.com</t>
  </si>
  <si>
    <t>NOTENGO@GMAIL.COM</t>
  </si>
  <si>
    <t>kkoedgar@gmail.com</t>
  </si>
  <si>
    <t>maiscahe22@gmail.com</t>
  </si>
  <si>
    <t>jeisonb100@hotmail.com</t>
  </si>
  <si>
    <t>omairaa1234@gmail.com</t>
  </si>
  <si>
    <t>thaniafuentez95@gmail.com</t>
  </si>
  <si>
    <t>robertyesidbotia28@gmail.com</t>
  </si>
  <si>
    <t>jual.nossa2214@gmail.com</t>
  </si>
  <si>
    <t>emp.aldiass@gmail.com</t>
  </si>
  <si>
    <t>hernandomartinez2853@gmail.com</t>
  </si>
  <si>
    <t>krokardenas48@hotmail.com</t>
  </si>
  <si>
    <t>henryarb@gmail.com</t>
  </si>
  <si>
    <t>franciscojaviersuesca@gmail.com</t>
  </si>
  <si>
    <t>dinaluzce@yahoo.es</t>
  </si>
  <si>
    <t>diannis0805@hotmail.com</t>
  </si>
  <si>
    <t>adahica12@hotmail.com</t>
  </si>
  <si>
    <t>cescardenas@gmail.com</t>
  </si>
  <si>
    <t>luiscuadradon@gmail.com</t>
  </si>
  <si>
    <t>paolanieto.b@gmail.com</t>
  </si>
  <si>
    <t>fmadame@hotmail.com</t>
  </si>
  <si>
    <t>givacoma@yahoo.com</t>
  </si>
  <si>
    <t>bibianaandreav@gmail.com</t>
  </si>
  <si>
    <t>marialchia.mercaderistas.pg@gmail.com</t>
  </si>
  <si>
    <t>jcaro1908@hotmail.com</t>
  </si>
  <si>
    <t>vidalsandra89@gmail.com</t>
  </si>
  <si>
    <t>angelamilenafuerte2504@gmail.com</t>
  </si>
  <si>
    <t>j_sebastiancalderon@yahoo.es</t>
  </si>
  <si>
    <t>alexandracoy.co@gmail.com</t>
  </si>
  <si>
    <t>jandreita2904@gmail.com</t>
  </si>
  <si>
    <t>rafaelantonioflorez@gmail.com</t>
  </si>
  <si>
    <t>sdelgadoavila@gmail.com</t>
  </si>
  <si>
    <t>joco600cc@hotmail.com</t>
  </si>
  <si>
    <t>anvalentina63@gmail.com</t>
  </si>
  <si>
    <t>gabrielita3007@hotmail.com</t>
  </si>
  <si>
    <t>albarracinyomara@gmail.com</t>
  </si>
  <si>
    <t>dianac_6@hotmail.com</t>
  </si>
  <si>
    <t>cruz_1108@hotmail.com</t>
  </si>
  <si>
    <t>alexandra.alarcon18@hotmail.com</t>
  </si>
  <si>
    <t>nestiberdugo8@gmail.com</t>
  </si>
  <si>
    <t>andresito872010@hotmail.com</t>
  </si>
  <si>
    <t>dylansaiz2403@gmail.com</t>
  </si>
  <si>
    <t>carlos.lara@uptc.edu.co</t>
  </si>
  <si>
    <t>facturacion.mercatododyp@gmail.com</t>
  </si>
  <si>
    <t>nancyperez1988@hotmail.com</t>
  </si>
  <si>
    <t>jefferdiaz098@gmail.com</t>
  </si>
  <si>
    <t>fabianmolinasosa@gmail.com</t>
  </si>
  <si>
    <t>john_piraneque@hotmail.com</t>
  </si>
  <si>
    <t>aryana32@hotmail.com</t>
  </si>
  <si>
    <t>angie_7079@hotmail.com</t>
  </si>
  <si>
    <t>a.e.marce17@gmail.com</t>
  </si>
  <si>
    <t>cjoana1988@gmail.com</t>
  </si>
  <si>
    <t>marcelagelvez0@gmail.com</t>
  </si>
  <si>
    <t>jhoncito.co@hotmail.com</t>
  </si>
  <si>
    <t>lic.nicolasbuitrago@gmail.com</t>
  </si>
  <si>
    <t>monilili2110@gmail.com</t>
  </si>
  <si>
    <t>lorenabetancourt14092007@gmail.com</t>
  </si>
  <si>
    <t>viviana.lunabarajas128@gmail.com</t>
  </si>
  <si>
    <t>ar_ye60@yahoo.es</t>
  </si>
  <si>
    <t>alvaroalexmo@hotmail.com</t>
  </si>
  <si>
    <t>reyessierraanavictoria@gmail.com</t>
  </si>
  <si>
    <t>erika.cardenad.romero@gmail.com</t>
  </si>
  <si>
    <t>jaq777@hotmail.com</t>
  </si>
  <si>
    <t>diego_amn@hotmail.com</t>
  </si>
  <si>
    <t>zlizzeth86@hotmail.com</t>
  </si>
  <si>
    <t>giseth.lopez@uptc.edu.co</t>
  </si>
  <si>
    <t>fercho637@hotmail.com</t>
  </si>
  <si>
    <t>yegallo31@gmail.com</t>
  </si>
  <si>
    <t>alexsarca@hotmail.com</t>
  </si>
  <si>
    <t>elirubio3737@gmail.com</t>
  </si>
  <si>
    <t>lblanco.miguel@gmail.com</t>
  </si>
  <si>
    <t>paolatorres322@gmail.com</t>
  </si>
  <si>
    <t>nellyjimenez15041990@gmail.com</t>
  </si>
  <si>
    <t>nrsepulveda03@gmail.com</t>
  </si>
  <si>
    <t>merceditasmesa13@gmail.com</t>
  </si>
  <si>
    <t>loremoon22@gmail.com</t>
  </si>
  <si>
    <t>jkdavidmoreno@gmail.com</t>
  </si>
  <si>
    <t>ANDREATELLEZMU@HOTMAIL.COM</t>
  </si>
  <si>
    <t>lilikspa1620@gmail.com</t>
  </si>
  <si>
    <t>YE.BUITRAGO9036@gmail.com</t>
  </si>
  <si>
    <t>jaime.aguirre.bermudez@gmail.com</t>
  </si>
  <si>
    <t>flajo_7@hotmail.com</t>
  </si>
  <si>
    <t>montoyamanuel1012@gmail.com</t>
  </si>
  <si>
    <t>jhonedisontorres14@gmail.com</t>
  </si>
  <si>
    <t>anromeba21@hotmail.com</t>
  </si>
  <si>
    <t>vannegomez28@gmail.com</t>
  </si>
  <si>
    <t>rodrigojoya.6@gmail.com</t>
  </si>
  <si>
    <t>yenny.lopezcely@gmail.com</t>
  </si>
  <si>
    <t>comando.1607@hotmail.com</t>
  </si>
  <si>
    <t>diegombt@hotmail.com</t>
  </si>
  <si>
    <t>lizmon_90@hotmail.com</t>
  </si>
  <si>
    <t>xiomy9109@hotmail.com</t>
  </si>
  <si>
    <t>lorenasuarez1691@gmail.com</t>
  </si>
  <si>
    <t>mancipe1zenaida@hotmail.com</t>
  </si>
  <si>
    <t>atatianamonroyp@gmail.com</t>
  </si>
  <si>
    <t>dedesita16@hotmail.com</t>
  </si>
  <si>
    <t>amcg.1908@hotmail.com</t>
  </si>
  <si>
    <t>marcelacerreno7@gmail.com</t>
  </si>
  <si>
    <t>nikaz9218@gmail.com</t>
  </si>
  <si>
    <t>cifuentesjessicalorena@gmail.com</t>
  </si>
  <si>
    <t>ealozanoh14@gmail.com</t>
  </si>
  <si>
    <t>gerente@htcontadoresp.com</t>
  </si>
  <si>
    <t>pablodavid1110@hotmail.com</t>
  </si>
  <si>
    <t>prudentegourmet@gmail.com</t>
  </si>
  <si>
    <t>martinez.javi@hotmail.com</t>
  </si>
  <si>
    <t>monica.mn1124@gmail.com</t>
  </si>
  <si>
    <t>yeisonantoniofloresdaza@gmail.com</t>
  </si>
  <si>
    <t>rociomorenorojas@gmail.com</t>
  </si>
  <si>
    <t>garurojas123@gmail.com</t>
  </si>
  <si>
    <t>leonardoinfanteing@gmail.com</t>
  </si>
  <si>
    <t>ing.nataliacelym@gmail.com</t>
  </si>
  <si>
    <t>katherinecuevas1993@gmail.com</t>
  </si>
  <si>
    <t>oscarbili98@hotmail.com</t>
  </si>
  <si>
    <t>lore0593@gmail.com</t>
  </si>
  <si>
    <t>juan.salamanca.lizarazo@gmail.com</t>
  </si>
  <si>
    <t>adamm112706mai@gmail.com</t>
  </si>
  <si>
    <t>agromaterialesdistribuidores@gmail.com</t>
  </si>
  <si>
    <t>sc6882848@gmail.com</t>
  </si>
  <si>
    <t>cyuldor@yahoo.com</t>
  </si>
  <si>
    <t>stebanamaya@gmail.com</t>
  </si>
  <si>
    <t>rosammedinad1965@gmail.com</t>
  </si>
  <si>
    <t>dianajarodriguezz@gmail.com</t>
  </si>
  <si>
    <t>danjhm789@gmail.com</t>
  </si>
  <si>
    <t>sfvargas@uniboyaca.edu.co</t>
  </si>
  <si>
    <t>nali.sam1994@gmail.com</t>
  </si>
  <si>
    <t>alejandra.derecho@outlook.com</t>
  </si>
  <si>
    <t>camiloavendanosoler109@gmail.com</t>
  </si>
  <si>
    <t>monicaleon.c18@gmail.com</t>
  </si>
  <si>
    <t>fabioher0412@yahoo.es</t>
  </si>
  <si>
    <t>linaprojas@hotmail.com</t>
  </si>
  <si>
    <t>arq.alejandrourian@gmail.com</t>
  </si>
  <si>
    <t>nellyjaneth723@gmail.com</t>
  </si>
  <si>
    <t>cuervo100_@hotmail.com</t>
  </si>
  <si>
    <t>dianaprieto285@gmail.com</t>
  </si>
  <si>
    <t>alvaronuncira95@gmail.com</t>
  </si>
  <si>
    <t>andreaespitia95@gmail.com</t>
  </si>
  <si>
    <t>edwin.amoreno@hotmail.com</t>
  </si>
  <si>
    <t>andraravelo@gmail.com</t>
  </si>
  <si>
    <t>carolinamoreno130118@gmail.com</t>
  </si>
  <si>
    <t>stiven96@live.com.ur</t>
  </si>
  <si>
    <t>ing.laurapedraza@gmail.com</t>
  </si>
  <si>
    <t>415.jon.mar@gmail.com</t>
  </si>
  <si>
    <t>tatisgonzalez2015.tg@gmail.com</t>
  </si>
  <si>
    <t>teyohanac14@gmail.com</t>
  </si>
  <si>
    <t>humbertocarlohu@hotmail.com</t>
  </si>
  <si>
    <t>juliethsl@hotmail.com</t>
  </si>
  <si>
    <t>juanvega.sl@hotmail.com</t>
  </si>
  <si>
    <t>zantykztro0@gmail.com</t>
  </si>
  <si>
    <t>ruthpinzons@gmail.com</t>
  </si>
  <si>
    <t>angcamhernandez@uniboyaca.edu.co</t>
  </si>
  <si>
    <t>julianhormiga@gmail.com</t>
  </si>
  <si>
    <t>tatimoralesdiaz05@gmail.com</t>
  </si>
  <si>
    <t>johjan99@gmail.com</t>
  </si>
  <si>
    <t>rojascarvajaljuanandres@gmail.com</t>
  </si>
  <si>
    <t>erikaandrebarreto@gmail.com</t>
  </si>
  <si>
    <t>monileon86@gmail.com</t>
  </si>
  <si>
    <t>olgalucia8512@gmail.com</t>
  </si>
  <si>
    <t>jaimeinfante978@gmail.com</t>
  </si>
  <si>
    <t>elver.8739@gmail.com</t>
  </si>
  <si>
    <t>diana_le15@hotmail.com</t>
  </si>
  <si>
    <t>santosjc_88@hotmail.com</t>
  </si>
  <si>
    <t>andresorozco7709@gmail.com</t>
  </si>
  <si>
    <t>jhonfredycalixto@hotmail.es</t>
  </si>
  <si>
    <t>andresrodriguez31oct@gmail.com</t>
  </si>
  <si>
    <t>ange_285@hotmail.com</t>
  </si>
  <si>
    <t>hvega8711@gmail.com</t>
  </si>
  <si>
    <t>david.ortiz18@hotmail.com</t>
  </si>
  <si>
    <t>derlys99@hotmail.com</t>
  </si>
  <si>
    <t>angenicol0406@gmail.com</t>
  </si>
  <si>
    <t>carlosfrancisco1975@hotmail.com</t>
  </si>
  <si>
    <t>deicy_0790@hotmail.com</t>
  </si>
  <si>
    <t>dyfplasticosyempaquesa@gmail.com</t>
  </si>
  <si>
    <t>alvarotoledo246@gmail.com</t>
  </si>
  <si>
    <t>adibatri@hotmail.com</t>
  </si>
  <si>
    <t>jeisoncastellanos83@gmail.com</t>
  </si>
  <si>
    <t>andrea.danna030@gmail.com</t>
  </si>
  <si>
    <t>yasmin211993@hotmail.com</t>
  </si>
  <si>
    <t>vargas931@hotmail.com</t>
  </si>
  <si>
    <t>deicymanriqueceron@gmail.com</t>
  </si>
  <si>
    <t>gr1815921@gmail.com</t>
  </si>
  <si>
    <t>SEBASTIAN.BEL69@GMAIL.COM</t>
  </si>
  <si>
    <t>deisylilianavargas17@gmail.com</t>
  </si>
  <si>
    <t>llanojuanjose22@gmail.com</t>
  </si>
  <si>
    <t>cristianozarith9@gmail.com</t>
  </si>
  <si>
    <t>nikolcristiano.15s@gmail.com</t>
  </si>
  <si>
    <t>a.blanquita@gmail.com</t>
  </si>
  <si>
    <t>andres8832lizarazosa@gmail.com</t>
  </si>
  <si>
    <t>valerinc935@gmail.com</t>
  </si>
  <si>
    <t>ahidalopez@hotmail.com</t>
  </si>
  <si>
    <t>deivargas18@gmail.com</t>
  </si>
  <si>
    <t>rudysuarez158@gmail.com</t>
  </si>
  <si>
    <t>milenitaardilao@gmail.com</t>
  </si>
  <si>
    <t>cccastellanos94@gmail.com</t>
  </si>
  <si>
    <t>andrea.nino105@gmail.com</t>
  </si>
  <si>
    <t>juanbell687@gmail.com</t>
  </si>
  <si>
    <t>rescatesst@gmail.com</t>
  </si>
  <si>
    <t>alejitaymaria2014@gmail.com</t>
  </si>
  <si>
    <t>lorena0326lopez@gmail.com</t>
  </si>
  <si>
    <t>restauranteguaquira@hotmail.com</t>
  </si>
  <si>
    <t>martinezjovany6@gmail.com</t>
  </si>
  <si>
    <t>catalinanaranjo1989@hotmail.com</t>
  </si>
  <si>
    <t>pinedadiegofer@gmail.com</t>
  </si>
  <si>
    <t>monicapatriciaacevedochaparro@gmail.com</t>
  </si>
  <si>
    <t>alexalar95@gmail.com</t>
  </si>
  <si>
    <t>plazasangela20@gmail.com</t>
  </si>
  <si>
    <t>yeimyfonseca9904@gmail.com</t>
  </si>
  <si>
    <t>carenyohana@gmail.com</t>
  </si>
  <si>
    <t>suarezmarisol864@gmail.com</t>
  </si>
  <si>
    <t>quirozmilton1991@gmail.com</t>
  </si>
  <si>
    <t>diegocha1512@gmail.com</t>
  </si>
  <si>
    <t>fredyleonardobarrera@gmail.com</t>
  </si>
  <si>
    <t>andresmejiaz999@gmail.com</t>
  </si>
  <si>
    <t>gemeyizo@gmail.com</t>
  </si>
  <si>
    <t>jairo.nino@uptc.edu.co</t>
  </si>
  <si>
    <t>bikerscoffee@gmail.com</t>
  </si>
  <si>
    <t>cheojr15@gmail.com</t>
  </si>
  <si>
    <t>fernandoleon1985@hotmail.com</t>
  </si>
  <si>
    <t>victoralfonsoperezsissa@gmail.com</t>
  </si>
  <si>
    <t>judypaola675@gmail.com</t>
  </si>
  <si>
    <t>carlos.paramocp@gmail.com</t>
  </si>
  <si>
    <t>sando0206@gmail.com</t>
  </si>
  <si>
    <t>luiscarlosfigueratorres@gmail.com</t>
  </si>
  <si>
    <t>dianisvelazco@gmail.com</t>
  </si>
  <si>
    <t>fred-alex@hotmail.com</t>
  </si>
  <si>
    <t>alexayala7777@gmail.com</t>
  </si>
  <si>
    <t>palenciajorge673@gmail.com</t>
  </si>
  <si>
    <t>dianapaolaronderos60@gmail.com</t>
  </si>
  <si>
    <t>tripicg@hotmail.com</t>
  </si>
  <si>
    <t>eisanchez0@gmail.com</t>
  </si>
  <si>
    <t>sandrarociosuarez1690@gmail.com</t>
  </si>
  <si>
    <t>munozcontrerascarlosjose3@gmail.com</t>
  </si>
  <si>
    <t>yuliangela0987@gmail.com</t>
  </si>
  <si>
    <t>carlosrinconmv09@gmail.com</t>
  </si>
  <si>
    <t>marlenyrojasnocua@gmail.com</t>
  </si>
  <si>
    <t>sulmys88@hotmail.com</t>
  </si>
  <si>
    <t>j_a_win@hotmail.com</t>
  </si>
  <si>
    <t>nancy512011@hotmail.com</t>
  </si>
  <si>
    <t>heynicris@gmail.com</t>
  </si>
  <si>
    <t>florelenacardenas@gmail.com</t>
  </si>
  <si>
    <t>solermiguel19@gmail.com</t>
  </si>
  <si>
    <t>enyicely2@gmail.com</t>
  </si>
  <si>
    <t>yarodriguez1955@hotmail.com</t>
  </si>
  <si>
    <t>junasilvavargas25@gmail.com</t>
  </si>
  <si>
    <t>jocamace25@hotmail.com</t>
  </si>
  <si>
    <t>paumrtnz9@gmail.com</t>
  </si>
  <si>
    <t>deisyperez9508@gmail.com</t>
  </si>
  <si>
    <t>wendigaray1427@gmail.com</t>
  </si>
  <si>
    <t>carola0140@gmail.com</t>
  </si>
  <si>
    <t>teoparra055@gmail.com</t>
  </si>
  <si>
    <t>carmenzasisa1503@gmail.com</t>
  </si>
  <si>
    <t>ferneyfernandezguerrero@gmail.com</t>
  </si>
  <si>
    <t>pineda.omar@hotmail.com</t>
  </si>
  <si>
    <t>williamlopezxt27@gmail.com</t>
  </si>
  <si>
    <t>estefaniabcorredor@gmail.com</t>
  </si>
  <si>
    <t>paola.zarate.ma@gmail.com</t>
  </si>
  <si>
    <t>hermesinfante@hotmail.com</t>
  </si>
  <si>
    <t>hengonza19@gmail.com</t>
  </si>
  <si>
    <t>yamidcastro723@gmail.com</t>
  </si>
  <si>
    <t>marescap944@gmail.com</t>
  </si>
  <si>
    <t>sauryth32005@gmail.com</t>
  </si>
  <si>
    <t>cheppecamilo012@hotmail.com</t>
  </si>
  <si>
    <t>marthacepeda351@gmail.com</t>
  </si>
  <si>
    <t>yoanacruz271@gmail.com</t>
  </si>
  <si>
    <t>suluse29@gmail.com</t>
  </si>
  <si>
    <t>fernandohernandezduarte@hotmail.com</t>
  </si>
  <si>
    <t>topezychiquis@hotmail.com</t>
  </si>
  <si>
    <t>ashly06tati@gmail.com</t>
  </si>
  <si>
    <t>malejoss15@gmail.com</t>
  </si>
  <si>
    <t>ivanbalaguera15@gmail.com</t>
  </si>
  <si>
    <t>blancagallo451@gmail.com</t>
  </si>
  <si>
    <t>eliza.vargasboada@gmail.com</t>
  </si>
  <si>
    <t>guerrerotrianacarlos11@gmail.com</t>
  </si>
  <si>
    <t>kevinparraperez05@gmail.com</t>
  </si>
  <si>
    <t>nicolp4rra@gmail.com</t>
  </si>
  <si>
    <t>ing.carlosperea@gmail.com</t>
  </si>
  <si>
    <t>hemidiaz1810@gmail.com</t>
  </si>
  <si>
    <t>camilo608cooflotax@gmail.com</t>
  </si>
  <si>
    <t>andres.com752@gmail.com</t>
  </si>
  <si>
    <t>sistemadegestion09@gmail.com</t>
  </si>
  <si>
    <t>elmersissa124@gmail.com</t>
  </si>
  <si>
    <t>hjangarita@misena.edu.co</t>
  </si>
  <si>
    <t>soniagogo80@yahoo.com</t>
  </si>
  <si>
    <t>leibalaguera1210@gmail.com</t>
  </si>
  <si>
    <t>diazfuentesmari5@gmail.com</t>
  </si>
  <si>
    <t>angaritacastrolucho@gmail.com</t>
  </si>
  <si>
    <t>garcia2528nydiae@gmail.com</t>
  </si>
  <si>
    <t>gsaavedrabarrera@gmail.com</t>
  </si>
  <si>
    <t>perezgomezviviana@gmail.com</t>
  </si>
  <si>
    <t>magyrinconrojas18@gmail.com</t>
  </si>
  <si>
    <t>elianlizeth15@gmail.com</t>
  </si>
  <si>
    <t>chiquillorincondiego@gmail.com</t>
  </si>
  <si>
    <t>MONIQUITA.VARGAS11@gmail.com</t>
  </si>
  <si>
    <t>lizangela10@hotmail.com</t>
  </si>
  <si>
    <t>joharl.rodriguez@hotmail.com</t>
  </si>
  <si>
    <t>bfabioenrique@gmail.com</t>
  </si>
  <si>
    <t>noinformago@hotmail.com</t>
  </si>
  <si>
    <t>johanamarcelapinzonrincon91@gmail.com</t>
  </si>
  <si>
    <t>torreserika399@gmail.com</t>
  </si>
  <si>
    <t>luisjavierbautistaalbarracin@gmail.com</t>
  </si>
  <si>
    <t>elivaje15@gmail.com</t>
  </si>
  <si>
    <t>maryrojas9520@gmail.com</t>
  </si>
  <si>
    <t>POLOGALLO14@GMAIL.COM</t>
  </si>
  <si>
    <t>arquitecta.jma@gmail.com</t>
  </si>
  <si>
    <t>farithv8@gmail.com</t>
  </si>
  <si>
    <t>jessicamendoza123.es@gmail.com</t>
  </si>
  <si>
    <t>claudiamarcelamejialopez@gmail.com</t>
  </si>
  <si>
    <t>dianaliceth@gmail.com</t>
  </si>
  <si>
    <t>msvs.32@hotmail.com</t>
  </si>
  <si>
    <t>dieguito199313@hotmail.com</t>
  </si>
  <si>
    <t>adrianac483@gmail.com</t>
  </si>
  <si>
    <t>patricia.olarte03@hotmail.com</t>
  </si>
  <si>
    <t>rusbel11@hotmail.es</t>
  </si>
  <si>
    <t>marcelaorjuela930@gmail.com</t>
  </si>
  <si>
    <t>pabis_bis@hotmail.com</t>
  </si>
  <si>
    <t>silvanury81@gmail.com</t>
  </si>
  <si>
    <t>miguel.0612@hotmail.com</t>
  </si>
  <si>
    <t>ybaron55@misena.edu.co</t>
  </si>
  <si>
    <t>terry841@hotmail.es</t>
  </si>
  <si>
    <t>skaperea_94@hotmail.com</t>
  </si>
  <si>
    <t>alfonsomayorga83@gmail.com</t>
  </si>
  <si>
    <t>jhonzo@gmail.com</t>
  </si>
  <si>
    <t>arqkarensilva1824@gmail.com</t>
  </si>
  <si>
    <t>avboada@uniboyaca.edu.co</t>
  </si>
  <si>
    <t>caicedoclaudia9505@gmail.com</t>
  </si>
  <si>
    <t>dorainediaz96@gmail.com</t>
  </si>
  <si>
    <t>jairocaedenasbaez0796@hotmail.com</t>
  </si>
  <si>
    <t>castroperezluisalberto02@gmail.com</t>
  </si>
  <si>
    <t>pinerosgalloalejandra@gmail.com</t>
  </si>
  <si>
    <t>jhonjaimealarcon81@gmail.com</t>
  </si>
  <si>
    <t>vargaslucho112@gmail.com</t>
  </si>
  <si>
    <t>angelica1997@gmail.com</t>
  </si>
  <si>
    <t>andressantos462@gmail.com</t>
  </si>
  <si>
    <t>sebasvega47@gmail.com</t>
  </si>
  <si>
    <t>cristianfabiantrianareyes@gmail.com</t>
  </si>
  <si>
    <t>xiomara.rojas345@gmail.com</t>
  </si>
  <si>
    <t>vivisrivera2011@hotmail.com</t>
  </si>
  <si>
    <t>monikgonzalez30@gmail.com</t>
  </si>
  <si>
    <t>odgallo@misen.edu.co</t>
  </si>
  <si>
    <t>MAYERIVANDIAZPONAL@GMAIL.COM</t>
  </si>
  <si>
    <t>yovanivelandiadiaz@gmail.com</t>
  </si>
  <si>
    <t>irvipo0318@gmail.com</t>
  </si>
  <si>
    <t>e_kat@hotmail.com</t>
  </si>
  <si>
    <t>edisonfabiancetina@gmail.com</t>
  </si>
  <si>
    <t>omar.parada886@gmail.com</t>
  </si>
  <si>
    <t>sergiobato04@hotmail.com</t>
  </si>
  <si>
    <t>nancygonzalez0701@gmail.com</t>
  </si>
  <si>
    <t>anafabiolabautista@gmail.com</t>
  </si>
  <si>
    <t>omaira.chaparro1720@gmail.com</t>
  </si>
  <si>
    <t>amayacruz2018@gmail.com</t>
  </si>
  <si>
    <t>luzbarrera378@gmail.com</t>
  </si>
  <si>
    <t>gamartinez6@misena.edu.co</t>
  </si>
  <si>
    <t>daniangaritan01@gmail.com</t>
  </si>
  <si>
    <t>diazbernaleduardo@gmail.com</t>
  </si>
  <si>
    <t>fabianosflechas@hotmail.com</t>
  </si>
  <si>
    <t>olganeiza7@gmail.com</t>
  </si>
  <si>
    <t>jennymagnoliamejiapena@gmail.com</t>
  </si>
  <si>
    <t>yarurobrandom131@gmail.com</t>
  </si>
  <si>
    <t>adrinito82@outlook.com</t>
  </si>
  <si>
    <t>jazmin0386@hotmail.com</t>
  </si>
  <si>
    <t>mauriciom32@hotmail.com</t>
  </si>
  <si>
    <t>alexjejen@live.com</t>
  </si>
  <si>
    <t>sebasrubio86@gmail.com</t>
  </si>
  <si>
    <t>jmauriciolarac@gmail.com</t>
  </si>
  <si>
    <t>jhonjirrr@gmail.com</t>
  </si>
  <si>
    <t>suliethpedraza24@gmail.com</t>
  </si>
  <si>
    <t>vivilulymoreno16@gmail.com</t>
  </si>
  <si>
    <t>fernando.8621@hotmail.com</t>
  </si>
  <si>
    <t>sij.asociados@gmail.com</t>
  </si>
  <si>
    <t>maluvani86@hotmail.com</t>
  </si>
  <si>
    <t>deimichasu@hotmail.com</t>
  </si>
  <si>
    <t>sergiospvargas@hotmail.com</t>
  </si>
  <si>
    <t>m.luisita33@gmail.com</t>
  </si>
  <si>
    <t>patriciajarro@hotmail.com</t>
  </si>
  <si>
    <t>ninojorgearmando03@gmail.com</t>
  </si>
  <si>
    <t>oscarcamacho@hotmail.com</t>
  </si>
  <si>
    <t>sandri7gonzalez@gmail.com</t>
  </si>
  <si>
    <t>sandramil186@gmail.com</t>
  </si>
  <si>
    <t>gestionjulietareyes@gmail.com</t>
  </si>
  <si>
    <t>ADRIANA.MESA0315@gmail.com</t>
  </si>
  <si>
    <t>jennysuarezj@gmail.com</t>
  </si>
  <si>
    <t>jimenezmaleja86@gmail.com</t>
  </si>
  <si>
    <t>ferchogcf77@hotmail.com</t>
  </si>
  <si>
    <t>yoyisa.gm@gmail.com</t>
  </si>
  <si>
    <t>yinagonzalez8273@gmail.com</t>
  </si>
  <si>
    <t>vperalta13@gmail.com</t>
  </si>
  <si>
    <t>dipasoe0525@gmail.com</t>
  </si>
  <si>
    <t>dianarochaco@gmail.com</t>
  </si>
  <si>
    <t>jennydiaz661@gmail.com</t>
  </si>
  <si>
    <t>raulfonseca@gmail.com</t>
  </si>
  <si>
    <t>jtorres12345@hotmail.com</t>
  </si>
  <si>
    <t>juanchopinzon97@gmail.com</t>
  </si>
  <si>
    <t>theangelo437@gmail.com</t>
  </si>
  <si>
    <t>ELIS8669@hotmail.com</t>
  </si>
  <si>
    <t>sandratiba352@gmail.com</t>
  </si>
  <si>
    <t>acerojaac@gmail.com</t>
  </si>
  <si>
    <t>marce_8602@hotmail.com</t>
  </si>
  <si>
    <t>jebg_985@hotmail.com</t>
  </si>
  <si>
    <t>florbaron.80@gmail.com</t>
  </si>
  <si>
    <t>gallorodriguezjhonalexander@gmail.com</t>
  </si>
  <si>
    <t>paola.avila.2884@gmail.com</t>
  </si>
  <si>
    <t>dejmoreno@gmail.com</t>
  </si>
  <si>
    <t>laxime0617@gmail.com</t>
  </si>
  <si>
    <t>patricia_leon@outlook.com</t>
  </si>
  <si>
    <t>wilmergutierrez185@gmail.com</t>
  </si>
  <si>
    <t>davidfajardo11@hotmail.es</t>
  </si>
  <si>
    <t>adrianalara_2@hotmail.com</t>
  </si>
  <si>
    <t>hec-tor7@hotmail.com</t>
  </si>
  <si>
    <t>rinand21@gmail.com</t>
  </si>
  <si>
    <t>daya0220@yahoo.es</t>
  </si>
  <si>
    <t>laopa86@hotmail.com</t>
  </si>
  <si>
    <t>anillamaria79@gmail.com</t>
  </si>
  <si>
    <t>ferney.velandia621@gmail.com</t>
  </si>
  <si>
    <t>jickxis001@hotmail.com</t>
  </si>
  <si>
    <t>andruyfrancisco30@gmail.com</t>
  </si>
  <si>
    <t>famiboyderlly@hotmail.com</t>
  </si>
  <si>
    <t>lauraorduz12@gmail.com</t>
  </si>
  <si>
    <t>anzagu@gmail.com</t>
  </si>
  <si>
    <t>yorscat26@gmail.com</t>
  </si>
  <si>
    <t>dlrpjdr@misena.edu.co</t>
  </si>
  <si>
    <t>leidyjohanna8a@hotmail.com</t>
  </si>
  <si>
    <t>andresquiroz5800@gmail.com</t>
  </si>
  <si>
    <t>liriofeliz@gmail.com</t>
  </si>
  <si>
    <t>martinezmvictor@hotmail.com</t>
  </si>
  <si>
    <t>y_llis@hotmail.com</t>
  </si>
  <si>
    <t>ingronalbonza@gmail.com</t>
  </si>
  <si>
    <t>valeayde80@hotmail.com</t>
  </si>
  <si>
    <t>geosandrita@hotmail.com</t>
  </si>
  <si>
    <t>moraacostayerandin@gmail.com</t>
  </si>
  <si>
    <t>luvicape8612@hotmail.com</t>
  </si>
  <si>
    <t>luciafbuitragom@gmail.com</t>
  </si>
  <si>
    <t>braulioszdz08@gmail.com</t>
  </si>
  <si>
    <t>silviazcri@hotmail.com</t>
  </si>
  <si>
    <t>alfonsovictor.picotellez87@gmail.com</t>
  </si>
  <si>
    <t>margaritaboada@hotmail.com</t>
  </si>
  <si>
    <t>atatianaespitia@gmail.com</t>
  </si>
  <si>
    <t>dinafer2006@hotmail.com</t>
  </si>
  <si>
    <t>alvarezcaracas@gmail.com</t>
  </si>
  <si>
    <t>ingfabiangoyeneche@gmail.com</t>
  </si>
  <si>
    <t>carito-caro@hotmail.com</t>
  </si>
  <si>
    <t>charliesan0201@gmail.com</t>
  </si>
  <si>
    <t>claris108@hotmail.com</t>
  </si>
  <si>
    <t>yeyita20141707@gmail.com</t>
  </si>
  <si>
    <t>lucesita1125@gmail.com</t>
  </si>
  <si>
    <t>oneservicedomis@gmail.com</t>
  </si>
  <si>
    <t>fredyalpipi@gmail.com</t>
  </si>
  <si>
    <t>neidy2008@gmail.com</t>
  </si>
  <si>
    <t>rubielacamargo10@outlook.com</t>
  </si>
  <si>
    <t>dagdtma@gmail.com</t>
  </si>
  <si>
    <t>ingpaolagarzon@gmail.com</t>
  </si>
  <si>
    <t>eylethamina2012@gmail.com</t>
  </si>
  <si>
    <t>dicam_770@hotmail.com</t>
  </si>
  <si>
    <t>DIEGONITOLARHIMAG@gmail.com</t>
  </si>
  <si>
    <t>alexasalamancapulido@gmail.com</t>
  </si>
  <si>
    <t>jdtorres09@hotmail.com</t>
  </si>
  <si>
    <t>roquenossa@gmail.com</t>
  </si>
  <si>
    <t>nancycchinomecelis86@gmail.com</t>
  </si>
  <si>
    <t>angy_10@hotmail.com</t>
  </si>
  <si>
    <t>orjuelacarlos84@gmail.com</t>
  </si>
  <si>
    <t>iogganconde@gmail.com</t>
  </si>
  <si>
    <t>tecnologiacolpre@gmail.com</t>
  </si>
  <si>
    <t>gerardoc_l@hotmail.com</t>
  </si>
  <si>
    <t>dianarce25@hotmail.com</t>
  </si>
  <si>
    <t>fredychavezch85@gmail.com</t>
  </si>
  <si>
    <t>vajuya2020@gmail.com</t>
  </si>
  <si>
    <t>angelitacorredor1010@gmail.com</t>
  </si>
  <si>
    <t>pescacabreraninijohana@gmail.com</t>
  </si>
  <si>
    <t>anda86@gmail.com</t>
  </si>
  <si>
    <t>dimaniri@gmail.com</t>
  </si>
  <si>
    <t>patopacs@hotmai.com</t>
  </si>
  <si>
    <t>ljbaez@misena.edu.co</t>
  </si>
  <si>
    <t>viviro1507@hotmail.com</t>
  </si>
  <si>
    <t>freddy.duitama@hotmail.com</t>
  </si>
  <si>
    <t>colprechem@gmail.com</t>
  </si>
  <si>
    <t>joanfracica@gmail.com</t>
  </si>
  <si>
    <t>yuly.rincon.ar@gmail.com</t>
  </si>
  <si>
    <t>lisn0556@gmail.com</t>
  </si>
  <si>
    <t>dayaluker@hotmail.com</t>
  </si>
  <si>
    <t>richardgon1250@gmail.com</t>
  </si>
  <si>
    <t>pjmarily0204@gmail.com</t>
  </si>
  <si>
    <t>claudiayhiguera86@gmail.com</t>
  </si>
  <si>
    <t>miguel1123@gmail.com</t>
  </si>
  <si>
    <t>chariliyee@gmail.com</t>
  </si>
  <si>
    <t>leonardotrujillo7@gmail.com</t>
  </si>
  <si>
    <t>mili2801@yahoo.es</t>
  </si>
  <si>
    <t>monibecerra86@hotmail.com</t>
  </si>
  <si>
    <t>nafasogoz@gmail.com</t>
  </si>
  <si>
    <t>dassita.1986@gmail.com</t>
  </si>
  <si>
    <t>ninirodriguezhernandez@hotmail.com</t>
  </si>
  <si>
    <t>henry.sam.86@outlook.com</t>
  </si>
  <si>
    <t>critrian.0986@gmail.com</t>
  </si>
  <si>
    <t>lidenherrera@outlook.com</t>
  </si>
  <si>
    <t>neinyra@hotmail.com</t>
  </si>
  <si>
    <t>yyrc19@hotmail.com</t>
  </si>
  <si>
    <t>carolina.carvajal11@gmail.com</t>
  </si>
  <si>
    <t>tenjomarcela12345@gmail.com</t>
  </si>
  <si>
    <t>ernestomvz86@gmail.com</t>
  </si>
  <si>
    <t>deissi_em@hotmail.com</t>
  </si>
  <si>
    <t>rolandoleonsalcedo@gmail.com</t>
  </si>
  <si>
    <t>ivonnelorenaquirozzaraza@gmail.com</t>
  </si>
  <si>
    <t>andgomezb@gmail.com</t>
  </si>
  <si>
    <t>camargocristian@hotmail.com</t>
  </si>
  <si>
    <t>walter.camilolopez@hotmail.com</t>
  </si>
  <si>
    <t>ladi2912@hotmail.com</t>
  </si>
  <si>
    <t>8642luna@gmail.com</t>
  </si>
  <si>
    <t>valsan1621@gmail.com</t>
  </si>
  <si>
    <t>jenny.23ing@gmail.com</t>
  </si>
  <si>
    <t>andreitaperez318@gmail.com</t>
  </si>
  <si>
    <t>yolis_06@hotmail.com</t>
  </si>
  <si>
    <t>locomaswel@hotmail.com</t>
  </si>
  <si>
    <t>siza87@hotmail.com</t>
  </si>
  <si>
    <t>angelaaraque440@gmauil.com</t>
  </si>
  <si>
    <t>karolramirez12@hotmail.com</t>
  </si>
  <si>
    <t>JHCAMACHO860@GMAIL.COM</t>
  </si>
  <si>
    <t>jeimmylugo31@gmail.com</t>
  </si>
  <si>
    <t>mayrapgonzaleztequia@gmail.com</t>
  </si>
  <si>
    <t>hugo.acano@hotmail.com</t>
  </si>
  <si>
    <t>sergiorobles2801@gmail.com</t>
  </si>
  <si>
    <t>paito1103@yahoo.es</t>
  </si>
  <si>
    <t>camilo.neitag@gmail.com</t>
  </si>
  <si>
    <t>fabiscaro2@gmail.com</t>
  </si>
  <si>
    <t>lili851987@hotmail.com</t>
  </si>
  <si>
    <t>machaconra19@gmail.com</t>
  </si>
  <si>
    <t>anaid14022009@hotmail.com</t>
  </si>
  <si>
    <t>asesorias.lizarazo@gmail.com</t>
  </si>
  <si>
    <t>mayeandrea09@yahoo.es</t>
  </si>
  <si>
    <t>soniatamara6@gmail.com</t>
  </si>
  <si>
    <t>manuel.soler@uptc.edu.co</t>
  </si>
  <si>
    <t>sandralilimamora@gmail.com</t>
  </si>
  <si>
    <t>yulianavalderrama55@gmail.com</t>
  </si>
  <si>
    <t>maryfonseca231@gmail.com</t>
  </si>
  <si>
    <t>ivandariochacon87@hotmail.com</t>
  </si>
  <si>
    <t>fabiocat7@gmail.com</t>
  </si>
  <si>
    <t>caritoka2627@gmail.com</t>
  </si>
  <si>
    <t>jetadi@gmail.com</t>
  </si>
  <si>
    <t>blanca86xt@gmail.com</t>
  </si>
  <si>
    <t>linacl1@hotmail.com</t>
  </si>
  <si>
    <t>caritonino1409@gmail.com</t>
  </si>
  <si>
    <t>yamilelubritrans@hotmail.com</t>
  </si>
  <si>
    <t>mdc87mora@gmail.com</t>
  </si>
  <si>
    <t>titanevolution7@gmail.com</t>
  </si>
  <si>
    <t>jcpanqueva29@gmail.com</t>
  </si>
  <si>
    <t>PAO.ARIS8794@gmail.com</t>
  </si>
  <si>
    <t>zulmacely16@gmail.com</t>
  </si>
  <si>
    <t>jomemohu87@hotmail.com</t>
  </si>
  <si>
    <t>fernandacogaria@hotmail.com</t>
  </si>
  <si>
    <t>pitern1@hotmail.com</t>
  </si>
  <si>
    <t>velandiasandra537@gmail.com</t>
  </si>
  <si>
    <t>mopar_4@hotmail.com</t>
  </si>
  <si>
    <t>yulder12345@gmail.com</t>
  </si>
  <si>
    <t>adylecperez@gmail.com</t>
  </si>
  <si>
    <t>vghorizontal.com.co@gmail.com</t>
  </si>
  <si>
    <t>giovanynuncira@gmail.com</t>
  </si>
  <si>
    <t>smaye2409@gmail.com</t>
  </si>
  <si>
    <t>fausto.morales60@gmail.com</t>
  </si>
  <si>
    <t>victor0214@gmail.com</t>
  </si>
  <si>
    <t>anahelda.baez@gmail.com</t>
  </si>
  <si>
    <t>flacakmj24@hotmail.com</t>
  </si>
  <si>
    <t>jhonedgarguaringuevara@hotmail.com</t>
  </si>
  <si>
    <t>OLGAGRA@hotmail.ES</t>
  </si>
  <si>
    <t>jovanycorrea86@gmail.com</t>
  </si>
  <si>
    <t>dianadallos27@gmail.com</t>
  </si>
  <si>
    <t>jhonatican1987@gmail.com</t>
  </si>
  <si>
    <t>york.m@hotmail.com</t>
  </si>
  <si>
    <t>josejvelandia12@gmail.com</t>
  </si>
  <si>
    <t>funsua@hotmail.com</t>
  </si>
  <si>
    <t>scrapy3187@gmail.com</t>
  </si>
  <si>
    <t>henz067@hotmail.com</t>
  </si>
  <si>
    <t>enano8709@hotmail.com</t>
  </si>
  <si>
    <t>contadorandreablanco@gmail.com</t>
  </si>
  <si>
    <t>alex.diaz.cardenas11@gmail.com</t>
  </si>
  <si>
    <t>ferchohig@gmail.com</t>
  </si>
  <si>
    <t>3172594078rp@gmail.com</t>
  </si>
  <si>
    <t>fuerzaduitama@gmail.com</t>
  </si>
  <si>
    <t>mauricio5102011@hotmail.com</t>
  </si>
  <si>
    <t>aloncat563@gmail.com</t>
  </si>
  <si>
    <t>digiovanny@gmail.com</t>
  </si>
  <si>
    <t>magdamarquez73@yahoo.com</t>
  </si>
  <si>
    <t>yesseniavalcarcel@hotmail.com</t>
  </si>
  <si>
    <t>mafeq51@gmail.com</t>
  </si>
  <si>
    <t>morenosuarez.fer@gmail.com</t>
  </si>
  <si>
    <t>zulmasaavedra2730@hotmail.com</t>
  </si>
  <si>
    <t>wilmarpisaprieto@gmail.com</t>
  </si>
  <si>
    <t>german.a.147@gmail.com</t>
  </si>
  <si>
    <t>RINCONNOHRA@hotmail.com</t>
  </si>
  <si>
    <t>diegoferrucho@outlook.com</t>
  </si>
  <si>
    <t>marylache465@gmail.com</t>
  </si>
  <si>
    <t>dianahiguerafl@gmail.com</t>
  </si>
  <si>
    <t>dieguitopuerto@gmail.com</t>
  </si>
  <si>
    <t>jescepeda29@gmail.com</t>
  </si>
  <si>
    <t>judyth.jc@hotmail.com</t>
  </si>
  <si>
    <t>diegoeguevara@gmail.com</t>
  </si>
  <si>
    <t>celmis111@hotmail.com</t>
  </si>
  <si>
    <t>favadavi@hotmail.com</t>
  </si>
  <si>
    <t>ladynitola@gmail.com</t>
  </si>
  <si>
    <t>monicaflorez10@hotmail.com</t>
  </si>
  <si>
    <t>corredorandres@yahoo.es</t>
  </si>
  <si>
    <t>paolisldk@gmail.com</t>
  </si>
  <si>
    <t>eidyk2004@gmail.com</t>
  </si>
  <si>
    <t>evvivas25@gmail.com</t>
  </si>
  <si>
    <t>cesarmarquez0607@gmail.com</t>
  </si>
  <si>
    <t>nuryvargas4@yahoo.es</t>
  </si>
  <si>
    <t>willcard10@gmail.com</t>
  </si>
  <si>
    <t>gonzaleswilson979@gmail.com</t>
  </si>
  <si>
    <t>kevinhuertas.11.12@gmail.com</t>
  </si>
  <si>
    <t>juanpa212009@hotmail.com</t>
  </si>
  <si>
    <t>monisca789@hotmail.com</t>
  </si>
  <si>
    <t>santidiaz1506@hotmail.com</t>
  </si>
  <si>
    <t>luzm102010@hotmail.com</t>
  </si>
  <si>
    <t>oscar.ochoape@gmail.com</t>
  </si>
  <si>
    <t>lucerocamargogutierrz@gmail.com</t>
  </si>
  <si>
    <t>aileenquiroga@gmail.com</t>
  </si>
  <si>
    <t>miguel1708@gmail.com</t>
  </si>
  <si>
    <t>buitragotania16@gmail.com</t>
  </si>
  <si>
    <t>wilalex1212@hotmail.com</t>
  </si>
  <si>
    <t>andreitapuerto19@hotmail.com</t>
  </si>
  <si>
    <t>HECTOR4696@hotmail.com</t>
  </si>
  <si>
    <t>manriquemariat258@gmail.com</t>
  </si>
  <si>
    <t>marcelaavila54@gmail.com</t>
  </si>
  <si>
    <t>227carol@hotmail.com</t>
  </si>
  <si>
    <t>nohemysita1103@hotmail.com</t>
  </si>
  <si>
    <t>g.t.juanma@gmail.com</t>
  </si>
  <si>
    <t>sara_marcela16@hotmail.com</t>
  </si>
  <si>
    <t>juliethmayerly@gmail.com</t>
  </si>
  <si>
    <t>ligiacarrero@gmail.com</t>
  </si>
  <si>
    <t>eg95489@gmail.com</t>
  </si>
  <si>
    <t>leidyro19@hotmail.com</t>
  </si>
  <si>
    <t>yarleylp.88@hotmail.com</t>
  </si>
  <si>
    <t>juankelectro@gmail.com</t>
  </si>
  <si>
    <t>wilson0922@gmail.com</t>
  </si>
  <si>
    <t>vasquezosoriojhonhenry@gmail.com</t>
  </si>
  <si>
    <t>fannyyadirat@gmail.com</t>
  </si>
  <si>
    <t>andrea.duque@87hotmail.com</t>
  </si>
  <si>
    <t>luzngela05@gmail.com</t>
  </si>
  <si>
    <t>albaluchigh87@gmail.com</t>
  </si>
  <si>
    <t>yjgomez1@hotmail.com</t>
  </si>
  <si>
    <t>yeferabril19@hotmail.com</t>
  </si>
  <si>
    <t>tatan-128@hotmail.com</t>
  </si>
  <si>
    <t>arfild@hotmail.com</t>
  </si>
  <si>
    <t>leyvelandia33@gmail.com</t>
  </si>
  <si>
    <t>yamybarrera@hotmail.com</t>
  </si>
  <si>
    <t>davidlmo87@gmail.com</t>
  </si>
  <si>
    <t>angela_mojik@hotmail.com</t>
  </si>
  <si>
    <t>linarivera0130@gmail.com</t>
  </si>
  <si>
    <t>carmen12@gmail.com</t>
  </si>
  <si>
    <t>andreatiria.526@gmail.com</t>
  </si>
  <si>
    <t>maryluzperezgallo44@gmail.com</t>
  </si>
  <si>
    <t>rutkis3120@hotmail.com</t>
  </si>
  <si>
    <t>hamesrik-k87@hotmail.com</t>
  </si>
  <si>
    <t>dianabelsay@gmail.com</t>
  </si>
  <si>
    <t>yennybotia7@hotmail.com</t>
  </si>
  <si>
    <t>leidyoana@gmail.com</t>
  </si>
  <si>
    <t>contable.sanmarcoscafe@gmail.com</t>
  </si>
  <si>
    <t>johan.colmenaresc@gmail.com</t>
  </si>
  <si>
    <t>marisb1011@gmail.com</t>
  </si>
  <si>
    <t>deisymoreno250@gmail.com</t>
  </si>
  <si>
    <t>ing.rafaelmedinavillota@gmail.com</t>
  </si>
  <si>
    <t>michaeldaz23@gmail.com</t>
  </si>
  <si>
    <t>cabg12lo@yahoo.es</t>
  </si>
  <si>
    <t>andresantychacon@hotmail.com</t>
  </si>
  <si>
    <t>aeangelatibaduiza@gmail.com</t>
  </si>
  <si>
    <t>sondro18@hotmail.com</t>
  </si>
  <si>
    <t>berdugodiana117@hotmail.com</t>
  </si>
  <si>
    <t>dcc_1507@hotmail.com</t>
  </si>
  <si>
    <t>lisapulgar09@gmail.com</t>
  </si>
  <si>
    <t>camiloysergio@hotmail.com</t>
  </si>
  <si>
    <t>yulyana1987@hotmail.com</t>
  </si>
  <si>
    <t>andrygaleano@grupowimax.com</t>
  </si>
  <si>
    <t>laloes2@gmail.com</t>
  </si>
  <si>
    <t>yulicitaperex@hotmail.com</t>
  </si>
  <si>
    <t>paolitamsla@gmail.com</t>
  </si>
  <si>
    <t>sandraye18@hotmail.com</t>
  </si>
  <si>
    <t>liochoa08@gmail.com</t>
  </si>
  <si>
    <t>juancapa.927@gmail.com</t>
  </si>
  <si>
    <t>diana.prieto1611@gmail.com</t>
  </si>
  <si>
    <t>danielavargas1119@gmail.com</t>
  </si>
  <si>
    <t>angievargasb19@gmail.com</t>
  </si>
  <si>
    <t>carolyandres1113@gmail.com</t>
  </si>
  <si>
    <t>PACHERBA@gmail.com</t>
  </si>
  <si>
    <t>dorapedraza1@hotmail.com</t>
  </si>
  <si>
    <t>ferherrera0887@gmail.com</t>
  </si>
  <si>
    <t>andreayaelt.lemus@uptc.edu.co</t>
  </si>
  <si>
    <t>dile_87@hotmail.com</t>
  </si>
  <si>
    <t>sharithlizethgd@gmail.com</t>
  </si>
  <si>
    <t>maurovs87@hotmail.com</t>
  </si>
  <si>
    <t>leandro.8711@hotmail.com</t>
  </si>
  <si>
    <t>mireyitaronderos21@gmail.com</t>
  </si>
  <si>
    <t>isisthor@gmail.com</t>
  </si>
  <si>
    <t>djcelyc@gmail.com</t>
  </si>
  <si>
    <t>maritzaglw@gmail.com</t>
  </si>
  <si>
    <t>lizeth232006@gmail.com</t>
  </si>
  <si>
    <t>omarjahir87@gmail.com</t>
  </si>
  <si>
    <t>wilfredyantoniog1988@gmail.com</t>
  </si>
  <si>
    <t>jaquirodlop@gmail.com</t>
  </si>
  <si>
    <t>caritostarlet@hotmail.com</t>
  </si>
  <si>
    <t>villadavale334@gmail.com</t>
  </si>
  <si>
    <t>adrisepulveda87@hotmail.com</t>
  </si>
  <si>
    <t>ANDREA.MATEUS11@gmail.com</t>
  </si>
  <si>
    <t>williamalexanderojas@outlook.com</t>
  </si>
  <si>
    <t>mayuli.duarte@outlook.com</t>
  </si>
  <si>
    <t>pedres88@gmail.com</t>
  </si>
  <si>
    <t>yyenircv@gmail.com</t>
  </si>
  <si>
    <t>ligiacritancho@gmail.com</t>
  </si>
  <si>
    <t>JULIANLOM88@gmail.com</t>
  </si>
  <si>
    <t>nu.espejo@gmail.com</t>
  </si>
  <si>
    <t>dians1998@hotmail.es</t>
  </si>
  <si>
    <t>yuly_h11@hotmail.com</t>
  </si>
  <si>
    <t>claudia0051.co@gmail.com</t>
  </si>
  <si>
    <t>claudiajannethmendoza@gmail.com</t>
  </si>
  <si>
    <t>yesicaquirozayc@outlook.com</t>
  </si>
  <si>
    <t>zulypatricia@hotmail.com</t>
  </si>
  <si>
    <t>jfboy2@hotmail.com</t>
  </si>
  <si>
    <t>alexanderqb.88@gmail.com</t>
  </si>
  <si>
    <t>lydamarcelalizarazo@gmail.com</t>
  </si>
  <si>
    <t>psicoviviriano@gmail.com</t>
  </si>
  <si>
    <t>ninoospinaj@gmail.com</t>
  </si>
  <si>
    <t>sinoricrazy@hotmail.com</t>
  </si>
  <si>
    <t>elimay1204@hotmail.com</t>
  </si>
  <si>
    <t>angelima10@hotmail.com</t>
  </si>
  <si>
    <t>vegaloren@gmail.com</t>
  </si>
  <si>
    <t>vhclausain@yahoo.es</t>
  </si>
  <si>
    <t>carvajalsa21@gmail.com</t>
  </si>
  <si>
    <t>giovanna16feb@hotmail.com</t>
  </si>
  <si>
    <t>andreachaparro1725@gmail.com</t>
  </si>
  <si>
    <t>lauguevara.2546@gmail.com</t>
  </si>
  <si>
    <t>yohadiaz1929@hotmail.com</t>
  </si>
  <si>
    <t>jeaa21@gmail.com</t>
  </si>
  <si>
    <t>andreaindus@yahoo.es</t>
  </si>
  <si>
    <t>sergioprieto10@hotmail.com</t>
  </si>
  <si>
    <t>caro.dcss@gmail.com</t>
  </si>
  <si>
    <t>hymesam@gmail.com</t>
  </si>
  <si>
    <t>jhone-s.m@hotmail.com</t>
  </si>
  <si>
    <t>andresjaime.soluciones@gmail.com</t>
  </si>
  <si>
    <t>laura8803@gmail.com</t>
  </si>
  <si>
    <t>carlosao_@hotmail.com</t>
  </si>
  <si>
    <t>yulyjas64@gmail.com</t>
  </si>
  <si>
    <t>JACOLMENARES3@gmail.com</t>
  </si>
  <si>
    <t>juanmarquezfandino@gmail.com</t>
  </si>
  <si>
    <t>viviancpuerto@gmail.com</t>
  </si>
  <si>
    <t>dannval.2015@gmail.com</t>
  </si>
  <si>
    <t>rocioalbarracin27@gmail.com</t>
  </si>
  <si>
    <t>jcombitafarias@gmail.com</t>
  </si>
  <si>
    <t>favj20@hotmail.com</t>
  </si>
  <si>
    <t>gloriagm88@gmail.com</t>
  </si>
  <si>
    <t>soniacjimenezs@gmail.com</t>
  </si>
  <si>
    <t>sin_correo@gmail.com</t>
  </si>
  <si>
    <t>williamrios029@hotmail.com</t>
  </si>
  <si>
    <t>catherpi@hotmail.com</t>
  </si>
  <si>
    <t>lilisantana19@hotmail.com</t>
  </si>
  <si>
    <t>albysliz@hotmail.com</t>
  </si>
  <si>
    <t>jaimebar522@hotmail.com</t>
  </si>
  <si>
    <t>dicaarsua@yahoo.es</t>
  </si>
  <si>
    <t>viverotibasosa@yahoo.com</t>
  </si>
  <si>
    <t>f.er8814@hotmail.com</t>
  </si>
  <si>
    <t>yennymarce88@gmail.com</t>
  </si>
  <si>
    <t>yanethsenejoa@gmail.com</t>
  </si>
  <si>
    <t>angela_tangua88@hotmail.com</t>
  </si>
  <si>
    <t>j-cas-t@hotmail.es</t>
  </si>
  <si>
    <t>nfaparedes@hotmail.com</t>
  </si>
  <si>
    <t>leydycipagauta@gmail.com</t>
  </si>
  <si>
    <t>yirly.jlt88@gmail.com</t>
  </si>
  <si>
    <t>andrea.boadab@gmail.com</t>
  </si>
  <si>
    <t>oiradles@gmail.com</t>
  </si>
  <si>
    <t>pinedamilena2400@gmail.com</t>
  </si>
  <si>
    <t>noinfirmado@gmail.com</t>
  </si>
  <si>
    <t>yenniffercarvajal15@gmail.com</t>
  </si>
  <si>
    <t>jessi.17.p@gmail.com</t>
  </si>
  <si>
    <t>alexacontadora@hotmail.com</t>
  </si>
  <si>
    <t>jhon16santos88@gmail.com</t>
  </si>
  <si>
    <t>ninoriveravictorjulio@gmail.com</t>
  </si>
  <si>
    <t>chavelareri@yahoo.com</t>
  </si>
  <si>
    <t>CLAUGON222010@hotmail.com</t>
  </si>
  <si>
    <t>eulicer1421@gmail.com</t>
  </si>
  <si>
    <t>alexaholguin@hotmail.com</t>
  </si>
  <si>
    <t>monitaparedes11@gmail.com</t>
  </si>
  <si>
    <t>canoruthcardenas12344@gmail.com</t>
  </si>
  <si>
    <t>tobofamilia@gmail.com</t>
  </si>
  <si>
    <t>edson.leo@gmail.com</t>
  </si>
  <si>
    <t>ladys170@gmail.com</t>
  </si>
  <si>
    <t>lilisag_1@hotmail.com</t>
  </si>
  <si>
    <t>pavaparraricardo@gmail.com</t>
  </si>
  <si>
    <t>luchorincon@hotmail.com</t>
  </si>
  <si>
    <t>fannyrociosandovaljoya@gmail.com</t>
  </si>
  <si>
    <t>monitaday@hotmail.com</t>
  </si>
  <si>
    <t>fredycorreales910@gmail.com</t>
  </si>
  <si>
    <t>yudyguaje@gmail.com</t>
  </si>
  <si>
    <t>marco.tibocha247@gmail.com</t>
  </si>
  <si>
    <t>marzebry@gmail.com</t>
  </si>
  <si>
    <t>paradabaez@gmail.com</t>
  </si>
  <si>
    <t>aleja.nury50@hotmail.com</t>
  </si>
  <si>
    <t>orlandomanriquenova@gmail.com</t>
  </si>
  <si>
    <t>aleja_leon@hotmail.com</t>
  </si>
  <si>
    <t>kabarrera2080@gmail.com</t>
  </si>
  <si>
    <t>jefernico2514@gmail.com</t>
  </si>
  <si>
    <t>catherine.vivas@gmail.com</t>
  </si>
  <si>
    <t>caro8856@yahoo.es</t>
  </si>
  <si>
    <t>cenu0816@gmail.com</t>
  </si>
  <si>
    <t>decor.armony.col@gmail.com</t>
  </si>
  <si>
    <t>injoes36@hotmail.com</t>
  </si>
  <si>
    <t>carmenlu.1620@gmail.com</t>
  </si>
  <si>
    <t>cjsalamancag@gmail.com</t>
  </si>
  <si>
    <t>MARTHALEON0103@gmail.com</t>
  </si>
  <si>
    <t>linasor08@hotmail.com</t>
  </si>
  <si>
    <t>sagefauno700@hotmail.com</t>
  </si>
  <si>
    <t>selmira136@hotmail.com</t>
  </si>
  <si>
    <t>soniajohannasoler@gmail.com</t>
  </si>
  <si>
    <t>jhoany.bravo2056@correo.policia.gov.co</t>
  </si>
  <si>
    <t>camilo.duranr@gmail.com</t>
  </si>
  <si>
    <t>melapacheco2015@outlook.com</t>
  </si>
  <si>
    <t>jorgealbertodiazcamargo@gmail.com</t>
  </si>
  <si>
    <t>aurita.avila@hotmail.es</t>
  </si>
  <si>
    <t>yenma07@gmail.com</t>
  </si>
  <si>
    <t>mavi8807@hotmail.com</t>
  </si>
  <si>
    <t>SININFORMACION@gmail.com</t>
  </si>
  <si>
    <t>cr5259528@gmail.com</t>
  </si>
  <si>
    <t>andreapedroza0278@yahoo.com</t>
  </si>
  <si>
    <t>tcarvajal069@gmail.com</t>
  </si>
  <si>
    <t>yennycano836@gmail.com</t>
  </si>
  <si>
    <t>edirocky378@outlook.com</t>
  </si>
  <si>
    <t>zulmamoreno17@hotmail.com</t>
  </si>
  <si>
    <t>josedanielsoler@hotmail.com</t>
  </si>
  <si>
    <t>eliana8820@hotmail.com</t>
  </si>
  <si>
    <t>quirogatamarapatricia@gmail.com</t>
  </si>
  <si>
    <t>alejitalara@hotmail.com</t>
  </si>
  <si>
    <t>borsalino.duitama@gmail.com</t>
  </si>
  <si>
    <t>jenny123.45@hotmail.com</t>
  </si>
  <si>
    <t>jhonfredydiazmarquez@gmail.com</t>
  </si>
  <si>
    <t>marcelatorres553@gmail.com</t>
  </si>
  <si>
    <t>ing.sandov@gmail.com</t>
  </si>
  <si>
    <t>andresher0708@gmail.com</t>
  </si>
  <si>
    <t>ximenitaa_@hotmail.com</t>
  </si>
  <si>
    <t>kxje1988@gmail.com</t>
  </si>
  <si>
    <t>claudiarojas2905@gmail.com</t>
  </si>
  <si>
    <t>djavrodri@gmail.com</t>
  </si>
  <si>
    <t>patriciabecerra8816@gmail.com</t>
  </si>
  <si>
    <t>ivonne.bonza@uptc.edu.co</t>
  </si>
  <si>
    <t>yhenaoj@misena.edu.co</t>
  </si>
  <si>
    <t>ricardodz07@hotmail.com</t>
  </si>
  <si>
    <t>sarapalenque1@hotmail.com</t>
  </si>
  <si>
    <t>01carolina.gutierrez@gmail.com</t>
  </si>
  <si>
    <t>ricardo.rodriguez26@hotmail.com</t>
  </si>
  <si>
    <t>katerinezamudio11@gmail.com</t>
  </si>
  <si>
    <t>nancysaavedrap@hotmail.com</t>
  </si>
  <si>
    <t>jotoin182@yahoo.es</t>
  </si>
  <si>
    <t>liliqsec@hotmail.com</t>
  </si>
  <si>
    <t>geres60@hotmail.com</t>
  </si>
  <si>
    <t>johnpirry89@hotmail.com</t>
  </si>
  <si>
    <t>yubergp88@gmail.com</t>
  </si>
  <si>
    <t>ing.jdcuevas@gmail.com</t>
  </si>
  <si>
    <t>jfgalvis8808@hotmail.es</t>
  </si>
  <si>
    <t>johanamanosalva@hotmail.com</t>
  </si>
  <si>
    <t>karenavella23@gmail.com</t>
  </si>
  <si>
    <t>mariaclacolombianita@yahoo.com.mx</t>
  </si>
  <si>
    <t>claudialilianaleal@gmail.com</t>
  </si>
  <si>
    <t>wj.pzma@gmail.com</t>
  </si>
  <si>
    <t>PINEDACABRA@gmail.com</t>
  </si>
  <si>
    <t>diazmarce88@hotmail.com</t>
  </si>
  <si>
    <t>nestorbalguera333@gmail.com</t>
  </si>
  <si>
    <t>fonsecaj4@yahoo.co</t>
  </si>
  <si>
    <t>helensofia114@hotmail.com</t>
  </si>
  <si>
    <t>maoba88@gmail.com</t>
  </si>
  <si>
    <t>fabian-arismendy@hotmail.com</t>
  </si>
  <si>
    <t>munevarsandra@yahoo.es</t>
  </si>
  <si>
    <t>ginnavargash@gmail.com</t>
  </si>
  <si>
    <t>julicamilo7216@gmail.com</t>
  </si>
  <si>
    <t>jorgel_052@hotmail.com</t>
  </si>
  <si>
    <t>wimegav13@hotmail.com</t>
  </si>
  <si>
    <t>omar8as1@gmail.com</t>
  </si>
  <si>
    <t>pao2_1@hotmail.com</t>
  </si>
  <si>
    <t>janneth.aceroc@gmail.com</t>
  </si>
  <si>
    <t>alextri88@hotmail.com</t>
  </si>
  <si>
    <t>fredy.garcia01@hotmail.com</t>
  </si>
  <si>
    <t>helber961@hotmail.com</t>
  </si>
  <si>
    <t>mlriveroslion@gmail.com</t>
  </si>
  <si>
    <t>andreita3153@hotmail.com</t>
  </si>
  <si>
    <t>juancarlossilvacastro3@gmail.com</t>
  </si>
  <si>
    <t>wilsonrincon1202@gmail.com</t>
  </si>
  <si>
    <t>holmannuneza@gmail.com</t>
  </si>
  <si>
    <t>omairahiguera2016@gmail.com</t>
  </si>
  <si>
    <t>cecilia195611@gmail.com</t>
  </si>
  <si>
    <t>leidymilenagc@gmail.com</t>
  </si>
  <si>
    <t>chr.08.cal@gmail.com</t>
  </si>
  <si>
    <t>viviana.salamanca17@hotmail.com</t>
  </si>
  <si>
    <t>sandra881944@hotmail.com</t>
  </si>
  <si>
    <t>jimy.uptc@hotmail.com</t>
  </si>
  <si>
    <t>tatiana.sanchez153@gmail.com</t>
  </si>
  <si>
    <t>andreacs06@outlook.com</t>
  </si>
  <si>
    <t>jas.m.0505@gmail.com</t>
  </si>
  <si>
    <t>linacelysofi@gmail.com</t>
  </si>
  <si>
    <t>camargito_gmc@hotmail.com</t>
  </si>
  <si>
    <t>dianabeltran806@gmail.com</t>
  </si>
  <si>
    <t>jsissa888@gmail.com</t>
  </si>
  <si>
    <t>yuligonzalez0908@gmail.com</t>
  </si>
  <si>
    <t>aeysuministrosinc@gmail.com</t>
  </si>
  <si>
    <t>alejajoya19@gmail.com</t>
  </si>
  <si>
    <t>lakacasttle@gmail.com</t>
  </si>
  <si>
    <t>ivandamartinez88@gmail.com</t>
  </si>
  <si>
    <t>moli880303@hotmail.es</t>
  </si>
  <si>
    <t>zcaicedos@misena.edu.co</t>
  </si>
  <si>
    <t>nataliamolano1510@gmail.com</t>
  </si>
  <si>
    <t>kamiloprog7@gmail.com</t>
  </si>
  <si>
    <t>wilsonriverarojas9@gmail.com</t>
  </si>
  <si>
    <t>LEIDYYOHANABELLO80@gmail.com</t>
  </si>
  <si>
    <t>helman88_12@hotmail.com</t>
  </si>
  <si>
    <t>sr.leonardopita@gmail.com</t>
  </si>
  <si>
    <t>mcjonas28@hotmail.com</t>
  </si>
  <si>
    <t>anmachagu@gmail.com</t>
  </si>
  <si>
    <t>elizabethpatino372@gmail.com</t>
  </si>
  <si>
    <t>eduardofigueredo8009@hotmail.com</t>
  </si>
  <si>
    <t>y_lis1989@hotmail.com</t>
  </si>
  <si>
    <t>monicacristancho1@gmail.com</t>
  </si>
  <si>
    <t>derlyacero@gmail.com</t>
  </si>
  <si>
    <t>milenaalvarez326@gmail.com</t>
  </si>
  <si>
    <t>deissyysarita@gmail.com</t>
  </si>
  <si>
    <t>maloryt0827@hotmail.com</t>
  </si>
  <si>
    <t>andrukpd5@hotmail.com</t>
  </si>
  <si>
    <t>oscarpita1301@gmail.com</t>
  </si>
  <si>
    <t>saridiaz586@gmail.com</t>
  </si>
  <si>
    <t>andreamurillo.f@gmail.com</t>
  </si>
  <si>
    <t>pasadena1@gmail.com</t>
  </si>
  <si>
    <t>wilmar.medina@uptc.edu.co</t>
  </si>
  <si>
    <t>leidymelo.jd23@gmail.com</t>
  </si>
  <si>
    <t>dianitagonzalez40@gmail.com</t>
  </si>
  <si>
    <t>maye148989@gmail.com</t>
  </si>
  <si>
    <t>caroc_46@yahoo.es</t>
  </si>
  <si>
    <t>jaamayaro@hotmail.com</t>
  </si>
  <si>
    <t>milenaboada_89@hotmail.com</t>
  </si>
  <si>
    <t>guiojuan168@gmail.com</t>
  </si>
  <si>
    <t>idanyela_18@hotmail.com</t>
  </si>
  <si>
    <t>PEDROCASTIBLANCO2007@hotmail.com</t>
  </si>
  <si>
    <t>sachicaguillermo@gmail.com</t>
  </si>
  <si>
    <t>nelsonsago@hotmail.com</t>
  </si>
  <si>
    <t>JOSEHERMESMALUCHE03@gmail.com</t>
  </si>
  <si>
    <t>meyucevi@gmail.com</t>
  </si>
  <si>
    <t>alisson191612@hotmail.com</t>
  </si>
  <si>
    <t>rouz42014@gmail.com</t>
  </si>
  <si>
    <t>valelopez0604@gmail.com</t>
  </si>
  <si>
    <t>fabianyleon@hotmail.com</t>
  </si>
  <si>
    <t>sandra88stiven@gmail.com</t>
  </si>
  <si>
    <t>eslapitia2021@gmail.com</t>
  </si>
  <si>
    <t>leidyquintanas.18@gmail.com</t>
  </si>
  <si>
    <t>sofiatarazona007@gmail.com</t>
  </si>
  <si>
    <t>leidyjohannacorredor@gmail.com</t>
  </si>
  <si>
    <t>phalomavhilla@gmail.com</t>
  </si>
  <si>
    <t>tatikzea_19@hotmail.com</t>
  </si>
  <si>
    <t>anamaria.iuris@gmail.com</t>
  </si>
  <si>
    <t>nelcepe.33@outlook.com</t>
  </si>
  <si>
    <t>yaquelineoauduitama@gmail.com</t>
  </si>
  <si>
    <t>hermedallo207@hotmail.com</t>
  </si>
  <si>
    <t>mariabonitamsn@gmail.com</t>
  </si>
  <si>
    <t>nelson.garzon04@gmail.com</t>
  </si>
  <si>
    <t>darojaslopez@gmail.com</t>
  </si>
  <si>
    <t>ximenaa19@hotmail.com</t>
  </si>
  <si>
    <t>jeissonestupinan@gmail.com</t>
  </si>
  <si>
    <t>vivianafonseca799@gmail.com</t>
  </si>
  <si>
    <t>frankrenevargas@gmail.com</t>
  </si>
  <si>
    <t>sistemasdegestionorg@gmail.com</t>
  </si>
  <si>
    <t>morales.andres.54@gmail.com</t>
  </si>
  <si>
    <t>deko2389@gmail.com</t>
  </si>
  <si>
    <t>esme.diaziba22@gmail.com</t>
  </si>
  <si>
    <t>mile1_8@hotmail.com</t>
  </si>
  <si>
    <t>karentmorantes14@gmail.com</t>
  </si>
  <si>
    <t>amadoeliana13@gmail.com</t>
  </si>
  <si>
    <t>edvivi17@hotmail.com</t>
  </si>
  <si>
    <t>marifonseca231@gmail.com</t>
  </si>
  <si>
    <t>rocibito189@gmail.com</t>
  </si>
  <si>
    <t>pachecoavellaluzfanny@gmail.com</t>
  </si>
  <si>
    <t>elizabethvargasariza@gmail.com</t>
  </si>
  <si>
    <t>marcelitharincon02@gmail.com</t>
  </si>
  <si>
    <t>meyner2009@hotmail.com</t>
  </si>
  <si>
    <t>carito2304@yahoo.es</t>
  </si>
  <si>
    <t>dairo14@hotmail.com</t>
  </si>
  <si>
    <t>andreaoterooficial@gmail.com</t>
  </si>
  <si>
    <t>xavier136@gmail.com</t>
  </si>
  <si>
    <t>dagguevara@hotmail.com</t>
  </si>
  <si>
    <t>guiomoyano@gmail.com</t>
  </si>
  <si>
    <t>angelsteyi3012@hotmail.com</t>
  </si>
  <si>
    <t>stefannyporrasl@gmail.com</t>
  </si>
  <si>
    <t>luis12.65merchan@gmail.com</t>
  </si>
  <si>
    <t>angelalrp@hotmail.com</t>
  </si>
  <si>
    <t>tangercamilo472@gmail.com</t>
  </si>
  <si>
    <t>fsolersandoval@gmail.com</t>
  </si>
  <si>
    <t>cesargonzalez1858@gmail.com</t>
  </si>
  <si>
    <t>johnfredymoralesj@gmail.com</t>
  </si>
  <si>
    <t>flechasprietoruben27@gmail.com</t>
  </si>
  <si>
    <t>ttatacho1a@hotmail.com</t>
  </si>
  <si>
    <t>mauyuly207@hotmail.com</t>
  </si>
  <si>
    <t>lorebarrera19@hotmail.com</t>
  </si>
  <si>
    <t>soniamarcelamoralesnunez@hotmail.com</t>
  </si>
  <si>
    <t>elisaro.27@gmail.com</t>
  </si>
  <si>
    <t>DASIERRA@UAN.EDU.CO</t>
  </si>
  <si>
    <t>favian09moreno@gmail.com</t>
  </si>
  <si>
    <t>leidydu2714@hotmail.com</t>
  </si>
  <si>
    <t>moni.trianar@gmail.com</t>
  </si>
  <si>
    <t>lcvivas17@gmail.com</t>
  </si>
  <si>
    <t>w_lssz@hotmail.com</t>
  </si>
  <si>
    <t>oscar.arguello24@gmail.com</t>
  </si>
  <si>
    <t>johordany.alcantar@uptc.edu.co</t>
  </si>
  <si>
    <t>joby_k123@hotmail.com</t>
  </si>
  <si>
    <t>damasandoval0308@gmail.com</t>
  </si>
  <si>
    <t>marcelapineda14@yahoo.es</t>
  </si>
  <si>
    <t>lorenajulieth89@gmail.com</t>
  </si>
  <si>
    <t>yejosova181@gmail.com</t>
  </si>
  <si>
    <t>danny_081_42@hotmail.com</t>
  </si>
  <si>
    <t>sayuloce23@gmail.com</t>
  </si>
  <si>
    <t>jorge.galindo015@gmail.com</t>
  </si>
  <si>
    <t>migueljoya53@gmail.com</t>
  </si>
  <si>
    <t>gananciassinlimites26@gmail.com</t>
  </si>
  <si>
    <t>rocio.pili89@gmail.com</t>
  </si>
  <si>
    <t>josecamargohernandez@hotmail.com</t>
  </si>
  <si>
    <t>deimar2208_@hotmail.com</t>
  </si>
  <si>
    <t>rianroav26@gmail.com</t>
  </si>
  <si>
    <t>dianapineda190805@gmail.com</t>
  </si>
  <si>
    <t>wiagarciagu@hotmail.com</t>
  </si>
  <si>
    <t>mabelsolangehernandezperez@gmail.com</t>
  </si>
  <si>
    <t>lizeth051995@gmail.com</t>
  </si>
  <si>
    <t>wendymar.1809@gmail.com</t>
  </si>
  <si>
    <t>ecruzmarino@gmail.com</t>
  </si>
  <si>
    <t>riveros25jenny@gmail.com</t>
  </si>
  <si>
    <t>alexis.2509@hotmail.com</t>
  </si>
  <si>
    <t>stev8908@hotmail.com</t>
  </si>
  <si>
    <t>mariac.blancob@gmail.com</t>
  </si>
  <si>
    <t>angelpinedadh27@gmail.com</t>
  </si>
  <si>
    <t>famiale2212@gmail.com</t>
  </si>
  <si>
    <t>ADRIRO1052@gmail.com</t>
  </si>
  <si>
    <t>david_acsg@hotmail.com</t>
  </si>
  <si>
    <t>leonardo.rojas89@gmail.com</t>
  </si>
  <si>
    <t>majoxi05@yahoo.es</t>
  </si>
  <si>
    <t>eduarperezb@hotmail.com</t>
  </si>
  <si>
    <t>yazmanrique8910@gmail.com</t>
  </si>
  <si>
    <t>anjoamezquita@hotmail.com</t>
  </si>
  <si>
    <t>edixon.toca@gmail.com</t>
  </si>
  <si>
    <t>marcelopineda833@gmail.com</t>
  </si>
  <si>
    <t>CATAMORE16@YAHOO.ES</t>
  </si>
  <si>
    <t>fredybohorquez680@gmail.com</t>
  </si>
  <si>
    <t>siyakiev@gmail.com</t>
  </si>
  <si>
    <t>riker.8@hotmail.com</t>
  </si>
  <si>
    <t>yasitaoviedo@gmail.com</t>
  </si>
  <si>
    <t>paolareyes.parra09@gmail.com</t>
  </si>
  <si>
    <t>dago1989daffo@gmail.com</t>
  </si>
  <si>
    <t>andresrbohorquez@outlook.com</t>
  </si>
  <si>
    <t>wifergoto@hotmail.com</t>
  </si>
  <si>
    <t>marisol1237@gmail.com</t>
  </si>
  <si>
    <t>albeirobecerra2017@gmail.com</t>
  </si>
  <si>
    <t>anitasnchz1208@gmail.com</t>
  </si>
  <si>
    <t>diana_genera@hotmail.com</t>
  </si>
  <si>
    <t>fabiobonilla2003@hotmail.com</t>
  </si>
  <si>
    <t>neyabaron@hotmail.com</t>
  </si>
  <si>
    <t>patriciaoliverossandoval@gmail.com</t>
  </si>
  <si>
    <t>glomarcela60@hotmail.com</t>
  </si>
  <si>
    <t>nizita01@hotmail.com</t>
  </si>
  <si>
    <t>maprincesa7@gmail.com</t>
  </si>
  <si>
    <t>zambranojennifer89@gmail.com</t>
  </si>
  <si>
    <t>leidycuta@gmail.com</t>
  </si>
  <si>
    <t>zaraye89@gmail.com</t>
  </si>
  <si>
    <t>alexluisoctubre@gmail.com</t>
  </si>
  <si>
    <t>moncada_1002@hotmail.com</t>
  </si>
  <si>
    <t>velquislopezhernandez@gmail.com</t>
  </si>
  <si>
    <t>wilmergombla@hotmail.com</t>
  </si>
  <si>
    <t>rafaelantoniolunabecerra369@gmail.com</t>
  </si>
  <si>
    <t>sdallosmesa@gmail.com</t>
  </si>
  <si>
    <t>negetoto@hotmail.com</t>
  </si>
  <si>
    <t>yosapi90@hotmail.com</t>
  </si>
  <si>
    <t>andreajm01.01@gmail.com</t>
  </si>
  <si>
    <t>yudy1230@hotmail.com</t>
  </si>
  <si>
    <t>yserrano_02@hotmail.com</t>
  </si>
  <si>
    <t>andrea.alvarezs@hotmail.com</t>
  </si>
  <si>
    <t>ANGELA.CARO2017@hotmail.com</t>
  </si>
  <si>
    <t>lauragomez092@gmail.com</t>
  </si>
  <si>
    <t>estrella50030@gmail.com</t>
  </si>
  <si>
    <t>DISTRIBOYDUITAMA@hotmail.com</t>
  </si>
  <si>
    <t>alex-profe@hotmail.es</t>
  </si>
  <si>
    <t>dyanna1310@gmail.com</t>
  </si>
  <si>
    <t>pasachoaprietok@gmail.com</t>
  </si>
  <si>
    <t>yulymachuca1989@gmail.com</t>
  </si>
  <si>
    <t>nayibemartinez1208@gmail.com</t>
  </si>
  <si>
    <t>catalinahergom@gmail.com</t>
  </si>
  <si>
    <t>maria.isabel.grados2014@gmail.com</t>
  </si>
  <si>
    <t>yenale_19@hotmail.com</t>
  </si>
  <si>
    <t>johisblanco@hotmail.com</t>
  </si>
  <si>
    <t>fabiolaguevara_14@hotmail.com</t>
  </si>
  <si>
    <t>baezedith3@gmail.com</t>
  </si>
  <si>
    <t>anagarciavillamarin@gmail.com</t>
  </si>
  <si>
    <t>datajole@gmail.com</t>
  </si>
  <si>
    <t>andreatavera1@gmail.com</t>
  </si>
  <si>
    <t>CARLOSN03@hotmail.com</t>
  </si>
  <si>
    <t>gdavidsantiago1718@gmail.com</t>
  </si>
  <si>
    <t>almafloraae@gmail.com</t>
  </si>
  <si>
    <t>josesanz483@gmail.com</t>
  </si>
  <si>
    <t>gerenciacentrodenegocios@gmail.com</t>
  </si>
  <si>
    <t>jvgm_28@hotmail.com</t>
  </si>
  <si>
    <t>doorjuela@gmail.com</t>
  </si>
  <si>
    <t>holman.marino@gmail.com</t>
  </si>
  <si>
    <t>angela_dp2829@yahoo.com</t>
  </si>
  <si>
    <t>isabelruiz2017@outlook.com</t>
  </si>
  <si>
    <t>isisosiris12010@hotmail.com</t>
  </si>
  <si>
    <t>zezar936@gmail.com</t>
  </si>
  <si>
    <t>mayra25dimar@outlook.com</t>
  </si>
  <si>
    <t>lauravelandia_18@hotmail.com</t>
  </si>
  <si>
    <t>cprociofernandez@gmail.com</t>
  </si>
  <si>
    <t>vivianafonck@gmail.com</t>
  </si>
  <si>
    <t>dario.85.merchan@hotmail.com</t>
  </si>
  <si>
    <t>nataly_416@hotmail.com</t>
  </si>
  <si>
    <t>tatik0213@hotmail.com</t>
  </si>
  <si>
    <t>epchaparrop7@gmail.com</t>
  </si>
  <si>
    <t>lemuspaolaandrea8@gmail.com</t>
  </si>
  <si>
    <t>lilianaduranmalagon@gmail.com</t>
  </si>
  <si>
    <t>gilberth023@hotmail.com</t>
  </si>
  <si>
    <t>erikabmateus@gmail.com</t>
  </si>
  <si>
    <t>edwinlpita@gmail.com</t>
  </si>
  <si>
    <t>yennypaolapuentesp@gmail.com</t>
  </si>
  <si>
    <t>yesenia.ing@hotmail.com</t>
  </si>
  <si>
    <t>monroydema@gmail.com</t>
  </si>
  <si>
    <t>maryitatiana.ts@gmail.com</t>
  </si>
  <si>
    <t>marcelitaperez1002@gmail.com</t>
  </si>
  <si>
    <t>gustavo.estupinanpardo@gmail.com</t>
  </si>
  <si>
    <t>jazlith32@gmail.com</t>
  </si>
  <si>
    <t>martinezfonsecawilliamfabian@gmail.com</t>
  </si>
  <si>
    <t>natalylopez07@hotmail.es</t>
  </si>
  <si>
    <t>compras.180grados@gmail.com</t>
  </si>
  <si>
    <t>acero_7_@hotmail.com</t>
  </si>
  <si>
    <t>suarezdiana322@gmail.com</t>
  </si>
  <si>
    <t>nelrisavi90@hotmail.es</t>
  </si>
  <si>
    <t>jesilva83@misena.edu.co</t>
  </si>
  <si>
    <t>dayanamontero9@gmail.com</t>
  </si>
  <si>
    <t>mariaun85@gmail.com</t>
  </si>
  <si>
    <t>giotores8@gmail.com</t>
  </si>
  <si>
    <t>DANIFERNIME@gmail.com</t>
  </si>
  <si>
    <t>sofiaduran1604@gmail.com</t>
  </si>
  <si>
    <t>yohanbaron14@gmail.com</t>
  </si>
  <si>
    <t>sanchezharoldandres@gmail.com</t>
  </si>
  <si>
    <t>luzdaryperez02@gmail.com</t>
  </si>
  <si>
    <t>erikatatianasanchescuspoca@gmail.com</t>
  </si>
  <si>
    <t>samuelbolivar3102@hotmail.com</t>
  </si>
  <si>
    <t>leidysuarez1052390864@gmail.com</t>
  </si>
  <si>
    <t>jhonlopez181014@gmail.com</t>
  </si>
  <si>
    <t>salazarbeltrank@gmail.com</t>
  </si>
  <si>
    <t>guidofernandozm@outlook.com</t>
  </si>
  <si>
    <t>s.ten.jo@hotmail.com</t>
  </si>
  <si>
    <t>danielcausabriceno@gmail.com</t>
  </si>
  <si>
    <t>espinosacristhian3@gmail.com</t>
  </si>
  <si>
    <t>rojascardenasdianamarcala@gmail.com</t>
  </si>
  <si>
    <t>mariaclaudiatorres4@gmail.com</t>
  </si>
  <si>
    <t>ivonadriana1405@gmail.com</t>
  </si>
  <si>
    <t>abogada.diana.pa@gmail.com</t>
  </si>
  <si>
    <t>gerencia.indooroutlet@gmail.com</t>
  </si>
  <si>
    <t>diegoleonardobarrera@gmail.com</t>
  </si>
  <si>
    <t>camilosativa@gmail.com</t>
  </si>
  <si>
    <t>yamaroval@yahoo.es</t>
  </si>
  <si>
    <t>vivaserika61215@gmail.com</t>
  </si>
  <si>
    <t>alejitagu_1990@hotmail.com</t>
  </si>
  <si>
    <t>dfga9015@gmail.com</t>
  </si>
  <si>
    <t>ljrosasv@gmail.com</t>
  </si>
  <si>
    <t>carlosjulio9006@gmail.com</t>
  </si>
  <si>
    <t>juandavidsolanomartinez09@gmail.com</t>
  </si>
  <si>
    <t>natha.mol.333@gmail.com</t>
  </si>
  <si>
    <t>erikaarchila0@gmail.com</t>
  </si>
  <si>
    <t>linamarole1990@gmail.com</t>
  </si>
  <si>
    <t>carlosbell74@gmail.com</t>
  </si>
  <si>
    <t>dra.paolagomez@hotmail.com</t>
  </si>
  <si>
    <t>marlonprofmvz@gmail.com</t>
  </si>
  <si>
    <t>lizethhh333@hotmail.com</t>
  </si>
  <si>
    <t>auracristinaochoaperez@gmail.com</t>
  </si>
  <si>
    <t>esperanza.estepa@hotmail.com</t>
  </si>
  <si>
    <t>suarezpatricia484@gmail.com</t>
  </si>
  <si>
    <t>jessicalbarracin@hotmail.com</t>
  </si>
  <si>
    <t>juliegchirivi@gmail.com</t>
  </si>
  <si>
    <t>hollgugo0620@hotmail.com</t>
  </si>
  <si>
    <t>falexander_18@hotmail.com</t>
  </si>
  <si>
    <t>jhonjairo.aguillon@gmail.com</t>
  </si>
  <si>
    <t>marcohernandez_66@hotmail.com</t>
  </si>
  <si>
    <t>diana.carrillo4898@correo.policia.gov.co</t>
  </si>
  <si>
    <t>johanna2266@hotmail.com</t>
  </si>
  <si>
    <t>ricardozafra22@gmail.com</t>
  </si>
  <si>
    <t>paomartinez808@gmail.com</t>
  </si>
  <si>
    <t>pqcardenas@hotmail.com</t>
  </si>
  <si>
    <t>yolani.manosalva@gmail.com</t>
  </si>
  <si>
    <t>vjapico4@gmail.com</t>
  </si>
  <si>
    <t>yesikalejandranino@gmail.com</t>
  </si>
  <si>
    <t>dylancuta1804@gmail.com</t>
  </si>
  <si>
    <t>chelbertgersain@yahoo.com</t>
  </si>
  <si>
    <t>karolina.saenz@gmail.com</t>
  </si>
  <si>
    <t>consuloangarita1171@gmail.com</t>
  </si>
  <si>
    <t>maritzacoyguio@hotmail.com</t>
  </si>
  <si>
    <t>lilianita86-40@hotmail.com</t>
  </si>
  <si>
    <t>KMCAMARGO.2008@gmail.com</t>
  </si>
  <si>
    <t>rudinflorez01@gmail.com</t>
  </si>
  <si>
    <t>fagandrade@hotmail.com</t>
  </si>
  <si>
    <t>johanazabala992@gmail.com</t>
  </si>
  <si>
    <t>egonzalez@proessing.com</t>
  </si>
  <si>
    <t>hernandoa22@hotmail.com</t>
  </si>
  <si>
    <t>juanpablomunevarespinel@gmail.com</t>
  </si>
  <si>
    <t>frankbeto0809@gmail.com</t>
  </si>
  <si>
    <t>william.castro9022@hotmail.com</t>
  </si>
  <si>
    <t>mariselabautistamorales@gmail.com</t>
  </si>
  <si>
    <t>lisethevargas770@gmail.com</t>
  </si>
  <si>
    <t>elamorde_3101@hotmail.com</t>
  </si>
  <si>
    <t>ing.johannapalencia@gmail.com</t>
  </si>
  <si>
    <t>sandra.r3008@gmail.com</t>
  </si>
  <si>
    <t>marceji16@hotmail.com</t>
  </si>
  <si>
    <t>nacimacero@gmail.com</t>
  </si>
  <si>
    <t>marcia9003@hotmail.com</t>
  </si>
  <si>
    <t>anavivis_2610@hotmail.com</t>
  </si>
  <si>
    <t>mafesita_easg@hotmail.com</t>
  </si>
  <si>
    <t>ccperez22@misena.edu.co</t>
  </si>
  <si>
    <t>johanita08@gmail.com</t>
  </si>
  <si>
    <t>andresbecerrapedraza@hotmail.com</t>
  </si>
  <si>
    <t>jessisafu@hotmail.com</t>
  </si>
  <si>
    <t>miessuarez@gmail.com</t>
  </si>
  <si>
    <t>laurareyes.90@hotmail.com</t>
  </si>
  <si>
    <t>mayerlybiviana.s@gmail.com</t>
  </si>
  <si>
    <t>anyelink26@hotmail.com</t>
  </si>
  <si>
    <t>paolita.gpcg@gmail.com</t>
  </si>
  <si>
    <t>leiidy.becerra29@gmail.com</t>
  </si>
  <si>
    <t>lobsangramirez@hotmail.com</t>
  </si>
  <si>
    <t>liliyazcarna@gmail.com</t>
  </si>
  <si>
    <t>granados290813@hotmail.com</t>
  </si>
  <si>
    <t>CARLSPINTO02ALBERTO@gmail.com</t>
  </si>
  <si>
    <t>edgarodn2008@hotmail.com</t>
  </si>
  <si>
    <t>alejandra.maldonadocastro@outlook.es</t>
  </si>
  <si>
    <t>jjhon64@hotmail.com</t>
  </si>
  <si>
    <t>francy2608@hotmail.com</t>
  </si>
  <si>
    <t>camargomagdita@gmail.com</t>
  </si>
  <si>
    <t>liveaml@hotmail.com</t>
  </si>
  <si>
    <t>torresleidi23@gmail.com</t>
  </si>
  <si>
    <t>lisbry10@gmail.com</t>
  </si>
  <si>
    <t>cristopher199013@gmail.com</t>
  </si>
  <si>
    <t>daniel.vargas15@uptc.edu.co</t>
  </si>
  <si>
    <t>julieth423@hotmail.com</t>
  </si>
  <si>
    <t>johnjairo_666@hotmail.com</t>
  </si>
  <si>
    <t>cepedav530@gmail.com</t>
  </si>
  <si>
    <t>jeims_41@hotmail.com</t>
  </si>
  <si>
    <t>andresfck@gmail.com</t>
  </si>
  <si>
    <t>andresa901123@gmail.com</t>
  </si>
  <si>
    <t>daagalvissa@unal.edu.co</t>
  </si>
  <si>
    <t>leonelricardo70@outlook.com</t>
  </si>
  <si>
    <t>leonardbe18@hotmail.com</t>
  </si>
  <si>
    <t>eacarrillo_07@hotmail.com</t>
  </si>
  <si>
    <t>marceladiaz5476@gmail.com</t>
  </si>
  <si>
    <t>carolinazabala118@gmail.com</t>
  </si>
  <si>
    <t>angelbecerra2712@gmail.com</t>
  </si>
  <si>
    <t>oscardaniloguio@gmail.com</t>
  </si>
  <si>
    <t>marionelvarsal@gmail.com</t>
  </si>
  <si>
    <t>lic.carolinacorreales@gmail.com</t>
  </si>
  <si>
    <t>manuelholguin1052@gmail.com</t>
  </si>
  <si>
    <t>isrraelavellaneda@gmail.com</t>
  </si>
  <si>
    <t>dianamarrey1991@gmail.com</t>
  </si>
  <si>
    <t>andreapirajon@gmail.com</t>
  </si>
  <si>
    <t>recordsoriginal@gmail.com</t>
  </si>
  <si>
    <t>juanseblabla@hotmail.com</t>
  </si>
  <si>
    <t>cuspocadaniel9@gmail.com</t>
  </si>
  <si>
    <t>luzdayjimenez28@gmail.com</t>
  </si>
  <si>
    <t>johnyserrano09@gmail.com</t>
  </si>
  <si>
    <t>yuyureyes1718@gmail.com</t>
  </si>
  <si>
    <t>jballesteros70@uan.edu.co</t>
  </si>
  <si>
    <t>edwin.velandia1207@gmail.com</t>
  </si>
  <si>
    <t>juliarbober@yahoo.com</t>
  </si>
  <si>
    <t>angy_9126@hotmail.com</t>
  </si>
  <si>
    <t>infantederly21@gmail.com</t>
  </si>
  <si>
    <t>danielparada777@gmail.com</t>
  </si>
  <si>
    <t>trofeosboyaca@hotmail.com</t>
  </si>
  <si>
    <t>doracastaneda07@hotmail.com</t>
  </si>
  <si>
    <t>marcelaacostaaraque@gmail.com</t>
  </si>
  <si>
    <t>jagian89@hotmail.com</t>
  </si>
  <si>
    <t>josericardomanriquepinzon@gmail.com</t>
  </si>
  <si>
    <t>o5w4ldo.21@gmail.com</t>
  </si>
  <si>
    <t>jhonjairoosorioortiz97@gmail.com</t>
  </si>
  <si>
    <t>dianis_lg@hotmail.com</t>
  </si>
  <si>
    <t>amof2312@yahoo.es</t>
  </si>
  <si>
    <t>cruzvelandiaj@gmail.com</t>
  </si>
  <si>
    <t>cristiancamilobonillasalamanca@gmail.com</t>
  </si>
  <si>
    <t>jofero12@hotmail.com</t>
  </si>
  <si>
    <t>ANDRETY325471@gmail.com</t>
  </si>
  <si>
    <t>higuerajesus237@gmail.com</t>
  </si>
  <si>
    <t>ylbarajas@gmail.com</t>
  </si>
  <si>
    <t>carolinaamezquita47@gmail.com</t>
  </si>
  <si>
    <t>estupinanalbeiro@gmail.com</t>
  </si>
  <si>
    <t>alex0610.wda@gmail.com</t>
  </si>
  <si>
    <t>katherinecamargo21@gmail.com</t>
  </si>
  <si>
    <t>lauramarce0367@gmail.com</t>
  </si>
  <si>
    <t>erikacaterine5@gmail.com</t>
  </si>
  <si>
    <t>erik-h15@hotmail.com</t>
  </si>
  <si>
    <t>johan2sncor@gmail.com</t>
  </si>
  <si>
    <t>fanygata09@gmail.com</t>
  </si>
  <si>
    <t>jimmy.acero40@gmail.com</t>
  </si>
  <si>
    <t>chaparroalarconerikayeraldin@gmail.com</t>
  </si>
  <si>
    <t>paolin199110@gmail.com</t>
  </si>
  <si>
    <t>yudimari3009@gmail.com</t>
  </si>
  <si>
    <t>anajazmin.rodriguez@uptc.edu.co</t>
  </si>
  <si>
    <t>josecamargo199194@gmail.com</t>
  </si>
  <si>
    <t>nohryamaya13@hotmail.com</t>
  </si>
  <si>
    <t>castilloacevedo87@gmail.com</t>
  </si>
  <si>
    <t>jazdiny_2504@hotmail.com</t>
  </si>
  <si>
    <t>mvjuncarrillo@gmail.com</t>
  </si>
  <si>
    <t>magonza239@gmail.com</t>
  </si>
  <si>
    <t>leidycamargoleon007@gmail.com</t>
  </si>
  <si>
    <t>ancestralboyaca@gmail.com</t>
  </si>
  <si>
    <t>miguelgp914@gmail.com</t>
  </si>
  <si>
    <t>erikafernandez2908@hotmail.com</t>
  </si>
  <si>
    <t>angelafuquen9@gmail.com</t>
  </si>
  <si>
    <t>alejapit@gmail.com</t>
  </si>
  <si>
    <t>jeperezg@unal.edu.co</t>
  </si>
  <si>
    <t>karentcamachouse@gmail.com</t>
  </si>
  <si>
    <t>lydaeslava@gmail.com</t>
  </si>
  <si>
    <t>yodyrodriguez01@gmail.com</t>
  </si>
  <si>
    <t>edgarquemba1@gmail.com</t>
  </si>
  <si>
    <t>alexandra.marquezc@yahoo.com</t>
  </si>
  <si>
    <t>leidy.chaparro33@gmail.com</t>
  </si>
  <si>
    <t>diegosuarez1808@hotmail.com</t>
  </si>
  <si>
    <t>liliana_martinezg@outlook.com</t>
  </si>
  <si>
    <t>facturacion.grimaldos@gmail.com</t>
  </si>
  <si>
    <t>leandro042491@gmail.com</t>
  </si>
  <si>
    <t>iriad5@yahoo.es</t>
  </si>
  <si>
    <t>diuk101@hotmail.com</t>
  </si>
  <si>
    <t>morenomorenotanialorena@gmail.com</t>
  </si>
  <si>
    <t>alpaipap@unal.edu.co</t>
  </si>
  <si>
    <t>xhigueracion@gmail.com</t>
  </si>
  <si>
    <t>erikaroca19@hotmail.com</t>
  </si>
  <si>
    <t>lyaam0414@gmail.com</t>
  </si>
  <si>
    <t>davidvargas1650@gmail.com</t>
  </si>
  <si>
    <t>diegofern_25@hotmail.com</t>
  </si>
  <si>
    <t>arisemirom@gmail.com</t>
  </si>
  <si>
    <t>dhmorantes@misena.edu.co</t>
  </si>
  <si>
    <t>alejandrat.granados@gmail.com</t>
  </si>
  <si>
    <t>cesarcardozo1991@hotmail.com</t>
  </si>
  <si>
    <t>dannaye233@gmail.com</t>
  </si>
  <si>
    <t>richard.lgc@gmail.com</t>
  </si>
  <si>
    <t>pipemaldonado1210@gmail.com</t>
  </si>
  <si>
    <t>felipesanabriap@gmail.com</t>
  </si>
  <si>
    <t>d.carolinatriana@gmail.com</t>
  </si>
  <si>
    <t>yira.castro.ricaurte@gmail.com</t>
  </si>
  <si>
    <t>diegoarmandogarzon18@gmail.com</t>
  </si>
  <si>
    <t>juanitamanriq1@gmail.com</t>
  </si>
  <si>
    <t>FMCUADROSO@gmail.com</t>
  </si>
  <si>
    <t>jaarturo@uniboyaca.edu.co</t>
  </si>
  <si>
    <t>barrerapaola6@gmail.com</t>
  </si>
  <si>
    <t>angie2705jimenez@gmail.com</t>
  </si>
  <si>
    <t>MKOT1504@hotmail.com</t>
  </si>
  <si>
    <t>didi2255@hotmail.com</t>
  </si>
  <si>
    <t>larryfa06@hotmail.com</t>
  </si>
  <si>
    <t>pao88fonseca@hotmail.com</t>
  </si>
  <si>
    <t>sofichinome8@gmail.com</t>
  </si>
  <si>
    <t>xiomara.dimar91@gmail.com</t>
  </si>
  <si>
    <t>jejube@hotmail.com</t>
  </si>
  <si>
    <t>serviciosintegrales.enmantenimiento@hotmail.com</t>
  </si>
  <si>
    <t>sanimoes54@gmail.com</t>
  </si>
  <si>
    <t>liliana.florez201501@gmail.com</t>
  </si>
  <si>
    <t>ing.ascencio@outlook.com</t>
  </si>
  <si>
    <t>andres.merchan.instructor@gmail.com</t>
  </si>
  <si>
    <t>nana_9121_@hotmail.com</t>
  </si>
  <si>
    <t>chukyandres1@gmail.com</t>
  </si>
  <si>
    <t>albertoprieto0609@gmail.com</t>
  </si>
  <si>
    <t>jaimeluk02@gmail.com</t>
  </si>
  <si>
    <t>andrea.zeing@hotmail.com</t>
  </si>
  <si>
    <t>contabilidad.ms91@gmail.com</t>
  </si>
  <si>
    <t>riverspaola9@gmail.com</t>
  </si>
  <si>
    <t>xiomarafuentest1@gmail.com</t>
  </si>
  <si>
    <t>Icnocuab@unal.edu.co</t>
  </si>
  <si>
    <t>hawyg@hotmail.com</t>
  </si>
  <si>
    <t>estefaniaramirezbayona@gmail.com</t>
  </si>
  <si>
    <t>nurymorenop19@gmail.com</t>
  </si>
  <si>
    <t>stiven2207@outlook.es</t>
  </si>
  <si>
    <t>luchorincon91@hotmail.com</t>
  </si>
  <si>
    <t>geovana.siatoba24@gmail.com</t>
  </si>
  <si>
    <t>dicabecha@hotmail.com</t>
  </si>
  <si>
    <t>vladimirgalvis91@gmail.com</t>
  </si>
  <si>
    <t>jaimiun_figi@hotmail.com</t>
  </si>
  <si>
    <t>elyati01@gmail.com</t>
  </si>
  <si>
    <t>giova_0911@hotmail.com</t>
  </si>
  <si>
    <t>luzeritho434@gmail.com</t>
  </si>
  <si>
    <t>carittomora22@gmail.com</t>
  </si>
  <si>
    <t>maxisol19@yahoo.com</t>
  </si>
  <si>
    <t>tatianarincon4278@gmail.com</t>
  </si>
  <si>
    <t>sergioandresmedinahiguera@gmail.com</t>
  </si>
  <si>
    <t>vivigomez3101@gmail.com</t>
  </si>
  <si>
    <t>juanfe.vega@gmail.com</t>
  </si>
  <si>
    <t>nidiarinconmontanes@gmail.com</t>
  </si>
  <si>
    <t>bacteriologofjrp@gmail.com</t>
  </si>
  <si>
    <t>cesarvalo@hotmail.com</t>
  </si>
  <si>
    <t>jon9108@hotmail.com</t>
  </si>
  <si>
    <t>leoz199119@gmail.com</t>
  </si>
  <si>
    <t>ajaantolinez91@gmail.com</t>
  </si>
  <si>
    <t>alexy_rf@hotmail.com</t>
  </si>
  <si>
    <t>qyeimmy@gmail.com</t>
  </si>
  <si>
    <t>javierd_023@hotmail.com</t>
  </si>
  <si>
    <t>lorens_1290@hotmail.com</t>
  </si>
  <si>
    <t>ADRIWALP@hotmail.com</t>
  </si>
  <si>
    <t>nappa_01@hotmail.com</t>
  </si>
  <si>
    <t>joha.camargo2014@gmail.com</t>
  </si>
  <si>
    <t>danielcontreras91@hotmail.com</t>
  </si>
  <si>
    <t>dianis0465@homail.com</t>
  </si>
  <si>
    <t>JHOVIS2504@hotmail.com</t>
  </si>
  <si>
    <t>asbecerra25@uan.edu.co</t>
  </si>
  <si>
    <t>victor.81a@hotmail.com</t>
  </si>
  <si>
    <t>angelik-fv@hotmail.com</t>
  </si>
  <si>
    <t>sebastian.grimaldosp@gmail.com</t>
  </si>
  <si>
    <t>zullychacon9@gmail.com</t>
  </si>
  <si>
    <t>julian.montero@uptc.edu.co</t>
  </si>
  <si>
    <t>jelocard@gmail.com</t>
  </si>
  <si>
    <t>erikaalbarracin.2021@gmail.com</t>
  </si>
  <si>
    <t>daian.duque@outlook.com</t>
  </si>
  <si>
    <t>oebenavides91@gmail.com</t>
  </si>
  <si>
    <t>linibeth13@hotmail.es</t>
  </si>
  <si>
    <t>kanulop@gmail.com</t>
  </si>
  <si>
    <t>carolain.9110@gmail.com</t>
  </si>
  <si>
    <t>lizeth_12088@hotmail.com</t>
  </si>
  <si>
    <t>yeimycarolina@gmail.com</t>
  </si>
  <si>
    <t>dianavillate771@gmail.com</t>
  </si>
  <si>
    <t>melisitaszdz@hotmail.com</t>
  </si>
  <si>
    <t>yuly.pitam@gmail.com</t>
  </si>
  <si>
    <t>facoliche22@hotmail.com</t>
  </si>
  <si>
    <t>edsonstivengonzalezgalindo@gmail.com</t>
  </si>
  <si>
    <t>libgueba91@hotmail.com</t>
  </si>
  <si>
    <t>pedroaponte940@gmail.com</t>
  </si>
  <si>
    <t>jgvargas2015@gmail.com</t>
  </si>
  <si>
    <t>isleni.dc@gmail.com</t>
  </si>
  <si>
    <t>adrianahigueraing@outlook.com</t>
  </si>
  <si>
    <t>jeacva@hotmail.com</t>
  </si>
  <si>
    <t>anselmoreyessilva@gmail.com</t>
  </si>
  <si>
    <t>jdcastellanosv@gmail.com</t>
  </si>
  <si>
    <t>leidybolena40@gmail.com</t>
  </si>
  <si>
    <t>edilsonjaviercaceres7@hotmail.com</t>
  </si>
  <si>
    <t>districandy.k18@gmail.com</t>
  </si>
  <si>
    <t>soraida.lizarazo@cun.edu.co</t>
  </si>
  <si>
    <t>dianaji91menez@gmail.com</t>
  </si>
  <si>
    <t>marcelag182@hotmail.com</t>
  </si>
  <si>
    <t>clarines21@gmail.com</t>
  </si>
  <si>
    <t>erikalorenacardenaspinzon@gmail.com</t>
  </si>
  <si>
    <t>angelagomezsalazar1@gmail.com</t>
  </si>
  <si>
    <t>dekameru1125@hotmail.com</t>
  </si>
  <si>
    <t>angelicamaria520@gmail.com</t>
  </si>
  <si>
    <t>pcmerida91@gmail.com</t>
  </si>
  <si>
    <t>marcelaelizabeth091@gmail.com</t>
  </si>
  <si>
    <t>gerencia@apuestasboyaca.com</t>
  </si>
  <si>
    <t>dcps_9111@hotmail.com</t>
  </si>
  <si>
    <t>danielferruchoj@gmail.com</t>
  </si>
  <si>
    <t>dlserranol15@gmail.com</t>
  </si>
  <si>
    <t>rubendariojaime2018@gmail.com</t>
  </si>
  <si>
    <t>iqyeisonb@gmail.com</t>
  </si>
  <si>
    <t>ricardorc915@gmail.com</t>
  </si>
  <si>
    <t>aryandaniel1115@gmail.com</t>
  </si>
  <si>
    <t>dielkinbec@gmail.com</t>
  </si>
  <si>
    <t>edna9111@gmail.com</t>
  </si>
  <si>
    <t>zulimatrianadiaz@gmail.com</t>
  </si>
  <si>
    <t>dipabonilla@gmail.com</t>
  </si>
  <si>
    <t>mipinji@gmail.com</t>
  </si>
  <si>
    <t>sivhatar98@gmail.com</t>
  </si>
  <si>
    <t>yayita_marth@hotmail.com</t>
  </si>
  <si>
    <t>merchanfavian034@gmail.com</t>
  </si>
  <si>
    <t>SANDRISLOME2@gmail.com</t>
  </si>
  <si>
    <t>jhsarmiento2@misena.edu.co</t>
  </si>
  <si>
    <t>diego04alexis@gmail.com</t>
  </si>
  <si>
    <t>eripaflepri1207@gmail.com</t>
  </si>
  <si>
    <t>zulmagonza_1515@hotmail.com</t>
  </si>
  <si>
    <t>marioantonioaguillon@gmail.com</t>
  </si>
  <si>
    <t>ing.brayancarvajal@hotmail.com</t>
  </si>
  <si>
    <t>fabianc9110@gmail.com</t>
  </si>
  <si>
    <t>diana.lucia.sanchez.d@gmail.com</t>
  </si>
  <si>
    <t>fernandezzochoaabogados@gmail.com</t>
  </si>
  <si>
    <t>yeyiz_92@yahoo.es</t>
  </si>
  <si>
    <t>rodolfogarcia1025@gmail.com</t>
  </si>
  <si>
    <t>diazamayae@gmail.com</t>
  </si>
  <si>
    <t>dayanasofiavargasbecerra@gmail.com</t>
  </si>
  <si>
    <t>jeinit2429@hotmail.com</t>
  </si>
  <si>
    <t>yulis36@hotmail.com</t>
  </si>
  <si>
    <t>yina_florez@hotmail.com</t>
  </si>
  <si>
    <t>lmvargas524@gmail.com</t>
  </si>
  <si>
    <t>jhon.silva.h@gmail.com</t>
  </si>
  <si>
    <t>jonathanpinto1892@hotmail.com</t>
  </si>
  <si>
    <t>carogranados@hotmail.es</t>
  </si>
  <si>
    <t>oscarcoy497@gmail.com</t>
  </si>
  <si>
    <t>molinagarciadenith@gmail.com</t>
  </si>
  <si>
    <t>jeszea17@gmail.com</t>
  </si>
  <si>
    <t>andreakrincon@gmail.com</t>
  </si>
  <si>
    <t>zandyjim_1112@outlook.com</t>
  </si>
  <si>
    <t>lorenabecerralorena0409@hotmail.es</t>
  </si>
  <si>
    <t>Katherinalvarez80@gmail.com</t>
  </si>
  <si>
    <t>milena.higuera.c@hotmail.com</t>
  </si>
  <si>
    <t>willy.duranr2@gmail.com</t>
  </si>
  <si>
    <t>saalgarcia123@gmail.com</t>
  </si>
  <si>
    <t>yeissonfonse@gmail.com</t>
  </si>
  <si>
    <t>tecnifriosboyaca@gmail.com</t>
  </si>
  <si>
    <t>correaalvarezwillington@gmail.com</t>
  </si>
  <si>
    <t>fusionariocasa@gmail.com</t>
  </si>
  <si>
    <t>yenykids92@gmail.com</t>
  </si>
  <si>
    <t>rociovmedina2010@hotmail.com</t>
  </si>
  <si>
    <t>yankaryramirez@gmail.com</t>
  </si>
  <si>
    <t>carolahurtado.08@gmail.com</t>
  </si>
  <si>
    <t>edwinduitama1@gmail.com</t>
  </si>
  <si>
    <t>florahngela30@gmail.com</t>
  </si>
  <si>
    <t>alexmoing92@gmail.com</t>
  </si>
  <si>
    <t>fuentesjuliandavid@gmail.com</t>
  </si>
  <si>
    <t>fernanda1conde@gmail.com</t>
  </si>
  <si>
    <t>leo42k@gmail.com</t>
  </si>
  <si>
    <t>ANDRESGOMEZD92@gmail.com</t>
  </si>
  <si>
    <t>nicolasbaez99@hotmail.com</t>
  </si>
  <si>
    <t>dianappt456@gmail.com</t>
  </si>
  <si>
    <t>miriamcaal2012@hotmail.com</t>
  </si>
  <si>
    <t>deyquy@hotmail.com</t>
  </si>
  <si>
    <t>diegopiza@gmail.com</t>
  </si>
  <si>
    <t>angela14ks@hotmail.com</t>
  </si>
  <si>
    <t>paezwilliamleonardo@gmail.com</t>
  </si>
  <si>
    <t>carlls.alfredo.becerra@hotmail.com</t>
  </si>
  <si>
    <t>leydi0712@outlook.es</t>
  </si>
  <si>
    <t>angelarativa@hotmail.com</t>
  </si>
  <si>
    <t>sallyzeth@gmail.com</t>
  </si>
  <si>
    <t>samibc1692@gmail.com</t>
  </si>
  <si>
    <t>eaalarcon3@gmail.com</t>
  </si>
  <si>
    <t>camilovalderrama1912@gmail.com</t>
  </si>
  <si>
    <t>juangabrielmillanperez@gmail.com</t>
  </si>
  <si>
    <t>auralo92@yahoo.es</t>
  </si>
  <si>
    <t>maclaru1202@hotmail.com</t>
  </si>
  <si>
    <t>noyestamayo@yahoo.es.com</t>
  </si>
  <si>
    <t>sanchezalbajuan@gmail.com</t>
  </si>
  <si>
    <t>estebanbec@hotmail.com</t>
  </si>
  <si>
    <t>reyes15johanna@gmail.com</t>
  </si>
  <si>
    <t>sleonardopmurcia@hotmail.com</t>
  </si>
  <si>
    <t>corredorjulian446@gmail.com</t>
  </si>
  <si>
    <t>samysita7@gmail.com</t>
  </si>
  <si>
    <t>dmgomez780@gmail.com</t>
  </si>
  <si>
    <t>apinedab@gmail.com</t>
  </si>
  <si>
    <t>vivis_16.21@hotmail.com</t>
  </si>
  <si>
    <t>bohorquezestefania2017@gmail.com</t>
  </si>
  <si>
    <t>breiner08@gmail.com</t>
  </si>
  <si>
    <t>estefaniacero7@gmail.com</t>
  </si>
  <si>
    <t>hercuevas92@gmail.com</t>
  </si>
  <si>
    <t>fercho-0515@hotmail.com</t>
  </si>
  <si>
    <t>lyli0422@hotmail.com</t>
  </si>
  <si>
    <t>yeisonbarrera51@gmail.com</t>
  </si>
  <si>
    <t>elifer54@hotmail.com</t>
  </si>
  <si>
    <t>linita0813.m@gmail.com</t>
  </si>
  <si>
    <t>angeloserrano644@gmail.com</t>
  </si>
  <si>
    <t>yefedis@hotmail.es</t>
  </si>
  <si>
    <t>NATIK1105@hotmail.com</t>
  </si>
  <si>
    <t>oscaryesid337@gmail.com</t>
  </si>
  <si>
    <t>ltacevedo77@gmail.com</t>
  </si>
  <si>
    <t>lagoszuly@gmail.com</t>
  </si>
  <si>
    <t>miguelv3912@gmail.com</t>
  </si>
  <si>
    <t>edwinfernando.aza@gmail.com</t>
  </si>
  <si>
    <t>samy.velandi@gmail.com</t>
  </si>
  <si>
    <t>angecallrod@gmail.com</t>
  </si>
  <si>
    <t>yesidinfante1992@gmail.com</t>
  </si>
  <si>
    <t>dayabaron@gmail.com</t>
  </si>
  <si>
    <t>cesarrangelramirez7@gmail.com</t>
  </si>
  <si>
    <t>linaperez1507@hotmail.com</t>
  </si>
  <si>
    <t>ivandarioreyes71@gmail.com</t>
  </si>
  <si>
    <t>mdvalderrama@misena.edu.co</t>
  </si>
  <si>
    <t>ottocaro.65@gmail.com</t>
  </si>
  <si>
    <t>liss9224@hotmail.com</t>
  </si>
  <si>
    <t>maryabril796@gmail.com</t>
  </si>
  <si>
    <t>marisolcubides92@hotmail.com</t>
  </si>
  <si>
    <t>johana.gom9@gmail.com</t>
  </si>
  <si>
    <t>mayracorreamarin@gmail.com</t>
  </si>
  <si>
    <t>jamilton9134@hotmail.com</t>
  </si>
  <si>
    <t>maype2805@hotmail.com</t>
  </si>
  <si>
    <t>contabilidadhradventures@gmail.com</t>
  </si>
  <si>
    <t>williamjaza@gmail.com</t>
  </si>
  <si>
    <t>marcela-sandoval3391@outlook.com</t>
  </si>
  <si>
    <t>camargolinda87@gmail.com</t>
  </si>
  <si>
    <t>rodrigox_29@hotmail.com</t>
  </si>
  <si>
    <t>lmelisasuarezd@gmail.com</t>
  </si>
  <si>
    <t>oscar02perez94@gmail.com</t>
  </si>
  <si>
    <t>eliana_@hotmail.com</t>
  </si>
  <si>
    <t>davidsalinas435@gmail.com</t>
  </si>
  <si>
    <t>davidguillis@gmail.com</t>
  </si>
  <si>
    <t>elianarojas2504@gmail.com</t>
  </si>
  <si>
    <t>marime614@gmail.com</t>
  </si>
  <si>
    <t>johanafigueredo.2013@gmail.com</t>
  </si>
  <si>
    <t>diegoale9214@hotmail.com</t>
  </si>
  <si>
    <t>davidfcarrerom@gmail.com</t>
  </si>
  <si>
    <t>gri440@hotmail.com</t>
  </si>
  <si>
    <t>vivispao928@hotmail.com</t>
  </si>
  <si>
    <t>tul223nqr1@gmail.com</t>
  </si>
  <si>
    <t>oscarmmesa29@gmail.com</t>
  </si>
  <si>
    <t>velascod393@gmail.com</t>
  </si>
  <si>
    <t>lpmj20@hotmail.com</t>
  </si>
  <si>
    <t>vivianitaarias1131@gamil.com</t>
  </si>
  <si>
    <t>dacorredor10@gmail.com</t>
  </si>
  <si>
    <t>deysy3316@gmail.com</t>
  </si>
  <si>
    <t>romel.24@hotmail.com</t>
  </si>
  <si>
    <t>ANDREITABECERRA1992@GMAIL.COM</t>
  </si>
  <si>
    <t>edwinyesidmorenogamboa8@gmail.com</t>
  </si>
  <si>
    <t>duvan.casas905@gmail.com</t>
  </si>
  <si>
    <t>guevaraandres2@gmail.com</t>
  </si>
  <si>
    <t>dianismcg05@gmail.com</t>
  </si>
  <si>
    <t>jesslok92@hotmail.com</t>
  </si>
  <si>
    <t>ingtatiana.duenas@gmail.com</t>
  </si>
  <si>
    <t>lore.guecha@gmail.com</t>
  </si>
  <si>
    <t>ninibeme86@hotmail.com</t>
  </si>
  <si>
    <t>motofenix92@gmail.com</t>
  </si>
  <si>
    <t>todianarincon@gmail.com</t>
  </si>
  <si>
    <t>maye.romero564@gmail.com</t>
  </si>
  <si>
    <t>lady.viviana.vargas@gmail.com</t>
  </si>
  <si>
    <t>nelcyjohanaacevedorivera@gmail.com</t>
  </si>
  <si>
    <t>tahirymiki2008@hotmail.com</t>
  </si>
  <si>
    <t>lissamarian07@gmail.com</t>
  </si>
  <si>
    <t>maira.nuncira1613@gmail.com</t>
  </si>
  <si>
    <t>diegobecerra839@gmail.com</t>
  </si>
  <si>
    <t>salazar.efren.2018@gmail.com</t>
  </si>
  <si>
    <t>mile008@hotmail.com</t>
  </si>
  <si>
    <t>linita.6363@gmail.com</t>
  </si>
  <si>
    <t>lorena.pinzoncoy@gmail.com</t>
  </si>
  <si>
    <t>maurenpep@hotmail.com</t>
  </si>
  <si>
    <t>linamariamartinez2@gmail.com</t>
  </si>
  <si>
    <t>nenitasanchez22@hotmail.com</t>
  </si>
  <si>
    <t>yesicapaola2909@gmail.com</t>
  </si>
  <si>
    <t>monikitamartinez31@hotmail.com</t>
  </si>
  <si>
    <t>zoraidagonzalezzvgs@gmail.com</t>
  </si>
  <si>
    <t>manuel.hernandezp@outlook.com</t>
  </si>
  <si>
    <t>asotobecerra28@gmail.com</t>
  </si>
  <si>
    <t>frankchaparrotm@gmail.com</t>
  </si>
  <si>
    <t>sanchezandoval@gmail.com</t>
  </si>
  <si>
    <t>ingenieria.martin.polania@gmail.com</t>
  </si>
  <si>
    <t>WIL_M_B@hotmail.com</t>
  </si>
  <si>
    <t>elviarocioflorez@gmail.com</t>
  </si>
  <si>
    <t>wandres8485@outlook.es</t>
  </si>
  <si>
    <t>miguel_cardenas09@yahoo.es</t>
  </si>
  <si>
    <t>DERAM92@gmail.com</t>
  </si>
  <si>
    <t>ivan_ne_92@hotmail.com</t>
  </si>
  <si>
    <t>monik.0610@hotmail.com</t>
  </si>
  <si>
    <t>alexayhvh92@gmail.com</t>
  </si>
  <si>
    <t>0910camacho2017@gmail.com</t>
  </si>
  <si>
    <t>julicamacho1992@gmail.com</t>
  </si>
  <si>
    <t>agredo.liniss@gmail.com</t>
  </si>
  <si>
    <t>paolacastrogomez1992@gmail.com</t>
  </si>
  <si>
    <t>jairo.x9@hotmail.com</t>
  </si>
  <si>
    <t>julianzuta21@gmail.com</t>
  </si>
  <si>
    <t>daironherrera.10@hotmail.com</t>
  </si>
  <si>
    <t>wilmarnova92@gmail.com</t>
  </si>
  <si>
    <t>jackelinetorres989@gmail.com</t>
  </si>
  <si>
    <t>deisymojica01@hotmail.com</t>
  </si>
  <si>
    <t>manuelcabra9211@gmail.com</t>
  </si>
  <si>
    <t>abcdef2015.ds@gmail.com</t>
  </si>
  <si>
    <t>amadojulieta0@gmail.com</t>
  </si>
  <si>
    <t>gabjes0927@gmail.com</t>
  </si>
  <si>
    <t>andrus921211@hotmail.com</t>
  </si>
  <si>
    <t>dmmorabion@gmail.com</t>
  </si>
  <si>
    <t>adrianaalfonso744@gmail.com</t>
  </si>
  <si>
    <t>ivanji02@gmail.com</t>
  </si>
  <si>
    <t>nkortizh@gmail.com</t>
  </si>
  <si>
    <t>crisariasv@gmail.com</t>
  </si>
  <si>
    <t>ovargas85@uan.edu.co</t>
  </si>
  <si>
    <t>LCMD2125@gmail.com</t>
  </si>
  <si>
    <t>edna.d9213@gmail.com</t>
  </si>
  <si>
    <t>davidgusty17@gmail.com</t>
  </si>
  <si>
    <t>yuber92hernandez@gmail.com</t>
  </si>
  <si>
    <t>jdruiz242@misena.edu.co</t>
  </si>
  <si>
    <t>lisstellez@hotmail.com</t>
  </si>
  <si>
    <t>diegofernandocm@hotmail.com</t>
  </si>
  <si>
    <t>alejandra.nitola@gmail.com</t>
  </si>
  <si>
    <t>heybermendoza@gmail.com</t>
  </si>
  <si>
    <t>diamond_93leon@hotmail.com</t>
  </si>
  <si>
    <t>puentescesarg@gmail.com</t>
  </si>
  <si>
    <t>le.astridlopez@gmail.com</t>
  </si>
  <si>
    <t>pjhandersonabril2015@gmail.com</t>
  </si>
  <si>
    <t>2paolacaro@gmail.com</t>
  </si>
  <si>
    <t>eriksa@misena.edu.co</t>
  </si>
  <si>
    <t>diegogomezgerena@gmail.com</t>
  </si>
  <si>
    <t>mianrefo@gmail.com</t>
  </si>
  <si>
    <t>poliita_23@hotmail.com</t>
  </si>
  <si>
    <t>kelito1106@gmail.com</t>
  </si>
  <si>
    <t>frandy99@hotmail.com</t>
  </si>
  <si>
    <t>jose.a.cero@hotmail.com</t>
  </si>
  <si>
    <t>mary.ochoa@hotmail.com</t>
  </si>
  <si>
    <t>vickycely93@gmail.com</t>
  </si>
  <si>
    <t>mafon93-@hotmail.com</t>
  </si>
  <si>
    <t>mabelcars92@gmail.com</t>
  </si>
  <si>
    <t>luisfernandoperezvargas61@gmail.com</t>
  </si>
  <si>
    <t>erikacuervo92@hotmail.com</t>
  </si>
  <si>
    <t>xiomarasantosnino3@gmail.com</t>
  </si>
  <si>
    <t>yeferson.wm@hotmail.com</t>
  </si>
  <si>
    <t>chiquisgoga@hotmail.com</t>
  </si>
  <si>
    <t>kadri17_@hotmail.com</t>
  </si>
  <si>
    <t>linitamt77@hotmail.com</t>
  </si>
  <si>
    <t>dariovalero8547@yahoo.es</t>
  </si>
  <si>
    <t>willyalvarez17@gmail.com</t>
  </si>
  <si>
    <t>mrmamf@gmail.com</t>
  </si>
  <si>
    <t>johanitamedina_93@hotmail.com</t>
  </si>
  <si>
    <t>adri1052@hotmail.com</t>
  </si>
  <si>
    <t>victorrodriguezh20166@gmail.com</t>
  </si>
  <si>
    <t>amayaparram@gmail.com</t>
  </si>
  <si>
    <t>leidytatianaorozcobravo@gmail.com</t>
  </si>
  <si>
    <t>camilapuentesmm@hotmail.com</t>
  </si>
  <si>
    <t>duversanchez1103@gmail.com</t>
  </si>
  <si>
    <t>bautistaoscar034@gmail.com</t>
  </si>
  <si>
    <t>guevaraheidy259@gmail.com</t>
  </si>
  <si>
    <t>andermor102@gmail.com</t>
  </si>
  <si>
    <t>juancamilogonzalez17@gmail.com</t>
  </si>
  <si>
    <t>dianitaleon93@gmail.com</t>
  </si>
  <si>
    <t>flava778@gmail.com</t>
  </si>
  <si>
    <t>maferosa0685@gmail.com</t>
  </si>
  <si>
    <t>araqueedison008@gmail.com</t>
  </si>
  <si>
    <t>jdfr.yo@gmail.com</t>
  </si>
  <si>
    <t>natalymonrroy@gmail.com</t>
  </si>
  <si>
    <t>m.fer_09@hotmail.com</t>
  </si>
  <si>
    <t>nelson.pardo@uptc.edu.co</t>
  </si>
  <si>
    <t>marceleal2312@gmail.com</t>
  </si>
  <si>
    <t>ricardocastromate9@gmail.com</t>
  </si>
  <si>
    <t>jcamilo.sst@gmail.com</t>
  </si>
  <si>
    <t>leidisitamesa@hotmail.com</t>
  </si>
  <si>
    <t>javiermarquezverdugo3@gmail.com</t>
  </si>
  <si>
    <t>alejandratumay@gmail.com</t>
  </si>
  <si>
    <t>gustavo.osuna13@hotmail.com</t>
  </si>
  <si>
    <t>al612977@gmail.com</t>
  </si>
  <si>
    <t>lalitayinneth@hotmail.com</t>
  </si>
  <si>
    <t>safama_1993@outlook.com</t>
  </si>
  <si>
    <t>anita-m24@hotmail.com</t>
  </si>
  <si>
    <t>natatr2593@gmail.com</t>
  </si>
  <si>
    <t>linacolgate19@gmail.com</t>
  </si>
  <si>
    <t>dayucarvajal@gmail.com</t>
  </si>
  <si>
    <t>meamaya93@gmail.com</t>
  </si>
  <si>
    <t>clarat9304@gmail.com</t>
  </si>
  <si>
    <t>angiieecita_93@hotmail.com</t>
  </si>
  <si>
    <t>oliveriogonzalesnova@gmail.com</t>
  </si>
  <si>
    <t>jjpuentes16@gmail.com</t>
  </si>
  <si>
    <t>cristancho9305@hotmail.com</t>
  </si>
  <si>
    <t>dorelly1515@hotmail.com</t>
  </si>
  <si>
    <t>lopacamore@hotmail.com</t>
  </si>
  <si>
    <t>yeisontorres1003@hotmail.com</t>
  </si>
  <si>
    <t>becerrabecerrajuanalonso@gmail.com</t>
  </si>
  <si>
    <t>angieevanee23@gmail.com</t>
  </si>
  <si>
    <t>davidmon.17@gmail.com</t>
  </si>
  <si>
    <t>linalb45@gmail.com</t>
  </si>
  <si>
    <t>zulmis23@hotmail.com</t>
  </si>
  <si>
    <t>dmnuncira@gmail.com</t>
  </si>
  <si>
    <t>yepa_9306@hotmail.com</t>
  </si>
  <si>
    <t>alejandro17pg@gmail.com</t>
  </si>
  <si>
    <t>jukaok.93@gmail.com</t>
  </si>
  <si>
    <t>henryye93@gmail.com</t>
  </si>
  <si>
    <t>ericatorres173@gmail.com</t>
  </si>
  <si>
    <t>elysanz9345@hotmail.es</t>
  </si>
  <si>
    <t>juanedilbertogomezcastro@gmail.com</t>
  </si>
  <si>
    <t>jramiro_carf@hotmail.com</t>
  </si>
  <si>
    <t>luzmybenitez93@gmail.com</t>
  </si>
  <si>
    <t>carlos.go15@hotmail.com</t>
  </si>
  <si>
    <t>jhonc_00@hotmail.com</t>
  </si>
  <si>
    <t>efmb298@gmail.com</t>
  </si>
  <si>
    <t>castillo.lc277@gmail.com</t>
  </si>
  <si>
    <t>edgardiaz92@hotmail.com</t>
  </si>
  <si>
    <t>adrianajh2016@hotmail.com</t>
  </si>
  <si>
    <t>angiely.vargas@gmail.com</t>
  </si>
  <si>
    <t>lauraflorezzperez@hotmail.com</t>
  </si>
  <si>
    <t>cresmen562@gmail.com</t>
  </si>
  <si>
    <t>valentinacastromogollon09@gmail.com</t>
  </si>
  <si>
    <t>johattami@gmail.com</t>
  </si>
  <si>
    <t>ymilevs.0811@gmail.com</t>
  </si>
  <si>
    <t>davidjuan2710@gmail.com</t>
  </si>
  <si>
    <t>mife93@hotmail.es</t>
  </si>
  <si>
    <t>almafusion3@gmail.com</t>
  </si>
  <si>
    <t>alejogualteros09@gmail.com</t>
  </si>
  <si>
    <t>nataguio@hotmail.com</t>
  </si>
  <si>
    <t>ivanricardo.valderrama@gmail.com</t>
  </si>
  <si>
    <t>andreaaguilar0512@gmail.com</t>
  </si>
  <si>
    <t>j.as_min@live.com</t>
  </si>
  <si>
    <t>marisdu02@gmail.com</t>
  </si>
  <si>
    <t>geandube3@gmail.com</t>
  </si>
  <si>
    <t>diegogomez0903@gmail.com</t>
  </si>
  <si>
    <t>hufer01@hotmail.com</t>
  </si>
  <si>
    <t>erikalejandra_93@hotmail.com</t>
  </si>
  <si>
    <t>juansolano.duitama@gmail.com</t>
  </si>
  <si>
    <t>carolina1052@hotmail.com</t>
  </si>
  <si>
    <t>die_amarillo@misena.edu.com</t>
  </si>
  <si>
    <t>palolamoreno93@gmail.com</t>
  </si>
  <si>
    <t>jeisonjr93@gmai.com</t>
  </si>
  <si>
    <t>paolarincon226@gmail.com</t>
  </si>
  <si>
    <t>andrea.guionitola@gmail.com</t>
  </si>
  <si>
    <t>jhonatandavidgalviscadena@gmail.com</t>
  </si>
  <si>
    <t>vargas3108@gmail.com</t>
  </si>
  <si>
    <t>fabiantellezuptc@gmail.com</t>
  </si>
  <si>
    <t>diana.aranguren01@gmail.com</t>
  </si>
  <si>
    <t>yyesidgarcia00@gmail.com</t>
  </si>
  <si>
    <t>yenny.pao_17@hotmail.com</t>
  </si>
  <si>
    <t>tristanchomonica@gmail.com</t>
  </si>
  <si>
    <t>jhongallo_@hotmail.xom</t>
  </si>
  <si>
    <t>jimenezjimenezandrescamilo@gmail.com</t>
  </si>
  <si>
    <t>paoladallos67@gmail.com</t>
  </si>
  <si>
    <t>jairomartinez2106@gmail.com</t>
  </si>
  <si>
    <t>jhelberhero@hotmail.com</t>
  </si>
  <si>
    <t>amsm1052@hotmail.com</t>
  </si>
  <si>
    <t>cri322@hotmail.com</t>
  </si>
  <si>
    <t>erika.patricia.guevara@hotmail.com</t>
  </si>
  <si>
    <t>rosbinsalamanca@gmail.com</t>
  </si>
  <si>
    <t>dianita93caro@gmail.com</t>
  </si>
  <si>
    <t>contactamedaniel@gmail.com</t>
  </si>
  <si>
    <t>pinedamercedesmaria@gmail.com</t>
  </si>
  <si>
    <t>valenzuelaadryana2@gmail.com</t>
  </si>
  <si>
    <t>tatarodri_0911@hotmail.com</t>
  </si>
  <si>
    <t>angiemesa82@gmail.com</t>
  </si>
  <si>
    <t>camilodominguez.cd7@gmail.com</t>
  </si>
  <si>
    <t>davidalexander.leon@gmail.com</t>
  </si>
  <si>
    <t>carolinagarcia2043@gmail.com</t>
  </si>
  <si>
    <t>audriherreno9@gmail.com</t>
  </si>
  <si>
    <t>rodriguezyury0202@gmail.com</t>
  </si>
  <si>
    <t>deissypaolabaezpinto@gmail.com</t>
  </si>
  <si>
    <t>silvaedwin742@gmail.com</t>
  </si>
  <si>
    <t>joseluis24082010@hotmail.com</t>
  </si>
  <si>
    <t>linaxgoyenechea@gmail.com</t>
  </si>
  <si>
    <t>jpablobernal28@gmail.com</t>
  </si>
  <si>
    <t>teguti.12@gmail.com</t>
  </si>
  <si>
    <t>ddppedraza@gmail.com</t>
  </si>
  <si>
    <t>laugonzalez93@gmail.com</t>
  </si>
  <si>
    <t>camacholopezcamilo@gmail.com</t>
  </si>
  <si>
    <t>oscarom360@hotmail.com</t>
  </si>
  <si>
    <t>lisys.molano@gmail.com</t>
  </si>
  <si>
    <t>fertorrza@hotmail.com</t>
  </si>
  <si>
    <t>deisy_2093@hotmail.com</t>
  </si>
  <si>
    <t>danielnbecerra@gmail.com</t>
  </si>
  <si>
    <t>luiscarlos.lozano@hotmail.com</t>
  </si>
  <si>
    <t>solanocruz199@gmail.com</t>
  </si>
  <si>
    <t>gina.alfonso9315@gmail.com</t>
  </si>
  <si>
    <t>luchog69@hotmail.com</t>
  </si>
  <si>
    <t>lizeth.castellanos@diaco.com.co</t>
  </si>
  <si>
    <t>jmolanobolivar@gmail.com</t>
  </si>
  <si>
    <t>andres_c_26@hotmail.com</t>
  </si>
  <si>
    <t>emmanuel_daza@hotmail.com</t>
  </si>
  <si>
    <t>INGMINASDIEGORODRIGUEZ@gmail.com</t>
  </si>
  <si>
    <t>ivanpalomino05@hotmail.com</t>
  </si>
  <si>
    <t>mayerlydiaz74@gmail.com</t>
  </si>
  <si>
    <t>humberto.lopez@outlook.com</t>
  </si>
  <si>
    <t>viviana.rojas0104@gmail.com</t>
  </si>
  <si>
    <t>sandriz93@gmail.com</t>
  </si>
  <si>
    <t>cleonardo030194@gmail.com</t>
  </si>
  <si>
    <t>miryamvargas93@gmail.com</t>
  </si>
  <si>
    <t>castillo.miguel1052@gmail.com</t>
  </si>
  <si>
    <t>jorgehagudelom@gmail.com</t>
  </si>
  <si>
    <t>combarizamarquez@gmail.com</t>
  </si>
  <si>
    <t>leidyjgamboam@gmail.com</t>
  </si>
  <si>
    <t>ing.ydb23@gmail.com</t>
  </si>
  <si>
    <t>rinconmariana954@gmail.com</t>
  </si>
  <si>
    <t>etvillate@gmail.com</t>
  </si>
  <si>
    <t>walmerye@gmail.com</t>
  </si>
  <si>
    <t>edwinguacheta94@gmail.com</t>
  </si>
  <si>
    <t>isaguilar0125@gmail.com</t>
  </si>
  <si>
    <t>formafersena2020@gmail.com</t>
  </si>
  <si>
    <t>orozcocamilo67@gmail.com</t>
  </si>
  <si>
    <t>carve_94@hotmail.com</t>
  </si>
  <si>
    <t>LAURAMARTINEZ1052401@gmail.com</t>
  </si>
  <si>
    <t>deisyjohannacamargopuerto@gmail.com</t>
  </si>
  <si>
    <t>seba24aloja@hotmail.com</t>
  </si>
  <si>
    <t>DICABECE@hotmail.com</t>
  </si>
  <si>
    <t>mercabluevg@gmail.com</t>
  </si>
  <si>
    <t>angiehiguera9403@gmail.com</t>
  </si>
  <si>
    <t>julicepi12@hotmail.com</t>
  </si>
  <si>
    <t>pact27@hotmail.com</t>
  </si>
  <si>
    <t>vergaradayan669@gmail.com</t>
  </si>
  <si>
    <t>gamd.140618@gmail.com</t>
  </si>
  <si>
    <t>INDUSTRIASAK2023@gmail.com</t>
  </si>
  <si>
    <t>yazmin681@hotmail.com</t>
  </si>
  <si>
    <t>MARYDURAN0702@gmail.com</t>
  </si>
  <si>
    <t>fa.reyfaci@gmail.com</t>
  </si>
  <si>
    <t>katherine.becerra1802@gmail.com</t>
  </si>
  <si>
    <t>wilsonmateus263@gmail.com</t>
  </si>
  <si>
    <t>hivan0235@gmail.com</t>
  </si>
  <si>
    <t>dianapatriciavega10@gmail.com</t>
  </si>
  <si>
    <t>krito94036@gmail.com</t>
  </si>
  <si>
    <t>carodriguezrico@jdc.edu.co</t>
  </si>
  <si>
    <t>alejaa_203@hotmail.com</t>
  </si>
  <si>
    <t>leoncusba@gmail.com</t>
  </si>
  <si>
    <t>catyortega47@gmail.com</t>
  </si>
  <si>
    <t>taniarozo19@gmail.com</t>
  </si>
  <si>
    <t>leonardo1930240@gmail.com</t>
  </si>
  <si>
    <t>anitamayerlytobar@hotmail.com</t>
  </si>
  <si>
    <t>aleja.barrera27@gmail.com</t>
  </si>
  <si>
    <t>svcif01@hotmail.com</t>
  </si>
  <si>
    <t>javieralejandro.molano.fo@gmail.com</t>
  </si>
  <si>
    <t>ing.jhonatan.nossa@gmail.com</t>
  </si>
  <si>
    <t>hector94.pineda@gmail.com</t>
  </si>
  <si>
    <t>diana9401@gmail.com</t>
  </si>
  <si>
    <t>h_cayachoa@hotmail.com</t>
  </si>
  <si>
    <t>lorenavelandi16@gmail.com</t>
  </si>
  <si>
    <t>dianaher1819@gmail.com</t>
  </si>
  <si>
    <t>yeisonnieto94@gmail.com</t>
  </si>
  <si>
    <t>derlypinzon1008@gmail.com</t>
  </si>
  <si>
    <t>yesidbaez@hotmail.com</t>
  </si>
  <si>
    <t>jhon.nausa@uptc.edu.co</t>
  </si>
  <si>
    <t>edwardfrodriguez@hotmail.com</t>
  </si>
  <si>
    <t>diegonike2016@hotmail.com</t>
  </si>
  <si>
    <t>lisettesanchez1@hotmail.com</t>
  </si>
  <si>
    <t>julisnova@hotmail.com</t>
  </si>
  <si>
    <t>yaiiiiiircely94@gmail.com</t>
  </si>
  <si>
    <t>dihemace@hotmail.com</t>
  </si>
  <si>
    <t>heralnuncira@gmail.com</t>
  </si>
  <si>
    <t>guauque@gmail.com</t>
  </si>
  <si>
    <t>allison.yepezv@colpre.edu.co</t>
  </si>
  <si>
    <t>yipaescor94@gmail.com</t>
  </si>
  <si>
    <t>dojedasolano@gmail.com</t>
  </si>
  <si>
    <t>moli.w94k@gmail.com</t>
  </si>
  <si>
    <t>josedanielqjnccrs@gmail.com</t>
  </si>
  <si>
    <t>karitomolano2@gmail.com</t>
  </si>
  <si>
    <t>ivank55@gmail.com</t>
  </si>
  <si>
    <t>julianfaguasalazar@gmail.com</t>
  </si>
  <si>
    <t>marcefreak.dg@gmail.com</t>
  </si>
  <si>
    <t>dlore.ayap@gmail.com</t>
  </si>
  <si>
    <t>maleonc@misena.edu.co</t>
  </si>
  <si>
    <t>PATOJS0105@gmail.com</t>
  </si>
  <si>
    <t>jefer2729@gmail.com</t>
  </si>
  <si>
    <t>lau.camachoamz@gmail.com</t>
  </si>
  <si>
    <t>deinyche94@hotmail.com</t>
  </si>
  <si>
    <t>leidymalu2009@gmail.com</t>
  </si>
  <si>
    <t>cubidesalejandra2@gmail.com</t>
  </si>
  <si>
    <t>viviss2703@hotmail.com</t>
  </si>
  <si>
    <t>adrianacatalinacc@gmail.com</t>
  </si>
  <si>
    <t>lauraduran1052@gmail.com</t>
  </si>
  <si>
    <t>falsanabriamo@gmail.com</t>
  </si>
  <si>
    <t>holman.cuspoca@uptc.edu.co</t>
  </si>
  <si>
    <t>aylinlove1994218@gmail.com</t>
  </si>
  <si>
    <t>seidisitaperez@hotmail.com</t>
  </si>
  <si>
    <t>dnu.ez177@gmail.com</t>
  </si>
  <si>
    <t>clzabala9@misena.edu.co</t>
  </si>
  <si>
    <t>pao.802@hotmail.com</t>
  </si>
  <si>
    <t>yeny.castrosask@gmail.com</t>
  </si>
  <si>
    <t>armandot0026@gmail.com</t>
  </si>
  <si>
    <t>yinavaldiaz1@gmail.com</t>
  </si>
  <si>
    <t>minimercadoelcarrito@gmail.com</t>
  </si>
  <si>
    <t>jxcely@gmail.com</t>
  </si>
  <si>
    <t>jlrv123@hotmail.com</t>
  </si>
  <si>
    <t>elieser.carvajal@uptc.edu.co</t>
  </si>
  <si>
    <t>CUCHURRUMY9@gmail.com</t>
  </si>
  <si>
    <t>karenfonseca0610@gmail.com</t>
  </si>
  <si>
    <t>mesadiana278@gmail.com</t>
  </si>
  <si>
    <t>jeferarley_74@hotmail.com</t>
  </si>
  <si>
    <t>yeimy.figueroa94@gmail.com</t>
  </si>
  <si>
    <t>saracarolyna141013@gmail.com</t>
  </si>
  <si>
    <t>johita_sierra@outlook.com</t>
  </si>
  <si>
    <t>sebastian-bosa97@hotmail.com</t>
  </si>
  <si>
    <t>lorenm863@gmail.com</t>
  </si>
  <si>
    <t>jesspin26@gmail.com</t>
  </si>
  <si>
    <t>anaisabelcristancho@gmail.com</t>
  </si>
  <si>
    <t>karito_3194@hotmail.com</t>
  </si>
  <si>
    <t>johanaleon29@hotmail.com</t>
  </si>
  <si>
    <t>gogejhon0113@gmail.com</t>
  </si>
  <si>
    <t>jefersonsalazar2210@gmail.com</t>
  </si>
  <si>
    <t>sanchezestebanpaolavalentina@gmail.com</t>
  </si>
  <si>
    <t>johana_melis@hotmail.com</t>
  </si>
  <si>
    <t>jmerchanmogollon@gmail.com</t>
  </si>
  <si>
    <t>chariyogomeztamara@hotmail.com</t>
  </si>
  <si>
    <t>quitianyileny@gmail.com</t>
  </si>
  <si>
    <t>josand53@hotmail.com</t>
  </si>
  <si>
    <t>suarezsjonathan@gmail.com</t>
  </si>
  <si>
    <t>rccav9408@gmail.com</t>
  </si>
  <si>
    <t>orlandocorredor01@gmail.com</t>
  </si>
  <si>
    <t>alejamorales03@hotmail.com</t>
  </si>
  <si>
    <t>juansebastian.manrique@hotmail.co</t>
  </si>
  <si>
    <t>rzabalagranados@gmail.com</t>
  </si>
  <si>
    <t>peraltajonny59@gmail.com</t>
  </si>
  <si>
    <t>angelapacastro0911@gmail.com</t>
  </si>
  <si>
    <t>cindythuer96@gmail.com</t>
  </si>
  <si>
    <t>vivis_9418@hotmail.com</t>
  </si>
  <si>
    <t>dallos94felipe@gmail.com</t>
  </si>
  <si>
    <t>y_solanyi@hotmail.com</t>
  </si>
  <si>
    <t>lianesca.94@gmail.com</t>
  </si>
  <si>
    <t>helmergarcia177@gmail.com</t>
  </si>
  <si>
    <t>gc_williantony@hotmail.com</t>
  </si>
  <si>
    <t>nmra94@hotmail.es</t>
  </si>
  <si>
    <t>jmguevara04@misena.edu.co</t>
  </si>
  <si>
    <t>topoedison.verdugo@hotmail.com</t>
  </si>
  <si>
    <t>pauladuartem05@gmail.com</t>
  </si>
  <si>
    <t>angelagaravito21@gmail.com</t>
  </si>
  <si>
    <t>lacaro3@misena.edu.co</t>
  </si>
  <si>
    <t>dayana_lok@hotmail.com</t>
  </si>
  <si>
    <t>duley.es@hotmail.com</t>
  </si>
  <si>
    <t>leidyyamile94@outlook.com</t>
  </si>
  <si>
    <t>migue23angel.avila@gmail.com</t>
  </si>
  <si>
    <t>nik2214@hotmail.com</t>
  </si>
  <si>
    <t>juandipal533@gmail.com</t>
  </si>
  <si>
    <t>brayan.triana@uptc.edu.co</t>
  </si>
  <si>
    <t>yinnethninosanchez2020@gmail.com</t>
  </si>
  <si>
    <t>DANIRRI_94@hotmail.com</t>
  </si>
  <si>
    <t>nicollejohana.gomez@gmail.com</t>
  </si>
  <si>
    <t>LAJUMON22@gmail.com</t>
  </si>
  <si>
    <t>andre21amaya@gmail.com</t>
  </si>
  <si>
    <t>bmolano12@uan.edu.co</t>
  </si>
  <si>
    <t>andrehz1801@gmail.com</t>
  </si>
  <si>
    <t>jorbolivar27@gmail.com</t>
  </si>
  <si>
    <t>erikalorena.pedraza@gmail.com</t>
  </si>
  <si>
    <t>anamitamojica@gmail.com</t>
  </si>
  <si>
    <t>alejacamacho1309@gmail.com</t>
  </si>
  <si>
    <t>julianachaparro_94@hotmail.com</t>
  </si>
  <si>
    <t>astridromero.30@hotmail.com</t>
  </si>
  <si>
    <t>linaangarita1217@gmail.com</t>
  </si>
  <si>
    <t>ingmilenaochica@hotmail.com</t>
  </si>
  <si>
    <t>cristianmartinezrobles94@gmail.com</t>
  </si>
  <si>
    <t>fredynova9@gmail.com</t>
  </si>
  <si>
    <t>vic12-1503@hotmail.com</t>
  </si>
  <si>
    <t>sandygoga16@gmail.com</t>
  </si>
  <si>
    <t>jsebasgomez94@gmail.com</t>
  </si>
  <si>
    <t>dianapaolatellezguevara27@gmail.com</t>
  </si>
  <si>
    <t>ingamb.laurah@gmail.com</t>
  </si>
  <si>
    <t>jeffersoncamilocely@gmail.com</t>
  </si>
  <si>
    <t>vanne.garcia169@gmail.com</t>
  </si>
  <si>
    <t>elkinn.contre@gmail.com</t>
  </si>
  <si>
    <t>jhonyarleymogolloncamargo@gmail.com</t>
  </si>
  <si>
    <t>angelpinzon3001@gmail.com</t>
  </si>
  <si>
    <t>dafeduhe@hotmail.com</t>
  </si>
  <si>
    <t>dianacristiano.2507@gmail.com</t>
  </si>
  <si>
    <t>belmay94@hotmail.com</t>
  </si>
  <si>
    <t>maleja_1718@hotmail.com</t>
  </si>
  <si>
    <t>secar1995@gmail.com</t>
  </si>
  <si>
    <t>CDRODRIGUEZ9411@gmail.com</t>
  </si>
  <si>
    <t>deko7840@gmail.com</t>
  </si>
  <si>
    <t>jeir35@gmail.com</t>
  </si>
  <si>
    <t>razimalliv1994@hotmail.com</t>
  </si>
  <si>
    <t>yepagaan03@gmail.com</t>
  </si>
  <si>
    <t>leidycatalinaayalaherrera@gmail.com</t>
  </si>
  <si>
    <t>carlosguarin9202@gmail.com</t>
  </si>
  <si>
    <t>yennypaola.diaz@uptc.edu.co</t>
  </si>
  <si>
    <t>tatica.angarita@gmail.com</t>
  </si>
  <si>
    <t>sebastiancordobasan@gmail.com</t>
  </si>
  <si>
    <t>juanc.martinez03@hotmail.com</t>
  </si>
  <si>
    <t>atis2011@hotmail.com</t>
  </si>
  <si>
    <t>anamaria07pit@gmail.com</t>
  </si>
  <si>
    <t>nubiaorduz18@gmail.com</t>
  </si>
  <si>
    <t>germanspvd@gmail.com</t>
  </si>
  <si>
    <t>lina20eslava@gmail.com</t>
  </si>
  <si>
    <t>lidaviviana@gmail.com</t>
  </si>
  <si>
    <t>tatianasep@outlook.com</t>
  </si>
  <si>
    <t>diego.duarte200295@gmail.com</t>
  </si>
  <si>
    <t>paito-zafra@hotmail.com</t>
  </si>
  <si>
    <t>pedroalbertoh-24@hotmail.com</t>
  </si>
  <si>
    <t>andrea119502@hotmail.com</t>
  </si>
  <si>
    <t>lijo.chaparro@gmail.com</t>
  </si>
  <si>
    <t>laura.daza@uptc.edu.co</t>
  </si>
  <si>
    <t>ricardo.flechas1995@gmail.com</t>
  </si>
  <si>
    <t>yeraldy1230@hotmail.com</t>
  </si>
  <si>
    <t>martha9510@hotmail.com</t>
  </si>
  <si>
    <t>yolandita.09@hotmail.es</t>
  </si>
  <si>
    <t>edydrincon@hotmail.com</t>
  </si>
  <si>
    <t>wilmergomez159@gmail.com</t>
  </si>
  <si>
    <t>andreiitaaguiilar@gmail.com</t>
  </si>
  <si>
    <t>jorge9546@hotmail.com</t>
  </si>
  <si>
    <t>mairin3095@gmail.com</t>
  </si>
  <si>
    <t>milenareyes329@gmail.com</t>
  </si>
  <si>
    <t>judapeso@hotmail.com</t>
  </si>
  <si>
    <t>jhonfredy1942@gmail.com</t>
  </si>
  <si>
    <t>lalomonolui@gmail.com</t>
  </si>
  <si>
    <t>fabianbohorquez1106@gmail.com</t>
  </si>
  <si>
    <t>lawyersalinas10@gmail.com</t>
  </si>
  <si>
    <t>granadoscristian644@gmail.com</t>
  </si>
  <si>
    <t>danyinfantev@gmail.com</t>
  </si>
  <si>
    <t>yordymalaver@hotmail.com</t>
  </si>
  <si>
    <t>elianadiaz01@gmail.com</t>
  </si>
  <si>
    <t>daroni95@hotmail.com</t>
  </si>
  <si>
    <t>steisol19@gmail.com</t>
  </si>
  <si>
    <t>lydayicedm@gmail.com</t>
  </si>
  <si>
    <t>yacerocortes.95@gmail.com</t>
  </si>
  <si>
    <t>miguelangelarak@gmail.com</t>
  </si>
  <si>
    <t>cristiandamar95@hotmail.com</t>
  </si>
  <si>
    <t>geraldinemartinez7777@gmail.com</t>
  </si>
  <si>
    <t>sergiocorredor398@gmail.com</t>
  </si>
  <si>
    <t>dianita0295@hotmail.com</t>
  </si>
  <si>
    <t>martinnezsonia06@gmail.com</t>
  </si>
  <si>
    <t>tata_amayap@hotmail.com</t>
  </si>
  <si>
    <t>andresbarrera0515@gmail.com</t>
  </si>
  <si>
    <t>derlycardenas01@gmail.com</t>
  </si>
  <si>
    <t>oscarmvc4@gmail.com</t>
  </si>
  <si>
    <t>bmgb99@live.com</t>
  </si>
  <si>
    <t>tianleandro13@hotmail.com</t>
  </si>
  <si>
    <t>mcsantiago002@gmail.com</t>
  </si>
  <si>
    <t>andres951980@hotmail.com</t>
  </si>
  <si>
    <t>facturacionjeisonmartinez@gmail.com</t>
  </si>
  <si>
    <t>123yudy@gmail.com</t>
  </si>
  <si>
    <t>henyega@hotmail.com</t>
  </si>
  <si>
    <t>derly1722@gmail.com</t>
  </si>
  <si>
    <t>angelicamejia472@gmail.com</t>
  </si>
  <si>
    <t>dvelasquez2510@gmail.com</t>
  </si>
  <si>
    <t>katherinesalcedo12@gmail.com</t>
  </si>
  <si>
    <t>angiecarolinasc@hotmail.com</t>
  </si>
  <si>
    <t>astridsarivera14@hotmail.com</t>
  </si>
  <si>
    <t>yesikagutierrez23@gmail.com</t>
  </si>
  <si>
    <t>jairogallardo0521@gmail.com</t>
  </si>
  <si>
    <t>taniajimenez.matematicas@gmail.com</t>
  </si>
  <si>
    <t>edith950618@gmail.com</t>
  </si>
  <si>
    <t>cami9508@gmail.com</t>
  </si>
  <si>
    <t>leidyrosanatorrescanon@gmail.com</t>
  </si>
  <si>
    <t>eddard.rojas@gmail.com</t>
  </si>
  <si>
    <t>yervel95@gmail.com</t>
  </si>
  <si>
    <t>johaniitha95@gmail.com</t>
  </si>
  <si>
    <t>julianaa_28@hotmail.com</t>
  </si>
  <si>
    <t>edinson095@gmail.com</t>
  </si>
  <si>
    <t>andres_herrera0@gmail.com</t>
  </si>
  <si>
    <t>angelvero218@gmail.com</t>
  </si>
  <si>
    <t>yeilo1310@gmail.com</t>
  </si>
  <si>
    <t>elipinzon2705@gmail.com</t>
  </si>
  <si>
    <t>paogonzalez1425@gmail.com</t>
  </si>
  <si>
    <t>jeison.botia21@gmail.com</t>
  </si>
  <si>
    <t>nancy.rosas@misena.edu.co</t>
  </si>
  <si>
    <t>jeison.jeisonrojas.rojas@gmail.com</t>
  </si>
  <si>
    <t>juliianalarat@gmail.com</t>
  </si>
  <si>
    <t>jejutorres09@gmail.com</t>
  </si>
  <si>
    <t>elkin.321@hotmail.com</t>
  </si>
  <si>
    <t>arley.valderrama32@gmail.com</t>
  </si>
  <si>
    <t>natalynitola0602@gmail.com</t>
  </si>
  <si>
    <t>paolasolano11@gmail.com</t>
  </si>
  <si>
    <t>pahola1107@gmail.com</t>
  </si>
  <si>
    <t>juanpablopg95@hotmail.com</t>
  </si>
  <si>
    <t>ALEXAESPINDOLA2907@gmail.com</t>
  </si>
  <si>
    <t>vlvalderrama_12@gmail.com</t>
  </si>
  <si>
    <t>kgvelasquezb@gmail.com</t>
  </si>
  <si>
    <t>newyork.katherin@hotmail.com</t>
  </si>
  <si>
    <t>dpuertosotto@gmail.com</t>
  </si>
  <si>
    <t>diegoacevedo995@gmail.com</t>
  </si>
  <si>
    <t>camilovillamor29@gmail.com</t>
  </si>
  <si>
    <t>zaira.cardenas95@gmail.com</t>
  </si>
  <si>
    <t>wilson_gr_tibaduiza@hotmail.com</t>
  </si>
  <si>
    <t>danieltibaduiza16@gmail.com</t>
  </si>
  <si>
    <t>davidmendi2009@gmail.com</t>
  </si>
  <si>
    <t>yowlin_2808@hotmail.com</t>
  </si>
  <si>
    <t>tatianamendivelso0895@gmail.com</t>
  </si>
  <si>
    <t>SANGYLORENA@GMAIL.COM</t>
  </si>
  <si>
    <t>yolisbonilla787@gmail.com</t>
  </si>
  <si>
    <t>dc5858775@gmail.com</t>
  </si>
  <si>
    <t>miguelnipa@gmail.com</t>
  </si>
  <si>
    <t>sebas.espi.cuerv@gmail.com</t>
  </si>
  <si>
    <t>fredybz.0926@gmail.com</t>
  </si>
  <si>
    <t>javida10@hotmail.com</t>
  </si>
  <si>
    <t>nalejandro.bernalj@gmail.com</t>
  </si>
  <si>
    <t>andrecastillo2126@gmail.com</t>
  </si>
  <si>
    <t>astridcitavargas@gmail.com</t>
  </si>
  <si>
    <t>hopebello2704@gmail.com</t>
  </si>
  <si>
    <t>davidasilvaa2629@gmail.com</t>
  </si>
  <si>
    <t>ljbaez@misea.ed.co</t>
  </si>
  <si>
    <t>lyfigueredo@misena.edu.co</t>
  </si>
  <si>
    <t>monicamedinaandrea95@gmail.com</t>
  </si>
  <si>
    <t>estefania090995@gmail.com</t>
  </si>
  <si>
    <t>sandrajhernandez14@hotmail.com</t>
  </si>
  <si>
    <t>melizafuentes.95@gmail.com</t>
  </si>
  <si>
    <t>carmenlorenaabrilmorales20@gmail.com</t>
  </si>
  <si>
    <t>valderramaana917@gmail.com</t>
  </si>
  <si>
    <t>lecarolina.012@gmail.com</t>
  </si>
  <si>
    <t>richi4049@gmail.com</t>
  </si>
  <si>
    <t>jz35836@gmail.com</t>
  </si>
  <si>
    <t>luisaparedes51@hotmail.com</t>
  </si>
  <si>
    <t>lorenslopez17@gmail.com</t>
  </si>
  <si>
    <t>adrianakatherinec@gmail.com</t>
  </si>
  <si>
    <t>annaroam@hotmail.com</t>
  </si>
  <si>
    <t>leidykaboga8@hotmail.com</t>
  </si>
  <si>
    <t>ajosealmincarfuentes@gmail.com</t>
  </si>
  <si>
    <t>anitavg@misena.edu.co</t>
  </si>
  <si>
    <t>JAVIER.95.B@gmail.com</t>
  </si>
  <si>
    <t>loreangie7@gmail.com</t>
  </si>
  <si>
    <t>julyssta@gmail.com</t>
  </si>
  <si>
    <t>sktcaro@gmail.com</t>
  </si>
  <si>
    <t>bcorredoralvarez@gmail.com</t>
  </si>
  <si>
    <t>wilsonco9501@gmail.com</t>
  </si>
  <si>
    <t>yuliethlorenal@gmail.com</t>
  </si>
  <si>
    <t>facturasharleymartinez@gmail.com</t>
  </si>
  <si>
    <t>nandrearogo27@gmail.com</t>
  </si>
  <si>
    <t>karenpatihuerfanoulcue@gmail.com</t>
  </si>
  <si>
    <t>nicolasgomez2195@gmail.com</t>
  </si>
  <si>
    <t>lambecerra@hotmail.com</t>
  </si>
  <si>
    <t>rest.piragua@gmail.com</t>
  </si>
  <si>
    <t>dianalizethriosdiaz29@gmail.com</t>
  </si>
  <si>
    <t>angelica.alvarado2811@gmail.com</t>
  </si>
  <si>
    <t>erikaespejo95@gmail.com</t>
  </si>
  <si>
    <t>marydol95@gmail.com</t>
  </si>
  <si>
    <t>laura.camacho9524@gmail.com</t>
  </si>
  <si>
    <t>lilianithavega@hotmail.es</t>
  </si>
  <si>
    <t>slendychaparro@gmail.com</t>
  </si>
  <si>
    <t>luis.carrillo9512@gmail.com</t>
  </si>
  <si>
    <t>andersonjc0711@gmail.com</t>
  </si>
  <si>
    <t>estefania.laboral12@gmail.com</t>
  </si>
  <si>
    <t>fernandach95@hotmail.com</t>
  </si>
  <si>
    <t>lau_becerra1012@hotmail.com</t>
  </si>
  <si>
    <t>johanamolano73@gmail.com</t>
  </si>
  <si>
    <t>johannita951231@gmail.com</t>
  </si>
  <si>
    <t>estevan2895@gmail.com</t>
  </si>
  <si>
    <t>cristian.p133014@gmail.com</t>
  </si>
  <si>
    <t>wilcoro96@gmail.com</t>
  </si>
  <si>
    <t>ladymanuelagarcia@gmail.com</t>
  </si>
  <si>
    <t>asolanoholguin@gmail.com</t>
  </si>
  <si>
    <t>emdh2601@gmail.com</t>
  </si>
  <si>
    <t>ycniarr@gmail.com</t>
  </si>
  <si>
    <t>dhayanasolano@gmail.com</t>
  </si>
  <si>
    <t>lauris-21@hotmail.com</t>
  </si>
  <si>
    <t>danielasalcedo95@gmail.com</t>
  </si>
  <si>
    <t>felipe22151995@gmail.com</t>
  </si>
  <si>
    <t>cabradavid1995@gmail.com</t>
  </si>
  <si>
    <t>angiepaola.figueredo18@gmail.com</t>
  </si>
  <si>
    <t>lifevago@gmail.com</t>
  </si>
  <si>
    <t>dianams9605@gmail.com</t>
  </si>
  <si>
    <t>juestiven2909@gmail.com</t>
  </si>
  <si>
    <t>pilarquintero2303@gmail.com</t>
  </si>
  <si>
    <t>andreapamplona25@gmail.com</t>
  </si>
  <si>
    <t>jorge.garzon@gmail.com</t>
  </si>
  <si>
    <t>noritagomezt96@gmail.com</t>
  </si>
  <si>
    <t>josedavidb44@gmail.com</t>
  </si>
  <si>
    <t>dayana.gil@uptc.edu.co</t>
  </si>
  <si>
    <t>alexandra.benitezqui@gmail.com</t>
  </si>
  <si>
    <t>jefferalvarezp@gmail.com</t>
  </si>
  <si>
    <t>aajc1996@hotmail.com</t>
  </si>
  <si>
    <t>mayec2086@gmail.com</t>
  </si>
  <si>
    <t>orlandomoralespatiño@gmail.com</t>
  </si>
  <si>
    <t>elizabethpuerto15@gmail.com</t>
  </si>
  <si>
    <t>luks0112010@hotmail.es</t>
  </si>
  <si>
    <t>milenaypipe@gmail.com</t>
  </si>
  <si>
    <t>danielpedraza085@gmail.com</t>
  </si>
  <si>
    <t>salamancaw529@gmail.com</t>
  </si>
  <si>
    <t>juanvargas1052@gmail.com</t>
  </si>
  <si>
    <t>pipedaza1995@hotmail.com</t>
  </si>
  <si>
    <t>lmgc8822@gmail.com</t>
  </si>
  <si>
    <t>oviedomariana2@gmail.com</t>
  </si>
  <si>
    <t>mahechanidia8@gmail.com</t>
  </si>
  <si>
    <t>juangabrielcastro5@gmail.com</t>
  </si>
  <si>
    <t>linanatalysuarez3210@gmail.com</t>
  </si>
  <si>
    <t>empepala@gmail.com</t>
  </si>
  <si>
    <t>davidbarrera19961@gmail.com</t>
  </si>
  <si>
    <t>erika_hiquera@hotmail.com</t>
  </si>
  <si>
    <t>johannanc@gmail.com</t>
  </si>
  <si>
    <t>dosalcedo1996@gmail.com</t>
  </si>
  <si>
    <t>yerman.96@hotmail.com</t>
  </si>
  <si>
    <t>jhon_54896@hotmail.com</t>
  </si>
  <si>
    <t>davidmonsalve1334@gmail.com</t>
  </si>
  <si>
    <t>agchaparro378@misena.edu.com</t>
  </si>
  <si>
    <t>pcamilo69@gmail.com</t>
  </si>
  <si>
    <t>alejase3004@gmail.com</t>
  </si>
  <si>
    <t>dorilocosconamor@gmail.com</t>
  </si>
  <si>
    <t>tere_96@live.com</t>
  </si>
  <si>
    <t>angelicamariapitarueda@gmail.com</t>
  </si>
  <si>
    <t>pepepaezpaez@gmail.com</t>
  </si>
  <si>
    <t>madamemedinad4979619@gmail.com</t>
  </si>
  <si>
    <t>edwin.30091996@hotmail.com</t>
  </si>
  <si>
    <t>mcamilaortegap@hotmail.com</t>
  </si>
  <si>
    <t>sussangabrielamorales@gmail.com</t>
  </si>
  <si>
    <t>migueleduardosalcedotolosa@gmail.com</t>
  </si>
  <si>
    <t>erikabecerra2526@gmail.com</t>
  </si>
  <si>
    <t>hannagonzalez1125@gmail.com</t>
  </si>
  <si>
    <t>paulamargaritag@gmail.com</t>
  </si>
  <si>
    <t>lauravergara765@gmail.com</t>
  </si>
  <si>
    <t>ltenjosuarez@gmail.com</t>
  </si>
  <si>
    <t>loles5025126@outlook.com</t>
  </si>
  <si>
    <t>jhonsebastianfernandezlopez@gmail.com</t>
  </si>
  <si>
    <t>20morales96@gmail.com</t>
  </si>
  <si>
    <t>nicolas96vega@gmail.com</t>
  </si>
  <si>
    <t>johanperezreyes9@gmail.com</t>
  </si>
  <si>
    <t>andreachi.s@outlook.com</t>
  </si>
  <si>
    <t>camiloalvarez0521@gmail.com</t>
  </si>
  <si>
    <t>johannamesa@misena.edu.co</t>
  </si>
  <si>
    <t>yesicapaolacastroavendano4@gmail.com</t>
  </si>
  <si>
    <t>juandpg1205@gmail.com</t>
  </si>
  <si>
    <t>holmis26@hotmail.com</t>
  </si>
  <si>
    <t>MARIAPAULAAVENDANO@hotmail.com</t>
  </si>
  <si>
    <t>ynvivas9@gmail.com</t>
  </si>
  <si>
    <t>javierpuerto100@gmail.com</t>
  </si>
  <si>
    <t>karencorredor@gmail.com</t>
  </si>
  <si>
    <t>alejandrov07@hotmail.com</t>
  </si>
  <si>
    <t>nitolajohana321@gmail.com</t>
  </si>
  <si>
    <t>jennifer.triana@hotmail.com</t>
  </si>
  <si>
    <t>jnnyeralexander@gmail.com</t>
  </si>
  <si>
    <t>ananuvan@gmaill.com</t>
  </si>
  <si>
    <t>lorer2595@gmail.com</t>
  </si>
  <si>
    <t>kapone027@gmail.com</t>
  </si>
  <si>
    <t>ruegemiguelangel@gmail.com</t>
  </si>
  <si>
    <t>mineyanaya@hotmail.com</t>
  </si>
  <si>
    <t>eduardoespindolapulido@gmail.com</t>
  </si>
  <si>
    <t>erika.sepulveda096@gmail.com</t>
  </si>
  <si>
    <t>mafesita_306@hotmail.com</t>
  </si>
  <si>
    <t>robles.camilo41@gmail.com</t>
  </si>
  <si>
    <t>tanil_16@hotmail.com</t>
  </si>
  <si>
    <t>natamurcia1903@gmail.com</t>
  </si>
  <si>
    <t>nanayaz11@yahoo.es</t>
  </si>
  <si>
    <t>mayris010796@gmail.com</t>
  </si>
  <si>
    <t>juli.velandia96@gmail.com</t>
  </si>
  <si>
    <t>kcely6457@gmail.com</t>
  </si>
  <si>
    <t>uyazan.karen@gmail.com</t>
  </si>
  <si>
    <t>alexa_9618@hotmail.com</t>
  </si>
  <si>
    <t>johnsepinzon@gmail.com</t>
  </si>
  <si>
    <t>liddi12@hotmail.com</t>
  </si>
  <si>
    <t>alisonj1824.ac@gmail.com</t>
  </si>
  <si>
    <t>leidyarias04@gmail.com</t>
  </si>
  <si>
    <t>claudia.cif31@gmail.com</t>
  </si>
  <si>
    <t>karenv9603@gmail.com</t>
  </si>
  <si>
    <t>manuelcuevas633@gmail.com</t>
  </si>
  <si>
    <t>khristian.nharanjo.1@gmail.com</t>
  </si>
  <si>
    <t>432sogamoso@gmail.com</t>
  </si>
  <si>
    <t>cuadrosmorales1996@gmail.com</t>
  </si>
  <si>
    <t>katherin96camargo@gmail.com</t>
  </si>
  <si>
    <t>cristian2537@gmail.com</t>
  </si>
  <si>
    <t>lau07914@gmail.com</t>
  </si>
  <si>
    <t>andreita200931@hotmail.com</t>
  </si>
  <si>
    <t>angiemejia237@gmail.com</t>
  </si>
  <si>
    <t>santiagoreyes1918@gmail.com</t>
  </si>
  <si>
    <t>sandrapatricia.sandrita.fajard@gmail.com</t>
  </si>
  <si>
    <t>YERI9608@gmail.com</t>
  </si>
  <si>
    <t>rafakmargo07@gmail.com</t>
  </si>
  <si>
    <t>leidysamu4@gmail.com</t>
  </si>
  <si>
    <t>vanesacastro419@gmail.com</t>
  </si>
  <si>
    <t>leidyduarte823@gmail.com</t>
  </si>
  <si>
    <t>torresandresfelipe67@gmail.com</t>
  </si>
  <si>
    <t>luizafernandaporrasacosta@gmail.com</t>
  </si>
  <si>
    <t>juliethsanchez716@gmail.com</t>
  </si>
  <si>
    <t>vegamo12@gmail.com</t>
  </si>
  <si>
    <t>jmsalcedo15123@gmail.com</t>
  </si>
  <si>
    <t>nixon-ms@hotmail.com</t>
  </si>
  <si>
    <t>tcarvajal096@gmail.com</t>
  </si>
  <si>
    <t>rojasorozco1128@gmail.com</t>
  </si>
  <si>
    <t>yjlc2009@hotmail.com</t>
  </si>
  <si>
    <t>cristianmurillopei@gmail.com</t>
  </si>
  <si>
    <t>mliliavella@gmail.com</t>
  </si>
  <si>
    <t>gaguar96@gmail.com</t>
  </si>
  <si>
    <t>juankfonseca08@gmail.com</t>
  </si>
  <si>
    <t>elizabethlozano2085@hotmail.com</t>
  </si>
  <si>
    <t>jeissoncamilovargasvargas@gmail.com</t>
  </si>
  <si>
    <t>fonsecaangela996@gmail.com</t>
  </si>
  <si>
    <t>carlosicb11@gmail.com</t>
  </si>
  <si>
    <t>stefany.saenz0516@gmail.com</t>
  </si>
  <si>
    <t>monica.rincon01@uptc.edu.co</t>
  </si>
  <si>
    <t>isa_lopezp@hotmail.com</t>
  </si>
  <si>
    <t>myloohrz698@gmail.com</t>
  </si>
  <si>
    <t>wsah2303@gmail.com</t>
  </si>
  <si>
    <t>carolinadaza2005@gmail.com</t>
  </si>
  <si>
    <t>jejho_77@outlook.com</t>
  </si>
  <si>
    <t>dianaherreragrana2@gmail.com</t>
  </si>
  <si>
    <t>tatianarosas9@outlook.es</t>
  </si>
  <si>
    <t>MONTALLANTASCASTIBLANCO@gmail.com</t>
  </si>
  <si>
    <t>polaniawilmer.13@gmail.com</t>
  </si>
  <si>
    <t>geomartgrim1995@gmail.com</t>
  </si>
  <si>
    <t>miguelsalcedopfc25@gmail.com</t>
  </si>
  <si>
    <t>lauravictoriaochoamartinez@gmail.com</t>
  </si>
  <si>
    <t>milenatamara1308@gmail.com</t>
  </si>
  <si>
    <t>fredyloup@outlook.es</t>
  </si>
  <si>
    <t>mcarrillo00@uan.edu.co</t>
  </si>
  <si>
    <t>ing.zymendoza@gmail.com</t>
  </si>
  <si>
    <t>anyibecerraindeportes@gmail.com</t>
  </si>
  <si>
    <t>yesidfernando.66@gmail.com</t>
  </si>
  <si>
    <t>mariap1931@hotmail.com</t>
  </si>
  <si>
    <t>segurititecnology@gmail.com</t>
  </si>
  <si>
    <t>galuscastañeda@gmail.com</t>
  </si>
  <si>
    <t>OMAR.BELTRAN1122@GMAIL.COM</t>
  </si>
  <si>
    <t>patamayop.ion@gmail.com</t>
  </si>
  <si>
    <t>mayerlyapineda@gmail.com</t>
  </si>
  <si>
    <t>cart.92@gmail.com</t>
  </si>
  <si>
    <t>claudis962010@hotmail.com</t>
  </si>
  <si>
    <t>loreriveracorredor1996@gmail.com</t>
  </si>
  <si>
    <t>angelica.duenash@gmail.com</t>
  </si>
  <si>
    <t>paulita166@hotmail.com</t>
  </si>
  <si>
    <t>luisa970106@gmail.com</t>
  </si>
  <si>
    <t>andresitho.2004@gmail.com</t>
  </si>
  <si>
    <t>aacostarojas7@gmail.com</t>
  </si>
  <si>
    <t>mogollonsandra79@gmail.com</t>
  </si>
  <si>
    <t>melizabaron11@gmail.com</t>
  </si>
  <si>
    <t>marlonfred22@hotmail.com</t>
  </si>
  <si>
    <t>danielyolga6@gmail.com</t>
  </si>
  <si>
    <t>leidi.reyes108@gmail.com</t>
  </si>
  <si>
    <t>sahifepi@gmail.com</t>
  </si>
  <si>
    <t>ZULAYAMADO97@GMAIL.COM</t>
  </si>
  <si>
    <t>luzaydediaz@gmail.com</t>
  </si>
  <si>
    <t>adriana.larabecerra01@gmail.com</t>
  </si>
  <si>
    <t>pf.camargo@unicieo.edu.co</t>
  </si>
  <si>
    <t>comercializadoradealimentosjec@gmail.com</t>
  </si>
  <si>
    <t>alejis.vargas06@gmail.com</t>
  </si>
  <si>
    <t>mauricio0128@outlook.es</t>
  </si>
  <si>
    <t>lilimareto27@gmail.com</t>
  </si>
  <si>
    <t>lorenapineda770@gmail.com</t>
  </si>
  <si>
    <t>jahir.fiquitiva@gmail.com</t>
  </si>
  <si>
    <t>juand.herpi@gmail.com</t>
  </si>
  <si>
    <t>brileon22@gmail.com</t>
  </si>
  <si>
    <t>ferar.1593@gmail.com</t>
  </si>
  <si>
    <t>davidortiz132duitama@gmail.com</t>
  </si>
  <si>
    <t>hoverduvan97@hotmail.com</t>
  </si>
  <si>
    <t>mileine1234@gmail.com</t>
  </si>
  <si>
    <t>jhonma39@hotmail.com</t>
  </si>
  <si>
    <t>deisycapri97@gmail.com</t>
  </si>
  <si>
    <t>jrafael0217@gmail.com</t>
  </si>
  <si>
    <t>andrei.co@misena.edu.co</t>
  </si>
  <si>
    <t>jessica.avendano01@uptc.edu.co</t>
  </si>
  <si>
    <t>vanessafigueredo900@gmail.com</t>
  </si>
  <si>
    <t>andreschinome770@gmail.com</t>
  </si>
  <si>
    <t>carolinapaezgo@gmail.com</t>
  </si>
  <si>
    <t>torresedisson8@gmail.com</t>
  </si>
  <si>
    <t>suarezm53@gmail.com</t>
  </si>
  <si>
    <t>sebastiangalindo432@gmail.com</t>
  </si>
  <si>
    <t>manuela1118@hotmail.com</t>
  </si>
  <si>
    <t>ubandaunpluggedbanda@gmail.com</t>
  </si>
  <si>
    <t>vivip1503@hotmail.com</t>
  </si>
  <si>
    <t>gatojhon56charly@hotmail.com</t>
  </si>
  <si>
    <t>lyda.rocio97@gmail.com</t>
  </si>
  <si>
    <t>dani.rojas78888@gmail.com</t>
  </si>
  <si>
    <t>julian190397@gmail.com</t>
  </si>
  <si>
    <t>ivancasuarez16@gmail.com</t>
  </si>
  <si>
    <t>humbertolopez@hotmail.com</t>
  </si>
  <si>
    <t>molanoyeison781@gmail.com</t>
  </si>
  <si>
    <t>linahinca@hotmail.com</t>
  </si>
  <si>
    <t>diego.cuspoca97@gmail.com</t>
  </si>
  <si>
    <t>bautistajulian10@gmail.com</t>
  </si>
  <si>
    <t>morenovivasyesica@gmail.com</t>
  </si>
  <si>
    <t>thiagomatis1203@gmail.com</t>
  </si>
  <si>
    <t>krenval01@gmail.com</t>
  </si>
  <si>
    <t>freestyleduitama@gmail.com</t>
  </si>
  <si>
    <t>tecnidieselcsc@gmail.com</t>
  </si>
  <si>
    <t>katherinecabra02@gmail.com</t>
  </si>
  <si>
    <t>camiloan76@gmail.com</t>
  </si>
  <si>
    <t>monita0331martinez@gmail.com</t>
  </si>
  <si>
    <t>orlandoriveros.8@hotmail.com</t>
  </si>
  <si>
    <t>fabiansantiagomartinez1997@gmail.com</t>
  </si>
  <si>
    <t>kmilamedina75@gmail.com</t>
  </si>
  <si>
    <t>chinomebrayan34@gmail.com</t>
  </si>
  <si>
    <t>sneidercuervo97@hotmail.com</t>
  </si>
  <si>
    <t>juliana.avila.t@gmail.com</t>
  </si>
  <si>
    <t>derlymartinez10@gmail.com</t>
  </si>
  <si>
    <t>angelicacon65@gmail.com</t>
  </si>
  <si>
    <t>edibello@misena.edu.co</t>
  </si>
  <si>
    <t>gomeznatalia173@gmail.com</t>
  </si>
  <si>
    <t>danieljaimeu@gmail.com</t>
  </si>
  <si>
    <t>carolina.cano0506@gmail.com</t>
  </si>
  <si>
    <t>vianeygil05@gmail.com</t>
  </si>
  <si>
    <t>erika0711gomez@gmail.com</t>
  </si>
  <si>
    <t>andreakaterinecardozo@gmail.com</t>
  </si>
  <si>
    <t>chaparrocelyruiz@gmail.com</t>
  </si>
  <si>
    <t>marianatorres.0419@gmail.com</t>
  </si>
  <si>
    <t>sebatian.d.paez8@gmail.com</t>
  </si>
  <si>
    <t>Toquillantas2010@gmail.com</t>
  </si>
  <si>
    <t>ejpb1030@gmail.com</t>
  </si>
  <si>
    <t>leonardovillates@gmail.com</t>
  </si>
  <si>
    <t>sofia.pinto@uptc.edu.co</t>
  </si>
  <si>
    <t>zulmaycastro05@gmail.com</t>
  </si>
  <si>
    <t>LEYUJONA@GMAIL.COM</t>
  </si>
  <si>
    <t>tdiaz6262@gmail.com</t>
  </si>
  <si>
    <t>garxonbrayan@gmail.com</t>
  </si>
  <si>
    <t>jeissoncamilobonilla1@gmail.com</t>
  </si>
  <si>
    <t>alejoarias1015@gmail.com</t>
  </si>
  <si>
    <t>rodriguezyessid3@gmail.com</t>
  </si>
  <si>
    <t>jessikasu13@gmail.com</t>
  </si>
  <si>
    <t>baronhuertas@gmail.com</t>
  </si>
  <si>
    <t>camilonontoa664@gmail.com</t>
  </si>
  <si>
    <t>angievlagos97@gmail.com</t>
  </si>
  <si>
    <t>andres.botia@hotmail.es</t>
  </si>
  <si>
    <t>gaitangonzalez28@gmail.com</t>
  </si>
  <si>
    <t>dianitagar66@gmail.com</t>
  </si>
  <si>
    <t>karitho.9707@gmail.com</t>
  </si>
  <si>
    <t>facturacionjhiguera@gmail.com</t>
  </si>
  <si>
    <t>xader.edu.fisico@gmail.com</t>
  </si>
  <si>
    <t>gomezcamilo112.cgm@gmail.com</t>
  </si>
  <si>
    <t>dannag729@gmail.com</t>
  </si>
  <si>
    <t>medinadumar1997@gmail.com</t>
  </si>
  <si>
    <t>torresanderson279@gmail.com</t>
  </si>
  <si>
    <t>villandrea082@hotmail.com</t>
  </si>
  <si>
    <t>dausageraldine@gmail.com</t>
  </si>
  <si>
    <t>catahernandez.97@gmail.com</t>
  </si>
  <si>
    <t>apmolanonion@gmail.com</t>
  </si>
  <si>
    <t>hans.wiest18@gmail.com</t>
  </si>
  <si>
    <t>malejandracamachod@gmail.com</t>
  </si>
  <si>
    <t>aguilarsoroca@gmail.com</t>
  </si>
  <si>
    <t>camilabarrera1052@gmail.com</t>
  </si>
  <si>
    <t>rafest16@hotmail.com</t>
  </si>
  <si>
    <t>nath1927d@gmail.com</t>
  </si>
  <si>
    <t>estefantibaduizacolmenares@gmail.com</t>
  </si>
  <si>
    <t>hernandez.diana156@gmail.com</t>
  </si>
  <si>
    <t>dtfg627@gmail.com</t>
  </si>
  <si>
    <t>melodiacafebar@gmail.com</t>
  </si>
  <si>
    <t>brayanmesa@gmail.com</t>
  </si>
  <si>
    <t>duvangk96@gmail.com</t>
  </si>
  <si>
    <t>sanudylanza@gmail.com</t>
  </si>
  <si>
    <t>dianapaolatkm@gmail.com</t>
  </si>
  <si>
    <t>johanfigueroa878@gmail.com</t>
  </si>
  <si>
    <t>anamitamojica04@gmail.com</t>
  </si>
  <si>
    <t>kmipercu@gmail.com</t>
  </si>
  <si>
    <t>jhongarcia0930@gmail.com</t>
  </si>
  <si>
    <t>paolacris97@gmail.com</t>
  </si>
  <si>
    <t>dediosjessicad@gmail.com</t>
  </si>
  <si>
    <t>medinadelgado.juandavid@gmail.com</t>
  </si>
  <si>
    <t>vpedrazaaguilar@gmail.com</t>
  </si>
  <si>
    <t>diego_kronox@hotmail.com</t>
  </si>
  <si>
    <t>santiago.cristancho.21@gmail.com</t>
  </si>
  <si>
    <t>catalina.rodriguez.psic@gmail.com</t>
  </si>
  <si>
    <t>juan_03111@hotmail.com</t>
  </si>
  <si>
    <t>lesmes.dani2@gmail.com</t>
  </si>
  <si>
    <t>chavelarri@yahoo.com</t>
  </si>
  <si>
    <t>andream9722@gmail.com</t>
  </si>
  <si>
    <t>camilaleonverdugo@gmail.com</t>
  </si>
  <si>
    <t>freddybecerra48@gmail.com</t>
  </si>
  <si>
    <t>cristianrincon1104@gmail.com</t>
  </si>
  <si>
    <t>jonnathan.pedrozza@gmail.com</t>
  </si>
  <si>
    <t>tatianita-53@hotmail.com</t>
  </si>
  <si>
    <t>amayamesayancarlos@gmail.com</t>
  </si>
  <si>
    <t>mariapaulagrimaldos@gmail.com</t>
  </si>
  <si>
    <t>karito97reyes@gmail.com</t>
  </si>
  <si>
    <t>isramirez1507@gmail.com</t>
  </si>
  <si>
    <t>espejomajo03@gmail.com</t>
  </si>
  <si>
    <t>paolaholguin2511@gmail.com</t>
  </si>
  <si>
    <t>carlithoz595@gmail.com</t>
  </si>
  <si>
    <t>felipecastillo1297@gmail.com</t>
  </si>
  <si>
    <t>lmdiaz4580@gmail.com</t>
  </si>
  <si>
    <t>jessica.181430@gmail.com</t>
  </si>
  <si>
    <t>ronaldojrec7@gmail.com</t>
  </si>
  <si>
    <t>cristianmateocast@gmail.com</t>
  </si>
  <si>
    <t>miguelballesteros217@gmail.com</t>
  </si>
  <si>
    <t>andavid971215@gmail.com</t>
  </si>
  <si>
    <t>jjortizv@unal.edu.co</t>
  </si>
  <si>
    <t>KMILITOCUSPOCA@hotmail.com</t>
  </si>
  <si>
    <t>mm.giraldo97@gmail.com</t>
  </si>
  <si>
    <t>vbrayamwilfredoz1@gmail.com</t>
  </si>
  <si>
    <t>pescadavid7@gmail.com</t>
  </si>
  <si>
    <t>ggdc@misena.edu.co</t>
  </si>
  <si>
    <t>damagu971227@gmail.com</t>
  </si>
  <si>
    <t>abecerramanrique29@gmail.com</t>
  </si>
  <si>
    <t>juliethtellez0103@gmail.com</t>
  </si>
  <si>
    <t>rinconquirogalaura@hotmail.com</t>
  </si>
  <si>
    <t>marcepuentes@gmail.com</t>
  </si>
  <si>
    <t>dayanaalfonsoochoa@gmail.com</t>
  </si>
  <si>
    <t>brandolhurtado@gmail.com</t>
  </si>
  <si>
    <t>elkinjhovannyt@gmail.com</t>
  </si>
  <si>
    <t>CEAPONTE2211@hotmail.com</t>
  </si>
  <si>
    <t>mccipagauta@gmail.com</t>
  </si>
  <si>
    <t>fermijairsuarez@gmail.com</t>
  </si>
  <si>
    <t>yanitzaximena14@gmail.com</t>
  </si>
  <si>
    <t>sebasgon97@gmail.com</t>
  </si>
  <si>
    <t>leidypedraza25@gmail.com</t>
  </si>
  <si>
    <t>camilomejia340@gmail.com</t>
  </si>
  <si>
    <t>angelavega0122@gmail.com</t>
  </si>
  <si>
    <t>angielorena206@hotmail.com</t>
  </si>
  <si>
    <t>javierchabogado@gmail.com</t>
  </si>
  <si>
    <t>seivoc@hotmail.com</t>
  </si>
  <si>
    <t>ing.cristian.cely@gmail.com</t>
  </si>
  <si>
    <t>ingrid.0312hernandez@gmail.com</t>
  </si>
  <si>
    <t>alejobecerra170@gmail.com</t>
  </si>
  <si>
    <t>98andresfajardo98@gmail.com</t>
  </si>
  <si>
    <t>dianaglo35@hotmail.com</t>
  </si>
  <si>
    <t>zulmacastro2020@gmail.com</t>
  </si>
  <si>
    <t>bautistanovaoscarlibardo@gmail.com</t>
  </si>
  <si>
    <t>nancy98nc@gmail.com</t>
  </si>
  <si>
    <t>alforredor@gmail.com</t>
  </si>
  <si>
    <t>jeniferleguizamon03@gmail.com</t>
  </si>
  <si>
    <t>crismaldonado56@gmail.com</t>
  </si>
  <si>
    <t>mydayaromero@gmail.com</t>
  </si>
  <si>
    <t>sebastianhiguera98021@hotmail.com</t>
  </si>
  <si>
    <t>claudiamgonzalez21@gmail.com</t>
  </si>
  <si>
    <t>ferchislo113097@gmail.com</t>
  </si>
  <si>
    <t>maydenlucy@gmail.com</t>
  </si>
  <si>
    <t>andre.tiriasantos10@gmail.com</t>
  </si>
  <si>
    <t>ljohana.guerreroarevalo@gmail.com</t>
  </si>
  <si>
    <t>alicia_9307@hotmail.com</t>
  </si>
  <si>
    <t>mariainrom97@gmail.com</t>
  </si>
  <si>
    <t>vncardenal@gmail.com</t>
  </si>
  <si>
    <t>mafeyandy@hotmail.com</t>
  </si>
  <si>
    <t>marcelaamendozaa@gmail.com</t>
  </si>
  <si>
    <t>alexacorredor9804@gmail.com</t>
  </si>
  <si>
    <t>ivanesteban804@gmail.com</t>
  </si>
  <si>
    <t>bra.rayam195@gmail.com</t>
  </si>
  <si>
    <t>mcrodriguezn98@gmail.com</t>
  </si>
  <si>
    <t>jeferson.gonzalez@uptc.edu.co</t>
  </si>
  <si>
    <t>kathecely22@gmail.com</t>
  </si>
  <si>
    <t>diana.alci@hotmail.com</t>
  </si>
  <si>
    <t>michaelvargas9810@gmail.com</t>
  </si>
  <si>
    <t>manuela_cv14@hotmail.com</t>
  </si>
  <si>
    <t>gellenrojas@gmail.com</t>
  </si>
  <si>
    <t>cuervo980320@gmail.com</t>
  </si>
  <si>
    <t>sandra.yenit.silva@gmail.com</t>
  </si>
  <si>
    <t>jorgeabarrerab@hotmail.com</t>
  </si>
  <si>
    <t>juanroka11@hotmail.com</t>
  </si>
  <si>
    <t>andreanv62@gmail.com</t>
  </si>
  <si>
    <t>yuru.cris.98@gmail.com</t>
  </si>
  <si>
    <t>julianacelyreyes@gmail.com</t>
  </si>
  <si>
    <t>reyesperillafelipe@gmail.com</t>
  </si>
  <si>
    <t>danielaalejandravivasvargas@gmail.com</t>
  </si>
  <si>
    <t>merchanrodrigezz@gmail.com</t>
  </si>
  <si>
    <t>duvanfnuñoz@gmail.com</t>
  </si>
  <si>
    <t>leo_rojas_98@outlook.com</t>
  </si>
  <si>
    <t>cato.com@hotmail.com</t>
  </si>
  <si>
    <t>lemabaca12@gmail.com</t>
  </si>
  <si>
    <t>laurenthv@outlook.com</t>
  </si>
  <si>
    <t>ERIKA.YULI.0425@gmail.com</t>
  </si>
  <si>
    <t>luzalarcon998@gmail.com</t>
  </si>
  <si>
    <t>jcamargo030598@gmail.com</t>
  </si>
  <si>
    <t>jesikariveros28@gmail.com</t>
  </si>
  <si>
    <t>jonathanbarrera826@gmail.com</t>
  </si>
  <si>
    <t>ayhror@hotmail.com</t>
  </si>
  <si>
    <t>camilacastellanos14@gmail.com</t>
  </si>
  <si>
    <t>ltmorantes@gmail.com</t>
  </si>
  <si>
    <t>cristian.lara@hotmail.es</t>
  </si>
  <si>
    <t>kpiriache@gmail.com</t>
  </si>
  <si>
    <t>yeisontenjo@gmail.com</t>
  </si>
  <si>
    <t>moraleseuscategui@gmail.com</t>
  </si>
  <si>
    <t>jhonathancely@hotmail.com</t>
  </si>
  <si>
    <t>angelita654@hotmail.com</t>
  </si>
  <si>
    <t>sharen.chiquillos@gmail.com</t>
  </si>
  <si>
    <t>andrearojas9804@gmail.com</t>
  </si>
  <si>
    <t>mncardenas@uniboyaca.edu.co</t>
  </si>
  <si>
    <t>riverayoana38@gmail.com</t>
  </si>
  <si>
    <t>montoya.b.p25@gmail.com</t>
  </si>
  <si>
    <t>avellaeli98@gmail.com</t>
  </si>
  <si>
    <t>leidysuz26@gmail.com</t>
  </si>
  <si>
    <t>leiderperalta03@gmail.com</t>
  </si>
  <si>
    <t>dianacolmenares505@gmail.com</t>
  </si>
  <si>
    <t>darwinamaya06@gmail.com</t>
  </si>
  <si>
    <t>mcristina2416@hotmail.com</t>
  </si>
  <si>
    <t>fernandofuentes1998fc@gmail.com</t>
  </si>
  <si>
    <t>layireme.29@hotmail.com</t>
  </si>
  <si>
    <t>paulagv09@hotmail.com</t>
  </si>
  <si>
    <t>begalu088@gmail.com</t>
  </si>
  <si>
    <t>bdanielfquiroga@gmail.com</t>
  </si>
  <si>
    <t>cesaredwar1798@gmail.com</t>
  </si>
  <si>
    <t>andre07.ochoa@gmail.com</t>
  </si>
  <si>
    <t>elena50gonzalez@gmail.com</t>
  </si>
  <si>
    <t>nsleon6@gmail.com</t>
  </si>
  <si>
    <t>lolopez104@gmail.com</t>
  </si>
  <si>
    <t>angelicatatianaem@gmail.com</t>
  </si>
  <si>
    <t>alejamil21@hotmail.com</t>
  </si>
  <si>
    <t>cely18diego@gmail.com</t>
  </si>
  <si>
    <t>dianamerchan1214@gmail.com</t>
  </si>
  <si>
    <t>katerinlaratiria@gmail.com</t>
  </si>
  <si>
    <t>erikaf9810@gmail.com</t>
  </si>
  <si>
    <t>leidicitaochoasilva@gmail.com</t>
  </si>
  <si>
    <t>mafesitasuarez@gmail.com</t>
  </si>
  <si>
    <t>dayanparra54@gmail.com</t>
  </si>
  <si>
    <t>danielamorenora@gmail.com</t>
  </si>
  <si>
    <t>tsuarez235@gmail.com</t>
  </si>
  <si>
    <t>oscar0012011@hotmail.com</t>
  </si>
  <si>
    <t>fabiancastro1569@gmail.com</t>
  </si>
  <si>
    <t>camesa@misena.edu.com</t>
  </si>
  <si>
    <t>richy980802@gmail.com</t>
  </si>
  <si>
    <t>angiepmd091@gmail.com</t>
  </si>
  <si>
    <t>omar013fajardo@gmail.com</t>
  </si>
  <si>
    <t>vargasyesid452@gmail.com</t>
  </si>
  <si>
    <t>moralesselias98@gmail.com</t>
  </si>
  <si>
    <t>buitragocamilo25@gmail.com</t>
  </si>
  <si>
    <t>danielsaxo025@gmail.com</t>
  </si>
  <si>
    <t>gonzalezvivascristiancamilo@gmail.com</t>
  </si>
  <si>
    <t>mduvansolano@gmail.com</t>
  </si>
  <si>
    <t>nelsonferney1998@gmail.com</t>
  </si>
  <si>
    <t>albarracin.lizeh@gmail.com</t>
  </si>
  <si>
    <t>yohana-escapion.24@gmail.com</t>
  </si>
  <si>
    <t>leidyyeseniacarrillo22@gmail.com</t>
  </si>
  <si>
    <t>silvanicolas338@gmail.com</t>
  </si>
  <si>
    <t>spita411@gmail.com</t>
  </si>
  <si>
    <t>sofiaquesada79@gmail.com</t>
  </si>
  <si>
    <t>danielr981107@gmail.com</t>
  </si>
  <si>
    <t>marihanayfelipe@gmail.com</t>
  </si>
  <si>
    <t>monicacelyvargas@gmail.com</t>
  </si>
  <si>
    <t>mayra_diaz0311@outlook.com</t>
  </si>
  <si>
    <t>becerrachaconwilliamdavid@gmail.com</t>
  </si>
  <si>
    <t>nataliaduran396@gmail.com</t>
  </si>
  <si>
    <t>aleja.nury50@gmail.com</t>
  </si>
  <si>
    <t>ronald20paredes@gmail.com</t>
  </si>
  <si>
    <t>lizethtkm14@gmail.com</t>
  </si>
  <si>
    <t>camilafracica09@gmail.com</t>
  </si>
  <si>
    <t>yesicadani1998@gmail.com</t>
  </si>
  <si>
    <t>lbs2111727@gmail.com</t>
  </si>
  <si>
    <t>daviddsosa11@gmail.com</t>
  </si>
  <si>
    <t>colmedaivan@gmail.com</t>
  </si>
  <si>
    <t>leidy105523@gmail.com</t>
  </si>
  <si>
    <t>zuli_1998@outlook.com</t>
  </si>
  <si>
    <t>natalypulido12@gmail.com</t>
  </si>
  <si>
    <t>diego.corredor.98@gmail.com</t>
  </si>
  <si>
    <t>nicolasfonsecafacturacion@gmail.com</t>
  </si>
  <si>
    <t>vargasromeroangiepaola@gmail.com</t>
  </si>
  <si>
    <t>alvaroyecidrojas12@gmail.com</t>
  </si>
  <si>
    <t>lmayleenmartinezl@gmail.com</t>
  </si>
  <si>
    <t>alejandramalpica326@gmail.com</t>
  </si>
  <si>
    <t>alciramartinez16@gmail.com</t>
  </si>
  <si>
    <t>ingridyeralg@gmail.com</t>
  </si>
  <si>
    <t>paola.gil@uptc.edu.co</t>
  </si>
  <si>
    <t>isabelcuadros.1243@gmail.com</t>
  </si>
  <si>
    <t>anyamepa11@gmail.com</t>
  </si>
  <si>
    <t>karenrojasrincon@gmail.com</t>
  </si>
  <si>
    <t>millerpinzon23@hotmail.com</t>
  </si>
  <si>
    <t>natalyortiz2202@gmail.com</t>
  </si>
  <si>
    <t>dazacastrocarlosdavid@gmail.com</t>
  </si>
  <si>
    <t>auranell05@hotmail.com</t>
  </si>
  <si>
    <t>cesar.hardmix@gmail.com</t>
  </si>
  <si>
    <t>linamarcelarojassachica@gmail.com</t>
  </si>
  <si>
    <t>confecciones.imy@gmail.com</t>
  </si>
  <si>
    <t>homero8808@gmail.com</t>
  </si>
  <si>
    <t>edwinprodriguez146@gmail.com</t>
  </si>
  <si>
    <t>lfvasquezro@hotmail.com</t>
  </si>
  <si>
    <t>ivan-andres06@hotmail.com</t>
  </si>
  <si>
    <t>diananitola07@gmail.com</t>
  </si>
  <si>
    <t>connyfera.23@gmail.com</t>
  </si>
  <si>
    <t>pjohansebastian6@gmail.com</t>
  </si>
  <si>
    <t>manuel990215@gmail.com</t>
  </si>
  <si>
    <t>cestefania667@gmail.com</t>
  </si>
  <si>
    <t>johanapuerto99@gmail.com</t>
  </si>
  <si>
    <t>sergiooparra99@gmail.com</t>
  </si>
  <si>
    <t>eyam1199@gmail.com</t>
  </si>
  <si>
    <t>camilaneita09@hotmail.com</t>
  </si>
  <si>
    <t>sergioq15@hotmail.com</t>
  </si>
  <si>
    <t>julianpuerto.ho@gmail.com</t>
  </si>
  <si>
    <t>jeisonse99@gmail.com</t>
  </si>
  <si>
    <t>deisycuna01@gmail.com</t>
  </si>
  <si>
    <t>medinasonia183@gmail.com</t>
  </si>
  <si>
    <t>ashlerojas@gmail.com</t>
  </si>
  <si>
    <t>karlaflorezmendoza@gmail.com</t>
  </si>
  <si>
    <t>angaritakaren04@gmail.com</t>
  </si>
  <si>
    <t>catast@gmail.com</t>
  </si>
  <si>
    <t>cgalindor@unal.edu.co</t>
  </si>
  <si>
    <t>arginima26@gmail.com</t>
  </si>
  <si>
    <t>ljohelc@hotmail.com</t>
  </si>
  <si>
    <t>ing.vivianamerchan01@gmail.com</t>
  </si>
  <si>
    <t>fer3099@gmail.com</t>
  </si>
  <si>
    <t>catanitola@gmail.com</t>
  </si>
  <si>
    <t>vale.paez.gonz@gmail.com</t>
  </si>
  <si>
    <t>botiadiana25@gmail.com</t>
  </si>
  <si>
    <t>nitolacary@gmail.com</t>
  </si>
  <si>
    <t>avicolajuanse@gmail.com</t>
  </si>
  <si>
    <t>paolabecerra246@gmail.com</t>
  </si>
  <si>
    <t>dijibath31@gmail.com</t>
  </si>
  <si>
    <t>epedrazasolano@gmail.com</t>
  </si>
  <si>
    <t>ltatiana.romerop@gmail.com</t>
  </si>
  <si>
    <t>freddyvivas386@gmail.com</t>
  </si>
  <si>
    <t>rafaelvivas109@gmail.com</t>
  </si>
  <si>
    <t>javed0806@hotmail.com</t>
  </si>
  <si>
    <t>marcediz46673@gmail.com</t>
  </si>
  <si>
    <t>brian61391@gmail.com</t>
  </si>
  <si>
    <t>inv.bellavista23@gmail.com</t>
  </si>
  <si>
    <t>teban.cristancho@gmail.com</t>
  </si>
  <si>
    <t>edilgo75@yahoo.es</t>
  </si>
  <si>
    <t>paulam.espejo@gmail.com</t>
  </si>
  <si>
    <t>juandaperez728@gmail.com</t>
  </si>
  <si>
    <t>bcristianfelipe@gmail.com</t>
  </si>
  <si>
    <t>n-j-c-m@hotmail.com</t>
  </si>
  <si>
    <t>26jesicasanchez@gmail.com</t>
  </si>
  <si>
    <t>adrireggae21@gmail.com</t>
  </si>
  <si>
    <t>aapontecolmenares@gmail.com</t>
  </si>
  <si>
    <t>rocio.7802@hotmail.com</t>
  </si>
  <si>
    <t>tatisla1107@hotmail.com</t>
  </si>
  <si>
    <t>agalindo149@gmail.com</t>
  </si>
  <si>
    <t>merkafullla33@gmail.com</t>
  </si>
  <si>
    <t>laurithaarias55@gmail.com</t>
  </si>
  <si>
    <t>sebastiangonzalez2918@gmail.com</t>
  </si>
  <si>
    <t>laurita62016@gmail.com</t>
  </si>
  <si>
    <t>enfcristinatrujillo@gmail.com</t>
  </si>
  <si>
    <t>paiito899@gmail.com</t>
  </si>
  <si>
    <t>juliethrincon48@gmail.com</t>
  </si>
  <si>
    <t>tatianaramirez1606@gmail.com</t>
  </si>
  <si>
    <t>iporras88@uan.edu.co</t>
  </si>
  <si>
    <t>brayanfernandosmite@gmail.com</t>
  </si>
  <si>
    <t>katamile.24@gmail.com</t>
  </si>
  <si>
    <t>judadego@gmail.com</t>
  </si>
  <si>
    <t>davidsalamanca887@gmail.com</t>
  </si>
  <si>
    <t>danielfe0910@gmail.com</t>
  </si>
  <si>
    <t>camilo992@hotmail.es</t>
  </si>
  <si>
    <t>karensu00032@gmail.com</t>
  </si>
  <si>
    <t>catherineglez.d@gmail.com</t>
  </si>
  <si>
    <t>yerssilva99.c@gmail.com</t>
  </si>
  <si>
    <t>erikamarcela68@gmail.com</t>
  </si>
  <si>
    <t>jcgomez2109@gmail.com</t>
  </si>
  <si>
    <t>angelmigue789@gmail.com</t>
  </si>
  <si>
    <t>garciamarlon9922@gmail.com</t>
  </si>
  <si>
    <t>alejandradaza83@gmail.com</t>
  </si>
  <si>
    <t>hectorelitarazona@gmail.com</t>
  </si>
  <si>
    <t>camilocorredor1020@gmail.com</t>
  </si>
  <si>
    <t>patyychacon29@gmail.com</t>
  </si>
  <si>
    <t>angela.quintero.cp@gmail.com</t>
  </si>
  <si>
    <t>deividbioly@gmail.com</t>
  </si>
  <si>
    <t>parra.deisy.1612@gmail.com</t>
  </si>
  <si>
    <t>yenyquijano70@gmail.com</t>
  </si>
  <si>
    <t>ar7445195@gmail.com</t>
  </si>
  <si>
    <t>sergiocely9909@gmail.com</t>
  </si>
  <si>
    <t>mao1749@gmail.com</t>
  </si>
  <si>
    <t>tatianacendales1999@gmail.com</t>
  </si>
  <si>
    <t>camiloxlo15@gmail.com</t>
  </si>
  <si>
    <t>cristiancucunuba32@gmail.com</t>
  </si>
  <si>
    <t>diananiño933@gmail.com</t>
  </si>
  <si>
    <t>david4070diaz@gmail.com</t>
  </si>
  <si>
    <t>nataliajoyae@gmail.com</t>
  </si>
  <si>
    <t>pulidocarlos10201@gmail.com</t>
  </si>
  <si>
    <t>bastidasmonica63@gmail.com</t>
  </si>
  <si>
    <t>JULIAN_034@hotmail.com</t>
  </si>
  <si>
    <t>solanocruz599@gmail.com</t>
  </si>
  <si>
    <t>vivasjesusjavier@gmail.com</t>
  </si>
  <si>
    <t>diegoarmandohiguerablanco@gmail.com</t>
  </si>
  <si>
    <t>dvuscategui@gmail.com</t>
  </si>
  <si>
    <t>luisarchila@gmail.com</t>
  </si>
  <si>
    <t>betoolaya5@gmail.com</t>
  </si>
  <si>
    <t>ivannrodriguezz21@gmail.com</t>
  </si>
  <si>
    <t>elisaacevedo562@gmail.com</t>
  </si>
  <si>
    <t>jorge.vejar042894@gmail.com</t>
  </si>
  <si>
    <t>cristiancorredor277@gmail.com</t>
  </si>
  <si>
    <t>gonzalezalbarracinrichargabrie@gmail.com</t>
  </si>
  <si>
    <t>laustefani0812@gmail.com</t>
  </si>
  <si>
    <t>marbravo2103@gmail.com</t>
  </si>
  <si>
    <t>mendozat.1715@gmail.com</t>
  </si>
  <si>
    <t>romar.faber@gmail.com</t>
  </si>
  <si>
    <t>feliciadaza50@gmail.com</t>
  </si>
  <si>
    <t>molanolina2003@gmail.com</t>
  </si>
  <si>
    <t>jacuida@uniboyaca.edu.co</t>
  </si>
  <si>
    <t>ervinyesidfm@gmail.com</t>
  </si>
  <si>
    <t>tatiana6cely@gmail.com</t>
  </si>
  <si>
    <t>arismendydavid05@gmail.com</t>
  </si>
  <si>
    <t>cvillatechaparro@gmail.com</t>
  </si>
  <si>
    <t>ruizp8042@gmail.com</t>
  </si>
  <si>
    <t>helenbaez4@gmail.com</t>
  </si>
  <si>
    <t>dcarvajalsepulveda5@gmail.com</t>
  </si>
  <si>
    <t>williamfavianfajardoveloza@gmail.com</t>
  </si>
  <si>
    <t>sayamari100@hotmail.com</t>
  </si>
  <si>
    <t>tatisbarajas2020@gmail.com</t>
  </si>
  <si>
    <t>alejobecerra016@gmail.com</t>
  </si>
  <si>
    <t>satelite661@gmail.com</t>
  </si>
  <si>
    <t>villateliced31@gmail.com</t>
  </si>
  <si>
    <t>danifel.torres@gmail.com</t>
  </si>
  <si>
    <t>pedrazanicool806@gmail.com</t>
  </si>
  <si>
    <t>rianovargascarlosdavid@gmail.com</t>
  </si>
  <si>
    <t>erikatatianabecerra@gmail.com</t>
  </si>
  <si>
    <t>rinconeduardo690@gmail.com</t>
  </si>
  <si>
    <t>consueloblanco0305@gmail.com</t>
  </si>
  <si>
    <t>dayanasimbaqueba05@gmail.com</t>
  </si>
  <si>
    <t>JAVIERCUEV2005@gmail.com</t>
  </si>
  <si>
    <t>darlinaguilar269@gmail.com</t>
  </si>
  <si>
    <t>dianabriceno665@gmail.com</t>
  </si>
  <si>
    <t>pitakaren0@gmail.com</t>
  </si>
  <si>
    <t>ashelzyjoelys@gmail.com</t>
  </si>
  <si>
    <t>angie.caipa23@gmail.com</t>
  </si>
  <si>
    <t>fecliente@votresas.com</t>
  </si>
  <si>
    <t>facturacionelectronica@interrapidisimo.com</t>
  </si>
  <si>
    <t>katherinbu06@gmail.com</t>
  </si>
  <si>
    <t>DEISYCANTOR978@gmail.com</t>
  </si>
  <si>
    <t>juliserrano1006@gmail.com</t>
  </si>
  <si>
    <t>tarribamencobernardo@gmail.com</t>
  </si>
  <si>
    <t>judypatriciaagudelo@gmail.com</t>
  </si>
  <si>
    <t>pisosyenchapesboyaca@gmail.com</t>
  </si>
  <si>
    <t>wilson.junior7@hotmail.com</t>
  </si>
  <si>
    <t>carlosalvarez54@hotmail.com</t>
  </si>
  <si>
    <t>eriambiental@gmail.com</t>
  </si>
  <si>
    <t>aloha.mari15@gmail.com</t>
  </si>
  <si>
    <t>mercycarotorres@gmail.com</t>
  </si>
  <si>
    <t>yohanasup@gmail.com</t>
  </si>
  <si>
    <t>carolinaalbanill@gmail.com</t>
  </si>
  <si>
    <t>anamasac0308@gmail.com</t>
  </si>
  <si>
    <t>edimer.matiz@yahoo.es</t>
  </si>
  <si>
    <t>sergoaesilva@gmail.com</t>
  </si>
  <si>
    <t>yalianzo881@hotmail.com</t>
  </si>
  <si>
    <t>dcymg09@gmail.com</t>
  </si>
  <si>
    <t>janars91_08@hotmail.com</t>
  </si>
  <si>
    <t>daricita11@gmail.com</t>
  </si>
  <si>
    <t>lauracamila.cuervo@gmail.com</t>
  </si>
  <si>
    <t>zamir1994alarcon@gmail.com</t>
  </si>
  <si>
    <t>diana.paola@gmail.com</t>
  </si>
  <si>
    <t>camiloandres.higueraduran@gmail.com</t>
  </si>
  <si>
    <t>sebastriana48@gmail.com</t>
  </si>
  <si>
    <t>camilarojasxxx@gmail.com</t>
  </si>
  <si>
    <t>letaroga08@gmail.com</t>
  </si>
  <si>
    <t>gotica0423@gmail.com</t>
  </si>
  <si>
    <t>cesarmanrique8a@gmail.com</t>
  </si>
  <si>
    <t>melany.navasc10@gmail.com</t>
  </si>
  <si>
    <t>pvbalagueraa@unadvirtual.com</t>
  </si>
  <si>
    <t>mateustatiana85@gmail.com</t>
  </si>
  <si>
    <t>hectorsantiagomarquez123@gmail.com</t>
  </si>
  <si>
    <t>yesicabolivar59@gmail.com</t>
  </si>
  <si>
    <t>corredork91@gmail.com</t>
  </si>
  <si>
    <t>clauobregon16@gmail.com</t>
  </si>
  <si>
    <t>holguindiana666@gmail.com</t>
  </si>
  <si>
    <t>espejovanesa5@gmail.com</t>
  </si>
  <si>
    <t>anamariacuadrostiri@gmail.com</t>
  </si>
  <si>
    <t>angiegio85@gmail.com</t>
  </si>
  <si>
    <t>jolartecamacho@gmail.com</t>
  </si>
  <si>
    <t>juliankamon@gmail.com</t>
  </si>
  <si>
    <t>angienicolchia@gmail.com</t>
  </si>
  <si>
    <t>carito142312@gmail.com</t>
  </si>
  <si>
    <t>alejandranitola26@gmail.com</t>
  </si>
  <si>
    <t>earciniegasgomez@gmail.com</t>
  </si>
  <si>
    <t>anyievelandia@gmail.com</t>
  </si>
  <si>
    <t>cristian.rojasuyazan07@gmail.com</t>
  </si>
  <si>
    <t>nicolpuerto91@gmail.com</t>
  </si>
  <si>
    <t>camargolauranicolle@gmail.com</t>
  </si>
  <si>
    <t>facturaelectronicapos@permoda.com.co</t>
  </si>
  <si>
    <t>angeltierno87@hotmail.com</t>
  </si>
  <si>
    <t>johanah689@gmail.com</t>
  </si>
  <si>
    <t>javierpreciado26@gmail.com</t>
  </si>
  <si>
    <t>catacubides2705@hotmail.com</t>
  </si>
  <si>
    <t>german.ingelectro@gmail.com</t>
  </si>
  <si>
    <t>angela-chaparro@hotmail.com</t>
  </si>
  <si>
    <t>alejandracamargo2201@gmail.com</t>
  </si>
  <si>
    <t>hectorleolopez605@gmail.com</t>
  </si>
  <si>
    <t>calico-co@hotmail.com</t>
  </si>
  <si>
    <t>dntobo@hotmail.es</t>
  </si>
  <si>
    <t>jriosklr@gmail.com</t>
  </si>
  <si>
    <t>pilar22108@hotmail.com</t>
  </si>
  <si>
    <t>leonar1388@gmail.com</t>
  </si>
  <si>
    <t>rojasmauricio14@gmail.com</t>
  </si>
  <si>
    <t>orlando.268@gmail.com</t>
  </si>
  <si>
    <t>andressuaarez@gmail.com</t>
  </si>
  <si>
    <t>vicklemus2016@gmail.com</t>
  </si>
  <si>
    <t>ivanaljarro13@hotmail.com</t>
  </si>
  <si>
    <t>leydi.toboboada@gmail.com</t>
  </si>
  <si>
    <t>darwin8808@hotmail.com</t>
  </si>
  <si>
    <t>maritzasalazargarcia25@gmail.com</t>
  </si>
  <si>
    <t>julio.zambrano2011@gmail.com</t>
  </si>
  <si>
    <t>di.mafermava@gmail.com</t>
  </si>
  <si>
    <t>angale004@gmail.com</t>
  </si>
  <si>
    <t>juanquiroz330@hotmail.es</t>
  </si>
  <si>
    <t>bayonarafaeld@gmail.com</t>
  </si>
  <si>
    <t>fernando-molano@hotmail.com</t>
  </si>
  <si>
    <t>leokrdozo@gmail.com</t>
  </si>
  <si>
    <t>2pepepito@gmail.com</t>
  </si>
  <si>
    <t>dtristancho111@gmail.com</t>
  </si>
  <si>
    <t>mayralejandraver0325@gmail.com</t>
  </si>
  <si>
    <t>angelica.botia@gmail.com</t>
  </si>
  <si>
    <t>yuanzam@misena.edu.co</t>
  </si>
  <si>
    <t>danieleduardo19911@hotmail.com</t>
  </si>
  <si>
    <t>catary.369@gmail.com</t>
  </si>
  <si>
    <t>yalizpla@hotmail.com</t>
  </si>
  <si>
    <t>ednaalonso.16@gmail.com</t>
  </si>
  <si>
    <t>efcalixto2@gmail.com</t>
  </si>
  <si>
    <t>juancaema@hotmail.com</t>
  </si>
  <si>
    <t>fabianquijanoarq@gmail.com</t>
  </si>
  <si>
    <t>loryclau15@hotmail.com</t>
  </si>
  <si>
    <t>marisolsiachoque1992@gmail.com</t>
  </si>
  <si>
    <t>juradotatiana937@gmail.com</t>
  </si>
  <si>
    <t>montaninohichata@gmail.com</t>
  </si>
  <si>
    <t>jcesarhh8769@gmail.com</t>
  </si>
  <si>
    <t>andreabetanco687@gmail.com</t>
  </si>
  <si>
    <t>oge.roooben@hotmail.com</t>
  </si>
  <si>
    <t>luzamandabecerracetina@gmail.com</t>
  </si>
  <si>
    <t>dmarcela.acevedo28@gmail.com</t>
  </si>
  <si>
    <t>c.marcela.m.garcia@gmail.com</t>
  </si>
  <si>
    <t>avaty1993@gmail.com</t>
  </si>
  <si>
    <t>alejowas@gmail.com</t>
  </si>
  <si>
    <t>angiecatalns@gmail.com</t>
  </si>
  <si>
    <t>cesarmjp_1927@hotmail.com</t>
  </si>
  <si>
    <t>angietris16@gmail.com</t>
  </si>
  <si>
    <t>linitaasuarezz@gmail.com</t>
  </si>
  <si>
    <t>edfadica07@hotmail.com</t>
  </si>
  <si>
    <t>karimecorrea23@gmail.com</t>
  </si>
  <si>
    <t>jfelipemojica@gmail.com</t>
  </si>
  <si>
    <t>paolisduarte@gmail.com</t>
  </si>
  <si>
    <t>deisy.marquez9587@hotmail.com</t>
  </si>
  <si>
    <t>andresfepe24@hotmail.com</t>
  </si>
  <si>
    <t>enrique.gra051@gmail.com</t>
  </si>
  <si>
    <t>daya2226ad@gmail.com</t>
  </si>
  <si>
    <t>alejamoreno46@gmail.com</t>
  </si>
  <si>
    <t>yerson.leon@pazderio.com.co</t>
  </si>
  <si>
    <t>dani_yurany@hotmail.com</t>
  </si>
  <si>
    <t>daniel1cardenas23@gmail.com</t>
  </si>
  <si>
    <t>adriana.cuadros20@gmail.com</t>
  </si>
  <si>
    <t>cadenacamilo616@gmail.com</t>
  </si>
  <si>
    <t>juliethcardozo777@gmail.com</t>
  </si>
  <si>
    <t>caldasjonathan@gmail.com</t>
  </si>
  <si>
    <t>bautistanovaivancamilo@gmail.com</t>
  </si>
  <si>
    <t>yunerleguizamon@gmail.com</t>
  </si>
  <si>
    <t>tattis.ladino30@gmail.com</t>
  </si>
  <si>
    <t>kren.juliana97@gmail.com</t>
  </si>
  <si>
    <t>yesicalemus2698@gmail.com</t>
  </si>
  <si>
    <t>wendlore@hotmail.com</t>
  </si>
  <si>
    <t>kjcardozo@rcnradio.com.co</t>
  </si>
  <si>
    <t>98jefersonandreycastillo.c@gmail.com</t>
  </si>
  <si>
    <t>lauravale62@hotmail.com</t>
  </si>
  <si>
    <t>herrerajulianasofia@gmail.com</t>
  </si>
  <si>
    <t>migueleduardoa_a@hotmail.com</t>
  </si>
  <si>
    <t>yesicalemus@gmail.com</t>
  </si>
  <si>
    <t>darley1054@gmail.com</t>
  </si>
  <si>
    <t>edwanmauriciorodriguez2086@gmail.com</t>
  </si>
  <si>
    <t>rafa2629@yahoo.es</t>
  </si>
  <si>
    <t>yulianamolano425@gmail.com</t>
  </si>
  <si>
    <t>freimanyesid@hotmail.com</t>
  </si>
  <si>
    <t>dinapamplona@hotmail.com</t>
  </si>
  <si>
    <t>nascarconduccion@gmail.com</t>
  </si>
  <si>
    <t>garzondiaz86@hotmail.com</t>
  </si>
  <si>
    <t>wilmanrodri@gmail.com</t>
  </si>
  <si>
    <t>marialejandrasuarezcamargo@outloock.com</t>
  </si>
  <si>
    <t>brayanalejandroj7@gmail.com</t>
  </si>
  <si>
    <t>ashleynicolemendez05@gmail.com</t>
  </si>
  <si>
    <t>jefersson.valderrama87@gmail.com</t>
  </si>
  <si>
    <t>fduvan87@gmail.com</t>
  </si>
  <si>
    <t>caropardos@hotmail.com</t>
  </si>
  <si>
    <t>dkmilo@hotmail.com</t>
  </si>
  <si>
    <t>anyelina280@hotmail.com</t>
  </si>
  <si>
    <t>anamar0211@gmail.com</t>
  </si>
  <si>
    <t>wilsonchispin@gmail.com</t>
  </si>
  <si>
    <t>alexanderjimenez198722@gmail.com</t>
  </si>
  <si>
    <t>catymolanod@gmail.com</t>
  </si>
  <si>
    <t>antonialeonr@gmail.com</t>
  </si>
  <si>
    <t>frankocortes1978@gmail.com</t>
  </si>
  <si>
    <t>johanaacosta.aisas@gmail.com</t>
  </si>
  <si>
    <t>alexander12900@hotmail.com</t>
  </si>
  <si>
    <t>yayis2587@hotmail.com</t>
  </si>
  <si>
    <t>ingdiego.villa@hotmail.com</t>
  </si>
  <si>
    <t>xiomarysalcedo1053@hotmail.com</t>
  </si>
  <si>
    <t>jemasube@hotmail.com</t>
  </si>
  <si>
    <t>nelsongarzondiaz@gmail.com</t>
  </si>
  <si>
    <t>jholaye72221@gmail.com</t>
  </si>
  <si>
    <t>floralbadiaz1988@gmail.com</t>
  </si>
  <si>
    <t>llillis2504@hotmail.es</t>
  </si>
  <si>
    <t>alex27.v.s@gmail.com</t>
  </si>
  <si>
    <t>navarrete.nelson04@gmail.com</t>
  </si>
  <si>
    <t>loraine0788@hotmail.com</t>
  </si>
  <si>
    <t>lilijimtol2017@gmail.com</t>
  </si>
  <si>
    <t>yeferson.rojas@gmail.com</t>
  </si>
  <si>
    <t>edwindiaz01988@gmail.com</t>
  </si>
  <si>
    <t>pulaandreablancoeslava@gmail.com</t>
  </si>
  <si>
    <t>leileguizamo22@hotmail.com</t>
  </si>
  <si>
    <t>guarinleidy658@gmail.com</t>
  </si>
  <si>
    <t>nathis3107@gmail.com</t>
  </si>
  <si>
    <t>patricia777985@hotmail.com</t>
  </si>
  <si>
    <t>diana89carol@hotmail.com</t>
  </si>
  <si>
    <t>andreaflorez1080@gmail.com</t>
  </si>
  <si>
    <t>yeimykurmen@gmail.com</t>
  </si>
  <si>
    <t>diego.fonsecalr@outlook.com</t>
  </si>
  <si>
    <t>edsosa42@hotmail.com</t>
  </si>
  <si>
    <t>cammateus321@gmail.com</t>
  </si>
  <si>
    <t>rinconwalteros06@gmail.com</t>
  </si>
  <si>
    <t>will_2090@gmail.com</t>
  </si>
  <si>
    <t>katerinleon67@gmail.com</t>
  </si>
  <si>
    <t>bladimirbaez53@gmail.com</t>
  </si>
  <si>
    <t>caticap080@hotmail.com</t>
  </si>
  <si>
    <t>contabilidadyicethbaez0413@gmail.com</t>
  </si>
  <si>
    <t>liztatirodriguez@gmail.com</t>
  </si>
  <si>
    <t>francisco901004@hotmail.com</t>
  </si>
  <si>
    <t>visionscomercial@gmail.com</t>
  </si>
  <si>
    <t>vicente21garzon@gmail.com</t>
  </si>
  <si>
    <t>leofandi0613@gmail.com</t>
  </si>
  <si>
    <t>yulycons4540@gmail.com</t>
  </si>
  <si>
    <t>mairenaleidy@gmail.com</t>
  </si>
  <si>
    <t>leonardo_andreti@hotmail.com</t>
  </si>
  <si>
    <t>d.arevalogamboa8@gmail.com</t>
  </si>
  <si>
    <t>cesar.corredor01@uptc.edu.co</t>
  </si>
  <si>
    <t>edisoncamargo1611@gmail.com</t>
  </si>
  <si>
    <t>wilnata1207@gmail.com</t>
  </si>
  <si>
    <t>adrianacr0591@gmail.com</t>
  </si>
  <si>
    <t>marcela.bolivar@hotmail.com</t>
  </si>
  <si>
    <t>oyrr9103@gmail.com</t>
  </si>
  <si>
    <t>alerig08@hotmail.com</t>
  </si>
  <si>
    <t>zulmalopez1991@gmail.com</t>
  </si>
  <si>
    <t>angelmigue23@hotmail.com</t>
  </si>
  <si>
    <t>chaparro.c8@gmail.com</t>
  </si>
  <si>
    <t>adolfomonrroy03@gmail.com</t>
  </si>
  <si>
    <t>lilianagranadost@gmail.com</t>
  </si>
  <si>
    <t>ovitich91@gmail.com</t>
  </si>
  <si>
    <t>jjgranados56@hotmail.com</t>
  </si>
  <si>
    <t>yenniferparra2018@gmail.com</t>
  </si>
  <si>
    <t>marthaylc@gmail.com</t>
  </si>
  <si>
    <t>ariaskvane@gmail.com</t>
  </si>
  <si>
    <t>jimenezrocio.rdpmj@gmail.com</t>
  </si>
  <si>
    <t>cesarochoa2006@hotmail.com</t>
  </si>
  <si>
    <t>a.lorenitapr11@gmail.com</t>
  </si>
  <si>
    <t>davidedu121@gmail.com</t>
  </si>
  <si>
    <t>andiego.12@gmail.com</t>
  </si>
  <si>
    <t>ochoaslatina311@gmail.com</t>
  </si>
  <si>
    <t>moniqulla.ayala@gmail.com</t>
  </si>
  <si>
    <t>sandramilenalandinezmesa@gmail.com</t>
  </si>
  <si>
    <t>angemendivelso22@gmail.com</t>
  </si>
  <si>
    <t>jennykmargo01@gmail.com</t>
  </si>
  <si>
    <t>ngranados042@gmail.com</t>
  </si>
  <si>
    <t>jorgestand5555@gmail.com</t>
  </si>
  <si>
    <t>paonibe93@gmail.com</t>
  </si>
  <si>
    <t>NORBEYPULIDO93@gmail.com</t>
  </si>
  <si>
    <t>dialmova1993@gmail.com</t>
  </si>
  <si>
    <t>sfbenitezh@gmail.com</t>
  </si>
  <si>
    <t>gianfabar@gmail.com</t>
  </si>
  <si>
    <t>medicaljonathancb@gmail.com</t>
  </si>
  <si>
    <t>edwin.pineda797@gmail.com</t>
  </si>
  <si>
    <t>yesid32222@hotmail.com</t>
  </si>
  <si>
    <t>NANCY9302@GMAIL.COM</t>
  </si>
  <si>
    <t>mtriana84@uan.edu.co</t>
  </si>
  <si>
    <t>dianita.2903@hotmail.com</t>
  </si>
  <si>
    <t>jessilpc94@gmail.com</t>
  </si>
  <si>
    <t>dkarlos424@gmail.com</t>
  </si>
  <si>
    <t>juan.ma181409@gmail.com</t>
  </si>
  <si>
    <t>gerenciaftautos@gmail.com</t>
  </si>
  <si>
    <t>albamarce72@gmail.com</t>
  </si>
  <si>
    <t>deximenaramirez28@gmail.com</t>
  </si>
  <si>
    <t>jeimytruana@gmail.com</t>
  </si>
  <si>
    <t>dianavc1994@gmail.com</t>
  </si>
  <si>
    <t>jgrcruz@gmail.com</t>
  </si>
  <si>
    <t>phaolitavargas@gmail.com</t>
  </si>
  <si>
    <t>danhym@hotmail.es</t>
  </si>
  <si>
    <t>karitocoronado81@gmail.com</t>
  </si>
  <si>
    <t>angmilrojas2019@outlook.com</t>
  </si>
  <si>
    <t>kate.toba@gmail.com</t>
  </si>
  <si>
    <t>yo.cbastianperez@gmail.com</t>
  </si>
  <si>
    <t>anainfante03@gmail.com</t>
  </si>
  <si>
    <t>edisoncruz70316@gmail.com</t>
  </si>
  <si>
    <t>patarroyo.octavio@gmail.com</t>
  </si>
  <si>
    <t>ximenavergara96@outlook.com</t>
  </si>
  <si>
    <t>yeison003@gmail.com</t>
  </si>
  <si>
    <t>jsmalagon43@gmail.com</t>
  </si>
  <si>
    <t>camilo_villamarin@hotmail.com</t>
  </si>
  <si>
    <t>carlospfacturacionelectronica@gmail.com</t>
  </si>
  <si>
    <t>cesarsanchez1997@outlook.es</t>
  </si>
  <si>
    <t>jimmy.diaz.fonseca2019@gmail.com</t>
  </si>
  <si>
    <t>santiagofonsecarincon@gmail.com</t>
  </si>
  <si>
    <t>kmilasa14@gmail.com</t>
  </si>
  <si>
    <t>ninomorenodaniela@gmail.com</t>
  </si>
  <si>
    <t>angie219802@gmail.com</t>
  </si>
  <si>
    <t>tatiana.merchan.1317@gmail.com</t>
  </si>
  <si>
    <t>mabautista21@misena.edu.co</t>
  </si>
  <si>
    <t>contabilidad.globalpowercoalrdl@gmail.com</t>
  </si>
  <si>
    <t>andreita_ko12@hotmail.com</t>
  </si>
  <si>
    <t>becerralucia34@gmail.com</t>
  </si>
  <si>
    <t>latorrealejandra880@gmail.com</t>
  </si>
  <si>
    <t>ANDREAZEA999@gmail.com</t>
  </si>
  <si>
    <t>yaji_gonzalez@gmail.com</t>
  </si>
  <si>
    <t>ivandmarquez28@gmail.com</t>
  </si>
  <si>
    <t>jlrojasg20@gmail.com</t>
  </si>
  <si>
    <t>darb_1012@gmail.com</t>
  </si>
  <si>
    <t>liligoes24@hotmail.com</t>
  </si>
  <si>
    <t>gomezjosemartinez7@gmail.com</t>
  </si>
  <si>
    <t>lydacwp@gmail.com</t>
  </si>
  <si>
    <t>nestor61186@gmail.com</t>
  </si>
  <si>
    <t>ANDREYPD24@hotmail.com</t>
  </si>
  <si>
    <t>2019zulmgallo@gmail.com</t>
  </si>
  <si>
    <t>javierd1720@gmail.com</t>
  </si>
  <si>
    <t>paulabazurt89@hotmail.com</t>
  </si>
  <si>
    <t>andicard@hotmail.es</t>
  </si>
  <si>
    <t>vimarodi1987@gmail.com</t>
  </si>
  <si>
    <t>pilycana@outlook.com</t>
  </si>
  <si>
    <t>memojoca@gmail.com</t>
  </si>
  <si>
    <t>holfer88@hotmail.com</t>
  </si>
  <si>
    <t>chigar2019.ccg@gmail.com</t>
  </si>
  <si>
    <t>davidesbel@hotmail.com</t>
  </si>
  <si>
    <t>josemanueldelgado@gmail.com</t>
  </si>
  <si>
    <t>mnmb040897@gmail.com</t>
  </si>
  <si>
    <t>fernando8806.fp@gmail.com</t>
  </si>
  <si>
    <t>paolacuy@hotmail.com</t>
  </si>
  <si>
    <t>dianamariamontanez@gmail.com</t>
  </si>
  <si>
    <t>natisbosmo_64@hotmail.com</t>
  </si>
  <si>
    <t>yuranyperezrojas@gmail.com</t>
  </si>
  <si>
    <t>jhonkceres10@hotmail.com</t>
  </si>
  <si>
    <t>mudito-10@hotmail.com</t>
  </si>
  <si>
    <t>f.ad.18@hotmail.com</t>
  </si>
  <si>
    <t>shiliver1989@hotmail.com</t>
  </si>
  <si>
    <t>harvey.vega89@gmail.com</t>
  </si>
  <si>
    <t>elizethgomez17@hotmail.com</t>
  </si>
  <si>
    <t>ROLOVANE@OUTLOOK.COM</t>
  </si>
  <si>
    <t>ce.mejia19@gmail.com</t>
  </si>
  <si>
    <t>yeyo2023@gmail.com</t>
  </si>
  <si>
    <t>libardo.silva2021@gmail.com</t>
  </si>
  <si>
    <t>jeje_220690@hotmail.com</t>
  </si>
  <si>
    <t>lizzeth-90@hotmail.com</t>
  </si>
  <si>
    <t>vane.yarel@hotmail.es</t>
  </si>
  <si>
    <t>diegolorrydriver@gmail.com</t>
  </si>
  <si>
    <t>glixapusa@gmail.com</t>
  </si>
  <si>
    <t>ludylok18@hotmail.com</t>
  </si>
  <si>
    <t>anisole7@gmail.com</t>
  </si>
  <si>
    <t>anibalnano_@hotmail.com</t>
  </si>
  <si>
    <t>katerinevega107@gmail.com</t>
  </si>
  <si>
    <t>angelyolima_111@hotmail.com</t>
  </si>
  <si>
    <t>eduorduca@hotmail.com</t>
  </si>
  <si>
    <t>camiloandresm532@gmail.com</t>
  </si>
  <si>
    <t>almadica@hotmail.com</t>
  </si>
  <si>
    <t>felipduga@gmail.com</t>
  </si>
  <si>
    <t>snelsy339@gmail.com</t>
  </si>
  <si>
    <t>yeison.herrera.429@gmail.com</t>
  </si>
  <si>
    <t>juli.isa0612@gmail.com</t>
  </si>
  <si>
    <t>j.mojica1@hotmail.com</t>
  </si>
  <si>
    <t>pedritoaraque09@yahoo.com</t>
  </si>
  <si>
    <t>walskim95@gmail.com</t>
  </si>
  <si>
    <t>saenzadriana78@gmail.com</t>
  </si>
  <si>
    <t>jhader11.jam@gmail.com</t>
  </si>
  <si>
    <t>ncarlosduvan@yahoo.com</t>
  </si>
  <si>
    <t>andrez.vega0021@gmail.com</t>
  </si>
  <si>
    <t>ps1940243@gmail.com</t>
  </si>
  <si>
    <t>cacerescuyl@gmail.com</t>
  </si>
  <si>
    <t>rinconmiguel913@gmail.com</t>
  </si>
  <si>
    <t>acostacarolina1999@gmail.com</t>
  </si>
  <si>
    <t>jimenezwilliam426@gmail.com</t>
  </si>
  <si>
    <t>and.roy@hotmail.com</t>
  </si>
  <si>
    <t>yolys_53@hotmail.com</t>
  </si>
  <si>
    <t>wm3191993@gmail.com</t>
  </si>
  <si>
    <t>emely_8777@hotmail.com</t>
  </si>
  <si>
    <t>nicollebarrera158@gmail.com</t>
  </si>
  <si>
    <t>jimmy1605alberto@gmail.com</t>
  </si>
  <si>
    <t>williamlopeztriana90@gmail.com</t>
  </si>
  <si>
    <t>klss94@hotmail.com</t>
  </si>
  <si>
    <t>nelsoncamilo26@gmail.com</t>
  </si>
  <si>
    <t>cristihanpanqueva98@gmail.com</t>
  </si>
  <si>
    <t>administrador.camilo@gmail.com</t>
  </si>
  <si>
    <t>geisonramos861@gmail.com</t>
  </si>
  <si>
    <t>martinezmarisol.xt27@gmail.com</t>
  </si>
  <si>
    <t>WILLIAM.1203@hotmail.com</t>
  </si>
  <si>
    <t>paolaballesterososa@gmail.com</t>
  </si>
  <si>
    <t>copinet12@gmail.com</t>
  </si>
  <si>
    <t>wuendybolivar12@hotmail.com</t>
  </si>
  <si>
    <t>stivents1011@gmail.com</t>
  </si>
  <si>
    <t>celyforerorafael87@gmail.com</t>
  </si>
  <si>
    <t>nasilaoj@gmail.com</t>
  </si>
  <si>
    <t>nicoroji11@gmail.com</t>
  </si>
  <si>
    <t>walith17@hotmail.com</t>
  </si>
  <si>
    <t>alfredogutierrezss064@gmail.com</t>
  </si>
  <si>
    <t>luchor539@gmail.com</t>
  </si>
  <si>
    <t>lizarazofredy@gmail.com</t>
  </si>
  <si>
    <t>paosotomalagon25@gmail.com</t>
  </si>
  <si>
    <t>maricellopezcobos@gmail.com</t>
  </si>
  <si>
    <t>noridacristian@gmail.com</t>
  </si>
  <si>
    <t>espebrinez@gmail.com</t>
  </si>
  <si>
    <t>fredy.ricaurte@uptc.edu.co</t>
  </si>
  <si>
    <t>valenciabuitragoyeferson@gmail.com</t>
  </si>
  <si>
    <t>mafmedusa@gmail.com</t>
  </si>
  <si>
    <t>danielaagudelo3535@gmail.com</t>
  </si>
  <si>
    <t>acogasvanti2022@gmail.com</t>
  </si>
  <si>
    <t>jegguerrero_1989@hotmail.com</t>
  </si>
  <si>
    <t>msjimenez1054@gmail.com</t>
  </si>
  <si>
    <t>tapiasguerrero8@gmail.com</t>
  </si>
  <si>
    <t>WALTERCARO1318@gmail.com</t>
  </si>
  <si>
    <t>erikapc205@gmail.com</t>
  </si>
  <si>
    <t>juanavi2@hotmail.com</t>
  </si>
  <si>
    <t>osmalopezjhonfabricio@gmail.com</t>
  </si>
  <si>
    <t>andretenjo@hotmail.com</t>
  </si>
  <si>
    <t>hectorjuliorivera6405@gmail.com</t>
  </si>
  <si>
    <t>chaparrolaura515@gmail.com</t>
  </si>
  <si>
    <t>yuberherrera365@gmail.com</t>
  </si>
  <si>
    <t>fernando.prieto.pacheco@outlook.com</t>
  </si>
  <si>
    <t>monicapaola13@hotmail.com</t>
  </si>
  <si>
    <t>connidies13@gmail.com</t>
  </si>
  <si>
    <t>bbayonatenjoo@gmail.com</t>
  </si>
  <si>
    <t>camiloespitia1055@gmail.com</t>
  </si>
  <si>
    <t>rochy07@misena.edu.co</t>
  </si>
  <si>
    <t>dianabayona2507@gmail.com</t>
  </si>
  <si>
    <t>andreabautis82@gmail.com</t>
  </si>
  <si>
    <t>yojuha@hotmail.com</t>
  </si>
  <si>
    <t>milenamoyano796@gmail.com</t>
  </si>
  <si>
    <t>DEISYTALERO145@gmail.com</t>
  </si>
  <si>
    <t>doraaliciamoyano@gmail.com</t>
  </si>
  <si>
    <t>sines7040@gmail.com</t>
  </si>
  <si>
    <t>paovelandiac4@gmail.com</t>
  </si>
  <si>
    <t>victorjuli.pico@gmail.com</t>
  </si>
  <si>
    <t>magata4@gmail.com</t>
  </si>
  <si>
    <t>anny0586@hotmail.com</t>
  </si>
  <si>
    <t>yarydary7@hotmail.com</t>
  </si>
  <si>
    <t>ronderoslozanoliliana2011@gmail.com</t>
  </si>
  <si>
    <t>dianmorales88@gmail.com</t>
  </si>
  <si>
    <t>miguelangelbernalbohada@gmail.com</t>
  </si>
  <si>
    <t>luzdarylopez3333@gmail.com</t>
  </si>
  <si>
    <t>maryovargas383029@gmail.com</t>
  </si>
  <si>
    <t>fajardocuevas@gmail.com</t>
  </si>
  <si>
    <t>angybego@yahoo.es</t>
  </si>
  <si>
    <t>molinatorresluzamanda@gmail.com</t>
  </si>
  <si>
    <t>victorjaviercastellanoscaceres@gmail.com</t>
  </si>
  <si>
    <t>leidy_7337@yahoo.es</t>
  </si>
  <si>
    <t>dedila02@gmail.com</t>
  </si>
  <si>
    <t>cindybaezsalamanca@gmail.com</t>
  </si>
  <si>
    <t>linapao24@hotmail.com</t>
  </si>
  <si>
    <t>rojas1849@hotmail.com</t>
  </si>
  <si>
    <t>josecamilogarciaruiz646@gmail.com</t>
  </si>
  <si>
    <t>laugis19@gmail.com</t>
  </si>
  <si>
    <t>jorgeeliecer150@gmail.com</t>
  </si>
  <si>
    <t>amparo.c7@hotmail.com</t>
  </si>
  <si>
    <t>jorgeelieceralvarez1988@gmail.com</t>
  </si>
  <si>
    <t>diormedi@gmail.com</t>
  </si>
  <si>
    <t>tanyalopez1814@gmail.com</t>
  </si>
  <si>
    <t>linrocit@hotmail.com</t>
  </si>
  <si>
    <t>comerciaalvarez@hotmail.com</t>
  </si>
  <si>
    <t>marinodavidfernando@gmail.com</t>
  </si>
  <si>
    <t>jcdr_92@hotmail.com</t>
  </si>
  <si>
    <t>viryi.mateuuss@gmail.com</t>
  </si>
  <si>
    <t>lala.mendivelsobarrera8@gmail.com</t>
  </si>
  <si>
    <t>yolimita1824@gmail.com</t>
  </si>
  <si>
    <t>quintanah.daniel@gmail.com</t>
  </si>
  <si>
    <t>cris_leon25@hotmail.com</t>
  </si>
  <si>
    <t>juanpasilvavargas25@gmail.com</t>
  </si>
  <si>
    <t>angelica11alex18@gmail.com</t>
  </si>
  <si>
    <t>rociosanchezbecerra4@gmail.com</t>
  </si>
  <si>
    <t>ruth.pigmentologiayestetica@gmail.com</t>
  </si>
  <si>
    <t>XIMELIR15@gmail.com</t>
  </si>
  <si>
    <t>cb6689931@gmail.com</t>
  </si>
  <si>
    <t>angeladurancruz@gmail.com</t>
  </si>
  <si>
    <t>jhonricardodiazl@hotmail.es</t>
  </si>
  <si>
    <t>lmerycabrera@gmail.com</t>
  </si>
  <si>
    <t>dapip96@gmail.com</t>
  </si>
  <si>
    <t>welfran14@gmail.com</t>
  </si>
  <si>
    <t>leidy-7337@yahoo.es</t>
  </si>
  <si>
    <t>hcristiano100@gmail.com</t>
  </si>
  <si>
    <t>sebas201289@gmail.com</t>
  </si>
  <si>
    <t>davidcardenas.jdsc@gmail.com</t>
  </si>
  <si>
    <t>paolitarincon123@gmail.com</t>
  </si>
  <si>
    <t>autoserviciowilanz@hotmail.com</t>
  </si>
  <si>
    <t>wilvor00@gmail.com</t>
  </si>
  <si>
    <t>daniel.fajardo.130897@gmail.com</t>
  </si>
  <si>
    <t>luiscely336@gmail.com</t>
  </si>
  <si>
    <t>LEIDYDANIELALEON@GMAIL.COM</t>
  </si>
  <si>
    <t>jeibar97@gmail.com</t>
  </si>
  <si>
    <t>gomezbautista41@gmail.com</t>
  </si>
  <si>
    <t>holmanaldemarsb@gmail.com</t>
  </si>
  <si>
    <t>duvan99fer@gmail.com</t>
  </si>
  <si>
    <t>marcesilva429@gmail.com</t>
  </si>
  <si>
    <t>sergioycn@gmail.com</t>
  </si>
  <si>
    <t>ptmartinez@jdc.edu.co</t>
  </si>
  <si>
    <t>nidia.malaver28@gmail.com</t>
  </si>
  <si>
    <t>tahita7@gmail.com</t>
  </si>
  <si>
    <t>jtorresperez0@gmail.com</t>
  </si>
  <si>
    <t>hector.diaz2031@correo.policia.gov.co</t>
  </si>
  <si>
    <t>kitram@hotmail.com</t>
  </si>
  <si>
    <t>oicormaga@gmail.com</t>
  </si>
  <si>
    <t>CLAUDIACRISTANCHO93@gmail.com</t>
  </si>
  <si>
    <t>karitoinfante30@gmail.com</t>
  </si>
  <si>
    <t>sharick9129@gmail.com</t>
  </si>
  <si>
    <t>consueloduenas191@gmail.com</t>
  </si>
  <si>
    <t>intersantis045@gmail.com</t>
  </si>
  <si>
    <t>sergio.cing@gmail.com</t>
  </si>
  <si>
    <t>patarroyojavier14@gmail.com</t>
  </si>
  <si>
    <t>chaparrodaniel48@gmail.com</t>
  </si>
  <si>
    <t>hurtadolara19@gmail.com</t>
  </si>
  <si>
    <t>aidajudithguarin@gmail.com</t>
  </si>
  <si>
    <t>ivanfxxi13@gmail.com</t>
  </si>
  <si>
    <t>camiloandresbaez@gmail.com</t>
  </si>
  <si>
    <t>adolfomleon_10@hotmail.com</t>
  </si>
  <si>
    <t>martdiego@gmail.com</t>
  </si>
  <si>
    <t>saganomeoswaldo@gmail.com</t>
  </si>
  <si>
    <t>dipabarzo@hotmail.com</t>
  </si>
  <si>
    <t>pedrazajohana508@gmail.com</t>
  </si>
  <si>
    <t>lizarazo.misael01@gmail.com</t>
  </si>
  <si>
    <t>zaya84999@gmail.com</t>
  </si>
  <si>
    <t>drayennymarcela@gmail.com</t>
  </si>
  <si>
    <t>coguapao@gmail.com</t>
  </si>
  <si>
    <t>joseantoniotalero469@gmail.com</t>
  </si>
  <si>
    <t>dancanlisa123@gmail.com</t>
  </si>
  <si>
    <t>alex_mesa@hotmail.com</t>
  </si>
  <si>
    <t>jenifhergallo15@gmail.com</t>
  </si>
  <si>
    <t>oskr.10@hotmail.com</t>
  </si>
  <si>
    <t>marcelasanchez.0923@gmail.com</t>
  </si>
  <si>
    <t>miguemonroy.lg@gmail.com</t>
  </si>
  <si>
    <t>anghelovillalobos9@gmail.com</t>
  </si>
  <si>
    <t>chaparrotelleznurynayely@gmail.com</t>
  </si>
  <si>
    <t>gomezderly522@gmail.com</t>
  </si>
  <si>
    <t>andreaacevedop30@gmail.com</t>
  </si>
  <si>
    <t>laracamilo795@gmail.com</t>
  </si>
  <si>
    <t>diegoleonardorodriguez1812@gmail.com</t>
  </si>
  <si>
    <t>sandramilenamendivelso304@hotmail.com</t>
  </si>
  <si>
    <t>njchaparro23@gmail.com</t>
  </si>
  <si>
    <t>eyuthcachope891103@outlook.com</t>
  </si>
  <si>
    <t>matiuss09lds@gmail.com</t>
  </si>
  <si>
    <t>jhonharbydiazbarreto227@gmail.com</t>
  </si>
  <si>
    <t>oscar.alarcon.ing@gmail.com</t>
  </si>
  <si>
    <t>rubymaritza28@gmail.com</t>
  </si>
  <si>
    <t>vivianacely5@gmail.com</t>
  </si>
  <si>
    <t>miryamcilenia23@gmail.com</t>
  </si>
  <si>
    <t>jeffrylopez5438@gmail.com</t>
  </si>
  <si>
    <t>flacavega18guarin@gmail.com</t>
  </si>
  <si>
    <t>emisorajavier@gmail.com</t>
  </si>
  <si>
    <t>juliethsofiq@gmail.com</t>
  </si>
  <si>
    <t>yuber198@hotmail.com</t>
  </si>
  <si>
    <t>moniklop.06@hotmail.com</t>
  </si>
  <si>
    <t>dg.1008@hotmail.com</t>
  </si>
  <si>
    <t>cieloyaninivelandia@gmail.com</t>
  </si>
  <si>
    <t>carolinavalderrama1702@hotmail.com</t>
  </si>
  <si>
    <t>pedroes_18@hotmail.es</t>
  </si>
  <si>
    <t>angarcia1611@gmail.com</t>
  </si>
  <si>
    <t>rinconpedromanuel2@gmail.com</t>
  </si>
  <si>
    <t>liliana.perezsn@gmail.com</t>
  </si>
  <si>
    <t>yennypaolasalazar0@gmail.com</t>
  </si>
  <si>
    <t>juanc.rodrigueza@hotmail.com</t>
  </si>
  <si>
    <t>fclikdigital@gmail.com</t>
  </si>
  <si>
    <t>mdm0225@gmail.com</t>
  </si>
  <si>
    <t>jhonatan_1448@hotmail.com</t>
  </si>
  <si>
    <t>julicarolopez@gmail.com</t>
  </si>
  <si>
    <t>jeilone@hotmail.es</t>
  </si>
  <si>
    <t>yinedrios2018@gmail.com</t>
  </si>
  <si>
    <t>dante77918@gmail.com</t>
  </si>
  <si>
    <t>gutierrezdanilo406@gmail.com</t>
  </si>
  <si>
    <t>claudial902@hotmail.com</t>
  </si>
  <si>
    <t>efpineda1008@gmail.com</t>
  </si>
  <si>
    <t>nayi0193@gmail.com</t>
  </si>
  <si>
    <t>dianitapau1@hotmail.com</t>
  </si>
  <si>
    <t>abgmogollon@gmail.com</t>
  </si>
  <si>
    <t>teodorocardozo38@gmail.com</t>
  </si>
  <si>
    <t>fariasmayerly2226@gmail.com</t>
  </si>
  <si>
    <t>yessikasua10@gmail.com</t>
  </si>
  <si>
    <t>erikagomez1693@yahoo.com</t>
  </si>
  <si>
    <t>cecilop82@gmail.com</t>
  </si>
  <si>
    <t>etmontana@uniboyaca.edu.co</t>
  </si>
  <si>
    <t>perezlopezedwar@gmail.com</t>
  </si>
  <si>
    <t>jonatanesrr@outlook.com</t>
  </si>
  <si>
    <t>alejatejedor2@gmail.com</t>
  </si>
  <si>
    <t>lygaravito91@gmail.com</t>
  </si>
  <si>
    <t>angiedanielaescobarmartinez@gmail.com</t>
  </si>
  <si>
    <t>MCAP93@hotmail.com</t>
  </si>
  <si>
    <t>jaquelinggalan@gmail.com</t>
  </si>
  <si>
    <t>nestorsantiagomolanoq@gmail.com</t>
  </si>
  <si>
    <t>ftdianatristancho@gmail.com</t>
  </si>
  <si>
    <t>sergio.fonseca@uptc.edu.co</t>
  </si>
  <si>
    <t>jeynycamero@gmail.com</t>
  </si>
  <si>
    <t>danielapatinotorres@gmail.com</t>
  </si>
  <si>
    <t>claro.2776@gmail.com</t>
  </si>
  <si>
    <t>edilsonsandoval37@gmail.com</t>
  </si>
  <si>
    <t>ivanandresbravosepulveda@gmail.com</t>
  </si>
  <si>
    <t>emisorabrayan@gmail.com</t>
  </si>
  <si>
    <t>648miguelbenitez@gmail.com</t>
  </si>
  <si>
    <t>lizzzzhet_432@hotmail.com</t>
  </si>
  <si>
    <t>julincamilogilcadena@gmail.com</t>
  </si>
  <si>
    <t>aa.cadena1995@gmail.com</t>
  </si>
  <si>
    <t>alexparadaing@gmail.com</t>
  </si>
  <si>
    <t>lopez04alejo04@gmail.com</t>
  </si>
  <si>
    <t>julianleonardogallo@gmail.com</t>
  </si>
  <si>
    <t>carenjohana12@gmail.com</t>
  </si>
  <si>
    <t>iajeisonfajardo@gmail.com</t>
  </si>
  <si>
    <t>mono201029@gmail.com</t>
  </si>
  <si>
    <t>cybn1996@gmail.com</t>
  </si>
  <si>
    <t>martinezgeraldin18@gmail.com</t>
  </si>
  <si>
    <t>johana.dannastefania@hotmail.com</t>
  </si>
  <si>
    <t>jcuida@jdc.edu.co</t>
  </si>
  <si>
    <t>andresfhp14@gmail.com</t>
  </si>
  <si>
    <t>victorleonardoayalaalarcon@gmail.com</t>
  </si>
  <si>
    <t>manuelg3265@gmail.com</t>
  </si>
  <si>
    <t>danigu.0710@gmail.com</t>
  </si>
  <si>
    <t>kristhianvelez312@gmail.com</t>
  </si>
  <si>
    <t>psativanorte@diocesisduitamasogamoso.org</t>
  </si>
  <si>
    <t>angelicarojas110@gmail.com</t>
  </si>
  <si>
    <t>mariapaula.bernalg@gmail.com</t>
  </si>
  <si>
    <t>dianitacachope@hotmail.com</t>
  </si>
  <si>
    <t>lisamaro17@hotmail.com</t>
  </si>
  <si>
    <t>carlossua9718@gmail.com</t>
  </si>
  <si>
    <t>sanabriajesid@gmail.com</t>
  </si>
  <si>
    <t>josecamero.980210@gmail.com</t>
  </si>
  <si>
    <t>vivis980807@gmail.com</t>
  </si>
  <si>
    <t>sanheril@hotmail.com</t>
  </si>
  <si>
    <t>luiszea3agosto@hotmail.com</t>
  </si>
  <si>
    <t>aguilarquiroga15@gmail.com</t>
  </si>
  <si>
    <t>nlopez35@misena.edu.co</t>
  </si>
  <si>
    <t>edilsonhernandezf84@gmail.com</t>
  </si>
  <si>
    <t>jorge17tuta@gmail.com</t>
  </si>
  <si>
    <t>alexbecerra361@gmail.com</t>
  </si>
  <si>
    <t>cuevascristiano@hotmail.com</t>
  </si>
  <si>
    <t>fredyalbert1989@hotmail.com</t>
  </si>
  <si>
    <t>ecolja@hotmail.es</t>
  </si>
  <si>
    <t>wilmar_saavedra1989@hotmail.com</t>
  </si>
  <si>
    <t>luminipi@hotmail.com</t>
  </si>
  <si>
    <t>hmireya128@gmail.com</t>
  </si>
  <si>
    <t>nansiscal2012@gmail.com</t>
  </si>
  <si>
    <t>dipauli25@yahoo.es</t>
  </si>
  <si>
    <t>carlos.gonzalez1162@correo.policia.gov.co</t>
  </si>
  <si>
    <t>erik_liiana@hotmail.com</t>
  </si>
  <si>
    <t>francysissa@gmail.com</t>
  </si>
  <si>
    <t>amandadial1997@gmail.com</t>
  </si>
  <si>
    <t>ingritcanon@gmail.com</t>
  </si>
  <si>
    <t>da.nia22@hotmail.com</t>
  </si>
  <si>
    <t>joelmiguez1990@hotmail.com</t>
  </si>
  <si>
    <t>vielka.chiquillo@gmail.com</t>
  </si>
  <si>
    <t>motasmaximo@hotmail.com</t>
  </si>
  <si>
    <t>jairoabee1@gmail.com</t>
  </si>
  <si>
    <t>andrea.sosa60@yahoo.com</t>
  </si>
  <si>
    <t>jorgeempresarial1324@gmail.com</t>
  </si>
  <si>
    <t>lilianpaipa@gmail.com</t>
  </si>
  <si>
    <t>alexrop.07@hotmail.com</t>
  </si>
  <si>
    <t>wilfrangg.2015@gmail.com</t>
  </si>
  <si>
    <t>jessicajssdavian@outlook.com</t>
  </si>
  <si>
    <t>orlandomendivelso1234@gmail.com</t>
  </si>
  <si>
    <t>lasmue1986@hotmail.com</t>
  </si>
  <si>
    <t>pedroantoniomejia700@gmail.com</t>
  </si>
  <si>
    <t>emersonvargas017@gmail.com</t>
  </si>
  <si>
    <t>andresabrilamaya12@gmail.com</t>
  </si>
  <si>
    <t>leo2904@outlook.es</t>
  </si>
  <si>
    <t>lilysf17@gmail.com</t>
  </si>
  <si>
    <t>skv279w@gmail.com</t>
  </si>
  <si>
    <t>duranadriana315@gmail.com</t>
  </si>
  <si>
    <t>leomanriquem2024@gmail.com</t>
  </si>
  <si>
    <t>gomezdah@gmail.com</t>
  </si>
  <si>
    <t>Abrilninod@gmail.com</t>
  </si>
  <si>
    <t>javierusk26@gmail.com</t>
  </si>
  <si>
    <t>andrea.carreno-23@hotmail.com</t>
  </si>
  <si>
    <t>andlizarazo@uan.edu.co</t>
  </si>
  <si>
    <t>seidysantosf88@gmail.com</t>
  </si>
  <si>
    <t>feeneysoledad@gmail.com</t>
  </si>
  <si>
    <t>fabio5528@yahoo.es</t>
  </si>
  <si>
    <t>astridbaron@hotmail.com</t>
  </si>
  <si>
    <t>catalinaespindola@hotmail.es</t>
  </si>
  <si>
    <t>javier.cuy083@gmail.com</t>
  </si>
  <si>
    <t>rinconjessica715@gmail.com</t>
  </si>
  <si>
    <t>elromapa14@hotmail.com</t>
  </si>
  <si>
    <t>linapaolam22@gmail.com</t>
  </si>
  <si>
    <t>wicagrandson88@gmail.com</t>
  </si>
  <si>
    <t>omarestepa17@gmail.com</t>
  </si>
  <si>
    <t>pilirojas22@gmail.com</t>
  </si>
  <si>
    <t>williambernal95@outlook.com</t>
  </si>
  <si>
    <t>katerinegarciasoto@gmail.com</t>
  </si>
  <si>
    <t>dianasuarez0903@hotmail.com</t>
  </si>
  <si>
    <t>norisduran03@gmail.com</t>
  </si>
  <si>
    <t>thyco08@hotmail.com</t>
  </si>
  <si>
    <t>cparadachiquillo@gmail.com</t>
  </si>
  <si>
    <t>angarcia@comercialnutresa.com.co</t>
  </si>
  <si>
    <t>natycc208@gmail.com</t>
  </si>
  <si>
    <t>olgaabril24@gmail.com</t>
  </si>
  <si>
    <t>varcar362@gmail.com</t>
  </si>
  <si>
    <t>yenadial@gmail.com</t>
  </si>
  <si>
    <t>leoorangel015@gmail.com</t>
  </si>
  <si>
    <t>mendivelsoyiber26@gmail.com</t>
  </si>
  <si>
    <t>robinsua62@gmail.com</t>
  </si>
  <si>
    <t>bivian05@hotmail.com</t>
  </si>
  <si>
    <t>alejamartinez.jd23@gmail.com</t>
  </si>
  <si>
    <t>astriddelgadopinzon@gmail.com</t>
  </si>
  <si>
    <t>casca95@gmail.com</t>
  </si>
  <si>
    <t>jmnocobe17@gmail.com</t>
  </si>
  <si>
    <t>juliovargas.jv57@gmail.com</t>
  </si>
  <si>
    <t>andrez0990tuzji@gmail.com</t>
  </si>
  <si>
    <t>wendy.chiquillo@uptc.edu.co</t>
  </si>
  <si>
    <t>abriljohnfredy@gmai.com</t>
  </si>
  <si>
    <t>monito.o.k@gmail.com</t>
  </si>
  <si>
    <t>daniellade0116@gmail.com</t>
  </si>
  <si>
    <t>andresgarcia3966@gmail.com</t>
  </si>
  <si>
    <t>erikatatianagoyeneche@gmail.com</t>
  </si>
  <si>
    <t>serile0898@hotmail.com</t>
  </si>
  <si>
    <t>tatisrgow22@gmail.com</t>
  </si>
  <si>
    <t>yohanamejiagarcia1117@gmail.com</t>
  </si>
  <si>
    <t>joli911027@hotmail.com</t>
  </si>
  <si>
    <t>skatherloco_22@hotmail.com</t>
  </si>
  <si>
    <t>chaparrocarolina2@gmail.com</t>
  </si>
  <si>
    <t>r.corredor87@gmail.com</t>
  </si>
  <si>
    <t>dialeidyviviana1@gmail.com</t>
  </si>
  <si>
    <t>nanithac02@gmail.com</t>
  </si>
  <si>
    <t>mayrabarreracruz@gmail.com</t>
  </si>
  <si>
    <t>erikam92904@gmail.com</t>
  </si>
  <si>
    <t>arleyvalbuena6@gmail.com</t>
  </si>
  <si>
    <t>jgarcia5588@misena.edu.co</t>
  </si>
  <si>
    <t>magysmagy@gmail.com</t>
  </si>
  <si>
    <t>leidymajo26@gmail.com</t>
  </si>
  <si>
    <t>esperanzamesa22@hotmail.com</t>
  </si>
  <si>
    <t>ingenieroelkinr@gmail.com</t>
  </si>
  <si>
    <t>rodriguezandrea46@gmail.com</t>
  </si>
  <si>
    <t>ivdariobe99@gmail.com</t>
  </si>
  <si>
    <t>sagitariokaro@hotmail.com</t>
  </si>
  <si>
    <t>yury1202@hotmail.com</t>
  </si>
  <si>
    <t>yennygn1@gmail.com</t>
  </si>
  <si>
    <t>li1317.leav@gmail.com</t>
  </si>
  <si>
    <t>danylorenagomezo@gmail.com</t>
  </si>
  <si>
    <t>caceresnova1996@gmail.com</t>
  </si>
  <si>
    <t>lscamila628@gmail.com</t>
  </si>
  <si>
    <t>robinzonmejia02@gmail.com</t>
  </si>
  <si>
    <t>fernandojosenova@gmail.com</t>
  </si>
  <si>
    <t>joharin_9@hotmail.com</t>
  </si>
  <si>
    <t>sandovalvargasjulianricardo@gmail.com</t>
  </si>
  <si>
    <t>filizbo@yahoo.es</t>
  </si>
  <si>
    <t>alfredodaza2011@hotmail.com</t>
  </si>
  <si>
    <t>salomonvargassandoval@gmail.com</t>
  </si>
  <si>
    <t>nicolasmesa0@gmail.com</t>
  </si>
  <si>
    <t>leonardo9315@hotmail.com</t>
  </si>
  <si>
    <t>braefi@gmail.com</t>
  </si>
  <si>
    <t>nalimego13@hotmail.com</t>
  </si>
  <si>
    <t>jcamachor8@gmail.com</t>
  </si>
  <si>
    <t>carlos_blanco1995@hotmail.com</t>
  </si>
  <si>
    <t>jdaniel9705@hotmail.com</t>
  </si>
  <si>
    <t>izaparra1997@gmail.com</t>
  </si>
  <si>
    <t>andreitagomez611@gmail.com</t>
  </si>
  <si>
    <t>laob132@gmail.com</t>
  </si>
  <si>
    <t>gr9842085@gmail.com</t>
  </si>
  <si>
    <t>niquepa1321@gmail.com</t>
  </si>
  <si>
    <t>yeimyrodriguez@gmail.com</t>
  </si>
  <si>
    <t>ludymarlen@gmail.com</t>
  </si>
  <si>
    <t>rigoberto.vergara88@gmail.com</t>
  </si>
  <si>
    <t>paolacamargo10@gmail.com</t>
  </si>
  <si>
    <t>diegorodrigz6@gmail.com</t>
  </si>
  <si>
    <t>clarita-1188@hotmail.com</t>
  </si>
  <si>
    <t>cristianp94@gmail.com</t>
  </si>
  <si>
    <t>carolinafuentescontable@gmail.com</t>
  </si>
  <si>
    <t>deisyd559@gmail.com</t>
  </si>
  <si>
    <t>suarezlizeth037@gmail.com</t>
  </si>
  <si>
    <t>zulydanielac@gmail.com</t>
  </si>
  <si>
    <t>fabioarias291987@gmail.com</t>
  </si>
  <si>
    <t>claudiaquembarodriguez@gmail.com</t>
  </si>
  <si>
    <t>cguerreroamaya@gmail.com</t>
  </si>
  <si>
    <t>mendozavargasgustavo@gmail.com</t>
  </si>
  <si>
    <t>helmer371@gmail.com</t>
  </si>
  <si>
    <t>jmoreno294@gmail.com</t>
  </si>
  <si>
    <t>karen.stheyp@gmail.com</t>
  </si>
  <si>
    <t>p.p.ly@hotmail.com</t>
  </si>
  <si>
    <t>lcariza@uniboyaca.edu.co</t>
  </si>
  <si>
    <t>diegoruiz068@gmail.com</t>
  </si>
  <si>
    <t>jelberdario77@gmail.com</t>
  </si>
  <si>
    <t>tarazonaedward90@gmail.com</t>
  </si>
  <si>
    <t>sandra.ruiz0131@gmail.com</t>
  </si>
  <si>
    <t>diropeco06@gmail.com</t>
  </si>
  <si>
    <t>edisson405103@yahoo.es</t>
  </si>
  <si>
    <t>marlirene89@gmail.com</t>
  </si>
  <si>
    <t>rosaestupian02@yahoo.com</t>
  </si>
  <si>
    <t>jeissondelgado258@gmail.com</t>
  </si>
  <si>
    <t>roshy2411@hotmail.com</t>
  </si>
  <si>
    <t>rochicorona93@gmail.com</t>
  </si>
  <si>
    <t>mariaalejandraguerreroriano@gmail.com</t>
  </si>
  <si>
    <t>jhon.cardona@uptc.edu.co</t>
  </si>
  <si>
    <t>nellyfuentes658@gmail.com</t>
  </si>
  <si>
    <t>marcelitangarita20@gmail.com</t>
  </si>
  <si>
    <t>sebaspalencia0118@gmail.com</t>
  </si>
  <si>
    <t>salamancajorge068@gmail.com</t>
  </si>
  <si>
    <t>alba_roci86@hotmail.com</t>
  </si>
  <si>
    <t>wilrov@gmail.com</t>
  </si>
  <si>
    <t>jonathanrinconprieto@gmail.com</t>
  </si>
  <si>
    <t>sanchezmyrian@hotmail.com</t>
  </si>
  <si>
    <t>yuly_nusi@hotmail.com</t>
  </si>
  <si>
    <t>jarraul19@hotmail.com</t>
  </si>
  <si>
    <t>natamejiam@hotmail.com</t>
  </si>
  <si>
    <t>linamariaespinel@gmail.com</t>
  </si>
  <si>
    <t>olpm86@gmail.com</t>
  </si>
  <si>
    <t>johana27fernandez@gmail.com</t>
  </si>
  <si>
    <t>chaconm978@gmail.com</t>
  </si>
  <si>
    <t>diegomonroy196@gmail.com</t>
  </si>
  <si>
    <t>aurayinethsilva@gmail.com</t>
  </si>
  <si>
    <t>paulanathaliadiazplazas@gmail.com</t>
  </si>
  <si>
    <t>lxpeinadom@gmail.com</t>
  </si>
  <si>
    <t>lady.nataly@gmail.com</t>
  </si>
  <si>
    <t>efrenmir1987@gmail.com</t>
  </si>
  <si>
    <t>uscateguitapias@gmail.com</t>
  </si>
  <si>
    <t>richardtux@gmail.com</t>
  </si>
  <si>
    <t>germanans@hotmail.com</t>
  </si>
  <si>
    <t>figuer095@yahoo.es</t>
  </si>
  <si>
    <t>jennifercarolinacc2@gmail.com</t>
  </si>
  <si>
    <t>canchis87@gmail.com</t>
  </si>
  <si>
    <t>vanegaspuli1986@yahoo.com.co</t>
  </si>
  <si>
    <t>luiz8892@hotmail.com</t>
  </si>
  <si>
    <t>tapiasyeison924@gmail.com</t>
  </si>
  <si>
    <t>fabiancenfermero@gmail.com</t>
  </si>
  <si>
    <t>july31fl22@hotmail.com</t>
  </si>
  <si>
    <t>YULYCABRERA@hotmail.com</t>
  </si>
  <si>
    <t>sandracamilacabezasleon@gmail.com</t>
  </si>
  <si>
    <t>klich1278@hotmail.com</t>
  </si>
  <si>
    <t>robertrosas811@gmail.com</t>
  </si>
  <si>
    <t>caanrogi26@gmail.com</t>
  </si>
  <si>
    <t>oz_caraudio@hotmail.es</t>
  </si>
  <si>
    <t>lopezpaezjorgeluis@gmail.com</t>
  </si>
  <si>
    <t>gerencia.mads@gmail.com</t>
  </si>
  <si>
    <t>yeissonaragon@hotmail.com</t>
  </si>
  <si>
    <t>anaafricas@gmail.com</t>
  </si>
  <si>
    <t>luzmarinalopez1985@gmail.com</t>
  </si>
  <si>
    <t>sallydmosquera@yahoo.com.co</t>
  </si>
  <si>
    <t>vimalopez88@gmail.com</t>
  </si>
  <si>
    <t>taparcuaroberto88@gmail.com</t>
  </si>
  <si>
    <t>sininformar@gmail.com</t>
  </si>
  <si>
    <t>gabriel.avella6521@gmail.com</t>
  </si>
  <si>
    <t>edilsaruiz84@gmail.com</t>
  </si>
  <si>
    <t>andrescardozo19891988@hotmail.com</t>
  </si>
  <si>
    <t>dianitam018@gmail.com</t>
  </si>
  <si>
    <t>glopape6405@hotmail.com</t>
  </si>
  <si>
    <t>CORREONO@gmail.com</t>
  </si>
  <si>
    <t>lorena0988perez@hotmail.com</t>
  </si>
  <si>
    <t>thania_1108@hotmail.com</t>
  </si>
  <si>
    <t>fe.sandramerchan@outlook.com</t>
  </si>
  <si>
    <t>deissyballesteroscasas@gmail.com</t>
  </si>
  <si>
    <t>zoraidalemus1988@gmail.com</t>
  </si>
  <si>
    <t>mileidy1514@hotmail.com</t>
  </si>
  <si>
    <t>diegor.rubiano@gmail.com</t>
  </si>
  <si>
    <t>anabel_2804@hotmail.com</t>
  </si>
  <si>
    <t>alexamaria17_20@hotmail.com</t>
  </si>
  <si>
    <t>danielfgonzalez89@gmail.com</t>
  </si>
  <si>
    <t>juankp065@hotmail.com</t>
  </si>
  <si>
    <t>gmbarrera17@gmail.com</t>
  </si>
  <si>
    <t>dagael@gmail.com</t>
  </si>
  <si>
    <t>tatiana-alarconv@hotmail.com</t>
  </si>
  <si>
    <t>sistemasittech@gmail.com</t>
  </si>
  <si>
    <t>JAGIAN89@hotmail.com</t>
  </si>
  <si>
    <t>migueltibaduiza8916@gmail.com</t>
  </si>
  <si>
    <t>yulymore8@gmail.com</t>
  </si>
  <si>
    <t>claudiarincon2304@gmail.com</t>
  </si>
  <si>
    <t>dianis26_07@hotmail.com</t>
  </si>
  <si>
    <t>laurita.lili51@hotmail.com</t>
  </si>
  <si>
    <t>castromorenoandres@gmail.com</t>
  </si>
  <si>
    <t>rosaslemusm@gmail.com</t>
  </si>
  <si>
    <t>lady.fernandaperez@gmail.com</t>
  </si>
  <si>
    <t>yenyp2025@gmail.com</t>
  </si>
  <si>
    <t>paulisher97@gmail.com</t>
  </si>
  <si>
    <t>cachilasbebe@hotmail.com</t>
  </si>
  <si>
    <t>marianaluciana1989@gmail.com</t>
  </si>
  <si>
    <t>sandrapatriciameca@gmail.com</t>
  </si>
  <si>
    <t>gomezheinner@hotmail.com</t>
  </si>
  <si>
    <t>moritajhoana@gmail.com</t>
  </si>
  <si>
    <t>ortegon4@gmail.com</t>
  </si>
  <si>
    <t>duvanrc10@hotmail.com</t>
  </si>
  <si>
    <t>amandasalamanca9@gmail.com</t>
  </si>
  <si>
    <t>sandrag9006@gmail.com</t>
  </si>
  <si>
    <t>jasonlopezp@hotmail.com</t>
  </si>
  <si>
    <t>rjtequia@gmail.com</t>
  </si>
  <si>
    <t>ljimenez@gmail.com</t>
  </si>
  <si>
    <t>alejandroarias.2009@gmail.com</t>
  </si>
  <si>
    <t>alvarin1327@hotmail.com</t>
  </si>
  <si>
    <t>andre-963@hotmail.com</t>
  </si>
  <si>
    <t>leidy13paolaflo@gmail.com</t>
  </si>
  <si>
    <t>schelo_24@hotmail.com</t>
  </si>
  <si>
    <t>dariosa96@gmail.com</t>
  </si>
  <si>
    <t>lorealarcon04@gmail.com</t>
  </si>
  <si>
    <t>mairasored@hotmail.com</t>
  </si>
  <si>
    <t>morenodeisy35@gmail.com</t>
  </si>
  <si>
    <t>betomendivelso@gmail.com</t>
  </si>
  <si>
    <t>jfernando.ha@hotmail.com</t>
  </si>
  <si>
    <t>diegocely4@gmail.com</t>
  </si>
  <si>
    <t>fhdaza@gmail.com</t>
  </si>
  <si>
    <t>yvsalamanca@hotmail.com</t>
  </si>
  <si>
    <t>randy_drive12@hotmail.com</t>
  </si>
  <si>
    <t>mary_lu66@hotmail.com</t>
  </si>
  <si>
    <t>diegos05_@hotmail.com</t>
  </si>
  <si>
    <t>lilianamojicachia@gmail.com</t>
  </si>
  <si>
    <t>nalovera18@gmail.com</t>
  </si>
  <si>
    <t>YEVAME16@gmail.com</t>
  </si>
  <si>
    <t>reparagro2023@gmail.com</t>
  </si>
  <si>
    <t>concentradospasumerce@yahoo.com</t>
  </si>
  <si>
    <t>iijoseii027@hotmail.com</t>
  </si>
  <si>
    <t>soleird92@mail.com</t>
  </si>
  <si>
    <t>fsuarezarq@gmail.com</t>
  </si>
  <si>
    <t>CAMILOSALASDJ@gmail.com</t>
  </si>
  <si>
    <t>ivantibaduiza92@gmail.com</t>
  </si>
  <si>
    <t>dabaeztorres@hotmail.com</t>
  </si>
  <si>
    <t>deisyaju5@gmail.com</t>
  </si>
  <si>
    <t>gina.mora@uptc.edu.co</t>
  </si>
  <si>
    <t>j2mstore.repair@gmail.com</t>
  </si>
  <si>
    <t>adrianamaciasg@hotmail.com</t>
  </si>
  <si>
    <t>perez16cristancho@gmail.com</t>
  </si>
  <si>
    <t>wifesian@gmail.com</t>
  </si>
  <si>
    <t>yuvervar@gmail.com</t>
  </si>
  <si>
    <t>jose.alvarez.garnica@outlook.es</t>
  </si>
  <si>
    <t>juankamilo2412@gmail.com</t>
  </si>
  <si>
    <t>xiom8822@gmail.com</t>
  </si>
  <si>
    <t>edwin.rosas0415@gmail.com</t>
  </si>
  <si>
    <t>w.hernandez07@hotmail.com</t>
  </si>
  <si>
    <t>edgar_moreno2008@hotmail.com</t>
  </si>
  <si>
    <t>nelson.m2486@gmail.com</t>
  </si>
  <si>
    <t>jarbydylan06@gmail.com</t>
  </si>
  <si>
    <t>felipelopezlagos@gmail.com</t>
  </si>
  <si>
    <t>mbeltranp93@gmail.com</t>
  </si>
  <si>
    <t>lizethrincon0713@gmail.com</t>
  </si>
  <si>
    <t>3142885695n@gmail.com</t>
  </si>
  <si>
    <t>yennychef@gmail.com</t>
  </si>
  <si>
    <t>diegopache741@gmail.com</t>
  </si>
  <si>
    <t>caldasjessica833@gmail.com</t>
  </si>
  <si>
    <t>jose.acevedo930@gmail.com</t>
  </si>
  <si>
    <t>arqbrayancamacho@gmail.com</t>
  </si>
  <si>
    <t>ing.manuellopez93@gmail.com</t>
  </si>
  <si>
    <t>yas_9310@hotmail.com</t>
  </si>
  <si>
    <t>pau594@hotmail.com</t>
  </si>
  <si>
    <t>vivian940314@hotmail.com</t>
  </si>
  <si>
    <t>neneitas_6@hotmail.com</t>
  </si>
  <si>
    <t>lepaolaherreraz@gmail.com</t>
  </si>
  <si>
    <t>arq.velandia.a@gmail.com</t>
  </si>
  <si>
    <t>anyiz17645@gmail.com</t>
  </si>
  <si>
    <t>miguel_corredor1994@hotmail.com</t>
  </si>
  <si>
    <t>oskr1331@hotmail.com</t>
  </si>
  <si>
    <t>angiedaza11@gmail.com</t>
  </si>
  <si>
    <t>sebastianacosta936@gmail.com</t>
  </si>
  <si>
    <t>villamilangie0@gmail.com</t>
  </si>
  <si>
    <t>brapan021@hotmail.com</t>
  </si>
  <si>
    <t>lalilola16@hotmail.com</t>
  </si>
  <si>
    <t>nataespejot@gmail.com</t>
  </si>
  <si>
    <t>pquijano30@hotmail.com</t>
  </si>
  <si>
    <t>cristianpinzonc@gmail.com</t>
  </si>
  <si>
    <t>cagz728@hotmail.com</t>
  </si>
  <si>
    <t>paulaperez153@gmail.com</t>
  </si>
  <si>
    <t>karenjohanaayalavillate@gmail.com</t>
  </si>
  <si>
    <t>andrea9526@hotmail.com</t>
  </si>
  <si>
    <t>santhiago9513@gmail.com</t>
  </si>
  <si>
    <t>fonsecaarizadorapatricia@gmail.com</t>
  </si>
  <si>
    <t>annp2012@gmail.com</t>
  </si>
  <si>
    <t>DANILOMARTINEZ0402@gmail.com</t>
  </si>
  <si>
    <t>cdtatico@gmail.com</t>
  </si>
  <si>
    <t>melisa.le@outlook.com</t>
  </si>
  <si>
    <t>dmercafacil@gmail.com</t>
  </si>
  <si>
    <t>camiseres@gmail.com</t>
  </si>
  <si>
    <t>fabian.corredor72@gmail.com</t>
  </si>
  <si>
    <t>nata9628@hotmail.com</t>
  </si>
  <si>
    <t>yesid_a10@hotmail.com</t>
  </si>
  <si>
    <t>jenny9644@hotmail.com</t>
  </si>
  <si>
    <t>cristian.tangua@gmail.com</t>
  </si>
  <si>
    <t>torrescaroanyijuliana@gmail.com</t>
  </si>
  <si>
    <t>kpdazarion@gmail.com</t>
  </si>
  <si>
    <t>spatricia.2512@gmail.com</t>
  </si>
  <si>
    <t>daniel.fonsi@hotmail.com</t>
  </si>
  <si>
    <t>yeimycastelblanco@gmail.com</t>
  </si>
  <si>
    <t>juanchoand19@gmail.com</t>
  </si>
  <si>
    <t>vergaradayana669@gmail.com</t>
  </si>
  <si>
    <t>karenmoreno9704@gmail.com</t>
  </si>
  <si>
    <t>kellyzulley15@gmail.com</t>
  </si>
  <si>
    <t>marquezp.921@gmail.com</t>
  </si>
  <si>
    <t>riosginey16@gmail.com</t>
  </si>
  <si>
    <t>pauladanielacastrosalgado@gmail.com</t>
  </si>
  <si>
    <t>katheps9723@gmail.com</t>
  </si>
  <si>
    <t>stefannysierra02@gmail.com</t>
  </si>
  <si>
    <t>oscargarciam21@gmail.com</t>
  </si>
  <si>
    <t>leons2130@gmail.com</t>
  </si>
  <si>
    <t>cristianholguin.arq@gmail.com</t>
  </si>
  <si>
    <t>mauriciodiaz1109@gmail.com</t>
  </si>
  <si>
    <t>lasprilladaniel78@hotmail.com</t>
  </si>
  <si>
    <t>astridespitia0925@gmail.com</t>
  </si>
  <si>
    <t>angela.castro03@uptc.edu.co</t>
  </si>
  <si>
    <t>monicacamargo309@gmail.com</t>
  </si>
  <si>
    <t>francobjavi@hotmail.com</t>
  </si>
  <si>
    <t>joseph.jgcm26@gmail.com</t>
  </si>
  <si>
    <t>duvisguiof@gmail.com</t>
  </si>
  <si>
    <t>tyeison918@gmail.com</t>
  </si>
  <si>
    <t>esteban987marquez@gmail.com</t>
  </si>
  <si>
    <t>jorgerioz17@gmail.com</t>
  </si>
  <si>
    <t>stiven.delgadosua@gmail.com</t>
  </si>
  <si>
    <t>altuzarrayessenia2@gmail.com</t>
  </si>
  <si>
    <t>arielsan99@gmail.com</t>
  </si>
  <si>
    <t>ibronaldo1999@gmail.com</t>
  </si>
  <si>
    <t>astriddavila291992@gmail.com</t>
  </si>
  <si>
    <t>principealgava15@hotmail.com</t>
  </si>
  <si>
    <t>hernan141960@hotmail.com</t>
  </si>
  <si>
    <t>mmarcemorales@gmail.com</t>
  </si>
  <si>
    <t>figueredoandresdavid@gmail.com</t>
  </si>
  <si>
    <t>adrianitars11@hotmail.com</t>
  </si>
  <si>
    <t>gomezdeisy853@gmail.com</t>
  </si>
  <si>
    <t>leoserrape@yahoo.es</t>
  </si>
  <si>
    <t>framochi@hotmail.com</t>
  </si>
  <si>
    <t>ximecruz92@gmail.com</t>
  </si>
  <si>
    <t>yacujaban@gmail.com</t>
  </si>
  <si>
    <t>3203523951dp@gmail.com</t>
  </si>
  <si>
    <t>torresmonicat1995@gmail.com</t>
  </si>
  <si>
    <t>estevenperez11@gmail.com</t>
  </si>
  <si>
    <t>yib88_04@hotmail.com</t>
  </si>
  <si>
    <t>sjaky16@gmail.com</t>
  </si>
  <si>
    <t>santiagoariastorres24@gmail.com</t>
  </si>
  <si>
    <t>marlencuevas105@gmail.com</t>
  </si>
  <si>
    <t>fredyy2408@gmail.com</t>
  </si>
  <si>
    <t>juancarlosburgosardila91@gmail.com</t>
  </si>
  <si>
    <t>dfbarrera13@misena.edu.com</t>
  </si>
  <si>
    <t>erikaestepa40@gmail.com</t>
  </si>
  <si>
    <t>adrianaleon30@outlook.com</t>
  </si>
  <si>
    <t>yolanditagonza14@gmail.com</t>
  </si>
  <si>
    <t>dianapuentesc43@gmail.com</t>
  </si>
  <si>
    <t>clamole64@gmail.com</t>
  </si>
  <si>
    <t>zulaymurillo22@gmail.com</t>
  </si>
  <si>
    <t>yuniorerley@gmail.com</t>
  </si>
  <si>
    <t>trujillopazdeisylorena@gmail.com</t>
  </si>
  <si>
    <t>jamaneita999@hotmail.com</t>
  </si>
  <si>
    <t>luixcalderon12@gmail.com</t>
  </si>
  <si>
    <t>ninijohanaangaritabeleno@gmail.com</t>
  </si>
  <si>
    <t>nederrodriguez@gmail.com</t>
  </si>
  <si>
    <t>javier.villad.19@gmail.com</t>
  </si>
  <si>
    <t>roanmadi94@gmail.com</t>
  </si>
  <si>
    <t>jose.balaguera1990@gmail.com</t>
  </si>
  <si>
    <t>eduardo.lgc.uptc@gmail.com</t>
  </si>
  <si>
    <t>chowy_tu@hotmail.com</t>
  </si>
  <si>
    <t>mayehernandezhoyos@gmail.com</t>
  </si>
  <si>
    <t>saryluzpechica01009@gmail.com</t>
  </si>
  <si>
    <t>asalmanza6@gmail.com</t>
  </si>
  <si>
    <t>jeisonmolinatovar@gmail.com</t>
  </si>
  <si>
    <t>alexanderrubianoc@hotmail.com</t>
  </si>
  <si>
    <t>yessica7205@live.com</t>
  </si>
  <si>
    <t>yulianvel5@gmail.com</t>
  </si>
  <si>
    <t>johana.gil97@gmail.com</t>
  </si>
  <si>
    <t>elkin2022@gmail.com</t>
  </si>
  <si>
    <t>lucerorincon@outlook.com</t>
  </si>
  <si>
    <t>zambranoednajazmin@gmail.com</t>
  </si>
  <si>
    <t>ly_pat926@hotmail.com</t>
  </si>
  <si>
    <t>ruthnatalia1404@gmail.com</t>
  </si>
  <si>
    <t>nfrr92@gmail.com</t>
  </si>
  <si>
    <t>julisantos.o2018@gmail.com</t>
  </si>
  <si>
    <t>mifesiba@gmail.com</t>
  </si>
  <si>
    <t>chimena_27@hotmail.com</t>
  </si>
  <si>
    <t>lilianita.5281@gmail.com</t>
  </si>
  <si>
    <t>jhoa0301@hotmail.es</t>
  </si>
  <si>
    <t>leidyjohanna1070@hotmail.com</t>
  </si>
  <si>
    <t>alejaypipe260317@gmail.com</t>
  </si>
  <si>
    <t>ingwilmanherrera@gmail.com</t>
  </si>
  <si>
    <t>infantew0789@gmail.com</t>
  </si>
  <si>
    <t>gabriel.rodriguez123@outlook.es</t>
  </si>
  <si>
    <t>bryanaraque@hotmail.com</t>
  </si>
  <si>
    <t>dmaribel_18@hotmail.com</t>
  </si>
  <si>
    <t>jimmybarrera284@gmail.com</t>
  </si>
  <si>
    <t>soniastella1911@gmail.com</t>
  </si>
  <si>
    <t>andreajcadenasg@gmail.com</t>
  </si>
  <si>
    <t>valeflaka005@gmail.com</t>
  </si>
  <si>
    <t>fernando_11rojas@outlook.com</t>
  </si>
  <si>
    <t>florezf1989@gmail.com</t>
  </si>
  <si>
    <t>marlenmon01@gmail.com</t>
  </si>
  <si>
    <t>mmurciah@gmail.com</t>
  </si>
  <si>
    <t>serrincon16@gmail.com</t>
  </si>
  <si>
    <t>zali.0293@gmail.com</t>
  </si>
  <si>
    <t>darto_45@hotmail.com</t>
  </si>
  <si>
    <t>vidalopc12@gmail.com</t>
  </si>
  <si>
    <t>aurakris@hotmail.com</t>
  </si>
  <si>
    <t>mayerlidiaz39@gmail.com</t>
  </si>
  <si>
    <t>soleiedilnairafurquelozano@gmail.com</t>
  </si>
  <si>
    <t>alvaradomario696@gmail.com</t>
  </si>
  <si>
    <t>durangom388@gmail.com</t>
  </si>
  <si>
    <t>milereyesceleita97@gmail.com</t>
  </si>
  <si>
    <t>surtigriferss@gmail.com</t>
  </si>
  <si>
    <t>cristhiansoto1786@gmail.com</t>
  </si>
  <si>
    <t>yekitagarcia@hotmail.com</t>
  </si>
  <si>
    <t>cristianquyn@gmail.com</t>
  </si>
  <si>
    <t>paula.lore@hotmail.com</t>
  </si>
  <si>
    <t>Kjulietvega15@gmail.com</t>
  </si>
  <si>
    <t>rodrigueztellez2058@yahoo.es</t>
  </si>
  <si>
    <t>vivismoral482@gmail.com</t>
  </si>
  <si>
    <t>orozcoczmilo67@gmail.com</t>
  </si>
  <si>
    <t>yamilepara492@gmail.com</t>
  </si>
  <si>
    <t>corredorvalentina84@gmail.com</t>
  </si>
  <si>
    <t>sepulvedamiguel656@gmail.com</t>
  </si>
  <si>
    <t>vialpagu@hotmail.com</t>
  </si>
  <si>
    <t>andirodrofe@hotmail.com</t>
  </si>
  <si>
    <t>armandocastrotorres52@gmail.com</t>
  </si>
  <si>
    <t>brianeduarchacon@gmail.com</t>
  </si>
  <si>
    <t>karimerodriguez2802@gmail.com</t>
  </si>
  <si>
    <t>alejatrujilo1996@gmail.com</t>
  </si>
  <si>
    <t>wilson.gm25@hotmail.com</t>
  </si>
  <si>
    <t>arley1930@outlook.com</t>
  </si>
  <si>
    <t>yoneth201101@gmail.com</t>
  </si>
  <si>
    <t>cristhianmvz1007@gmail.com</t>
  </si>
  <si>
    <t>jdn9313@gmail.com</t>
  </si>
  <si>
    <t>samuel2017santiago2019@gmail.com</t>
  </si>
  <si>
    <t>ruthrodriguezdiaz04@gmail.com</t>
  </si>
  <si>
    <t>any.puerto1227@gmail.com</t>
  </si>
  <si>
    <t>shistaher20@gmail.com</t>
  </si>
  <si>
    <t>gc273024@gmail.com</t>
  </si>
  <si>
    <t>pamors28@gmai.com</t>
  </si>
  <si>
    <t>juanjosecaicedo123@gmail.com</t>
  </si>
  <si>
    <t>florlauraco2018@gmail.com</t>
  </si>
  <si>
    <t>johnburbanoestrada@gmail.com</t>
  </si>
  <si>
    <t>sax_zamora@hotmail.com</t>
  </si>
  <si>
    <t>fruversalsamentariamotilin@gmail.com</t>
  </si>
  <si>
    <t>luzdacr@hotmail.com</t>
  </si>
  <si>
    <t>d_ascencio@yahoo.es</t>
  </si>
  <si>
    <t>caballerojavier596@gmail.com</t>
  </si>
  <si>
    <t>amayaperezlady01@gmail.com</t>
  </si>
  <si>
    <t>dayana_0510yayis@hotmail.com</t>
  </si>
  <si>
    <t>jhonattanbj@gmail.com</t>
  </si>
  <si>
    <t>ALEX2_299@OUTLOOK.COM</t>
  </si>
  <si>
    <t>carilinabautizta0594@gmail.com</t>
  </si>
  <si>
    <t>jpuerto24@hotmail.com</t>
  </si>
  <si>
    <t>ANGELICAFLOREZMADRID@GMAIL.COM</t>
  </si>
  <si>
    <t>lis.card.g@gmail.com</t>
  </si>
  <si>
    <t>adriana.gonzalez1163@gmail.com</t>
  </si>
  <si>
    <t>norveymedina21@gmail.com</t>
  </si>
  <si>
    <t>nelsonlandazabal3@gmail.com</t>
  </si>
  <si>
    <t>jeancarlos4896@gmail.com</t>
  </si>
  <si>
    <t>yefry1023@gmail.com</t>
  </si>
  <si>
    <t>josegreg2122@gmail.com</t>
  </si>
  <si>
    <t>skid83ed@gmail.com</t>
  </si>
  <si>
    <t>piñerosleidy09@gmail.com</t>
  </si>
  <si>
    <t>yuliethv0818@gmail.com</t>
  </si>
  <si>
    <t>wilber-1101@hotmail.com</t>
  </si>
  <si>
    <t>MARIAMALTINEZ176@gmail.com</t>
  </si>
  <si>
    <t>lunachacon71@gmail.com</t>
  </si>
  <si>
    <t>deybera35@gmail.com</t>
  </si>
  <si>
    <t>jessilwc1410@gmail.com</t>
  </si>
  <si>
    <t>melimarni2991@gmail.com</t>
  </si>
  <si>
    <t>zulyrodriguez@gmail.com</t>
  </si>
  <si>
    <t>geffersonbejarano@gmail.com</t>
  </si>
  <si>
    <t>deivyrivera26@outlook.com</t>
  </si>
  <si>
    <t>fredys1029@gmail.com</t>
  </si>
  <si>
    <t>gregoryjosuelopezacevedo08@gmail.com</t>
  </si>
  <si>
    <t>SLIPKDIAZ@gmail.com</t>
  </si>
  <si>
    <t>quesorico.nobsa@hotmail.com</t>
  </si>
  <si>
    <t>alexagarzn@hotmail.com</t>
  </si>
  <si>
    <t>mariamdani19@gmail.com</t>
  </si>
  <si>
    <t>catalinacastellanos64@hotmail.com</t>
  </si>
  <si>
    <t>carloshpv21@gmail.com</t>
  </si>
  <si>
    <t>a.fonseca91@hotmail.es</t>
  </si>
  <si>
    <t>mariluz_281@hotmail.com</t>
  </si>
  <si>
    <t>leo1989mora@gmail.com</t>
  </si>
  <si>
    <t>edwinb_182@hotmail.com</t>
  </si>
  <si>
    <t>erika71910@hotmail.com</t>
  </si>
  <si>
    <t>lenny2403thomas@gmail.com</t>
  </si>
  <si>
    <t>dianita.k91@hotmail.com</t>
  </si>
  <si>
    <t>b.manuelyesid@gmail.com</t>
  </si>
  <si>
    <t>tundama92@gmail.com</t>
  </si>
  <si>
    <t>soniajudith29@hotmail.com</t>
  </si>
  <si>
    <t>felixeduardomejiacastellanos@gmail.com</t>
  </si>
  <si>
    <t>caritooleal@hotmail.com</t>
  </si>
  <si>
    <t>yivickyrq@gmail.com</t>
  </si>
  <si>
    <t>jairo.moyanocalvete@gmail.com</t>
  </si>
  <si>
    <t>zulliam1234@gmail.com</t>
  </si>
  <si>
    <t>sandra.3.1@hotmail.com</t>
  </si>
  <si>
    <t>erikayudidsa2011@gmail.com</t>
  </si>
  <si>
    <t>andryu3012@hotmail.com</t>
  </si>
  <si>
    <t>juliocesarreyesortiz@hotmail.com</t>
  </si>
  <si>
    <t>luampamo@gmail.com</t>
  </si>
  <si>
    <t>silviaangel1816@gmail.com</t>
  </si>
  <si>
    <t>claudiamerchan71@gmail.com</t>
  </si>
  <si>
    <t>nelidaninoflorez40@gmail.com</t>
  </si>
  <si>
    <t>silvanino969@gmail.com</t>
  </si>
  <si>
    <t>solanojoseangel2@gmail.com</t>
  </si>
  <si>
    <t>juanjoegirata1990@gmail.com</t>
  </si>
  <si>
    <t>silvarigoberto731@gmail.com</t>
  </si>
  <si>
    <t>liyugope1997@gmail.com</t>
  </si>
  <si>
    <t>alpedica24@gmail.com</t>
  </si>
  <si>
    <t>elianac1122@gmail.com</t>
  </si>
  <si>
    <t>yisseth.duenas@gmail.com</t>
  </si>
  <si>
    <t>sovilu@gmail.com</t>
  </si>
  <si>
    <t>barreraxime@gmail.com</t>
  </si>
  <si>
    <t>majo_silvago@hotmail.com</t>
  </si>
  <si>
    <t>NINIJHOANALOPEZPORTILLA@gmail.com</t>
  </si>
  <si>
    <t>ingcarolina.pb@gmail.com</t>
  </si>
  <si>
    <t>and_karen@hotmail.com</t>
  </si>
  <si>
    <t>renzzophd@hotmail.com</t>
  </si>
  <si>
    <t>yanija122813@gmail.com</t>
  </si>
  <si>
    <t>leidypulid@hotmail.com</t>
  </si>
  <si>
    <t>monicaycib@gmail.com</t>
  </si>
  <si>
    <t>mauricioneo_2012@hotmail.com</t>
  </si>
  <si>
    <t>camilolasprilla27@gmail.com</t>
  </si>
  <si>
    <t>monicahernandez2352@gmail.com</t>
  </si>
  <si>
    <t>francisco.pedraza.182@hotmail.com</t>
  </si>
  <si>
    <t>hl.alvarado0@gmail.com</t>
  </si>
  <si>
    <t>paantego@gmail.com</t>
  </si>
  <si>
    <t>suaflejuro9807@gmail.com</t>
  </si>
  <si>
    <t>sduitama@gmail.com</t>
  </si>
  <si>
    <t>centrodedignosticovet@gmail.com</t>
  </si>
  <si>
    <t>anggee.parra@gmail.com</t>
  </si>
  <si>
    <t>orozcojeferson9@gmail.com</t>
  </si>
  <si>
    <t>davfab21@gmail.com</t>
  </si>
  <si>
    <t>juandiegob01@gmail.com</t>
  </si>
  <si>
    <t>davaguilar38@gmail.com</t>
  </si>
  <si>
    <t>andersonbarriosrey@gmail.com</t>
  </si>
  <si>
    <t>kttorres12@gmail.com</t>
  </si>
  <si>
    <t>nico98paredes@gmail.com</t>
  </si>
  <si>
    <t>gjbr851023@gmail.com</t>
  </si>
  <si>
    <t>kathemona85@gmail.com</t>
  </si>
  <si>
    <t>thomasyuly2014@gmail.com</t>
  </si>
  <si>
    <t>germansantos.2111@gmail.com</t>
  </si>
  <si>
    <t>ALEXANDRAFERNANDEZROJAS@hotmail.com</t>
  </si>
  <si>
    <t>SOLANGIEANGARITA@hotmail.com</t>
  </si>
  <si>
    <t>margaretkmona@hotmail.com</t>
  </si>
  <si>
    <t>lopeztorraa@gmail.com</t>
  </si>
  <si>
    <t>zulinine@hotmail.com</t>
  </si>
  <si>
    <t>caguauque@uniboyaca.edu.co</t>
  </si>
  <si>
    <t>mariappm30@gmail.com</t>
  </si>
  <si>
    <t>marioseveriche02@hotmail.com</t>
  </si>
  <si>
    <t>CAROL9013@gmail.com</t>
  </si>
  <si>
    <t>linethsocha5@gmail.com</t>
  </si>
  <si>
    <t>alvaroarciniegas026@gmail.com</t>
  </si>
  <si>
    <t>otaloraramirezm10@gmail.com</t>
  </si>
  <si>
    <t>josealeanmedina@gmail.com</t>
  </si>
  <si>
    <t>edwinferney.franco@hotmail.com</t>
  </si>
  <si>
    <t>carranzacaballeroerikalorena@gmail.com</t>
  </si>
  <si>
    <t>danipaez6991@gmail.com</t>
  </si>
  <si>
    <t>felipelozano.dflm@gmail.com</t>
  </si>
  <si>
    <t>cyrseguritycam@gmail.com</t>
  </si>
  <si>
    <t>danielalvarador@hotmail.com</t>
  </si>
  <si>
    <t>KVMLT1998@gmail.com</t>
  </si>
  <si>
    <t>j.onymarquez@hotmail.com</t>
  </si>
  <si>
    <t>alexneymontoyac@gmail.com</t>
  </si>
  <si>
    <t>kikatawer87@hotmail.com</t>
  </si>
  <si>
    <t>despejos0509@hotmail.com</t>
  </si>
  <si>
    <t>hansmoraq@gmail.com</t>
  </si>
  <si>
    <t>nm.corrales54@gmail.com</t>
  </si>
  <si>
    <t>luisaortegon94@gmail.com</t>
  </si>
  <si>
    <t>marinojulian87@gmail.com</t>
  </si>
  <si>
    <t>karensofiareina@gmail.com</t>
  </si>
  <si>
    <t>YILENIPEDREROS45@gmail.com</t>
  </si>
  <si>
    <t>noinforman@hotmail.com</t>
  </si>
  <si>
    <t>luisa.alarcon.km8@gmail.com</t>
  </si>
  <si>
    <t>damiansgerards@gmail.com</t>
  </si>
  <si>
    <t>edgar.guevara5369@gmail.com</t>
  </si>
  <si>
    <t>casandovalgo@gmail.com</t>
  </si>
  <si>
    <t>mh825286@gmail.com</t>
  </si>
  <si>
    <t>amahurybernal@gmail.com</t>
  </si>
  <si>
    <t>gomezvivi02@gmail.com</t>
  </si>
  <si>
    <t>julietha1597@gmail.com</t>
  </si>
  <si>
    <t>jhonarojassolano@gmail.com</t>
  </si>
  <si>
    <t>anzuetaluis1986@gmail.com</t>
  </si>
  <si>
    <t>aguilera_07@hotmail.com</t>
  </si>
  <si>
    <t>andre.estefy.caste28@gmail.com</t>
  </si>
  <si>
    <t>ihannferminochoa2821@gmail.com</t>
  </si>
  <si>
    <t>edwinguio13@gmail.com</t>
  </si>
  <si>
    <t>anaortizg1986@gmail.com</t>
  </si>
  <si>
    <t>laura111591156608@gmail.com</t>
  </si>
  <si>
    <t>pablitom952@gmail.com</t>
  </si>
  <si>
    <t>maria.torres03@uptc.edu.co</t>
  </si>
  <si>
    <t>mo729403@gmail.com</t>
  </si>
  <si>
    <t>davidsuarezfer88@gmail.com</t>
  </si>
  <si>
    <t>mr.solano2312@gmail.com</t>
  </si>
  <si>
    <t>bluisito_94@hotmail.com</t>
  </si>
  <si>
    <t>iby.obernal@gmail.com</t>
  </si>
  <si>
    <t>dpinzonguayanes@gmail.com</t>
  </si>
  <si>
    <t>erikitacuevas@hotmail.com</t>
  </si>
  <si>
    <t>duvanpipe13@gmail.com</t>
  </si>
  <si>
    <t>galindohernan87@gmail.com</t>
  </si>
  <si>
    <t>dianamilena1020@gmail.com</t>
  </si>
  <si>
    <t>manolinmancipe@gmail.com</t>
  </si>
  <si>
    <t>andreitacamacho@hotmail.com</t>
  </si>
  <si>
    <t>jaimescolon@gmail.com</t>
  </si>
  <si>
    <t>jcamilo.var1993@gmail.com</t>
  </si>
  <si>
    <t>corpaskerly00@gmail.com</t>
  </si>
  <si>
    <t>jorgeeduardoramirezparales@gmail.com</t>
  </si>
  <si>
    <t>gonzalezeimar450@gmail.com</t>
  </si>
  <si>
    <t>jefersonjaimes646@gmail.com</t>
  </si>
  <si>
    <t>henryamid2019@gmail.com</t>
  </si>
  <si>
    <t>novoa0632@gmail.com</t>
  </si>
  <si>
    <t>alexis23122015@gmail.com</t>
  </si>
  <si>
    <t>patricia0697vega@gmail.com</t>
  </si>
  <si>
    <t>navtopografia99@gmail.com</t>
  </si>
  <si>
    <t>carlos.ceoc28@gmail.com</t>
  </si>
  <si>
    <t>juangabrielchaparro@gmail.com</t>
  </si>
  <si>
    <t>luzgcomgutierrez@gmail.com</t>
  </si>
  <si>
    <t>claudiacarranza1117@gmail.com</t>
  </si>
  <si>
    <t>niyipaez39@gmail.com</t>
  </si>
  <si>
    <t>cirlymontoya@gmail.com</t>
  </si>
  <si>
    <t>wilmercorrea53@gmail.com</t>
  </si>
  <si>
    <t>williamfernando_2013@hotmail.com</t>
  </si>
  <si>
    <t>albeiroc75@gmail.com</t>
  </si>
  <si>
    <t>mm.edilson.96@gmail.com</t>
  </si>
  <si>
    <t>heidiyolanda@gmail.com</t>
  </si>
  <si>
    <t>wilgond86@hotmail.com</t>
  </si>
  <si>
    <t>lizethtrujillo2004@gmail.com</t>
  </si>
  <si>
    <t>veptam460@gmail.com</t>
  </si>
  <si>
    <t>liancabu310@gmail.com</t>
  </si>
  <si>
    <t>diegoin1722@hotmail.com</t>
  </si>
  <si>
    <t>jherzon.siabato@gmail.com</t>
  </si>
  <si>
    <t>emilse.vargas@uptc.edu.co</t>
  </si>
  <si>
    <t>salomehr04@gmail.com</t>
  </si>
  <si>
    <t>yexsygonzalez@hotmail.com</t>
  </si>
  <si>
    <t>diegogarcia198894@gmail.com</t>
  </si>
  <si>
    <t>deisypao07@gmail.com</t>
  </si>
  <si>
    <t>jeissondavidgonzalezgallo@gmail.com</t>
  </si>
  <si>
    <t>jennypreciado17@gmail.com</t>
  </si>
  <si>
    <t>ginis.alvarez@gmail.com</t>
  </si>
  <si>
    <t>rojasorozcodairy@gmail.com</t>
  </si>
  <si>
    <t>rocidaf090914@gmail.com</t>
  </si>
  <si>
    <t>henrrry@hotmail.es</t>
  </si>
  <si>
    <t>sofia.g.cepeda@gmail.com</t>
  </si>
  <si>
    <t>deisycarolina-93@hotmail.com</t>
  </si>
  <si>
    <t>yulieth.katika@gmail.com</t>
  </si>
  <si>
    <t>cjimenz24@gmail.com</t>
  </si>
  <si>
    <t>yazzrodriguez4@gmail.com</t>
  </si>
  <si>
    <t>lauracatalinarodriguezdiaz@gmail.com</t>
  </si>
  <si>
    <t>didierbb30@gmail.com</t>
  </si>
  <si>
    <t>deivyrivera26@outlook.cm</t>
  </si>
  <si>
    <t>johnrio1114@hotmail.com</t>
  </si>
  <si>
    <t>karenmendivelso2024@gmail.com</t>
  </si>
  <si>
    <t>OFMG_123@gmail.com</t>
  </si>
  <si>
    <t>julyandreard@gmail.com</t>
  </si>
  <si>
    <t>memeca1@hotmail.com</t>
  </si>
  <si>
    <t>e9135417@gmail.com</t>
  </si>
  <si>
    <t>windy.sigua@gmail.com</t>
  </si>
  <si>
    <t>jhoga1996@gmail.com</t>
  </si>
  <si>
    <t>anayalexigo@gmail.com</t>
  </si>
  <si>
    <t>manolette961113@gmail.com</t>
  </si>
  <si>
    <t>doc.diana97@gmail.com</t>
  </si>
  <si>
    <t>ksofixrocu@gmail.com</t>
  </si>
  <si>
    <t>andreabohorquez2016@gmail.com</t>
  </si>
  <si>
    <t>elsytarache@gmail.com</t>
  </si>
  <si>
    <t>geilerg23@gmail.com</t>
  </si>
  <si>
    <t>astrids_95@hotmail.com</t>
  </si>
  <si>
    <t>diegovargas1120582011@gmail.com</t>
  </si>
  <si>
    <t>oe.salsedo@gmail.com</t>
  </si>
  <si>
    <t>greisydeysi7@gmail.com</t>
  </si>
  <si>
    <t>salcedomarysela@gmail.com</t>
  </si>
  <si>
    <t>linna_reyes@hotmail.com</t>
  </si>
  <si>
    <t>trasmitruck@hotmail.com</t>
  </si>
  <si>
    <t>miguelmorales_11@hotmail.com</t>
  </si>
  <si>
    <t>angelabarrerasol10@gmail.com</t>
  </si>
  <si>
    <t>magnolicedano6@gmail.com</t>
  </si>
  <si>
    <t>yessibedoya0@gmail.com</t>
  </si>
  <si>
    <t>saul_hernandezmoreno@hotmail.com</t>
  </si>
  <si>
    <t>dianabaez@outlook.es</t>
  </si>
  <si>
    <t>omar.rey@unillanos.edu.co</t>
  </si>
  <si>
    <t>paola.lozano0607@gmail.com</t>
  </si>
  <si>
    <t>naitsirc.028@gmail.com</t>
  </si>
  <si>
    <t>luiyirangel202@gmail.com</t>
  </si>
  <si>
    <t>yenifercovis25@gmail.com</t>
  </si>
  <si>
    <t>ojitoslindos_2601@hotmail.com</t>
  </si>
  <si>
    <t>hortaadrian6@gmail.com</t>
  </si>
  <si>
    <t>mayda.16@hotmail.com</t>
  </si>
  <si>
    <t>crewmf@icloud.com</t>
  </si>
  <si>
    <t>bolivarsandrajazmin@gmail.com</t>
  </si>
  <si>
    <t>carolinagomezlopezz@gmail.com</t>
  </si>
  <si>
    <t>cuellar.andrea805@gmail.com</t>
  </si>
  <si>
    <t>jorge.reyes@uptc.edu.co</t>
  </si>
  <si>
    <t>arceliou48@gmail.com</t>
  </si>
  <si>
    <t>bernardo.ceronchavez@gmail.com</t>
  </si>
  <si>
    <t>claudialdm@gmail.com</t>
  </si>
  <si>
    <t>VICTORCACERES601@gmail.com</t>
  </si>
  <si>
    <t>lorena.grimaldo28@gmail.com</t>
  </si>
  <si>
    <t>myriam2101romero@gmail.com</t>
  </si>
  <si>
    <t>angelabriez2010@gmail.com</t>
  </si>
  <si>
    <t>santosdeliana@gmail.com</t>
  </si>
  <si>
    <t>d27mireya@gmail.com</t>
  </si>
  <si>
    <t>mjsc1382@gmail.com</t>
  </si>
  <si>
    <t>yulyreyes1234@gmail.com</t>
  </si>
  <si>
    <t>yela.1042@gmail.com</t>
  </si>
  <si>
    <t>daisilysbergel25@gmail.com</t>
  </si>
  <si>
    <t>echavarrianatalia836@gmail.com</t>
  </si>
  <si>
    <t>virgiliolopez2015@hotmail.com</t>
  </si>
  <si>
    <t>alonmorantes.am@gmail.com</t>
  </si>
  <si>
    <t>daystefanyorozco@gmail.com</t>
  </si>
  <si>
    <t>patisofi.19@gmail.com</t>
  </si>
  <si>
    <t>mquinter5@gmail.com</t>
  </si>
  <si>
    <t>daisyoliveros1999@gmail.com</t>
  </si>
  <si>
    <t>angiereina071010@gmail.com</t>
  </si>
  <si>
    <t>lilianamendi0121@gmail.com</t>
  </si>
  <si>
    <t>fvelandiavega@gmail.com</t>
  </si>
  <si>
    <t>otaloraverdugosergio@gmail.com</t>
  </si>
  <si>
    <t>julianvelandia54@gmail.com</t>
  </si>
  <si>
    <t>js963354@gmail.com</t>
  </si>
  <si>
    <t>yuliethsanchez165@gmail.com</t>
  </si>
  <si>
    <t>olgamariapena606@gmail.com</t>
  </si>
  <si>
    <t>dominguezwilson27@gmail.com</t>
  </si>
  <si>
    <t>dysuarez24@gmail.com</t>
  </si>
  <si>
    <t>karolcujia5@hotmail.es</t>
  </si>
  <si>
    <t>stevengonzlez11@gmail.com</t>
  </si>
  <si>
    <t>ruizm5980@gmail.com</t>
  </si>
  <si>
    <t>silvadavid0811@gmail.com</t>
  </si>
  <si>
    <t>luisrojascarvajal0@gmail.com</t>
  </si>
  <si>
    <t>diehir2020@gmail.com</t>
  </si>
  <si>
    <t>nataliaestepa8@gmail.com</t>
  </si>
  <si>
    <t>lpsolano32@gmail.com</t>
  </si>
  <si>
    <t>vanesasdng@gmail.com</t>
  </si>
  <si>
    <t>sabaro201395@gmail.com</t>
  </si>
  <si>
    <t>felipe20001227solano@gmail.com</t>
  </si>
  <si>
    <t>eduaresteban7@gmail.com</t>
  </si>
  <si>
    <t>monsalvepuertojessikalorena@gmail.com</t>
  </si>
  <si>
    <t>alejandrajimenez0606@gmail.com</t>
  </si>
  <si>
    <t>NIQUITARODRIBMEZ@gmail.com</t>
  </si>
  <si>
    <t>javiergomez1331@gmail.com</t>
  </si>
  <si>
    <t>BETODIGO@hotmail.com</t>
  </si>
  <si>
    <t>magglionyb@gmail.com</t>
  </si>
  <si>
    <t>canon4762@gmail.com</t>
  </si>
  <si>
    <t>dilopez1792@gmail.com</t>
  </si>
  <si>
    <t>fuentesayalaa@gmail.com</t>
  </si>
  <si>
    <t>carnesfinastpyp@gmail.com</t>
  </si>
  <si>
    <t>jeison2618@hotmail.com</t>
  </si>
  <si>
    <t>mabc88@hotmail.com</t>
  </si>
  <si>
    <t>angiejcr@hotmail.com</t>
  </si>
  <si>
    <t>alixsa0629@gmail.com</t>
  </si>
  <si>
    <t>conjuntovillapatriciaduitama@gmail.com</t>
  </si>
  <si>
    <t>pcristorey99@hotmail.com</t>
  </si>
  <si>
    <t>facturacionelectronica@cvu.com.co</t>
  </si>
  <si>
    <t>ccdpresidencia@ccduitama.org.co</t>
  </si>
  <si>
    <t>o.jaredrengifo@gmail.com</t>
  </si>
  <si>
    <t>juridico@siegfried.com.co</t>
  </si>
  <si>
    <t>inversionesalinza2gsas@gmail.com</t>
  </si>
  <si>
    <t>tdc.duitama@terpel.com</t>
  </si>
  <si>
    <t>fabies84@gmail.com</t>
  </si>
  <si>
    <t>bistrorokas@gmail.com</t>
  </si>
  <si>
    <t>grupo.prosperarabltda@gmail.com</t>
  </si>
  <si>
    <t>pariscarpasyeventossas@gmail.com</t>
  </si>
  <si>
    <t>fundacionnecgtar@gmail.com</t>
  </si>
  <si>
    <t>fundaboy2018@gmail.com</t>
  </si>
  <si>
    <t>nicolasef92@gmail.com</t>
  </si>
  <si>
    <t>angelapaolaah88@gmail.com</t>
  </si>
  <si>
    <t>yacolmenaresc@unadvirtual.edu.co</t>
  </si>
  <si>
    <t>ibethsanchezrivera@gmail.com</t>
  </si>
  <si>
    <t>juanpabloacero06@gmail.com</t>
  </si>
  <si>
    <t>YURYTATO@hotmail.com</t>
  </si>
  <si>
    <t>edgarleonardomartinez2018@gmail.com</t>
  </si>
  <si>
    <t>CARRERA 9A 15 12</t>
  </si>
  <si>
    <t>CR 5 15B 63</t>
  </si>
  <si>
    <t>No Informado</t>
  </si>
  <si>
    <t>CR 7 17 30</t>
  </si>
  <si>
    <t>VILLAS DEL MUNDIAL</t>
  </si>
  <si>
    <t>ROBLEDALES 1 APT 502</t>
  </si>
  <si>
    <t>CL 19 45 02</t>
  </si>
  <si>
    <t>CARRERA 9 17B 11</t>
  </si>
  <si>
    <t>CLL 21N 30A06</t>
  </si>
  <si>
    <t>CL 3 16 07</t>
  </si>
  <si>
    <t>CLL 54A 11D 29</t>
  </si>
  <si>
    <t>BETEITIVA</t>
  </si>
  <si>
    <t>CALLE 19B 26 41</t>
  </si>
  <si>
    <t>CLL24 255</t>
  </si>
  <si>
    <t>CLL 19 2641</t>
  </si>
  <si>
    <t>CRA 4 6 02</t>
  </si>
  <si>
    <t>CR 11 A 6 34</t>
  </si>
  <si>
    <t>CR 26 3 106</t>
  </si>
  <si>
    <t>CL 19 7 86</t>
  </si>
  <si>
    <t>CALLE 19 7 86</t>
  </si>
  <si>
    <t>CL 15 12 49</t>
  </si>
  <si>
    <t>AV AMERICAS 20 34</t>
  </si>
  <si>
    <t>CL 15 N 9A 54</t>
  </si>
  <si>
    <t>VDA SAN JUAN NEPUMUCENO</t>
  </si>
  <si>
    <t>CR 11 18 57</t>
  </si>
  <si>
    <t>PUEBLITO BOYACENSE</t>
  </si>
  <si>
    <t>TRV 20 22 45</t>
  </si>
  <si>
    <t>CL 21 27 74</t>
  </si>
  <si>
    <t>CRA 7 16 40</t>
  </si>
  <si>
    <t>CR 3 4 27</t>
  </si>
  <si>
    <t>FINCA LA ISABELITA</t>
  </si>
  <si>
    <t>CR 9 1 57</t>
  </si>
  <si>
    <t>CR 14 22 26</t>
  </si>
  <si>
    <t>CL 7 7 28</t>
  </si>
  <si>
    <t>DIRECCION</t>
  </si>
  <si>
    <t>CL 5 3 71 CD INDUSTRIAL</t>
  </si>
  <si>
    <t>CR 8 9 96</t>
  </si>
  <si>
    <t>CLL 18 19 56</t>
  </si>
  <si>
    <t>CL 2 14 37</t>
  </si>
  <si>
    <t>DG 18 20 61</t>
  </si>
  <si>
    <t>CALLE 17 A N 8-04</t>
  </si>
  <si>
    <t>CR 7 1 24</t>
  </si>
  <si>
    <t>CR 3A 17A 21</t>
  </si>
  <si>
    <t>CR 8 12A 33</t>
  </si>
  <si>
    <t>TV 29 9 78</t>
  </si>
  <si>
    <t>CR 27 20 68</t>
  </si>
  <si>
    <t>CALLE 8 N 2-64</t>
  </si>
  <si>
    <t>CL 23B 23 32</t>
  </si>
  <si>
    <t>CR 17 27 19</t>
  </si>
  <si>
    <t>VIA CALERAS BOMBA TEXACO</t>
  </si>
  <si>
    <t>VDRA SANTA TERESA</t>
  </si>
  <si>
    <t>CR 5 14 81 6</t>
  </si>
  <si>
    <t>CR 2 4 15</t>
  </si>
  <si>
    <t>CR 40C 23 40 16</t>
  </si>
  <si>
    <t>CALLE 36 17 190</t>
  </si>
  <si>
    <t>CL 17 13 59</t>
  </si>
  <si>
    <t>CR 14 18 99</t>
  </si>
  <si>
    <t>COD SURBA Y BONSA</t>
  </si>
  <si>
    <t>ROMITA SECTOR ESMERALDA PAIPA</t>
  </si>
  <si>
    <t>CRA 27 A 7 14</t>
  </si>
  <si>
    <t>CR 81 A 69 T 82</t>
  </si>
  <si>
    <t>CHITA BARRIO PORTAL DE JERUSALEN</t>
  </si>
  <si>
    <t>CL 20 2C 80</t>
  </si>
  <si>
    <t>CRA 16_4 33 05</t>
  </si>
  <si>
    <t>CLL 13 8 27</t>
  </si>
  <si>
    <t>CRR 16 18 11</t>
  </si>
  <si>
    <t>cr 3 a 17 28</t>
  </si>
  <si>
    <t>KR 17 13 21</t>
  </si>
  <si>
    <t>CR 24 20 63</t>
  </si>
  <si>
    <t>CALLE 2 1 50 SOPO</t>
  </si>
  <si>
    <t>VEREDA CAÑOS DE PAIPA</t>
  </si>
  <si>
    <t>VEREDA ROMITA PAIPA</t>
  </si>
  <si>
    <t>CRA 89 80 43</t>
  </si>
  <si>
    <t>cr 19 07  41</t>
  </si>
  <si>
    <t>CL  28  16 67</t>
  </si>
  <si>
    <t>CR 19 N 16 38</t>
  </si>
  <si>
    <t>CRA 27 24 01</t>
  </si>
  <si>
    <t>CLL 21 43 70</t>
  </si>
  <si>
    <t>VDR PEÑA NEGRA</t>
  </si>
  <si>
    <t>VD SUESCUN</t>
  </si>
  <si>
    <t>CR 26 20 86</t>
  </si>
  <si>
    <t>CR 24 23A 19</t>
  </si>
  <si>
    <t>CARRERA 2 N-25-14</t>
  </si>
  <si>
    <t>CL 8  5 26</t>
  </si>
  <si>
    <t>CR 9 B 55</t>
  </si>
  <si>
    <t>CRA 7 N 5 03</t>
  </si>
  <si>
    <t>CR 2 18 76</t>
  </si>
  <si>
    <t>CL 5 35 13</t>
  </si>
  <si>
    <t>CR 22 17A 65</t>
  </si>
  <si>
    <t>CL 8 9 10</t>
  </si>
  <si>
    <t>CLL 19 B 30 107</t>
  </si>
  <si>
    <t>CR 2A N 17B 02</t>
  </si>
  <si>
    <t>CLL 11A 28 86</t>
  </si>
  <si>
    <t>CR 9 1 26</t>
  </si>
  <si>
    <t>CR 4811</t>
  </si>
  <si>
    <t>VRD TOCOGUA</t>
  </si>
  <si>
    <t>CLL 17 A 11 35</t>
  </si>
  <si>
    <t>CL 4 9 65</t>
  </si>
  <si>
    <t>CR 9 19 90</t>
  </si>
  <si>
    <t>CR 30 19 36</t>
  </si>
  <si>
    <t>ROBLEDALES DOS</t>
  </si>
  <si>
    <t>ROBLEALES 2</t>
  </si>
  <si>
    <t>CL 21A 27 70</t>
  </si>
  <si>
    <t>MZ L CA 6 CERRITO ENCANTADO</t>
  </si>
  <si>
    <t>CARRERA 23 A N 21-46</t>
  </si>
  <si>
    <t>CR 4 9A 26</t>
  </si>
  <si>
    <t>CR 31A N 21 34</t>
  </si>
  <si>
    <t>K 30 19 36</t>
  </si>
  <si>
    <t>CALLE 5 N 4 39</t>
  </si>
  <si>
    <t>MANZANA E CASA 11 ALTOS DEL MARANTA</t>
  </si>
  <si>
    <t>CL 67 49</t>
  </si>
  <si>
    <t>CR 20 A 27</t>
  </si>
  <si>
    <t>CR 26 24 18</t>
  </si>
  <si>
    <t>EL DORADO SANTAROSA DE VITERVI</t>
  </si>
  <si>
    <t>CR 6 6 89</t>
  </si>
  <si>
    <t>CR 30 19 B 31</t>
  </si>
  <si>
    <t>CL 19 9A 04</t>
  </si>
  <si>
    <t>VDA EL CHITAL</t>
  </si>
  <si>
    <t>CL 0A N 18 63</t>
  </si>
  <si>
    <t>CL 21 27 27</t>
  </si>
  <si>
    <t>CR 17 N 19 70</t>
  </si>
  <si>
    <t>CLL 6 8 45</t>
  </si>
  <si>
    <t>CLL12A 30 29</t>
  </si>
  <si>
    <t>CR 25 19 74</t>
  </si>
  <si>
    <t>PUEBLITO BOYACENCE CASA 7 11</t>
  </si>
  <si>
    <t>CL 7 47 03</t>
  </si>
  <si>
    <t>CR10 20 50</t>
  </si>
  <si>
    <t>CLL 20 43 32</t>
  </si>
  <si>
    <t>CL 14 5C 02</t>
  </si>
  <si>
    <t>CL 21B N 40 22</t>
  </si>
  <si>
    <t>CL 21 31 05</t>
  </si>
  <si>
    <t>CL 11 07 20</t>
  </si>
  <si>
    <t>CLL 06 03 67</t>
  </si>
  <si>
    <t>CLLE 4 W34 41</t>
  </si>
  <si>
    <t>CR 26 19 43</t>
  </si>
  <si>
    <t>CR 4 10 108</t>
  </si>
  <si>
    <t>CR 28 N11 03</t>
  </si>
  <si>
    <t>CR 23 A 23 51</t>
  </si>
  <si>
    <t>CL 5 10 36</t>
  </si>
  <si>
    <t>CR 5 10 66</t>
  </si>
  <si>
    <t>CR 17 17 24</t>
  </si>
  <si>
    <t>CLL 04 08 29</t>
  </si>
  <si>
    <t>VEREDAD LA TRINIDAD</t>
  </si>
  <si>
    <t>CRA 13 N 1 20 P1</t>
  </si>
  <si>
    <t>CR 16 C 2 55</t>
  </si>
  <si>
    <t>KRA 42 10 85</t>
  </si>
  <si>
    <t>JERICO BOYACA</t>
  </si>
  <si>
    <t>CHITA CENTRO</t>
  </si>
  <si>
    <t>CL 20 26 03</t>
  </si>
  <si>
    <t>TV 18 26 18</t>
  </si>
  <si>
    <t>CR 16 18 80</t>
  </si>
  <si>
    <t>CALLE 22 22 13</t>
  </si>
  <si>
    <t>CR 66 48</t>
  </si>
  <si>
    <t>CR 10A 10 34</t>
  </si>
  <si>
    <t>CLL 12A 18 16</t>
  </si>
  <si>
    <t>TR 40 APTO 404 CUIUDADELA YOPAL</t>
  </si>
  <si>
    <t>CL 16 19 27 P 2</t>
  </si>
  <si>
    <t>CL 17  15 53 APT 306</t>
  </si>
  <si>
    <t>CL 21 22 60</t>
  </si>
  <si>
    <t>CLL 20 A 21 52</t>
  </si>
  <si>
    <t>PANTANO DE VARGAS</t>
  </si>
  <si>
    <t>TV 5 23 118</t>
  </si>
  <si>
    <t>CR 22A 24 39</t>
  </si>
  <si>
    <t>CARERA 5 A N -13-21</t>
  </si>
  <si>
    <t>CR 2B 15A 11</t>
  </si>
  <si>
    <t>AV CIRCUNVALAR 20 55 APTO 204</t>
  </si>
  <si>
    <t>CL 19 33 74</t>
  </si>
  <si>
    <t>KM 14 VIA DUITAMA TIBASOSA</t>
  </si>
  <si>
    <t>CL 17 N 18 70CEN</t>
  </si>
  <si>
    <t>CL 15 A 42 30</t>
  </si>
  <si>
    <t>VDR ROMITA</t>
  </si>
  <si>
    <t>CR 37 6 24</t>
  </si>
  <si>
    <t>CLL 6 1 97</t>
  </si>
  <si>
    <t>CLL 77B 129 70</t>
  </si>
  <si>
    <t>CRA11B 9 45</t>
  </si>
  <si>
    <t>CLL 24 39 B 130</t>
  </si>
  <si>
    <t>CR 30 10 68</t>
  </si>
  <si>
    <t>TV 6 9 19</t>
  </si>
  <si>
    <t>CRR 5 13 _349 SUR CAJICA</t>
  </si>
  <si>
    <t>CRA34 11 41</t>
  </si>
  <si>
    <t>CR 312 02</t>
  </si>
  <si>
    <t>CLL 9 8 13</t>
  </si>
  <si>
    <t>CL 27 17 36</t>
  </si>
  <si>
    <t>CL 4 19 80</t>
  </si>
  <si>
    <t>CL 7 12 52</t>
  </si>
  <si>
    <t>CR10A N 11 06</t>
  </si>
  <si>
    <t>CR  15 17 28</t>
  </si>
  <si>
    <t>CALLE 15 N 39-20</t>
  </si>
  <si>
    <t>VRD AYALAS</t>
  </si>
  <si>
    <t>CL 9 34 33</t>
  </si>
  <si>
    <t>CL 14 5 45</t>
  </si>
  <si>
    <t>CR 43 19 22</t>
  </si>
  <si>
    <t>CL 21 40 17</t>
  </si>
  <si>
    <t>CR 45 20 78</t>
  </si>
  <si>
    <t>CL 8 19 B20</t>
  </si>
  <si>
    <t>CLL 21 A 40 61</t>
  </si>
  <si>
    <t>CL 21 25 80</t>
  </si>
  <si>
    <t>VDR SAN ANTONIO</t>
  </si>
  <si>
    <t>TRV 47 7A28</t>
  </si>
  <si>
    <t>CR 35 6 40</t>
  </si>
  <si>
    <t>CL 20 18 23</t>
  </si>
  <si>
    <t>CL 18 N1 64</t>
  </si>
  <si>
    <t>CR 8 13 35</t>
  </si>
  <si>
    <t>K 11   29 97</t>
  </si>
  <si>
    <t>CRR 17 28 40</t>
  </si>
  <si>
    <t>CL 9 8 48</t>
  </si>
  <si>
    <t>CL 16 30A 44</t>
  </si>
  <si>
    <t>CRA 34 19 133</t>
  </si>
  <si>
    <t>CR 43 N 18 10</t>
  </si>
  <si>
    <t>VDR EL CHORRITO</t>
  </si>
  <si>
    <t>CR 13 A 10 03</t>
  </si>
  <si>
    <t>CR 4 7 30</t>
  </si>
  <si>
    <t>CR 33 9A 47 BR BOCHICA</t>
  </si>
  <si>
    <t>CR 8 A 9 129</t>
  </si>
  <si>
    <t>CR 25 11 16</t>
  </si>
  <si>
    <t>CL 23 5 58</t>
  </si>
  <si>
    <t>CLL 20 N 6 54</t>
  </si>
  <si>
    <t>CL 8 29 60</t>
  </si>
  <si>
    <t>CLL 3 3 48</t>
  </si>
  <si>
    <t>CL 11 7B 73</t>
  </si>
  <si>
    <t>CL 23 39 59</t>
  </si>
  <si>
    <t>CL 4 9 52</t>
  </si>
  <si>
    <t>CRA 15 63 20</t>
  </si>
  <si>
    <t>CR 40 2463</t>
  </si>
  <si>
    <t>TRV 7 12 53</t>
  </si>
  <si>
    <t>CALLE 3 # 7-41</t>
  </si>
  <si>
    <t>DRA17 N 5 24</t>
  </si>
  <si>
    <t>CR 13 3 32</t>
  </si>
  <si>
    <t>CL 1 N 3 39</t>
  </si>
  <si>
    <t>CR 2 1 77 SUR</t>
  </si>
  <si>
    <t>CARRERA 10 N. 2-12</t>
  </si>
  <si>
    <t>CL 6B 9B 15</t>
  </si>
  <si>
    <t>CRA 10 6 55</t>
  </si>
  <si>
    <t>CL3160</t>
  </si>
  <si>
    <t>CLL2 1A31</t>
  </si>
  <si>
    <t>CL 3 3 73</t>
  </si>
  <si>
    <t>CL 5 N 0 50</t>
  </si>
  <si>
    <t>PATROCINIO ABAJO</t>
  </si>
  <si>
    <t>VEREDA  PUNTA LARGA</t>
  </si>
  <si>
    <t>CL 3 6 62 LC 2</t>
  </si>
  <si>
    <t>CLL 8 29 60</t>
  </si>
  <si>
    <t>CRA 24A 12 45</t>
  </si>
  <si>
    <t>CARRERA 10 2B 10</t>
  </si>
  <si>
    <t>CLLA56 F SUR 94 20</t>
  </si>
  <si>
    <t>CLL 6 35 41</t>
  </si>
  <si>
    <t>CALLE 4 No 3 - 44</t>
  </si>
  <si>
    <t>CR 23 23 33</t>
  </si>
  <si>
    <t>VDA SAN LORENSO TRINIDAD CALLEJUELA CINCO</t>
  </si>
  <si>
    <t>CL 19 22 A 41</t>
  </si>
  <si>
    <t>CR 25 27 46</t>
  </si>
  <si>
    <t>CR 3 17 44</t>
  </si>
  <si>
    <t>MANZANZ K CASA 11</t>
  </si>
  <si>
    <t>CLL 19 45 19</t>
  </si>
  <si>
    <t>CR 7A 5 106</t>
  </si>
  <si>
    <t>VDR CHORRITO</t>
  </si>
  <si>
    <t>CR 45 18 15</t>
  </si>
  <si>
    <t>CL 14 7B 12 AP 301 INT</t>
  </si>
  <si>
    <t>CLL7 33 MONGI</t>
  </si>
  <si>
    <t>CR 45 5A 16</t>
  </si>
  <si>
    <t>KM 9</t>
  </si>
  <si>
    <t>VEREDA UCUENGA</t>
  </si>
  <si>
    <t>VDR LAS CALERAS</t>
  </si>
  <si>
    <t>VDR SANTA ANA</t>
  </si>
  <si>
    <t>VDR PUNTA LARGA</t>
  </si>
  <si>
    <t>CRR 46 18 33</t>
  </si>
  <si>
    <t>CL 8 11 95</t>
  </si>
  <si>
    <t>VDA LAS CALERAS</t>
  </si>
  <si>
    <t>MANZANA H CASA 3</t>
  </si>
  <si>
    <t>VDA CALERAS</t>
  </si>
  <si>
    <t>COGOLLO</t>
  </si>
  <si>
    <t>VEREDA GUAQUIDA</t>
  </si>
  <si>
    <t>CLL 9 9 45</t>
  </si>
  <si>
    <t>VDA SAN MARTIN</t>
  </si>
  <si>
    <t>VRD SUESCUN</t>
  </si>
  <si>
    <t>CL 3A 11A 55</t>
  </si>
  <si>
    <t>CL 11 11A 41</t>
  </si>
  <si>
    <t>VR DICHO</t>
  </si>
  <si>
    <t>CRR 9 8 110</t>
  </si>
  <si>
    <t>CL 1 44 69</t>
  </si>
  <si>
    <t>CR 19 24 02</t>
  </si>
  <si>
    <t>AV CIRC 19 75</t>
  </si>
  <si>
    <t>BOGOTA</t>
  </si>
  <si>
    <t>CRA 24 25 56</t>
  </si>
  <si>
    <t>CL 19 25 29</t>
  </si>
  <si>
    <t>CL 8 35A 17</t>
  </si>
  <si>
    <t>MANZANA N CASA1 PAIPA</t>
  </si>
  <si>
    <t>CL 14 17A 37</t>
  </si>
  <si>
    <t>CALLE 15 42 30</t>
  </si>
  <si>
    <t>CR 38A 14 105</t>
  </si>
  <si>
    <t>CL 20 16_22</t>
  </si>
  <si>
    <t>CR302801</t>
  </si>
  <si>
    <t>CLL 13 13 50</t>
  </si>
  <si>
    <t>KM3 VEREDA PEÑA NEGRA</t>
  </si>
  <si>
    <t>CALLEJUELA2</t>
  </si>
  <si>
    <t>ROBLEALES 2 TO 3 302</t>
  </si>
  <si>
    <t>CL 16 38 20</t>
  </si>
  <si>
    <t>CLL 12 6A 16</t>
  </si>
  <si>
    <t>BARRI FATIMA</t>
  </si>
  <si>
    <t>CRA 3 15 B 06</t>
  </si>
  <si>
    <t>CRA 19 40 10 BRR CORINTO</t>
  </si>
  <si>
    <t>VRD SANTA TEREZA</t>
  </si>
  <si>
    <t>CLL 26 22 68</t>
  </si>
  <si>
    <t>CR 4 5 36</t>
  </si>
  <si>
    <t>CALLE 25 26 52</t>
  </si>
  <si>
    <t>VEREDA EL POZO</t>
  </si>
  <si>
    <t>AVC 10  171</t>
  </si>
  <si>
    <t>CLL  27 32</t>
  </si>
  <si>
    <t>CL 17 38 26 MZ D CA 7</t>
  </si>
  <si>
    <t>CLL 2 A 17 A 05</t>
  </si>
  <si>
    <t>CLL 12 71C 60</t>
  </si>
  <si>
    <t>CR 15 19 26</t>
  </si>
  <si>
    <t>CR 29 19A 34</t>
  </si>
  <si>
    <t>CR 30 20 14</t>
  </si>
  <si>
    <t>CRA 10 9 37</t>
  </si>
  <si>
    <t>CRA 27 10 117</t>
  </si>
  <si>
    <t>URB ALTOS DE MARANTA</t>
  </si>
  <si>
    <t>CL 102 41</t>
  </si>
  <si>
    <t>CL 15A 42 30</t>
  </si>
  <si>
    <t>CR 8 7 58</t>
  </si>
  <si>
    <t>PEREIRA CUBA MANZ 9 CAS 5 PANORAMA 2</t>
  </si>
  <si>
    <t>DIAGONAL 16 5 30</t>
  </si>
  <si>
    <t>CL 8 48 06</t>
  </si>
  <si>
    <t>CR 21 20 40</t>
  </si>
  <si>
    <t>MZ D CA 18 ALAMOS</t>
  </si>
  <si>
    <t>CL 14 B 5 C 10</t>
  </si>
  <si>
    <t>CL 22 22 63</t>
  </si>
  <si>
    <t>PAZ DEL RIO</t>
  </si>
  <si>
    <t>CR 3 8 28</t>
  </si>
  <si>
    <t>CL 3 18 37</t>
  </si>
  <si>
    <t>CL 11 10 53</t>
  </si>
  <si>
    <t>CL 8 27 28</t>
  </si>
  <si>
    <t>CL 19 43 68</t>
  </si>
  <si>
    <t>CL 9E 7 41</t>
  </si>
  <si>
    <t>CALLE 26 17A 29</t>
  </si>
  <si>
    <t>CL 17A 10 79</t>
  </si>
  <si>
    <t>CL 143 46 64</t>
  </si>
  <si>
    <t>CL 24 24 50</t>
  </si>
  <si>
    <t>cr 38 13 108</t>
  </si>
  <si>
    <t>CL 12 35 33</t>
  </si>
  <si>
    <t>CR 29 21 09</t>
  </si>
  <si>
    <t>SANTA TERESA</t>
  </si>
  <si>
    <t>CARRERA 6 N 17-49</t>
  </si>
  <si>
    <t>CL 10 4 25</t>
  </si>
  <si>
    <t>TV 19 23 141</t>
  </si>
  <si>
    <t>AV SANTANDER PLAZA DE MERCADO LC6</t>
  </si>
  <si>
    <t>CR 11 BIS 9 82</t>
  </si>
  <si>
    <t>CR 23 21 48</t>
  </si>
  <si>
    <t>CR 26C 21 30</t>
  </si>
  <si>
    <t>CRA 5 10 36</t>
  </si>
  <si>
    <t>CRA 23 23B 05</t>
  </si>
  <si>
    <t>CL 23A 25 40</t>
  </si>
  <si>
    <t>CL 19A 30 83</t>
  </si>
  <si>
    <t>CR 24 5 98</t>
  </si>
  <si>
    <t>CLL 4 W 15 69</t>
  </si>
  <si>
    <t>CL 14A 5C 20</t>
  </si>
  <si>
    <t>CR 4 3 22</t>
  </si>
  <si>
    <t>CR 8 6 41</t>
  </si>
  <si>
    <t>CLL 8 14A 37</t>
  </si>
  <si>
    <t>CL 1 45 13</t>
  </si>
  <si>
    <t>CL 13 11 63</t>
  </si>
  <si>
    <t>CR 10 8 20</t>
  </si>
  <si>
    <t>CL 22A 3A 61</t>
  </si>
  <si>
    <t>CR 5 7 44</t>
  </si>
  <si>
    <t>CL 3 N 3 21</t>
  </si>
  <si>
    <t>CR 11 3A 18</t>
  </si>
  <si>
    <t>cr 18 3 25</t>
  </si>
  <si>
    <t>CR 20 A 341</t>
  </si>
  <si>
    <t>CR D AN 8 51</t>
  </si>
  <si>
    <t>CL 9 311</t>
  </si>
  <si>
    <t>CLL 7B 48 26</t>
  </si>
  <si>
    <t>CR 32 22 30</t>
  </si>
  <si>
    <t>VDR TOBA</t>
  </si>
  <si>
    <t>CR 8 4 47</t>
  </si>
  <si>
    <t>CL 20 7 105</t>
  </si>
  <si>
    <t>VDA SAN ANTONIO NORTE SECTOR CAMPO HERMOSO</t>
  </si>
  <si>
    <t>CLL 23B TRV 5A 13</t>
  </si>
  <si>
    <t>calle  19a-22-24</t>
  </si>
  <si>
    <t>CLL 9A 5A 07</t>
  </si>
  <si>
    <t>CL 28 17A 31</t>
  </si>
  <si>
    <t>CR 21 19 36</t>
  </si>
  <si>
    <t>CR 5 7 54 PAZ DEL RIO</t>
  </si>
  <si>
    <t>CR 7B 11 40</t>
  </si>
  <si>
    <t>CRA 5 2018</t>
  </si>
  <si>
    <t>VRD ESPARTAN</t>
  </si>
  <si>
    <t>CL 23 B TV 5 A 25</t>
  </si>
  <si>
    <t>CL 21 27 60</t>
  </si>
  <si>
    <t>PAZ DE RIO</t>
  </si>
  <si>
    <t>CRA 31A 14A 13</t>
  </si>
  <si>
    <t>CR2 6 38</t>
  </si>
  <si>
    <t>ROBLEDALES 1</t>
  </si>
  <si>
    <t>CR 44 19 41</t>
  </si>
  <si>
    <t>CL 7 4 14</t>
  </si>
  <si>
    <t>CRA 8  7 49</t>
  </si>
  <si>
    <t>CLL 1 06 06</t>
  </si>
  <si>
    <t>CR 16A 27 54</t>
  </si>
  <si>
    <t>CL 20 42 69</t>
  </si>
  <si>
    <t>Robleales 2</t>
  </si>
  <si>
    <t>CR 24 20 23</t>
  </si>
  <si>
    <t>CR 31 14A 20</t>
  </si>
  <si>
    <t>LOS CRISTALES</t>
  </si>
  <si>
    <t>CR 32 19 40</t>
  </si>
  <si>
    <t>CR 5 8 49</t>
  </si>
  <si>
    <t>CR 3 3 47</t>
  </si>
  <si>
    <t>CL 21 33 249</t>
  </si>
  <si>
    <t>CARRERA 31 21 63</t>
  </si>
  <si>
    <t>CR 5C 17 37</t>
  </si>
  <si>
    <t>CR 16B 9 35</t>
  </si>
  <si>
    <t>CR 26 20 80</t>
  </si>
  <si>
    <t>CL 8 4 14</t>
  </si>
  <si>
    <t>CRA 8A 5908</t>
  </si>
  <si>
    <t>CR 3 4 43</t>
  </si>
  <si>
    <t>CR 31 20 28</t>
  </si>
  <si>
    <t>CRR 19 18 82</t>
  </si>
  <si>
    <t>CL 17 1D 34</t>
  </si>
  <si>
    <t>CR 10 9 A 22</t>
  </si>
  <si>
    <t>CL 10 37A 06</t>
  </si>
  <si>
    <t>CL 1 1 35</t>
  </si>
  <si>
    <t>CR 33 12 50</t>
  </si>
  <si>
    <t>CLL 10 37A08</t>
  </si>
  <si>
    <t>CR 25 N 21 61</t>
  </si>
  <si>
    <t>TRV 19 22A 35</t>
  </si>
  <si>
    <t>CR 32 19 41</t>
  </si>
  <si>
    <t>METROPOLIS</t>
  </si>
  <si>
    <t>DIAGONAL 21 22 137</t>
  </si>
  <si>
    <t>CLL 12A 28 22</t>
  </si>
  <si>
    <t>cll 23a 25 40</t>
  </si>
  <si>
    <t>CL 11 25 05</t>
  </si>
  <si>
    <t>CRA 30 N° 23 - 06</t>
  </si>
  <si>
    <t>CL 22 21 20</t>
  </si>
  <si>
    <t>CR 10 2B 10</t>
  </si>
  <si>
    <t>VR TOCOGUA</t>
  </si>
  <si>
    <t>CR 10 22B 119</t>
  </si>
  <si>
    <t>CL 4 8 60</t>
  </si>
  <si>
    <t>CR 5 18 11</t>
  </si>
  <si>
    <t>CR 38 16 33</t>
  </si>
  <si>
    <t>CR 6 2 47</t>
  </si>
  <si>
    <t>CL 11 32 250</t>
  </si>
  <si>
    <t>K 17 5 05</t>
  </si>
  <si>
    <t>CLL14 B N 35 53</t>
  </si>
  <si>
    <t>CR 19 7 34</t>
  </si>
  <si>
    <t>CRA 34 9 52</t>
  </si>
  <si>
    <t>CLL 19 26 58</t>
  </si>
  <si>
    <t>CLL 18C 1C 13</t>
  </si>
  <si>
    <t>CL 21 A N 2 A 38</t>
  </si>
  <si>
    <t>TRV 3 11 85</t>
  </si>
  <si>
    <t>CR 2C 5 77</t>
  </si>
  <si>
    <t>CR 2 7 44</t>
  </si>
  <si>
    <t>CALLE18 13 65</t>
  </si>
  <si>
    <t>VR CUCHE</t>
  </si>
  <si>
    <t>CR 19 1024</t>
  </si>
  <si>
    <t>CRA 15 10 84</t>
  </si>
  <si>
    <t>CLL 22 25 63</t>
  </si>
  <si>
    <t>CR 81 128 B11</t>
  </si>
  <si>
    <t>CR 16 19 28</t>
  </si>
  <si>
    <t>CL23A2746</t>
  </si>
  <si>
    <t>CL 8 29 05</t>
  </si>
  <si>
    <t>CR 78H 59 73</t>
  </si>
  <si>
    <t>CR 30 21 43</t>
  </si>
  <si>
    <t>CL 15 A 4 47</t>
  </si>
  <si>
    <t>CLL 19 4 NORTE 40</t>
  </si>
  <si>
    <t>CRA 9A 0125</t>
  </si>
  <si>
    <t>DG 11 13 81</t>
  </si>
  <si>
    <t>CL  21 N 27 49</t>
  </si>
  <si>
    <t>CL 02 02 24</t>
  </si>
  <si>
    <t>SATIVA SUR</t>
  </si>
  <si>
    <t>CLL 52 ABIS 77 27</t>
  </si>
  <si>
    <t>CL 11 27 50</t>
  </si>
  <si>
    <t>KR 2 2 31</t>
  </si>
  <si>
    <t>CL 4 13 36</t>
  </si>
  <si>
    <t>CR 2 N 1 167</t>
  </si>
  <si>
    <t>CR 38 9 25</t>
  </si>
  <si>
    <t>CL 16 35 45</t>
  </si>
  <si>
    <t>CLL 29A16 77</t>
  </si>
  <si>
    <t>TRV 29 10 280</t>
  </si>
  <si>
    <t>CRA 11A 22 77</t>
  </si>
  <si>
    <t>CLL 6B 8 26</t>
  </si>
  <si>
    <t>CL 23 30 67</t>
  </si>
  <si>
    <t>CR 10 N 17 B 09 INTERIOR 2</t>
  </si>
  <si>
    <t>CR 27 20 40</t>
  </si>
  <si>
    <t>CR 30 21 78</t>
  </si>
  <si>
    <t>VD SAN ANTONIO</t>
  </si>
  <si>
    <t>CLL 21 A 17 A 59</t>
  </si>
  <si>
    <t>CR 7 7 05 BELEN</t>
  </si>
  <si>
    <t>SOCOTA</t>
  </si>
  <si>
    <t>CL 2 5 44</t>
  </si>
  <si>
    <t>CALLE 5 N 1-21</t>
  </si>
  <si>
    <t>CL 19 20 29</t>
  </si>
  <si>
    <t>TV 20 24 02</t>
  </si>
  <si>
    <t>CR 36 16 65</t>
  </si>
  <si>
    <t>CR 39 11 62</t>
  </si>
  <si>
    <t>BRD WAITA</t>
  </si>
  <si>
    <t>CR 9 5 11</t>
  </si>
  <si>
    <t>TRANS 19 23 76</t>
  </si>
  <si>
    <t>BELEN BOYACA</t>
  </si>
  <si>
    <t>CR 6 A 4 33 TIBASOSA</t>
  </si>
  <si>
    <t>CR 23A 21 62</t>
  </si>
  <si>
    <t>CR 30 A 20 53</t>
  </si>
  <si>
    <t>CARRERA 12N 11 75</t>
  </si>
  <si>
    <t>CR 25A 27A 68</t>
  </si>
  <si>
    <t>CL 5 35</t>
  </si>
  <si>
    <t>CALLE 5 N 8-23</t>
  </si>
  <si>
    <t>CR 25 19 48</t>
  </si>
  <si>
    <t>CRA 45A 4 56 CS 17</t>
  </si>
  <si>
    <t>CR 28 3B 26</t>
  </si>
  <si>
    <t>CL 01 03 05</t>
  </si>
  <si>
    <t>CR5C N 14ABIS 20</t>
  </si>
  <si>
    <t>CLL 20 13A 45</t>
  </si>
  <si>
    <t>CRA 34 19 112</t>
  </si>
  <si>
    <t>SUSACIN</t>
  </si>
  <si>
    <t>CL 19 44 59</t>
  </si>
  <si>
    <t>MZ D CAS11 CASIQUE TUNDAMA</t>
  </si>
  <si>
    <t>CR 45 5 16</t>
  </si>
  <si>
    <t>CARRERA 19 A N 22-84</t>
  </si>
  <si>
    <t>CRA 46 20 49</t>
  </si>
  <si>
    <t>CR 37 B 14 04</t>
  </si>
  <si>
    <t>CRA 32 19 41</t>
  </si>
  <si>
    <t>CL 22 38 41</t>
  </si>
  <si>
    <t>CR 2 20108</t>
  </si>
  <si>
    <t>CR 4 3 62</t>
  </si>
  <si>
    <t>DIAGONAL 26 20 20</t>
  </si>
  <si>
    <t>CLL 1 6 38</t>
  </si>
  <si>
    <t>CL 3A 29A 06</t>
  </si>
  <si>
    <t>CR 26 20 53</t>
  </si>
  <si>
    <t>CR 6 5 61</t>
  </si>
  <si>
    <t>K 10B_BIS 43 30</t>
  </si>
  <si>
    <t>CL 64 06</t>
  </si>
  <si>
    <t>CLL 4W 15A 33</t>
  </si>
  <si>
    <t>CRA 7 1 103</t>
  </si>
  <si>
    <t>CL 21 33 2 49</t>
  </si>
  <si>
    <t>CR 10 15 55</t>
  </si>
  <si>
    <t>CRA 21A 20A14</t>
  </si>
  <si>
    <t>VDR LAS VUELTAS</t>
  </si>
  <si>
    <t>CLL 2 0688</t>
  </si>
  <si>
    <t>CL 3 N 7 06</t>
  </si>
  <si>
    <t>CR 5 3 26</t>
  </si>
  <si>
    <t>VDR SANTA TERESA</t>
  </si>
  <si>
    <t>CL 5 6 39</t>
  </si>
  <si>
    <t>CLLE5 2 65</t>
  </si>
  <si>
    <t>CLL 21 N 33 2 49</t>
  </si>
  <si>
    <t>CLL 4 29</t>
  </si>
  <si>
    <t>CR 2 C 5 36</t>
  </si>
  <si>
    <t>CL 5 4 09</t>
  </si>
  <si>
    <t>BRR CAMILO TORRES</t>
  </si>
  <si>
    <t>CL 18 42 A 04</t>
  </si>
  <si>
    <t>DIG 22 37 40</t>
  </si>
  <si>
    <t>CL 16 19 09</t>
  </si>
  <si>
    <t>CR 5 19 50</t>
  </si>
  <si>
    <t>VEREDA LAS VUELTAS TIBASOSA</t>
  </si>
  <si>
    <t>CRA 8  2</t>
  </si>
  <si>
    <t>CR 6 N 2 47</t>
  </si>
  <si>
    <t>VDA SANTA TERESA</t>
  </si>
  <si>
    <t>VDR TIBASOSA</t>
  </si>
  <si>
    <t>CRA 24 4 73</t>
  </si>
  <si>
    <t>CRR 7 5 180</t>
  </si>
  <si>
    <t>CRA 10 4 44</t>
  </si>
  <si>
    <t>CL 1 6 A 99</t>
  </si>
  <si>
    <t>CR 7 4 73</t>
  </si>
  <si>
    <t>VD CHORRITO</t>
  </si>
  <si>
    <t>CLL 05 A 02 42</t>
  </si>
  <si>
    <t>MANZANA CEREZO</t>
  </si>
  <si>
    <t>CLL 3 11 18 TIBASOSA</t>
  </si>
  <si>
    <t>VDR LOS GUAYABOS VILLA GARZON</t>
  </si>
  <si>
    <t>VDA VADO CASTRO</t>
  </si>
  <si>
    <t>TRV 18 20B 60</t>
  </si>
  <si>
    <t>CR 32 19 152</t>
  </si>
  <si>
    <t>CR 4 175</t>
  </si>
  <si>
    <t>CR 4 3 29</t>
  </si>
  <si>
    <t>CR 17 21 49</t>
  </si>
  <si>
    <t>CR 21 20 25</t>
  </si>
  <si>
    <t>TV 15 28 140</t>
  </si>
  <si>
    <t>CRA 3 N 3 84</t>
  </si>
  <si>
    <t>CL 6 6A 18</t>
  </si>
  <si>
    <t>CR 36 A 21 73</t>
  </si>
  <si>
    <t>CL 6 18 15</t>
  </si>
  <si>
    <t>CL 21 A 40 40</t>
  </si>
  <si>
    <t>CLL 13 N 5 200</t>
  </si>
  <si>
    <t>CALLE 7 N 10-30</t>
  </si>
  <si>
    <t>BRR ALAMOS</t>
  </si>
  <si>
    <t>CR 24 N 21 50</t>
  </si>
  <si>
    <t>CR 5 C 14 B 68</t>
  </si>
  <si>
    <t>CL 22 24 27</t>
  </si>
  <si>
    <t>CLL 134 151 54</t>
  </si>
  <si>
    <t>CL 5 12 34</t>
  </si>
  <si>
    <t>CL 15 36 53</t>
  </si>
  <si>
    <t>DIAGONAL 16 N6 158</t>
  </si>
  <si>
    <t>trasversal 10 n12 53</t>
  </si>
  <si>
    <t>cll 2 n15 42</t>
  </si>
  <si>
    <t>CONJUNTO ATALAYA</t>
  </si>
  <si>
    <t>JUAN GRANDE</t>
  </si>
  <si>
    <t>CR 16 12 24</t>
  </si>
  <si>
    <t>CR 29B 39 139A</t>
  </si>
  <si>
    <t>SEVILLA II CL 14A 38B 48</t>
  </si>
  <si>
    <t>CRA 29 03 18</t>
  </si>
  <si>
    <t>CALL 23 16 56</t>
  </si>
  <si>
    <t>CR 26A 24 22</t>
  </si>
  <si>
    <t>VRD LA LAGUNA SANTA ROSA DE VITERBO</t>
  </si>
  <si>
    <t>PUENTE LA BALSA</t>
  </si>
  <si>
    <t>CR 5A 23 67</t>
  </si>
  <si>
    <t>DVA PEÑA NEGRA</t>
  </si>
  <si>
    <t>VRED PEÑA NEGRA</t>
  </si>
  <si>
    <t>CR 8 9 50</t>
  </si>
  <si>
    <t>CR 29 21A 22</t>
  </si>
  <si>
    <t>CARRERA 3 N 3-30</t>
  </si>
  <si>
    <t>ONZAGA SANTANDER</t>
  </si>
  <si>
    <t>VER LEONERA</t>
  </si>
  <si>
    <t>CL22 3A 49</t>
  </si>
  <si>
    <t>VEREDA CHORRITO</t>
  </si>
  <si>
    <t>CRA 14 22 10</t>
  </si>
  <si>
    <t>CR 7 11 66</t>
  </si>
  <si>
    <t>CRA 10 15 04</t>
  </si>
  <si>
    <t>VEREDA SUESCUM</t>
  </si>
  <si>
    <t>CR 26 C 21 53 BRR SAN JUAN BOSCO</t>
  </si>
  <si>
    <t>CL 13 27 60</t>
  </si>
  <si>
    <t>CR 9 11 57</t>
  </si>
  <si>
    <t>CR 6A 1 52</t>
  </si>
  <si>
    <t>CL 15 A 4230</t>
  </si>
  <si>
    <t>CRA 2BESTE 7333</t>
  </si>
  <si>
    <t>las lajas</t>
  </si>
  <si>
    <t>CL  1 7 52</t>
  </si>
  <si>
    <t>CRA 2 4 62</t>
  </si>
  <si>
    <t>CL 9 5 21</t>
  </si>
  <si>
    <t>CLL 15 30 17</t>
  </si>
  <si>
    <t>CRA 36 21 49</t>
  </si>
  <si>
    <t>CRA 19 N 4 20</t>
  </si>
  <si>
    <t>CRA 19 16 52</t>
  </si>
  <si>
    <t>CR 37A 11 30</t>
  </si>
  <si>
    <t>CIUDADELA INDUSTRIAL</t>
  </si>
  <si>
    <t>CRA 22 N° 10-32</t>
  </si>
  <si>
    <t>CARRERA 13 N 17-30</t>
  </si>
  <si>
    <t>CL 78UN 13 INT 7 APTO 313</t>
  </si>
  <si>
    <t>CL 5 7 55</t>
  </si>
  <si>
    <t>CL 17A 4 21</t>
  </si>
  <si>
    <t>CLL 19 NO 24 22</t>
  </si>
  <si>
    <t>CRA 18 23 -02</t>
  </si>
  <si>
    <t>CR 13 13 30</t>
  </si>
  <si>
    <t>VDR SUESCUN</t>
  </si>
  <si>
    <t>VEREDA ANGOSTURA</t>
  </si>
  <si>
    <t>VR SAN ISIDRO</t>
  </si>
  <si>
    <t>CR 19 10 A 13</t>
  </si>
  <si>
    <t>CRA 15 17 45</t>
  </si>
  <si>
    <t>CALLE 10 34 25</t>
  </si>
  <si>
    <t>CL 5 3 113</t>
  </si>
  <si>
    <t>CR 3 56 17 BRR SANTA ANA</t>
  </si>
  <si>
    <t>TV 19 23 98</t>
  </si>
  <si>
    <t>CRA 5 C N 17-48</t>
  </si>
  <si>
    <t>CRA 2 C N 5A 27 TIBASOSA</t>
  </si>
  <si>
    <t>CALLE 21 11 59</t>
  </si>
  <si>
    <t>CL 7 N 6 25</t>
  </si>
  <si>
    <t>CR 17 35 A 200 BRR SAN LUIS</t>
  </si>
  <si>
    <t>CR 12 23 44</t>
  </si>
  <si>
    <t>CL 16 8 19</t>
  </si>
  <si>
    <t>CLL 13 35 48</t>
  </si>
  <si>
    <t>CL 7 4 10</t>
  </si>
  <si>
    <t>CRA 14 2 34</t>
  </si>
  <si>
    <t>CR 27 10  53</t>
  </si>
  <si>
    <t>CR 44 21 B 14</t>
  </si>
  <si>
    <t>CL 4 4 11</t>
  </si>
  <si>
    <t>VEREDA OTENGA</t>
  </si>
  <si>
    <t>CL14 31 28</t>
  </si>
  <si>
    <t>CARRERA 4A 6 97 SANTA ROSA DE VITERBO</t>
  </si>
  <si>
    <t>CLL 32 11 54</t>
  </si>
  <si>
    <t>CL 12 9 39</t>
  </si>
  <si>
    <t>CRA 11 23A 86</t>
  </si>
  <si>
    <t>TRANV 10 12 53</t>
  </si>
  <si>
    <t>CL 5 2 71 BRR LAS DELICIAS</t>
  </si>
  <si>
    <t>CRA 7 1A 14</t>
  </si>
  <si>
    <t>VREDA PUNTA LARGA</t>
  </si>
  <si>
    <t>CR 12 11 20</t>
  </si>
  <si>
    <t>CALLE 21 N 27-05</t>
  </si>
  <si>
    <t>CLL 19 A 26 35</t>
  </si>
  <si>
    <t>CLL 4 25 27</t>
  </si>
  <si>
    <t>VREDA DICHO</t>
  </si>
  <si>
    <t>CR 8 B 11 A 29</t>
  </si>
  <si>
    <t>CL 29 10 A 12</t>
  </si>
  <si>
    <t>CL 14 16 56</t>
  </si>
  <si>
    <t>CLL 5 8 61</t>
  </si>
  <si>
    <t>LA TRINIDAD</t>
  </si>
  <si>
    <t>VDR</t>
  </si>
  <si>
    <t>CLL 19 7 91</t>
  </si>
  <si>
    <t>CR 9 3 64 ESQ</t>
  </si>
  <si>
    <t>CRA 9 N 8 74</t>
  </si>
  <si>
    <t>CALLE 8 N 22_27</t>
  </si>
  <si>
    <t>CL 2 15 45</t>
  </si>
  <si>
    <t>CLL 27A 28</t>
  </si>
  <si>
    <t>CLL 14 N 3 60</t>
  </si>
  <si>
    <t>CL 9 4 81</t>
  </si>
  <si>
    <t>CRA27 20 41</t>
  </si>
  <si>
    <t>CR 12 21 05</t>
  </si>
  <si>
    <t>CL 19 BIS 30 38</t>
  </si>
  <si>
    <t>CLL 6 42 74</t>
  </si>
  <si>
    <t>CR 9 14 74</t>
  </si>
  <si>
    <t>CL 17 CR 1</t>
  </si>
  <si>
    <t>CENTRO</t>
  </si>
  <si>
    <t>TRVA 6 6 25</t>
  </si>
  <si>
    <t>CL 29 14 78</t>
  </si>
  <si>
    <t>CL 10 37A 15</t>
  </si>
  <si>
    <t>CR 13 21 10</t>
  </si>
  <si>
    <t>SOTAQUIRA</t>
  </si>
  <si>
    <t>VRD QUEBRADA DE BECERRAS</t>
  </si>
  <si>
    <t>CALLE 14 _14 10</t>
  </si>
  <si>
    <t>KM 1 VIA DUITAMA PAIPA VEREDA SAN LORENZO</t>
  </si>
  <si>
    <t>TV 19 31 74 BARRIO SAN LUIS</t>
  </si>
  <si>
    <t>CONDOMINIO EL PARAISO</t>
  </si>
  <si>
    <t>CR 24 20 68</t>
  </si>
  <si>
    <t>CL 21 29 63</t>
  </si>
  <si>
    <t>TRV 10 26 79</t>
  </si>
  <si>
    <t>CL 11A 5D 57</t>
  </si>
  <si>
    <t>CL 9 18 23</t>
  </si>
  <si>
    <t>CL 3 9 22 MZ C CS 15 LA FLORIDA</t>
  </si>
  <si>
    <t>CR 8D 1 03 TIBASOSA</t>
  </si>
  <si>
    <t>CL 18 14 23</t>
  </si>
  <si>
    <t>CL 1 SUR 11 21</t>
  </si>
  <si>
    <t>CR 5 11 78</t>
  </si>
  <si>
    <t>CL 23A 25 42</t>
  </si>
  <si>
    <t>CR 3 41 74</t>
  </si>
  <si>
    <t>CR 24 20 22</t>
  </si>
  <si>
    <t>CALLE21N33_249</t>
  </si>
  <si>
    <t>CL 27 19 147</t>
  </si>
  <si>
    <t>CR 16 A 15 65</t>
  </si>
  <si>
    <t>CRA7B 1624</t>
  </si>
  <si>
    <t>CR 39 10 105</t>
  </si>
  <si>
    <t>CL 12A 18 71</t>
  </si>
  <si>
    <t>AV CIR 23 64</t>
  </si>
  <si>
    <t>CR 11 39 12</t>
  </si>
  <si>
    <t>CR 1 24 57</t>
  </si>
  <si>
    <t>CR 23 4 50</t>
  </si>
  <si>
    <t>CRA 14 14 50</t>
  </si>
  <si>
    <t>CR 23 A 21 24</t>
  </si>
  <si>
    <t>TV 5 B 23 A 34</t>
  </si>
  <si>
    <t>CLL 15 8 78 INT 11</t>
  </si>
  <si>
    <t>CLL 4N 7 36</t>
  </si>
  <si>
    <t>CR 1 19 51</t>
  </si>
  <si>
    <t>CR 40 N 22A 83</t>
  </si>
  <si>
    <t>DIAGONAL 67 1A 74</t>
  </si>
  <si>
    <t>AV ORIENTAL 2A 150 SUR</t>
  </si>
  <si>
    <t>CALLE 189 46 10 INT 3 504</t>
  </si>
  <si>
    <t>CR 16 35</t>
  </si>
  <si>
    <t>CLL 25B 25 70</t>
  </si>
  <si>
    <t>CR 30 20 53</t>
  </si>
  <si>
    <t>CRA 48 174B 67</t>
  </si>
  <si>
    <t>CLL21A 40 07</t>
  </si>
  <si>
    <t>CR 1 30 44</t>
  </si>
  <si>
    <t>CALLE 18 B 4 C 03</t>
  </si>
  <si>
    <t>CL 16 31 205</t>
  </si>
  <si>
    <t>CL 18 N 40 54</t>
  </si>
  <si>
    <t>CR 42A 17A 04</t>
  </si>
  <si>
    <t>CL 15 13 79</t>
  </si>
  <si>
    <t>CL 18 13 80</t>
  </si>
  <si>
    <t>CALLE 18 30 70</t>
  </si>
  <si>
    <t>CR 16 N 28 34</t>
  </si>
  <si>
    <t>KR 16A 18 20</t>
  </si>
  <si>
    <t>CL 30A 14 55</t>
  </si>
  <si>
    <t>CL 25 21 47</t>
  </si>
  <si>
    <t>CR 5 6 35</t>
  </si>
  <si>
    <t>CR 17 A 20 96</t>
  </si>
  <si>
    <t>CR 16A 20B 43</t>
  </si>
  <si>
    <t>CRA 18 2A SUR 39</t>
  </si>
  <si>
    <t>CR 23 21 65</t>
  </si>
  <si>
    <t>CL 5A 36 28</t>
  </si>
  <si>
    <t>drnestorpatarroyo@hotmail.com</t>
  </si>
  <si>
    <t>CALLE 7 29 15</t>
  </si>
  <si>
    <t>CRA 11 17 10</t>
  </si>
  <si>
    <t>CR 9 N 21 63</t>
  </si>
  <si>
    <t>CL 8 6 74</t>
  </si>
  <si>
    <t>CLL 17 5 42</t>
  </si>
  <si>
    <t>CRA 16 32 57</t>
  </si>
  <si>
    <t>CR 13 3 A10</t>
  </si>
  <si>
    <t>CRRA 8 04 60</t>
  </si>
  <si>
    <t>CL 20A 24 25</t>
  </si>
  <si>
    <t>CLL 18 15 40</t>
  </si>
  <si>
    <t>CL 20 32 38</t>
  </si>
  <si>
    <t>CL 20 26 13</t>
  </si>
  <si>
    <t>CR 12A 21 55 B SOLANO</t>
  </si>
  <si>
    <t>CL 8 3 71</t>
  </si>
  <si>
    <t>CR 32 22 10</t>
  </si>
  <si>
    <t>CL 12 A 7 32</t>
  </si>
  <si>
    <t>KM 3 VIA DUITAMA-PAIPA</t>
  </si>
  <si>
    <t>CL 8 36 33</t>
  </si>
  <si>
    <t>CRA 17 10 33</t>
  </si>
  <si>
    <t>CL 20 20 43</t>
  </si>
  <si>
    <t>CR 7A 6A 14 MZ G CS 10</t>
  </si>
  <si>
    <t>CR 2 18 74</t>
  </si>
  <si>
    <t>CR 17 28 9</t>
  </si>
  <si>
    <t>FINCA LA ARGENTINA TIBASOSA</t>
  </si>
  <si>
    <t>KRA 20 12 70</t>
  </si>
  <si>
    <t>CR 16 19 20</t>
  </si>
  <si>
    <t>CL 9 21 40</t>
  </si>
  <si>
    <t>CR 37A 11 04</t>
  </si>
  <si>
    <t>CL 28 17 21</t>
  </si>
  <si>
    <t>CR 21A 20A 27</t>
  </si>
  <si>
    <t>CR 18 N 20 137</t>
  </si>
  <si>
    <t>CARRERA 14 N 18_ 28</t>
  </si>
  <si>
    <t>Calle 19 19 25</t>
  </si>
  <si>
    <t>CARRERA 37  20 45</t>
  </si>
  <si>
    <t>CR 32 9 B 48</t>
  </si>
  <si>
    <t>CLL 21 40 44</t>
  </si>
  <si>
    <t>CLL 20  2 05</t>
  </si>
  <si>
    <t>CLL 16 14 12</t>
  </si>
  <si>
    <t>CL 17 15 09</t>
  </si>
  <si>
    <t>CR 10 10 100</t>
  </si>
  <si>
    <t>CL 19 B 26 26</t>
  </si>
  <si>
    <t>CL 24 26 07</t>
  </si>
  <si>
    <t>CR 9 17 A 22</t>
  </si>
  <si>
    <t>CR 10 20 21</t>
  </si>
  <si>
    <t>CR 17 17 30</t>
  </si>
  <si>
    <t>CL 9 19 53</t>
  </si>
  <si>
    <t>CL 22A 20 24</t>
  </si>
  <si>
    <t>CR 15 13 19</t>
  </si>
  <si>
    <t>CR 35 3 A W 34 66</t>
  </si>
  <si>
    <t>CR 27 23 17</t>
  </si>
  <si>
    <t>CR 30 13 65</t>
  </si>
  <si>
    <t>CRA39 21 33</t>
  </si>
  <si>
    <t>CLL 15 12 49</t>
  </si>
  <si>
    <t>CR 29 8 45</t>
  </si>
  <si>
    <t>CLL95 N 71   _31</t>
  </si>
  <si>
    <t>CL 22 3 03</t>
  </si>
  <si>
    <t>CR 42 14 128</t>
  </si>
  <si>
    <t>KM 4.5 VIA DUITAMA NOBSA</t>
  </si>
  <si>
    <t>CL 20 19 70</t>
  </si>
  <si>
    <t>DIAG22 36 78</t>
  </si>
  <si>
    <t>CL 20 21 27</t>
  </si>
  <si>
    <t>CLL 29 8 45</t>
  </si>
  <si>
    <t>VDR PANTANO DE VARGAS</t>
  </si>
  <si>
    <t>CLL 22A 10A 07</t>
  </si>
  <si>
    <t>CLL 15A 4 53</t>
  </si>
  <si>
    <t>CR 14 18 10</t>
  </si>
  <si>
    <t>CL 24 1E 48</t>
  </si>
  <si>
    <t>CR 16A 9 20</t>
  </si>
  <si>
    <t>MZ D CS 11</t>
  </si>
  <si>
    <t>CLL 1 5 41</t>
  </si>
  <si>
    <t>CR 29 14 63</t>
  </si>
  <si>
    <t>CR 10 15 58</t>
  </si>
  <si>
    <t>CL 17 03 A 31</t>
  </si>
  <si>
    <t>CL 23A 23 62</t>
  </si>
  <si>
    <t>CLL 13 7B 38</t>
  </si>
  <si>
    <t>CL 11 14 70 BRR CENTRO</t>
  </si>
  <si>
    <t>CL 19 22 08</t>
  </si>
  <si>
    <t>VEREDA EL MORTIÑO</t>
  </si>
  <si>
    <t>CALLE 15 B N 5-25</t>
  </si>
  <si>
    <t>CR 30 12A 48</t>
  </si>
  <si>
    <t>CR 11 4 13 BRR BOYACA</t>
  </si>
  <si>
    <t>CL 25 N 469 SAN ANTONIO NORTE</t>
  </si>
  <si>
    <t>CR 71B BIS 12A 40</t>
  </si>
  <si>
    <t>CR 3 NORTE 18 41</t>
  </si>
  <si>
    <t>CRA 25 2 50</t>
  </si>
  <si>
    <t>CL 15 12 40</t>
  </si>
  <si>
    <t>CR 26 20 56</t>
  </si>
  <si>
    <t>CLL 7 36 04</t>
  </si>
  <si>
    <t>LAS GALIAS</t>
  </si>
  <si>
    <t>CL 9 36 85</t>
  </si>
  <si>
    <t>CRA 8A 13A 40</t>
  </si>
  <si>
    <t>CALLE 20 17 77</t>
  </si>
  <si>
    <t>CALLE 12 A 30 18</t>
  </si>
  <si>
    <t>CR7 11 17</t>
  </si>
  <si>
    <t>CRA 26 A 18 04</t>
  </si>
  <si>
    <t>CLL 16 4 90</t>
  </si>
  <si>
    <t>CL 16 14 12</t>
  </si>
  <si>
    <t>CLL 16 7 31</t>
  </si>
  <si>
    <t>CLL 15 8 09</t>
  </si>
  <si>
    <t>CR 37 N 6 15</t>
  </si>
  <si>
    <t>CLL 23 39 33</t>
  </si>
  <si>
    <t>CR 5C 14B 87</t>
  </si>
  <si>
    <t>CL 3 5 40</t>
  </si>
  <si>
    <t>CRA 40 22 62</t>
  </si>
  <si>
    <t>CALLE20 N-34-29</t>
  </si>
  <si>
    <t>CRA 28A 3 03</t>
  </si>
  <si>
    <t>DG 22 37 120</t>
  </si>
  <si>
    <t>CL 3 N 3 44</t>
  </si>
  <si>
    <t>CL 17A 06 27</t>
  </si>
  <si>
    <t>CLL26A 17A 15</t>
  </si>
  <si>
    <t>CR 16 12 26</t>
  </si>
  <si>
    <t>TRASVERSAL 19 31 70</t>
  </si>
  <si>
    <t>CL 22 20 32</t>
  </si>
  <si>
    <t>CL 14 5 20</t>
  </si>
  <si>
    <t>SAN LUIS ALTO</t>
  </si>
  <si>
    <t>CR 11 17 42</t>
  </si>
  <si>
    <t>CL 18 13 65</t>
  </si>
  <si>
    <t>CR 18 22 84</t>
  </si>
  <si>
    <t>CR 15 14 58</t>
  </si>
  <si>
    <t>CLLE 23 B TR 5 B 27</t>
  </si>
  <si>
    <t>CL 4 6 65</t>
  </si>
  <si>
    <t>CR 8 17 71</t>
  </si>
  <si>
    <t>URBANIZACION CHITICUY</t>
  </si>
  <si>
    <t>CRA 17 18 48</t>
  </si>
  <si>
    <t>CLL 11A 3220</t>
  </si>
  <si>
    <t>CR 14 N 18 10</t>
  </si>
  <si>
    <t>CL 19 26 63</t>
  </si>
  <si>
    <t>CLL 10 34 40</t>
  </si>
  <si>
    <t>CRA40A 23 63</t>
  </si>
  <si>
    <t>CL 5 4 06 BRR LAS DELICIAS</t>
  </si>
  <si>
    <t>TV 15 28 180</t>
  </si>
  <si>
    <t>CR 9 10 150</t>
  </si>
  <si>
    <t>CLL 22 N 11A _27</t>
  </si>
  <si>
    <t>CR 30 N 6 87</t>
  </si>
  <si>
    <t>CIUDADELA COM GUADALUP</t>
  </si>
  <si>
    <t>VDA EL PORTACHU7ELO</t>
  </si>
  <si>
    <t>CLL 21 24 18</t>
  </si>
  <si>
    <t>CALLE 9 N 35-59</t>
  </si>
  <si>
    <t>CL 23 N 2 A 29</t>
  </si>
  <si>
    <t>SAN MIGUEL ARCANGUEL</t>
  </si>
  <si>
    <t>CL 22  41 16</t>
  </si>
  <si>
    <t>CR 31A 16 40</t>
  </si>
  <si>
    <t>CR 19 9 34</t>
  </si>
  <si>
    <t>CL17 34 48</t>
  </si>
  <si>
    <t>CRA 6 NO 9 56 STA ROSA</t>
  </si>
  <si>
    <t>DIAGONAL 11 10A 86</t>
  </si>
  <si>
    <t>CLL 16 14 41</t>
  </si>
  <si>
    <t>CR 26 A 22 15</t>
  </si>
  <si>
    <t>CRA 11 17 A 64</t>
  </si>
  <si>
    <t>CR 16A 9 02</t>
  </si>
  <si>
    <t>CR 8 5 39</t>
  </si>
  <si>
    <t>CRR 30 14 55</t>
  </si>
  <si>
    <t>CR 34 9 34</t>
  </si>
  <si>
    <t>CL 21A 43 07</t>
  </si>
  <si>
    <t>CLL 17A 10 46</t>
  </si>
  <si>
    <t>VEREDA LA PRADERA</t>
  </si>
  <si>
    <t>CR 36A 22 26</t>
  </si>
  <si>
    <t>CL 15 14 38</t>
  </si>
  <si>
    <t>MANZANA F CS2</t>
  </si>
  <si>
    <t>CRA 30 13 69</t>
  </si>
  <si>
    <t>CR 4 16 81</t>
  </si>
  <si>
    <t>CR 16 34 41</t>
  </si>
  <si>
    <t>CL 6 37 05</t>
  </si>
  <si>
    <t>CRA 27 22 18</t>
  </si>
  <si>
    <t>CLL 28 A N 17 A 52</t>
  </si>
  <si>
    <t>CLL 11A 32 29</t>
  </si>
  <si>
    <t>CRA 38 18A 39</t>
  </si>
  <si>
    <t>CLL 21 11 29</t>
  </si>
  <si>
    <t>CL 18 12 53 OF 507</t>
  </si>
  <si>
    <t>VDA DICHO</t>
  </si>
  <si>
    <t>CRA 1B 18 65</t>
  </si>
  <si>
    <t>CLL 18 9 20</t>
  </si>
  <si>
    <t>CR 16 2 13</t>
  </si>
  <si>
    <t>CL 4 A 34 23</t>
  </si>
  <si>
    <t>CR 26 12A 12 BRR LA FLORESTA</t>
  </si>
  <si>
    <t>CR  16  15 62 OF 301</t>
  </si>
  <si>
    <t>CR21 14 56</t>
  </si>
  <si>
    <t>DIG 16 5 _151</t>
  </si>
  <si>
    <t>CL 20 27 48</t>
  </si>
  <si>
    <t>CLL 9 34 33</t>
  </si>
  <si>
    <t>CR 2 14 48 IN 1</t>
  </si>
  <si>
    <t>CR 5 4 03</t>
  </si>
  <si>
    <t>CL 6B 36 63</t>
  </si>
  <si>
    <t>CR 33 9A 47</t>
  </si>
  <si>
    <t>CALLE 17 N 14 57</t>
  </si>
  <si>
    <t>CR 8A 13A 37</t>
  </si>
  <si>
    <t>CLL 20 28 130</t>
  </si>
  <si>
    <t>CR 24  22 59</t>
  </si>
  <si>
    <t>CL 13 33A 22</t>
  </si>
  <si>
    <t>CRA 11 17A 34</t>
  </si>
  <si>
    <t>SAN ANTONIO SUR</t>
  </si>
  <si>
    <t>CRA 11 22A 74</t>
  </si>
  <si>
    <t>CL 13 17 47</t>
  </si>
  <si>
    <t>CL 17 12 09</t>
  </si>
  <si>
    <t>CL 14 6 B 47</t>
  </si>
  <si>
    <t>CRA 40 23 33</t>
  </si>
  <si>
    <t>CALLE 14 A N 31 B 14</t>
  </si>
  <si>
    <t>CLL 17 N 6 70</t>
  </si>
  <si>
    <t>CL 17A 6 27</t>
  </si>
  <si>
    <t>CR 26A 18 04</t>
  </si>
  <si>
    <t>CL 6A 35 62</t>
  </si>
  <si>
    <t>CL 16 07 39</t>
  </si>
  <si>
    <t>CLL 21 41 10</t>
  </si>
  <si>
    <t>CR 21 20A 49</t>
  </si>
  <si>
    <t>CRR 5 472</t>
  </si>
  <si>
    <t>CLL 7 18 56</t>
  </si>
  <si>
    <t>CR 11A 22 39</t>
  </si>
  <si>
    <t>CLL 24 29 11</t>
  </si>
  <si>
    <t>CL 3A 13 37</t>
  </si>
  <si>
    <t>CRA 36 8 25</t>
  </si>
  <si>
    <t>CR 36 2 28</t>
  </si>
  <si>
    <t>CR 15 14 58 OF 407</t>
  </si>
  <si>
    <t>CLL_15B 5 34</t>
  </si>
  <si>
    <t>CR 2 B 15 A 36</t>
  </si>
  <si>
    <t>CR 07 A 17 53</t>
  </si>
  <si>
    <t>CALLE 12 N 30-37</t>
  </si>
  <si>
    <t>CRA 16 A 9 02</t>
  </si>
  <si>
    <t>CRA 9 10 150</t>
  </si>
  <si>
    <t>CLL 2A N 4A 32</t>
  </si>
  <si>
    <t>CLL 11 25A 35</t>
  </si>
  <si>
    <t>CR 37 B 13 74</t>
  </si>
  <si>
    <t>CLL 19 15 30</t>
  </si>
  <si>
    <t>CL 06 A 35 A 43</t>
  </si>
  <si>
    <t>CRA 16 3 46</t>
  </si>
  <si>
    <t>CLL20A 12 49</t>
  </si>
  <si>
    <t>CLL 22 25 24</t>
  </si>
  <si>
    <t>CLL 16 39 14</t>
  </si>
  <si>
    <t>KM 3 VIA DUITAMA SOGAMOSO</t>
  </si>
  <si>
    <t>CRA 11B 9 131</t>
  </si>
  <si>
    <t>CLL 12 16 22</t>
  </si>
  <si>
    <t>CL 11 21 10</t>
  </si>
  <si>
    <t>CL 1AW 34A 59</t>
  </si>
  <si>
    <t>CL  18  13 36 AP 801</t>
  </si>
  <si>
    <t>CL 20 A 34 117</t>
  </si>
  <si>
    <t>CR 17  18 A 20</t>
  </si>
  <si>
    <t>CR 8 6A 06</t>
  </si>
  <si>
    <t>CALLE 17 N 39-20</t>
  </si>
  <si>
    <t>CRA 23A 21 26</t>
  </si>
  <si>
    <t>CR 38 13 60</t>
  </si>
  <si>
    <t>PUNTA LARGA</t>
  </si>
  <si>
    <t>CRA 5 7 49</t>
  </si>
  <si>
    <t>CR 18 3 03</t>
  </si>
  <si>
    <t>CR 42 13 89</t>
  </si>
  <si>
    <t>cll 12 a 18 82</t>
  </si>
  <si>
    <t>CL 3A 24B 80</t>
  </si>
  <si>
    <t>TRV 15 30 40</t>
  </si>
  <si>
    <t>CR 37 N 20A 46</t>
  </si>
  <si>
    <t>TV 18 25 14</t>
  </si>
  <si>
    <t>CL 5 N 23 48</t>
  </si>
  <si>
    <t>CL 3A 9 18</t>
  </si>
  <si>
    <t>CRA 1 N 17 A 36</t>
  </si>
  <si>
    <t>CRA 33 11 30</t>
  </si>
  <si>
    <t>CR 70 77 47</t>
  </si>
  <si>
    <t>CL 17 1 34</t>
  </si>
  <si>
    <t>CLL 17 A 7 A07</t>
  </si>
  <si>
    <t>CL 4 6 26</t>
  </si>
  <si>
    <t>CRA 5C N 14 A-05</t>
  </si>
  <si>
    <t>CL 17A 4 54</t>
  </si>
  <si>
    <t>CR 34 19 133</t>
  </si>
  <si>
    <t>CL 29 16 79</t>
  </si>
  <si>
    <t>DG 22 36 63</t>
  </si>
  <si>
    <t>CRRA 23 24 68</t>
  </si>
  <si>
    <t>CRA 20 A N 20-65</t>
  </si>
  <si>
    <t>CLL 21 N 25 08</t>
  </si>
  <si>
    <t>VRD SAN AMTONIO NRTE</t>
  </si>
  <si>
    <t>CALLE 14 A N 31 B20</t>
  </si>
  <si>
    <t>CL 65SUR 69B 10 CASA 109</t>
  </si>
  <si>
    <t>CR 10 A N 11 A 31</t>
  </si>
  <si>
    <t>CL 14 31B 33</t>
  </si>
  <si>
    <t>CR 1A 15 82</t>
  </si>
  <si>
    <t>CR 30 19 B 10</t>
  </si>
  <si>
    <t>CR 2 26 98</t>
  </si>
  <si>
    <t>VEREDA QUEBRADA DE BECERAS</t>
  </si>
  <si>
    <t>CNDM ALTOS DE SBA Y BNZA</t>
  </si>
  <si>
    <t>CL 20 24 44</t>
  </si>
  <si>
    <t>C 6 35 42</t>
  </si>
  <si>
    <t>CL 6 35 41</t>
  </si>
  <si>
    <t>CR 15 9 35</t>
  </si>
  <si>
    <t>CL15 8 78</t>
  </si>
  <si>
    <t>VEREDA TOCOGUA</t>
  </si>
  <si>
    <t>CLL 12 32 62</t>
  </si>
  <si>
    <t>CR 15 18 50</t>
  </si>
  <si>
    <t>CR 69B 25 21 SUR</t>
  </si>
  <si>
    <t>CR 17 17 12</t>
  </si>
  <si>
    <t>CR 12 0809</t>
  </si>
  <si>
    <t>CL 15 31A 14</t>
  </si>
  <si>
    <t>VEREDA PUNTA LARGA</t>
  </si>
  <si>
    <t>VRD SORAQUI</t>
  </si>
  <si>
    <t>CR 6 34 47</t>
  </si>
  <si>
    <t>CR 34 19 112</t>
  </si>
  <si>
    <t>CA 22 20 64</t>
  </si>
  <si>
    <t>TRANVERSAL 19 34A 98</t>
  </si>
  <si>
    <t>CL 7 18 37</t>
  </si>
  <si>
    <t>CR35 16 13</t>
  </si>
  <si>
    <t>CR 9B N 1 75</t>
  </si>
  <si>
    <t>CRA8 10 31</t>
  </si>
  <si>
    <t>CALLE 3 No 7 - 31 CARGUA</t>
  </si>
  <si>
    <t>DIG 22 36 12</t>
  </si>
  <si>
    <t>CR 21 17 136</t>
  </si>
  <si>
    <t>CR 22 20 45</t>
  </si>
  <si>
    <t>CLL 7 18 36</t>
  </si>
  <si>
    <t>CL 15B 2A 08</t>
  </si>
  <si>
    <t>CR 34 20 80</t>
  </si>
  <si>
    <t>CL 17 11 13</t>
  </si>
  <si>
    <t>CL 19B N 29 28 LOS ALPES</t>
  </si>
  <si>
    <t>CLL12 N 27 40</t>
  </si>
  <si>
    <t>Pueblito Boyacense</t>
  </si>
  <si>
    <t>CL 17 1D 81</t>
  </si>
  <si>
    <t>CL 9B 31 67</t>
  </si>
  <si>
    <t>CLL 21 43 57</t>
  </si>
  <si>
    <t>CLL 3A 9 50</t>
  </si>
  <si>
    <t>CL 21 25 13</t>
  </si>
  <si>
    <t>DIAG 18 N.19-36</t>
  </si>
  <si>
    <t>CR 23 11 35</t>
  </si>
  <si>
    <t>LA GRUTA</t>
  </si>
  <si>
    <t>CR 13 1 66</t>
  </si>
  <si>
    <t>CR 7A 45 44</t>
  </si>
  <si>
    <t>MAN E CASA 14 VILLA KORINA</t>
  </si>
  <si>
    <t>CL 19 43 07</t>
  </si>
  <si>
    <t>CL 7 48 17</t>
  </si>
  <si>
    <t>CRR 6 9A 57</t>
  </si>
  <si>
    <t>CRA 6 1 A 22</t>
  </si>
  <si>
    <t>ROBLEDALES 2</t>
  </si>
  <si>
    <t>CCL2A 17A 45</t>
  </si>
  <si>
    <t>CRA 34 1 19 112</t>
  </si>
  <si>
    <t>VDA SAN ANTONIO NORTE</t>
  </si>
  <si>
    <t>CRA 18A 10 77</t>
  </si>
  <si>
    <t>CR 27 24 30</t>
  </si>
  <si>
    <t>CR 6 A N 1 52</t>
  </si>
  <si>
    <t>CR 8 16 50</t>
  </si>
  <si>
    <t>CR 18 22 24</t>
  </si>
  <si>
    <t>BARRIO LAS FERIAS</t>
  </si>
  <si>
    <t>CRRA 10 10 60</t>
  </si>
  <si>
    <t>CL 13 7B 26</t>
  </si>
  <si>
    <t>VEREDA  GUAQUIRA NOBSA</t>
  </si>
  <si>
    <t>CALLE 29 26 75</t>
  </si>
  <si>
    <t>CR 44B 1 B 0305 CASA 104</t>
  </si>
  <si>
    <t>CRR 39 15 20</t>
  </si>
  <si>
    <t>CLL 18 10 18</t>
  </si>
  <si>
    <t>CL 13 22 40</t>
  </si>
  <si>
    <t>CALERA NOBSA</t>
  </si>
  <si>
    <t>CRA1B 18 113</t>
  </si>
  <si>
    <t>CL 1A N 44 37</t>
  </si>
  <si>
    <t>CL18 1A 101</t>
  </si>
  <si>
    <t>CR 33 15 03</t>
  </si>
  <si>
    <t>HIGUERAS</t>
  </si>
  <si>
    <t>DG 11A 10A 86</t>
  </si>
  <si>
    <t>CL 6A 36 17</t>
  </si>
  <si>
    <t>CLL16 9 70</t>
  </si>
  <si>
    <t>CL 22 26 47</t>
  </si>
  <si>
    <t>CL 7 18 102</t>
  </si>
  <si>
    <t>CL 19B 30 17</t>
  </si>
  <si>
    <t>CL 6A 35 20</t>
  </si>
  <si>
    <t>CLL8 37 03</t>
  </si>
  <si>
    <t>CR 25 21 41</t>
  </si>
  <si>
    <t>CALLE21 23A 21</t>
  </si>
  <si>
    <t>KLL 16 5B 26</t>
  </si>
  <si>
    <t>CLL 16 17 40</t>
  </si>
  <si>
    <t>CALLE 15 A 42 30</t>
  </si>
  <si>
    <t>CL 19 30 150</t>
  </si>
  <si>
    <t>CLL 15 9A 06</t>
  </si>
  <si>
    <t>CR 2 3 77</t>
  </si>
  <si>
    <t>VRD SUESCUN SEC SALITRICO</t>
  </si>
  <si>
    <t>CR 7A N 11 35</t>
  </si>
  <si>
    <t>CL 23 22 47</t>
  </si>
  <si>
    <t>CL 21 21 65</t>
  </si>
  <si>
    <t>CL 10 N 32 97</t>
  </si>
  <si>
    <t>CR 4 N 21 09</t>
  </si>
  <si>
    <t>CR 16 34 10</t>
  </si>
  <si>
    <t>CL 14 7B 12</t>
  </si>
  <si>
    <t>CR 21 N 20 02</t>
  </si>
  <si>
    <t>VDA PUENTE LA BALSA</t>
  </si>
  <si>
    <t>CR 12 1 A W 46</t>
  </si>
  <si>
    <t>CRC 12 N 2 45</t>
  </si>
  <si>
    <t>TRV 22 22 49</t>
  </si>
  <si>
    <t>CR31C 14A 52</t>
  </si>
  <si>
    <t>CR 18 02A 18</t>
  </si>
  <si>
    <t>CL 23B 23 60</t>
  </si>
  <si>
    <t>CL 5 42 49</t>
  </si>
  <si>
    <t>CLL 19 30 28</t>
  </si>
  <si>
    <t>CLL21 33 249</t>
  </si>
  <si>
    <t>CL 1 A 8 60</t>
  </si>
  <si>
    <t>CARRERA 9 B 1-17</t>
  </si>
  <si>
    <t>CL 9N 10 48</t>
  </si>
  <si>
    <t>CL 20 2C 24</t>
  </si>
  <si>
    <t>CL 3A 14 85</t>
  </si>
  <si>
    <t>DG 22 37 40</t>
  </si>
  <si>
    <t>CR 5 24 47</t>
  </si>
  <si>
    <t>CL 4 20 64</t>
  </si>
  <si>
    <t>CLL 17 34 48</t>
  </si>
  <si>
    <t>CARRERA 11B N 8 48</t>
  </si>
  <si>
    <t>CL 1 SUR 6 44</t>
  </si>
  <si>
    <t>CL 119 10A 28</t>
  </si>
  <si>
    <t>CON ROBLEDALES 2</t>
  </si>
  <si>
    <t>CLL 19A 16 71</t>
  </si>
  <si>
    <t>CR 08 10 33</t>
  </si>
  <si>
    <t>CL 14 31 78</t>
  </si>
  <si>
    <t>CR 26 21 06</t>
  </si>
  <si>
    <t>CR 13 N 8 18</t>
  </si>
  <si>
    <t>CLL 11 A 42 20 CASA 45</t>
  </si>
  <si>
    <t>CL 12 35 33 APT 403</t>
  </si>
  <si>
    <t>KR 4 5A 30</t>
  </si>
  <si>
    <t>TRANS 5C 23A 15</t>
  </si>
  <si>
    <t>CR 24A 2 54</t>
  </si>
  <si>
    <t>CL 19A N26 32</t>
  </si>
  <si>
    <t>CRA 6A 11 24</t>
  </si>
  <si>
    <t>TRV 20 22 63</t>
  </si>
  <si>
    <t>CLL 12 8 40</t>
  </si>
  <si>
    <t>CR 18 2A 30</t>
  </si>
  <si>
    <t>VDR DICHO</t>
  </si>
  <si>
    <t>CALLE 20 25 26</t>
  </si>
  <si>
    <t>CLLE15 40 75</t>
  </si>
  <si>
    <t>CL 28 17 135</t>
  </si>
  <si>
    <t>CR 1 N 24 24</t>
  </si>
  <si>
    <t>CR 28 12 A 18</t>
  </si>
  <si>
    <t>CR 5 B 14 22</t>
  </si>
  <si>
    <t>CALLE 8 N 11 A 31</t>
  </si>
  <si>
    <t>CL 1A 6 06</t>
  </si>
  <si>
    <t>CR 16 23 38</t>
  </si>
  <si>
    <t>CL 14 12 68</t>
  </si>
  <si>
    <t>CL 8 14 06</t>
  </si>
  <si>
    <t>CLL 14 14 35</t>
  </si>
  <si>
    <t>VDR SAN MARTIN</t>
  </si>
  <si>
    <t>CR 28 C 7 47</t>
  </si>
  <si>
    <t>KRA 32 10 17</t>
  </si>
  <si>
    <t>CL 9B N 8 26</t>
  </si>
  <si>
    <t>CLL 19 43 07</t>
  </si>
  <si>
    <t>CR 3 100</t>
  </si>
  <si>
    <t>CR 12 10 12</t>
  </si>
  <si>
    <t>CR 42A 19 37</t>
  </si>
  <si>
    <t>CARRERA 25  3 67</t>
  </si>
  <si>
    <t>CR 03 18 19</t>
  </si>
  <si>
    <t>CL 11 16 74</t>
  </si>
  <si>
    <t>CR 24 20 55</t>
  </si>
  <si>
    <t>CLL 19 N° 19-65</t>
  </si>
  <si>
    <t>CRA 31 D 14 18</t>
  </si>
  <si>
    <t>CLL 20 6 88</t>
  </si>
  <si>
    <t>CR 17 4 85</t>
  </si>
  <si>
    <t>CL 17 2 33</t>
  </si>
  <si>
    <t>CR 36 8 25</t>
  </si>
  <si>
    <t>CL 18 43A 30</t>
  </si>
  <si>
    <t>CLL 19B 6 135</t>
  </si>
  <si>
    <t>CR 8 17 62</t>
  </si>
  <si>
    <t>SECTOR SANTA TEREZA</t>
  </si>
  <si>
    <t>CR 16 27A 14</t>
  </si>
  <si>
    <t>VRED SAN ANTONIO</t>
  </si>
  <si>
    <t>CR 41 A 21 B 25</t>
  </si>
  <si>
    <t>CLL 20 42 36</t>
  </si>
  <si>
    <t>VRD SALITRE</t>
  </si>
  <si>
    <t>CLL 18 03 55</t>
  </si>
  <si>
    <t>CL 4W 34 10</t>
  </si>
  <si>
    <t>CR 14 11 44</t>
  </si>
  <si>
    <t>CL 21 24 25</t>
  </si>
  <si>
    <t>CLL 11 18 01</t>
  </si>
  <si>
    <t>CLL 19 7 93</t>
  </si>
  <si>
    <t>CRA31C 14A 09</t>
  </si>
  <si>
    <t>CL 18 9 28</t>
  </si>
  <si>
    <t>CLL 19B 30 17</t>
  </si>
  <si>
    <t>CALLE 3RA  17 74</t>
  </si>
  <si>
    <t>CL 12 30 19</t>
  </si>
  <si>
    <t>CR 25A 12A 10</t>
  </si>
  <si>
    <t>VRD SAN ANTONIO NORTE</t>
  </si>
  <si>
    <t>CL 23 N 30 71</t>
  </si>
  <si>
    <t>CLL 28 17 11</t>
  </si>
  <si>
    <t>CRR 15 10  _ 110</t>
  </si>
  <si>
    <t>CL 157 13 20</t>
  </si>
  <si>
    <t>CL 19A 30 39</t>
  </si>
  <si>
    <t>VR TRINIDAD CJ 7</t>
  </si>
  <si>
    <t>CRA 11 15 67</t>
  </si>
  <si>
    <t>CL 3A 8 50</t>
  </si>
  <si>
    <t>EDIFIO AVATAR APTO 1705</t>
  </si>
  <si>
    <t>CL 17 34A 48</t>
  </si>
  <si>
    <t>CL 6 17 30</t>
  </si>
  <si>
    <t>CL 9 38 33</t>
  </si>
  <si>
    <t>CL20A 2022</t>
  </si>
  <si>
    <t>CL 18 17 24</t>
  </si>
  <si>
    <t>CR 8A 13A 75</t>
  </si>
  <si>
    <t>CL 26 2 155</t>
  </si>
  <si>
    <t>CALL 19 19 72</t>
  </si>
  <si>
    <t>CLL 14 42 106</t>
  </si>
  <si>
    <t>CRA 4 3 20</t>
  </si>
  <si>
    <t>CL 2211 17</t>
  </si>
  <si>
    <t>CL 17 A 5 42</t>
  </si>
  <si>
    <t>CR 10 BIS 10 69</t>
  </si>
  <si>
    <t>CRR 11 N 21 06</t>
  </si>
  <si>
    <t>CR 11 17 32</t>
  </si>
  <si>
    <t>CR 39 21 47</t>
  </si>
  <si>
    <t>CR 29 21 11 PISO3</t>
  </si>
  <si>
    <t>cl 2 13 a 54</t>
  </si>
  <si>
    <t>CL 21 12 28</t>
  </si>
  <si>
    <t>CR 26 23 61</t>
  </si>
  <si>
    <t>KM3 VIA  DUITAMA_TIBASOSA</t>
  </si>
  <si>
    <t>CALLE 142 13 44</t>
  </si>
  <si>
    <t>CR 24A 1 11 SAN FERNANDO</t>
  </si>
  <si>
    <t>VDR TOCOGUA</t>
  </si>
  <si>
    <t>KM 4.5 VIA DUITAMA PAIPA</t>
  </si>
  <si>
    <t>CRA 39 N 22 128</t>
  </si>
  <si>
    <t>CALLE 7 27 32</t>
  </si>
  <si>
    <t>CR 4 A 25 40</t>
  </si>
  <si>
    <t>QUEBRADA DE BECERRAS</t>
  </si>
  <si>
    <t>CL 13 35 48</t>
  </si>
  <si>
    <t>CR 27 23 10</t>
  </si>
  <si>
    <t>BEREDA EL SALITE SANTAOSA</t>
  </si>
  <si>
    <t>CLL 12 16 23</t>
  </si>
  <si>
    <t>CR3 2231</t>
  </si>
  <si>
    <t>MANZANA E CASA7</t>
  </si>
  <si>
    <t>CL 14 5 65</t>
  </si>
  <si>
    <t>CLL 20 22 54</t>
  </si>
  <si>
    <t>CR 10BIS 10 56</t>
  </si>
  <si>
    <t>CLL 07 26 09</t>
  </si>
  <si>
    <t>CR 17 790</t>
  </si>
  <si>
    <t>CR 7B 17B 60</t>
  </si>
  <si>
    <t>CRA 41  N° 10 - 31</t>
  </si>
  <si>
    <t>CR 1 N 18 33</t>
  </si>
  <si>
    <t>CR 1620 A 8</t>
  </si>
  <si>
    <t>CL 33 16 30</t>
  </si>
  <si>
    <t>CL 17 9 54</t>
  </si>
  <si>
    <t>CLL 17 A 21 13</t>
  </si>
  <si>
    <t>CR 18 22 20</t>
  </si>
  <si>
    <t>VDA EL CRUCERO</t>
  </si>
  <si>
    <t>CL 4 3 42</t>
  </si>
  <si>
    <t>CRA 8AVIS 9 29</t>
  </si>
  <si>
    <t>CR 18 30 70</t>
  </si>
  <si>
    <t>TV 15 30 56</t>
  </si>
  <si>
    <t>CR 13 N 17 60</t>
  </si>
  <si>
    <t>CRR 2 01 36 TIBASOSA</t>
  </si>
  <si>
    <t>CR 12 22 65</t>
  </si>
  <si>
    <t>DIAG.21 A N -22 A 52</t>
  </si>
  <si>
    <t>CRA 17 13 61</t>
  </si>
  <si>
    <t>CARRERA 31 21 43</t>
  </si>
  <si>
    <t>CLL17A 4 _ 54</t>
  </si>
  <si>
    <t>CRA 21 19 10</t>
  </si>
  <si>
    <t>CR 7 1 10</t>
  </si>
  <si>
    <t>CRA 38A 13B 18</t>
  </si>
  <si>
    <t>CL 24 2 48</t>
  </si>
  <si>
    <t>CL 7 15 14</t>
  </si>
  <si>
    <t>CL 10 11 A 38</t>
  </si>
  <si>
    <t>CR 35 A 05 40</t>
  </si>
  <si>
    <t>SAN LORENZO ABAJO</t>
  </si>
  <si>
    <t>CLL 21 41 05</t>
  </si>
  <si>
    <t>CL 9 19 28</t>
  </si>
  <si>
    <t>CR 26A 18 24</t>
  </si>
  <si>
    <t>BARRIO SAN ANTONIO NORTE</t>
  </si>
  <si>
    <t>CR 37 A 10 16</t>
  </si>
  <si>
    <t>CL 15 11 20</t>
  </si>
  <si>
    <t>CARRERA 17 13 61</t>
  </si>
  <si>
    <t>CR 9A 15 12</t>
  </si>
  <si>
    <t>CL 21 20 39</t>
  </si>
  <si>
    <t>CRA 32 19 40</t>
  </si>
  <si>
    <t>CR 6 19 01</t>
  </si>
  <si>
    <t>CR 38 22 88</t>
  </si>
  <si>
    <t>CR 1C 18 37</t>
  </si>
  <si>
    <t>DG 16 25 62</t>
  </si>
  <si>
    <t>CL 9A 14 16</t>
  </si>
  <si>
    <t>KLL 15 40 13</t>
  </si>
  <si>
    <t>CALLE 18 1A 07 ESTE</t>
  </si>
  <si>
    <t>CR 11 9 A 37</t>
  </si>
  <si>
    <t>DG 16 6 138</t>
  </si>
  <si>
    <t>CR 24 1 05</t>
  </si>
  <si>
    <t>VDRA UCUENGA NOBSA</t>
  </si>
  <si>
    <t>CLL 20 29  72</t>
  </si>
  <si>
    <t>CRA 31 N° 15 - 46</t>
  </si>
  <si>
    <t>CR 9 14 21</t>
  </si>
  <si>
    <t>CL 22 40A 21</t>
  </si>
  <si>
    <t>VEREDA EL CHORRITO TIBASOSA</t>
  </si>
  <si>
    <t>CRR 44 2842</t>
  </si>
  <si>
    <t>SAN LORENZO BAJO</t>
  </si>
  <si>
    <t>CRA5A 15B 55</t>
  </si>
  <si>
    <t>CL 1 N 9A 02 RECREO</t>
  </si>
  <si>
    <t>CRB05 14A 30</t>
  </si>
  <si>
    <t>CR 17 2 110</t>
  </si>
  <si>
    <t>CR 40 16A 15</t>
  </si>
  <si>
    <t>CL 17ABIS N 10 25</t>
  </si>
  <si>
    <t>CLL 28 17 37</t>
  </si>
  <si>
    <t>VR EL CHORRITO</t>
  </si>
  <si>
    <t>CRR18 23 30 LOCAL 1</t>
  </si>
  <si>
    <t>CL 16 N 9 43</t>
  </si>
  <si>
    <t>TOCOGUA</t>
  </si>
  <si>
    <t>CLL 1A N26 95</t>
  </si>
  <si>
    <t>CR 14 A 9 04</t>
  </si>
  <si>
    <t>CL 22 4 140</t>
  </si>
  <si>
    <t>CL 1 A 44 30</t>
  </si>
  <si>
    <t>CR 25 21 23</t>
  </si>
  <si>
    <t>CL 21 18 10</t>
  </si>
  <si>
    <t>CL 9A 8 24</t>
  </si>
  <si>
    <t>TV 19 22 78</t>
  </si>
  <si>
    <t>CR 14 22 42</t>
  </si>
  <si>
    <t>CR 2 N 17A 16</t>
  </si>
  <si>
    <t>CRR 41 10 05</t>
  </si>
  <si>
    <t>VDA LA CRECIENTE</t>
  </si>
  <si>
    <t>CL 23 B TV 5 A 43</t>
  </si>
  <si>
    <t>CL 18A 26 50</t>
  </si>
  <si>
    <t>VDA SAN LORENZO</t>
  </si>
  <si>
    <t>CR 19 9 15</t>
  </si>
  <si>
    <t>CLL 18 N 8 19</t>
  </si>
  <si>
    <t>CL 12 32 56</t>
  </si>
  <si>
    <t>CR 37B 13 05</t>
  </si>
  <si>
    <t>ALTOS MARANTA C 10</t>
  </si>
  <si>
    <t>CL 14 19 60</t>
  </si>
  <si>
    <t>CR 11 13 195</t>
  </si>
  <si>
    <t>TRNS 10 12 53</t>
  </si>
  <si>
    <t>CL 15 30 17</t>
  </si>
  <si>
    <t>CL 1517 71</t>
  </si>
  <si>
    <t>CRA 15 9 39</t>
  </si>
  <si>
    <t>CALLE 7 15 14</t>
  </si>
  <si>
    <t>CR 2 0 107</t>
  </si>
  <si>
    <t>VD DICHO NOBSA</t>
  </si>
  <si>
    <t>CL 16 16 17</t>
  </si>
  <si>
    <t>CR 15 9 15</t>
  </si>
  <si>
    <t>CLL 22 39 74</t>
  </si>
  <si>
    <t>CL 5 17 34</t>
  </si>
  <si>
    <t>CR 16 13 44</t>
  </si>
  <si>
    <t>CR 29A 7 28</t>
  </si>
  <si>
    <t>DG 11 13 69</t>
  </si>
  <si>
    <t>CR 6 7 10</t>
  </si>
  <si>
    <t>CR 4 B 19 10</t>
  </si>
  <si>
    <t>CLL 19A 30 146</t>
  </si>
  <si>
    <t>CR 7B 11 18</t>
  </si>
  <si>
    <t>CR 28 B 4 32</t>
  </si>
  <si>
    <t>SAN MARTIN</t>
  </si>
  <si>
    <t>VERREDA SIRATA FINCA EL PRADO</t>
  </si>
  <si>
    <t>CALLE 9 14A 31</t>
  </si>
  <si>
    <t>CRA 23 A 21 06</t>
  </si>
  <si>
    <t>CR 21 N 10 67</t>
  </si>
  <si>
    <t>CL 15 8 09</t>
  </si>
  <si>
    <t>CR 22 12 55</t>
  </si>
  <si>
    <t>CR 9A 15 68</t>
  </si>
  <si>
    <t>CALLE 28A 16 67</t>
  </si>
  <si>
    <t>CR 34 6 06</t>
  </si>
  <si>
    <t>CR 2 C 5 61</t>
  </si>
  <si>
    <t>SAN ANTONIO NORTE</t>
  </si>
  <si>
    <t>CL 16 21 93</t>
  </si>
  <si>
    <t>CLL 9 18 104</t>
  </si>
  <si>
    <t>CLL 4 1 13</t>
  </si>
  <si>
    <t>CL 10  31 29</t>
  </si>
  <si>
    <t>PUNTA LARGAS</t>
  </si>
  <si>
    <t>CRR 1 24 379</t>
  </si>
  <si>
    <t>CR 1 E 17 A 72</t>
  </si>
  <si>
    <t>CLL 11 16 30</t>
  </si>
  <si>
    <t>CL 18 15 55</t>
  </si>
  <si>
    <t>VR QUERADA DE VECERAS</t>
  </si>
  <si>
    <t>CRR 34 19 133</t>
  </si>
  <si>
    <t>CL 11A 7B 24</t>
  </si>
  <si>
    <t>CR 13 10 95</t>
  </si>
  <si>
    <t>PUEBLITO BOYACENSE CASA 715</t>
  </si>
  <si>
    <t>CRA 7A 17 42</t>
  </si>
  <si>
    <t>CR 41 10 05</t>
  </si>
  <si>
    <t>CL 23 B 22 22</t>
  </si>
  <si>
    <t>CRR 1C N18 37</t>
  </si>
  <si>
    <t>CALLE 18 N° 5-08</t>
  </si>
  <si>
    <t>CL12 27 68</t>
  </si>
  <si>
    <t>VEREDA LA ESPERANZA</t>
  </si>
  <si>
    <t>CL 19 44 47</t>
  </si>
  <si>
    <t>CLL9 9 26</t>
  </si>
  <si>
    <t>CLL 21 37 19</t>
  </si>
  <si>
    <t>CL 15 14 40</t>
  </si>
  <si>
    <t>CRR 19 22 38</t>
  </si>
  <si>
    <t>CR 8 13 73</t>
  </si>
  <si>
    <t>CL 34 16 28</t>
  </si>
  <si>
    <t>CL 20A 25 70</t>
  </si>
  <si>
    <t>CR 2A 19A 50</t>
  </si>
  <si>
    <t>KLL 16A 31 128</t>
  </si>
  <si>
    <t>CLL 12 A 31 22</t>
  </si>
  <si>
    <t>CRA 3A 14 150</t>
  </si>
  <si>
    <t>CRA32 16 64</t>
  </si>
  <si>
    <t>CR 11 17 41</t>
  </si>
  <si>
    <t>CR 8 90 80</t>
  </si>
  <si>
    <t>CRA 10 1 37</t>
  </si>
  <si>
    <t>DG 22 A N 1 52</t>
  </si>
  <si>
    <t>VDA CHORRERA</t>
  </si>
  <si>
    <t>CR 5C 15A 87</t>
  </si>
  <si>
    <t>CR 2J 3 67</t>
  </si>
  <si>
    <t>CL 13 7 B 20</t>
  </si>
  <si>
    <t>VEREDA SAN LORENZO</t>
  </si>
  <si>
    <t>CL 17 A 5 A 35 CASA 3</t>
  </si>
  <si>
    <t>CLL 7 46 175</t>
  </si>
  <si>
    <t>VEREDA LA TRINIDAD CALLEJEULA 6</t>
  </si>
  <si>
    <t>CLL 12 29 08</t>
  </si>
  <si>
    <t>CRA 20 18 11</t>
  </si>
  <si>
    <t>CL 24 1 71</t>
  </si>
  <si>
    <t>CR 11 4 31</t>
  </si>
  <si>
    <t>CLL 15 N° 13 - 38</t>
  </si>
  <si>
    <t>CR 29A 7 21</t>
  </si>
  <si>
    <t>CRA 4 17 33</t>
  </si>
  <si>
    <t>CL 29 N 19 73</t>
  </si>
  <si>
    <t>EL COGOLLO</t>
  </si>
  <si>
    <t>CR 8 11 22</t>
  </si>
  <si>
    <t>VD HIGUERAS</t>
  </si>
  <si>
    <t>CR 16 27A 07</t>
  </si>
  <si>
    <t>CR 8 N 23 24</t>
  </si>
  <si>
    <t>MANZANA B CASA 17 BRR CARGUA</t>
  </si>
  <si>
    <t>CR 5A 3 37</t>
  </si>
  <si>
    <t>CLL 10 27 67</t>
  </si>
  <si>
    <t>CRA 2 19 23</t>
  </si>
  <si>
    <t>CL 19 15 30</t>
  </si>
  <si>
    <t>CR 17 N 22 10</t>
  </si>
  <si>
    <t>CR 24A 10 48</t>
  </si>
  <si>
    <t>CLL 22 3A 94</t>
  </si>
  <si>
    <t>CLL 18 3 06</t>
  </si>
  <si>
    <t>CR 13  9 72</t>
  </si>
  <si>
    <t>VEREDA EL SALITRE</t>
  </si>
  <si>
    <t>COMBITA</t>
  </si>
  <si>
    <t>CR 4 19 04</t>
  </si>
  <si>
    <t>CR 42 10 68</t>
  </si>
  <si>
    <t>CR 18 N 10A 22</t>
  </si>
  <si>
    <t>CR 40 A 22 A 25</t>
  </si>
  <si>
    <t>CR 26A 22 31</t>
  </si>
  <si>
    <t>CALLE 19 B 30 115</t>
  </si>
  <si>
    <t>CR 23A N 23 15</t>
  </si>
  <si>
    <t>CRA 32 19A 45</t>
  </si>
  <si>
    <t>CR 10 11 45</t>
  </si>
  <si>
    <t>CL 23B 5 A19</t>
  </si>
  <si>
    <t>CLL 17 1C 25</t>
  </si>
  <si>
    <t>CR 19 1 50</t>
  </si>
  <si>
    <t>CL 10 36 04</t>
  </si>
  <si>
    <t>CL 25A N 26 14</t>
  </si>
  <si>
    <t>CLL 30 19 36</t>
  </si>
  <si>
    <t>CALLE 17 34 59</t>
  </si>
  <si>
    <t>CL 17B 8 10</t>
  </si>
  <si>
    <t>CRA 12 6 59</t>
  </si>
  <si>
    <t>CR 13 15 34</t>
  </si>
  <si>
    <t>CL 8 3 14</t>
  </si>
  <si>
    <t>CR 18 5 47</t>
  </si>
  <si>
    <t>CL 19 31 08</t>
  </si>
  <si>
    <t>NOBSA VEREDA DICHO</t>
  </si>
  <si>
    <t>CRR 28A 7 79</t>
  </si>
  <si>
    <t>CR 3 18 09</t>
  </si>
  <si>
    <t>CL 15C 33 8</t>
  </si>
  <si>
    <t>CLL 15 13 56</t>
  </si>
  <si>
    <t>CL 10 29 05</t>
  </si>
  <si>
    <t>CL 19 42 101</t>
  </si>
  <si>
    <t>MONIQUIRA SOGAMOSO</t>
  </si>
  <si>
    <t>CLL 20 42 04</t>
  </si>
  <si>
    <t>CR 8 9 B 82</t>
  </si>
  <si>
    <t>CR25A11 18</t>
  </si>
  <si>
    <t>CALLE 22 A N 40 A 31</t>
  </si>
  <si>
    <t>CR 30 N6 65</t>
  </si>
  <si>
    <t>CRR 4 8 23</t>
  </si>
  <si>
    <t>CR 1 20 170</t>
  </si>
  <si>
    <t>CARRERA 49 N 7A-09</t>
  </si>
  <si>
    <t>CR 21 23 22</t>
  </si>
  <si>
    <t>CLLE 14 3 74</t>
  </si>
  <si>
    <t>CRA2 N22 76</t>
  </si>
  <si>
    <t>cr27 a6 87</t>
  </si>
  <si>
    <t>AV 22 124</t>
  </si>
  <si>
    <t>CL 21 42 03</t>
  </si>
  <si>
    <t>CR 25 3 67</t>
  </si>
  <si>
    <t>DIAGONAL 11  10A 86</t>
  </si>
  <si>
    <t>VRD TRINIDAD</t>
  </si>
  <si>
    <t>CRA 36A 21 15</t>
  </si>
  <si>
    <t>CR 7C 11 14</t>
  </si>
  <si>
    <t>CL  150A 92 20</t>
  </si>
  <si>
    <t>CR 15 10 124</t>
  </si>
  <si>
    <t>CR 23 11 26</t>
  </si>
  <si>
    <t>CLL 5 18 98</t>
  </si>
  <si>
    <t>CL 19 16 25</t>
  </si>
  <si>
    <t>CL 2 A 16 14</t>
  </si>
  <si>
    <t>CR 8 9A 91</t>
  </si>
  <si>
    <t>CL 19 N 44 35</t>
  </si>
  <si>
    <t>CL 9B 11A 27</t>
  </si>
  <si>
    <t>TV 20 20 09</t>
  </si>
  <si>
    <t>CLL_35_8_100</t>
  </si>
  <si>
    <t>CL 4 57 A 20</t>
  </si>
  <si>
    <t>CR 3 N 1 71</t>
  </si>
  <si>
    <t>CL 08 08 16</t>
  </si>
  <si>
    <t>CRA 31 22 86</t>
  </si>
  <si>
    <t>CR 8 13 12</t>
  </si>
  <si>
    <t>CRR 45 21 44</t>
  </si>
  <si>
    <t>CL 4W 34 55</t>
  </si>
  <si>
    <t>CRA 3A16 91</t>
  </si>
  <si>
    <t>CR 23 11 38</t>
  </si>
  <si>
    <t>CL 8 28 50</t>
  </si>
  <si>
    <t>FINCA EL REPOSO</t>
  </si>
  <si>
    <t>CR 31B 15 51</t>
  </si>
  <si>
    <t>CR 35 N 4W 77 HIGUERAS</t>
  </si>
  <si>
    <t>CLLE 21C 43 22</t>
  </si>
  <si>
    <t>CRA9A 15 20</t>
  </si>
  <si>
    <t>DGNAL 20 34 241</t>
  </si>
  <si>
    <t>VDR EL ROSAL</t>
  </si>
  <si>
    <t>VDR LA ESPERANZA</t>
  </si>
  <si>
    <t>CR 41 20 15</t>
  </si>
  <si>
    <t>CL 22 20 29</t>
  </si>
  <si>
    <t>CR 12 A 3 06</t>
  </si>
  <si>
    <t>CL 22 42 199</t>
  </si>
  <si>
    <t>AVDA CIR 2258</t>
  </si>
  <si>
    <t>CR 38 N 10-15</t>
  </si>
  <si>
    <t>CL 23 N 7 84</t>
  </si>
  <si>
    <t>CL 11A 23 79</t>
  </si>
  <si>
    <t>CL 11 36 59</t>
  </si>
  <si>
    <t>CR 34B 1A 26W</t>
  </si>
  <si>
    <t>CR 18 5 07</t>
  </si>
  <si>
    <t>CL 2 13A 44</t>
  </si>
  <si>
    <t>CR 2 14 A 29</t>
  </si>
  <si>
    <t>CRA 37 21 26</t>
  </si>
  <si>
    <t>K47   N   49 _10</t>
  </si>
  <si>
    <t>CR 27 2B 22</t>
  </si>
  <si>
    <t>CL 20 42 22</t>
  </si>
  <si>
    <t>CARRERA 20 20A 15</t>
  </si>
  <si>
    <t>TR 19  36 02</t>
  </si>
  <si>
    <t>CRA 13B 10 08</t>
  </si>
  <si>
    <t>CALLE 15 17 73</t>
  </si>
  <si>
    <t>CRA 24 3 02</t>
  </si>
  <si>
    <t>CR 36 A 16 32</t>
  </si>
  <si>
    <t>CR 32 9 76</t>
  </si>
  <si>
    <t>CL 14 5 47</t>
  </si>
  <si>
    <t>CALLE 5 Nª 4 - 18</t>
  </si>
  <si>
    <t>CL 20 2 73</t>
  </si>
  <si>
    <t>AV C 20 68</t>
  </si>
  <si>
    <t>CL 17 6 44</t>
  </si>
  <si>
    <t>CL 4W 34 08</t>
  </si>
  <si>
    <t>PUENTE LABALSA</t>
  </si>
  <si>
    <t>CR 7 6 26</t>
  </si>
  <si>
    <t>CR 16 D 2 W 44 CASA 5</t>
  </si>
  <si>
    <t>CL 23 40 37</t>
  </si>
  <si>
    <t>CRA 22 7 39</t>
  </si>
  <si>
    <t>CR 8A 13 21</t>
  </si>
  <si>
    <t>CR 19 5 12</t>
  </si>
  <si>
    <t>CLL 16 13 73</t>
  </si>
  <si>
    <t>CR 18 3 27</t>
  </si>
  <si>
    <t>CLL 16 19 12</t>
  </si>
  <si>
    <t>TRV 5 4 11</t>
  </si>
  <si>
    <t>CRR 24 21 41</t>
  </si>
  <si>
    <t>CR 21 20 B 05</t>
  </si>
  <si>
    <t>CL 20 26 12</t>
  </si>
  <si>
    <t>CRR 27 21 16</t>
  </si>
  <si>
    <t>CALLE 26 N 2 62</t>
  </si>
  <si>
    <t>CR 5B 14 66</t>
  </si>
  <si>
    <t>CLL4W 17 51</t>
  </si>
  <si>
    <t>CR 3 17 38</t>
  </si>
  <si>
    <t>CARRERA 3 17 38</t>
  </si>
  <si>
    <t>CR 30 14 77</t>
  </si>
  <si>
    <t>CR 1 19B 30</t>
  </si>
  <si>
    <t>VRD SAN LORENZO</t>
  </si>
  <si>
    <t>CLL 24 20_54</t>
  </si>
  <si>
    <t>CRA 7 7 46 BOAVITA</t>
  </si>
  <si>
    <t>CR 16 1 74</t>
  </si>
  <si>
    <t>CARR 15 30 18</t>
  </si>
  <si>
    <t>K 3 AN    14   157</t>
  </si>
  <si>
    <t>CL 15 A3 20</t>
  </si>
  <si>
    <t>VRD ESPARTAL BAJO TIASOSA</t>
  </si>
  <si>
    <t>CR 17 11</t>
  </si>
  <si>
    <t>CR 13 15 11</t>
  </si>
  <si>
    <t>CR 5A 18 41</t>
  </si>
  <si>
    <t>CLL 13 37A 50</t>
  </si>
  <si>
    <t>CRA 61 33 65</t>
  </si>
  <si>
    <t>CL 58A 40 67</t>
  </si>
  <si>
    <t>CR 4 3 15</t>
  </si>
  <si>
    <t>CLL 1A 22 34</t>
  </si>
  <si>
    <t>CR 35NU6 36</t>
  </si>
  <si>
    <t>CRA 55A 62A 69</t>
  </si>
  <si>
    <t>CL 21 27 78</t>
  </si>
  <si>
    <t>CL 9A BIS 7 78</t>
  </si>
  <si>
    <t>VEREDA ALLALAS</t>
  </si>
  <si>
    <t>CL 18 1 64</t>
  </si>
  <si>
    <t>CR 9 5 58</t>
  </si>
  <si>
    <t>CR 11 N 1C 08</t>
  </si>
  <si>
    <t>CL 4 5 44</t>
  </si>
  <si>
    <t>CL 07 20 06</t>
  </si>
  <si>
    <t>CL 13 35 33</t>
  </si>
  <si>
    <t>CL 3 24 80</t>
  </si>
  <si>
    <t>CRA  9 1B 47</t>
  </si>
  <si>
    <t>CL 8 7 36</t>
  </si>
  <si>
    <t>CR 9 1B 47</t>
  </si>
  <si>
    <t>CL 6 4 03</t>
  </si>
  <si>
    <t>CALLE 14B N434</t>
  </si>
  <si>
    <t>CRA 42 20 35</t>
  </si>
  <si>
    <t>CLL 19 24 12</t>
  </si>
  <si>
    <t>CLL 2 18 03</t>
  </si>
  <si>
    <t>CR 31 14 51</t>
  </si>
  <si>
    <t>CR 2 5 64</t>
  </si>
  <si>
    <t>CALLE 6 N 9-04</t>
  </si>
  <si>
    <t>CR 10 9 94</t>
  </si>
  <si>
    <t>CR31 B 15 20</t>
  </si>
  <si>
    <t>DIG 11 10A 86</t>
  </si>
  <si>
    <t>CRA 32 15 10</t>
  </si>
  <si>
    <t>TRANS. 4 N 5 78</t>
  </si>
  <si>
    <t>CALLE 38 10C 42</t>
  </si>
  <si>
    <t>CR 10 19A 20</t>
  </si>
  <si>
    <t>CL 22 17 87</t>
  </si>
  <si>
    <t>CL 24 A 11 A 68</t>
  </si>
  <si>
    <t>VRD LAS VUELTAS</t>
  </si>
  <si>
    <t>CL 18  34 128</t>
  </si>
  <si>
    <t>CR 19A 2D _39</t>
  </si>
  <si>
    <t>CRA 27 2 08</t>
  </si>
  <si>
    <t>CALLE 27 20 78</t>
  </si>
  <si>
    <t>CL6A N3717</t>
  </si>
  <si>
    <t>CR 19 10 40</t>
  </si>
  <si>
    <t>CLL 9A 14 22</t>
  </si>
  <si>
    <t>CLL 21 26 05</t>
  </si>
  <si>
    <t>CALLE 19 N 17-71</t>
  </si>
  <si>
    <t>CRA 10 13 37</t>
  </si>
  <si>
    <t>CL 12 15 37</t>
  </si>
  <si>
    <t>CLL 03 03 22</t>
  </si>
  <si>
    <t>VDA PUNTA LARGA</t>
  </si>
  <si>
    <t>CR 16 29 00</t>
  </si>
  <si>
    <t>Cl 23 27 135</t>
  </si>
  <si>
    <t>CLL 7 36 14</t>
  </si>
  <si>
    <t>CR 3816 33</t>
  </si>
  <si>
    <t>CR1117 23</t>
  </si>
  <si>
    <t>CRA 12 87</t>
  </si>
  <si>
    <t>CR 9 17B 19</t>
  </si>
  <si>
    <t>CRA 2410 21</t>
  </si>
  <si>
    <t>CARRERA 9 2B 03</t>
  </si>
  <si>
    <t>CL 17 31B 33</t>
  </si>
  <si>
    <t>VDA EL POZO</t>
  </si>
  <si>
    <t>VRD UCUENGA NOBSA</t>
  </si>
  <si>
    <t>CRA 26 9 88</t>
  </si>
  <si>
    <t>CLL 6  12 57</t>
  </si>
  <si>
    <t>CRA11 23A 86</t>
  </si>
  <si>
    <t>CL 18 3 65</t>
  </si>
  <si>
    <t>CL 43A 10A 98</t>
  </si>
  <si>
    <t>CLL 6 N 6_42</t>
  </si>
  <si>
    <t>CL 8 2 75</t>
  </si>
  <si>
    <t>CLL 8A 1 27</t>
  </si>
  <si>
    <t>CL 28A 16 43</t>
  </si>
  <si>
    <t>CR 15 17 22</t>
  </si>
  <si>
    <t>CRA 11 16 56</t>
  </si>
  <si>
    <t>VDR ESPERANZA</t>
  </si>
  <si>
    <t>CLL 7 24 32 SOGAMOSO</t>
  </si>
  <si>
    <t>CR 27 25 56</t>
  </si>
  <si>
    <t>CR 31 11B 111</t>
  </si>
  <si>
    <t>CARRRA 14 N 2-32</t>
  </si>
  <si>
    <t>K43   A  N 17   43</t>
  </si>
  <si>
    <t>CR 37A 11 10</t>
  </si>
  <si>
    <t>CRRA 4 A N 8 9</t>
  </si>
  <si>
    <t>CL 20 44 36</t>
  </si>
  <si>
    <t>CLL 8 N 25 58</t>
  </si>
  <si>
    <t>CENTRO TOBACIA</t>
  </si>
  <si>
    <t>CR 14 11 59</t>
  </si>
  <si>
    <t>CR 10 17B 09</t>
  </si>
  <si>
    <t>URBANIZACION  PATIVILCA</t>
  </si>
  <si>
    <t>VRD BONZA</t>
  </si>
  <si>
    <t>CR 18 11 B 38 40</t>
  </si>
  <si>
    <t>CL12  18 123</t>
  </si>
  <si>
    <t>CRA 22A 20 62</t>
  </si>
  <si>
    <t>CR 68 68</t>
  </si>
  <si>
    <t>CLL 20 30 74</t>
  </si>
  <si>
    <t>CL 23 26 19</t>
  </si>
  <si>
    <t>CL 9 D 7 10</t>
  </si>
  <si>
    <t>CR 3 9 33</t>
  </si>
  <si>
    <t>CR 26 6 35</t>
  </si>
  <si>
    <t>CLL 13 1198</t>
  </si>
  <si>
    <t>CR 1117 17</t>
  </si>
  <si>
    <t>CR 18 10 53</t>
  </si>
  <si>
    <t>CR 19 13 19</t>
  </si>
  <si>
    <t>CRR 15 17 45</t>
  </si>
  <si>
    <t>CL 24A 27 58</t>
  </si>
  <si>
    <t>CL 18 A 488</t>
  </si>
  <si>
    <t>CLL 18 5A 110</t>
  </si>
  <si>
    <t>CRA 10 A 48A 57</t>
  </si>
  <si>
    <t>CR 13 A 3 20</t>
  </si>
  <si>
    <t>VDA STA TERESA SEC AUTOPISTA</t>
  </si>
  <si>
    <t>CR 1 7 47</t>
  </si>
  <si>
    <t>CR 11 N 9 18</t>
  </si>
  <si>
    <t>CL 16 N 29 45</t>
  </si>
  <si>
    <t>CRA 3 N 5 29</t>
  </si>
  <si>
    <t>CL 14 6 40</t>
  </si>
  <si>
    <t>VEREDA VANEGAS SOGAMOSO</t>
  </si>
  <si>
    <t>CR 12 15 31</t>
  </si>
  <si>
    <t>CL 3A 11A 19</t>
  </si>
  <si>
    <t>CLL 08 18 15</t>
  </si>
  <si>
    <t>CR 5 15B 15</t>
  </si>
  <si>
    <t>CLL 20 35 72</t>
  </si>
  <si>
    <t>CL 17 N 34 59</t>
  </si>
  <si>
    <t>CR7 N 11 60</t>
  </si>
  <si>
    <t>CRA 3 10 17</t>
  </si>
  <si>
    <t>CR10A 9A 65</t>
  </si>
  <si>
    <t>TRV 18 22 34</t>
  </si>
  <si>
    <t>CR 8 10 45</t>
  </si>
  <si>
    <t>CL 22 25 56</t>
  </si>
  <si>
    <t>BR CEREZO CASA 38 MZ B2</t>
  </si>
  <si>
    <t>VAREDA CARACOLES ALTO</t>
  </si>
  <si>
    <t>CR 6 10 35</t>
  </si>
  <si>
    <t>CLL 3W 16A 92</t>
  </si>
  <si>
    <t>CL 08 A 03 19</t>
  </si>
  <si>
    <t>CR 5 N 8A 36</t>
  </si>
  <si>
    <t>CLL 16 8 19</t>
  </si>
  <si>
    <t>VRD VENTA BELEN</t>
  </si>
  <si>
    <t>CLL 10 8 12</t>
  </si>
  <si>
    <t>CL 8 18 104</t>
  </si>
  <si>
    <t>CR 5 N 1 02</t>
  </si>
  <si>
    <t>CL 21 23 23</t>
  </si>
  <si>
    <t>CR 25 23 103</t>
  </si>
  <si>
    <t>CLL 19B 32 31</t>
  </si>
  <si>
    <t>MZ D CASA 1 PISO 2 BRR VILLA KORINA</t>
  </si>
  <si>
    <t>TRV 29  16A101</t>
  </si>
  <si>
    <t>CR 22A 20 71</t>
  </si>
  <si>
    <t>VEREDA PEÑA NEGRA SECTOR GERMANIA</t>
  </si>
  <si>
    <t>CR 21 6 47</t>
  </si>
  <si>
    <t>CRR 31 22 36</t>
  </si>
  <si>
    <t>CR 7 B 1070</t>
  </si>
  <si>
    <t>CL 1 44 49</t>
  </si>
  <si>
    <t>CALLE 6 35 41</t>
  </si>
  <si>
    <t>CR 7B 10A 05</t>
  </si>
  <si>
    <t>CR 40 A 22 B  25 BRR SAN CALLETANO</t>
  </si>
  <si>
    <t>CRA 18 4 36</t>
  </si>
  <si>
    <t>CARR 37 B13 55</t>
  </si>
  <si>
    <t>CRA 5C 17 17</t>
  </si>
  <si>
    <t>CL 2A 17A 70</t>
  </si>
  <si>
    <t>CR 10 10 82</t>
  </si>
  <si>
    <t>CLL 12 30 04</t>
  </si>
  <si>
    <t>CL 15 12 51</t>
  </si>
  <si>
    <t>CRA 29 19 A 54</t>
  </si>
  <si>
    <t>CL 6A 37 05</t>
  </si>
  <si>
    <t>CALLE 26A 21 36</t>
  </si>
  <si>
    <t>CL 25A 26 48</t>
  </si>
  <si>
    <t>CLL 23 27 41</t>
  </si>
  <si>
    <t>CLL8 1A 21</t>
  </si>
  <si>
    <t>CALLE 25 19 51</t>
  </si>
  <si>
    <t>CR 6 N 17 12</t>
  </si>
  <si>
    <t>CR 10 A 8A 45</t>
  </si>
  <si>
    <t>CR 10A 08 20</t>
  </si>
  <si>
    <t>CLL 4B N 17_32</t>
  </si>
  <si>
    <t>CR 24 23 A 19</t>
  </si>
  <si>
    <t>CL 16 N 14 68</t>
  </si>
  <si>
    <t>FINCA EL PORVENIR</t>
  </si>
  <si>
    <t>CR 16 A 19 35</t>
  </si>
  <si>
    <t>CRA 21 2 40</t>
  </si>
  <si>
    <t>CL  15 30 17</t>
  </si>
  <si>
    <t>CL 29 16 67</t>
  </si>
  <si>
    <t>CLL 21 33 249</t>
  </si>
  <si>
    <t>CL 05 00 69 BRR DELICIAS</t>
  </si>
  <si>
    <t>VEREDA SURBAY BONZA</t>
  </si>
  <si>
    <t>CL 23N23A13</t>
  </si>
  <si>
    <t>CL 21 C 43 08</t>
  </si>
  <si>
    <t>CL 27 27 12</t>
  </si>
  <si>
    <t>CALLE 12 12 56</t>
  </si>
  <si>
    <t>CL 25  17 19</t>
  </si>
  <si>
    <t>CL 14 31 108</t>
  </si>
  <si>
    <t>CR40 22 142</t>
  </si>
  <si>
    <t>TV19 BRR SAN LUIS</t>
  </si>
  <si>
    <t>CL 157A 92 75</t>
  </si>
  <si>
    <t>CL 19B N 30 13</t>
  </si>
  <si>
    <t>CL 5 6 27</t>
  </si>
  <si>
    <t>CLL11   35   43</t>
  </si>
  <si>
    <t>CLL 4 9 52</t>
  </si>
  <si>
    <t>CL 09 C 07 A_33</t>
  </si>
  <si>
    <t>CR 38 C 14 A 10</t>
  </si>
  <si>
    <t>CL 23A 23 60</t>
  </si>
  <si>
    <t>CL 17 1D  34</t>
  </si>
  <si>
    <t>CR 42 A18 05</t>
  </si>
  <si>
    <t>CRA 10 9 17</t>
  </si>
  <si>
    <t>CR 5 14 B 31</t>
  </si>
  <si>
    <t>CRA 28 N 10 - 41</t>
  </si>
  <si>
    <t>CR 8 11 31</t>
  </si>
  <si>
    <t>CL 24 40 32</t>
  </si>
  <si>
    <t>CLL 16 04 60</t>
  </si>
  <si>
    <t>CR 20 3 30</t>
  </si>
  <si>
    <t>CL 11 7 15</t>
  </si>
  <si>
    <t>CL 2 13 71</t>
  </si>
  <si>
    <t>CRA 23 14A 16</t>
  </si>
  <si>
    <t>CL 15 12 40 AP 503 BL 9</t>
  </si>
  <si>
    <t>CL 9B 7 28</t>
  </si>
  <si>
    <t>CL 22 24 49</t>
  </si>
  <si>
    <t>TRVS 22 36 30</t>
  </si>
  <si>
    <t>CLL 11A 5D 94</t>
  </si>
  <si>
    <t>CL 4 7 81</t>
  </si>
  <si>
    <t>CR 16 19 104</t>
  </si>
  <si>
    <t>VEREDA QUEBRADA ARRIBA</t>
  </si>
  <si>
    <t>SUIDAD BETEL</t>
  </si>
  <si>
    <t>CRR 99 14 78</t>
  </si>
  <si>
    <t>VEREDA OCUENGA</t>
  </si>
  <si>
    <t>CRA 47A 113 30</t>
  </si>
  <si>
    <t>CL 37A 22 60</t>
  </si>
  <si>
    <t>CR 9 1B 34B</t>
  </si>
  <si>
    <t>CR 10 10 38</t>
  </si>
  <si>
    <t>CLL3A MZ 2 14</t>
  </si>
  <si>
    <t>CRR 18 A N2 A_ 75</t>
  </si>
  <si>
    <t>CLL3 24 27</t>
  </si>
  <si>
    <t>CL 20 A 24 30</t>
  </si>
  <si>
    <t>CR 30 19 26</t>
  </si>
  <si>
    <t>CR 28 13 11</t>
  </si>
  <si>
    <t>CLL 20 28 21</t>
  </si>
  <si>
    <t>CALL 28 A12 29</t>
  </si>
  <si>
    <t>DIAG 11A 10A 86</t>
  </si>
  <si>
    <t>CLL 2 N 13  45</t>
  </si>
  <si>
    <t>CL 22 23A 17</t>
  </si>
  <si>
    <t>VDA SAN LORENZO DE ARRIBA</t>
  </si>
  <si>
    <t>CR 19 11 30</t>
  </si>
  <si>
    <t>CL 4A 3 53</t>
  </si>
  <si>
    <t>CR 38B14 17</t>
  </si>
  <si>
    <t>ALTOS DE MARANTA</t>
  </si>
  <si>
    <t>CLL 2 7 26 TIBASOSA</t>
  </si>
  <si>
    <t>CRA 1  17A 06</t>
  </si>
  <si>
    <t>CR 14 N 11 26</t>
  </si>
  <si>
    <t>CARRERA 26 N 20-27</t>
  </si>
  <si>
    <t>CR 41 N 10_31</t>
  </si>
  <si>
    <t>CR 16 31 44</t>
  </si>
  <si>
    <t>CLL9 3761</t>
  </si>
  <si>
    <t>CL 13 10 26</t>
  </si>
  <si>
    <t>CR29 8 45</t>
  </si>
  <si>
    <t>CRA 26 23 46</t>
  </si>
  <si>
    <t>CL 24 26 34</t>
  </si>
  <si>
    <t>CONDOMINIO CAMPESTRE PARAISO</t>
  </si>
  <si>
    <t>CLL 13 N7 B07</t>
  </si>
  <si>
    <t>CRA 23 23B 11</t>
  </si>
  <si>
    <t>VDA SOAPAGA</t>
  </si>
  <si>
    <t>CL 26 N 1 B 95</t>
  </si>
  <si>
    <t>CL 70 6 86</t>
  </si>
  <si>
    <t>CL 25 A 26 26</t>
  </si>
  <si>
    <t>CR 13  3A 11</t>
  </si>
  <si>
    <t>CR 18 18 33</t>
  </si>
  <si>
    <t>CL 4 8 35</t>
  </si>
  <si>
    <t>VERD SUESCUN</t>
  </si>
  <si>
    <t>CRA 2A N 1A 76</t>
  </si>
  <si>
    <t>TV 10 21 53 LC 101</t>
  </si>
  <si>
    <t>VRDA CENTRO CMINO AYALA</t>
  </si>
  <si>
    <t>CLL 10 36 70 B  LA E DUITAMA</t>
  </si>
  <si>
    <t>CL 98 70C 79 CASA 37</t>
  </si>
  <si>
    <t>CLL 20A 10 132</t>
  </si>
  <si>
    <t>CL 10 33 39</t>
  </si>
  <si>
    <t>VEREDA LAS VUELTAS</t>
  </si>
  <si>
    <t>CARRERA 22 N 22-55</t>
  </si>
  <si>
    <t>CR 09 01 W 15</t>
  </si>
  <si>
    <t>CL 17 15 53</t>
  </si>
  <si>
    <t>CR 17 VIS 13 15</t>
  </si>
  <si>
    <t>CR 7 1B 63</t>
  </si>
  <si>
    <t>CR 4 N3 25</t>
  </si>
  <si>
    <t>PANTANO  DE VARGAS</t>
  </si>
  <si>
    <t>TRAS 2022 23</t>
  </si>
  <si>
    <t>CLL 25G 85H 51 INT 38</t>
  </si>
  <si>
    <t>CLL 8 11 43</t>
  </si>
  <si>
    <t>cr 36a 22 26</t>
  </si>
  <si>
    <t>CR 18 27 98</t>
  </si>
  <si>
    <t>CR 23C 5 93</t>
  </si>
  <si>
    <t>CL 13A 8 29 DUITAMA</t>
  </si>
  <si>
    <t>CL 2813A 39</t>
  </si>
  <si>
    <t>CLL 12 36 82 PS 3</t>
  </si>
  <si>
    <t>BRR SANTA ANA</t>
  </si>
  <si>
    <t>CR 40 22 31</t>
  </si>
  <si>
    <t>CRR 12 1 10</t>
  </si>
  <si>
    <t>CR 4 N 3 68</t>
  </si>
  <si>
    <t>TV 19 4 27 SUR BR LUIS CARLOS GALAN</t>
  </si>
  <si>
    <t>CL19 7 86</t>
  </si>
  <si>
    <t>CR 35 1 174 APTO 201</t>
  </si>
  <si>
    <t>CLL 14B N 119A 76</t>
  </si>
  <si>
    <t>CL 22 22 51</t>
  </si>
  <si>
    <t>PUEBLITO BOYACENCE</t>
  </si>
  <si>
    <t>CLL 16 15 21</t>
  </si>
  <si>
    <t>CR 5 12 66</t>
  </si>
  <si>
    <t>cl 4 6 21</t>
  </si>
  <si>
    <t>CLL 15 16 25</t>
  </si>
  <si>
    <t>B TRINIDA</t>
  </si>
  <si>
    <t>CL 9 4 84</t>
  </si>
  <si>
    <t>MANZ E CASA 9</t>
  </si>
  <si>
    <t>CR 19 10A 53</t>
  </si>
  <si>
    <t>CRA33 16 27</t>
  </si>
  <si>
    <t>CR 7B 17 32</t>
  </si>
  <si>
    <t>CR 27 21 13</t>
  </si>
  <si>
    <t>CLL 19 19 12</t>
  </si>
  <si>
    <t>CL 01 05 41</t>
  </si>
  <si>
    <t>CRR 9 14 19</t>
  </si>
  <si>
    <t>CR 4 17 22</t>
  </si>
  <si>
    <t>CR 24 22 47</t>
  </si>
  <si>
    <t>CRR43 24A 8</t>
  </si>
  <si>
    <t>CRA8A 9B 81</t>
  </si>
  <si>
    <t>CLL 16 14 68</t>
  </si>
  <si>
    <t>CRR 22 11 A 25</t>
  </si>
  <si>
    <t>CR 26C N 21 13</t>
  </si>
  <si>
    <t>CLL 15 5A 34</t>
  </si>
  <si>
    <t>CL 57 11 A 15</t>
  </si>
  <si>
    <t>CR 7B 17 64</t>
  </si>
  <si>
    <t>CR 14 12 59</t>
  </si>
  <si>
    <t>CR 26 21 66</t>
  </si>
  <si>
    <t>CL 20 45 46</t>
  </si>
  <si>
    <t>CL 11 9A 20</t>
  </si>
  <si>
    <t>CR 17 18 55</t>
  </si>
  <si>
    <t>JISCHANA KM 8 RECTA SAN RAFAEL</t>
  </si>
  <si>
    <t>CL 21 27 49</t>
  </si>
  <si>
    <t>CR 36A 7 15</t>
  </si>
  <si>
    <t>CL 29 17A 183</t>
  </si>
  <si>
    <t>KLL 24 BIS 20 30</t>
  </si>
  <si>
    <t>CL 15 8 60</t>
  </si>
  <si>
    <t>BARRIO VILLA CORINA</t>
  </si>
  <si>
    <t>CR 43 13 65</t>
  </si>
  <si>
    <t>CL 29 26 75</t>
  </si>
  <si>
    <t>CLL 21 3 35 CASA 4</t>
  </si>
  <si>
    <t>TORRES DELCARGUA</t>
  </si>
  <si>
    <t>SANTA TERESA TIBASOS</t>
  </si>
  <si>
    <t>VEREDA CAÑOS</t>
  </si>
  <si>
    <t>CR 3 N 23 167</t>
  </si>
  <si>
    <t>CARRERA 7 A N 6 A 34</t>
  </si>
  <si>
    <t>CL 15 17 08</t>
  </si>
  <si>
    <t>CR 13@21 39</t>
  </si>
  <si>
    <t>CR 6 N 7 67</t>
  </si>
  <si>
    <t>CLL 18 46 27</t>
  </si>
  <si>
    <t>CLL 29 16 62</t>
  </si>
  <si>
    <t>DG 21 23 51</t>
  </si>
  <si>
    <t>CL 25G 74B 50</t>
  </si>
  <si>
    <t>CL 16 11  44</t>
  </si>
  <si>
    <t>CALLE 25 4 40</t>
  </si>
  <si>
    <t>CR32 19 40</t>
  </si>
  <si>
    <t>CR 36 B 6 40</t>
  </si>
  <si>
    <t>CL 18 13 36</t>
  </si>
  <si>
    <t>CL 14 5 A 09</t>
  </si>
  <si>
    <t>CL 26 N 20 73</t>
  </si>
  <si>
    <t>CR 8 12 15</t>
  </si>
  <si>
    <t>PORTAL DE CASTLLA</t>
  </si>
  <si>
    <t>CRR 32 19A 35</t>
  </si>
  <si>
    <t>CL 18 15 18</t>
  </si>
  <si>
    <t>CR 6 5 72</t>
  </si>
  <si>
    <t>CLL 10  3672</t>
  </si>
  <si>
    <t>CR 10 22 B119</t>
  </si>
  <si>
    <t>CRA 33 11 43</t>
  </si>
  <si>
    <t>CRA 7 N 7 20</t>
  </si>
  <si>
    <t>TRANSVERSAL 20 N 22 A 84</t>
  </si>
  <si>
    <t>CRR 7 N 5 35 BELEN</t>
  </si>
  <si>
    <t>CRA 5 N 9 64</t>
  </si>
  <si>
    <t>CL 20 2 47</t>
  </si>
  <si>
    <t>CL 7 6 02</t>
  </si>
  <si>
    <t>CL 9 N 11 36</t>
  </si>
  <si>
    <t>CL 7 8 03</t>
  </si>
  <si>
    <t>CR 6 11 09</t>
  </si>
  <si>
    <t>CLL 11 6 39</t>
  </si>
  <si>
    <t>CR 68 20</t>
  </si>
  <si>
    <t>CL 710 03</t>
  </si>
  <si>
    <t>CL 76 34</t>
  </si>
  <si>
    <t>CLL 5 6 88</t>
  </si>
  <si>
    <t>CL 134C 53B 52</t>
  </si>
  <si>
    <t>CLL 9 6 36</t>
  </si>
  <si>
    <t>CL 1 6 57</t>
  </si>
  <si>
    <t>CLL 13 N 27 60</t>
  </si>
  <si>
    <t>CR 66 68</t>
  </si>
  <si>
    <t>CL 8 05 09</t>
  </si>
  <si>
    <t>CL 13 18 57</t>
  </si>
  <si>
    <t>CR 66 64</t>
  </si>
  <si>
    <t>CR 5  1A 10</t>
  </si>
  <si>
    <t>CRA  42 14 43</t>
  </si>
  <si>
    <t>CRA3 4 85</t>
  </si>
  <si>
    <t>CR 5 7 30</t>
  </si>
  <si>
    <t>CL 10 7 28</t>
  </si>
  <si>
    <t>CARR 9 A 15 49</t>
  </si>
  <si>
    <t>CARRERA 24#5-94</t>
  </si>
  <si>
    <t>CR 5 CL 9</t>
  </si>
  <si>
    <t>CL 3 8 19</t>
  </si>
  <si>
    <t>CRR 24 8 40</t>
  </si>
  <si>
    <t>CL 21 26 03</t>
  </si>
  <si>
    <t>CR  1A 15 115</t>
  </si>
  <si>
    <t>CR 4 10 11 BELEN BOYACA</t>
  </si>
  <si>
    <t>CRR3 8A 26</t>
  </si>
  <si>
    <t>CL 2 N 1 53</t>
  </si>
  <si>
    <t>CALLE 5 8 38</t>
  </si>
  <si>
    <t>CRA 37 20 135</t>
  </si>
  <si>
    <t>CLL 8 4 43</t>
  </si>
  <si>
    <t>CL 9 A 9 90</t>
  </si>
  <si>
    <t>CL 10 7 129</t>
  </si>
  <si>
    <t>CLL 25 N 19 75</t>
  </si>
  <si>
    <t>CR 23 23 06</t>
  </si>
  <si>
    <t>CR 25 N 22 12 AP 202</t>
  </si>
  <si>
    <t>CRA 10 22B 119 CASA 54</t>
  </si>
  <si>
    <t>CL 30 16 41</t>
  </si>
  <si>
    <t>CL 8 4B</t>
  </si>
  <si>
    <t>CL 21 20 09</t>
  </si>
  <si>
    <t>CR 32 N 19A16</t>
  </si>
  <si>
    <t>CL 2A 17 A 59</t>
  </si>
  <si>
    <t>VEREDA TRINIDA</t>
  </si>
  <si>
    <t>CL 1C 34C 23</t>
  </si>
  <si>
    <t>CR 26 22 26</t>
  </si>
  <si>
    <t>CL 18 A 27 42</t>
  </si>
  <si>
    <t>CR 22 16 14</t>
  </si>
  <si>
    <t>CR 7 13 29</t>
  </si>
  <si>
    <t>CL 9A N 13 75</t>
  </si>
  <si>
    <t>CLL7B N 4829</t>
  </si>
  <si>
    <t>CR 12 21 53</t>
  </si>
  <si>
    <t>CONDOMINIO BALMORAL MZ 13 CASA 10</t>
  </si>
  <si>
    <t>CR 30 N 19 36</t>
  </si>
  <si>
    <t>ROBLEDALES</t>
  </si>
  <si>
    <t>CR 26 N 21_25</t>
  </si>
  <si>
    <t>CL 20 17 103</t>
  </si>
  <si>
    <t>CL 19 28 58</t>
  </si>
  <si>
    <t>CR 11 8 58</t>
  </si>
  <si>
    <t>CL 28 16 12</t>
  </si>
  <si>
    <t xml:space="preserve">CL 7A 1 06 </t>
  </si>
  <si>
    <t>CRA 20 A 27</t>
  </si>
  <si>
    <t>CLL 8 12 38</t>
  </si>
  <si>
    <t>CR 28 19 41</t>
  </si>
  <si>
    <t>CL 6 N 5-42</t>
  </si>
  <si>
    <t>CLL 7A 48 05</t>
  </si>
  <si>
    <t>CR 11 8 16</t>
  </si>
  <si>
    <t>CL 19B 26 100</t>
  </si>
  <si>
    <t>CALLE14B N 4 34</t>
  </si>
  <si>
    <t>CR 30 19A 85</t>
  </si>
  <si>
    <t>CR 16 N 32 83</t>
  </si>
  <si>
    <t>CENTRO DUITAMA</t>
  </si>
  <si>
    <t>CL 5 8 68</t>
  </si>
  <si>
    <t>CR 3419 133</t>
  </si>
  <si>
    <t>CR 32 16A 07</t>
  </si>
  <si>
    <t>CR 4 17 61</t>
  </si>
  <si>
    <t>CR 10A 10 21</t>
  </si>
  <si>
    <t>CERINZA CENTRO</t>
  </si>
  <si>
    <t>CR 44 24 19</t>
  </si>
  <si>
    <t>CR 5 6 150LC 1</t>
  </si>
  <si>
    <t>CL 9 35 33</t>
  </si>
  <si>
    <t>CRA 5 7 17</t>
  </si>
  <si>
    <t>CR 16 22 42</t>
  </si>
  <si>
    <t>VD SUESCU</t>
  </si>
  <si>
    <t>CR 4 6 02</t>
  </si>
  <si>
    <t>CALLE 1 A N 7-36</t>
  </si>
  <si>
    <t>CR 4 10 57</t>
  </si>
  <si>
    <t>CR 11 A 22 29</t>
  </si>
  <si>
    <t>CLL22Ñ22_27</t>
  </si>
  <si>
    <t>CLL 21 29 47</t>
  </si>
  <si>
    <t>CL 7A 28 02</t>
  </si>
  <si>
    <t>CR 25 19 82</t>
  </si>
  <si>
    <t>CRR 8 11 31 PT 401</t>
  </si>
  <si>
    <t>CLL16 8 19</t>
  </si>
  <si>
    <t>CR 8 7 60</t>
  </si>
  <si>
    <t>CR 42A 18 04</t>
  </si>
  <si>
    <t>CR 8 9B 42</t>
  </si>
  <si>
    <t>CL 7 A N 47 A 30</t>
  </si>
  <si>
    <t>CR 39 10 21</t>
  </si>
  <si>
    <t>CR 4 SUR 11 31</t>
  </si>
  <si>
    <t>DG 16  N 5 30</t>
  </si>
  <si>
    <t>CR 30A 14 55</t>
  </si>
  <si>
    <t>CLL 21 33 249 BRR LAS LAJAS</t>
  </si>
  <si>
    <t>CL 15 36 05</t>
  </si>
  <si>
    <t>ROBLEDALES II</t>
  </si>
  <si>
    <t>CARRERA 34 9 45</t>
  </si>
  <si>
    <t>BARRIO SAN JORGE</t>
  </si>
  <si>
    <t>CALLE 15 N 13 38</t>
  </si>
  <si>
    <t>CR 14 15 30</t>
  </si>
  <si>
    <t>CR 16  22 44</t>
  </si>
  <si>
    <t>CL 69 187</t>
  </si>
  <si>
    <t>CLL 18 13 09</t>
  </si>
  <si>
    <t>CR 8 3 42</t>
  </si>
  <si>
    <t>K 7 VIA DUITAMA PAIPA</t>
  </si>
  <si>
    <t>CRA 42 14 27</t>
  </si>
  <si>
    <t>CALLE 9 C N 33-26</t>
  </si>
  <si>
    <t>CLL21 12 28</t>
  </si>
  <si>
    <t>CL 18 13 47</t>
  </si>
  <si>
    <t>CR 9A 16 26</t>
  </si>
  <si>
    <t>CLL 15 12 51</t>
  </si>
  <si>
    <t>CR 23 23 96</t>
  </si>
  <si>
    <t>CL 17 12 55</t>
  </si>
  <si>
    <t>CLL 13 15 29</t>
  </si>
  <si>
    <t>SAN LUIS ALTO DUITAMA</t>
  </si>
  <si>
    <t>CL 19 N 13A 09</t>
  </si>
  <si>
    <t>CR 18 12 47</t>
  </si>
  <si>
    <t>CALLE 15 N° 13 - 38</t>
  </si>
  <si>
    <t>VRA  ESPINAL</t>
  </si>
  <si>
    <t>calle 15 n 13-38</t>
  </si>
  <si>
    <t>CLL 23 65 211 FUSA</t>
  </si>
  <si>
    <t>CLL 10 N 22  37</t>
  </si>
  <si>
    <t>CR 17 N21A</t>
  </si>
  <si>
    <t>CR 7 11 89</t>
  </si>
  <si>
    <t>CR 16 A 27 75</t>
  </si>
  <si>
    <t>CR 16  17 07</t>
  </si>
  <si>
    <t>CL 4 11 06</t>
  </si>
  <si>
    <t>CR 16 N 18 80</t>
  </si>
  <si>
    <t>CR 16 15 30</t>
  </si>
  <si>
    <t>CLL 15 10 61</t>
  </si>
  <si>
    <t>CLL 16 5 70</t>
  </si>
  <si>
    <t>CLL9 34 33</t>
  </si>
  <si>
    <t>CRA 36 5 49</t>
  </si>
  <si>
    <t>AV C 20 55</t>
  </si>
  <si>
    <t>CRA 34 22 41</t>
  </si>
  <si>
    <t>CRA 16 18 64</t>
  </si>
  <si>
    <t>CLL 16 15 43</t>
  </si>
  <si>
    <t>CR 13A 4 33</t>
  </si>
  <si>
    <t>CL17 A 5 42</t>
  </si>
  <si>
    <t>CALLE 20 N 33-90</t>
  </si>
  <si>
    <t>CL 15 13 38</t>
  </si>
  <si>
    <t>CR 10 10 50</t>
  </si>
  <si>
    <t>CL 22 20 40</t>
  </si>
  <si>
    <t>CR 12 23 44 CJ MANANTIAL</t>
  </si>
  <si>
    <t>CR 2 16A 32</t>
  </si>
  <si>
    <t>K 18 33 74</t>
  </si>
  <si>
    <t>CRA 25 21 23</t>
  </si>
  <si>
    <t>CRA 35 16 36</t>
  </si>
  <si>
    <t>CALLE 9 N 21-36</t>
  </si>
  <si>
    <t>VDR MOLINO</t>
  </si>
  <si>
    <t>CLL 15B 5 34</t>
  </si>
  <si>
    <t>CARRERA 7 A N 17-27</t>
  </si>
  <si>
    <t>CR 10 17 B 39</t>
  </si>
  <si>
    <t>CLL 18 15 06</t>
  </si>
  <si>
    <t>CL 21 33 119</t>
  </si>
  <si>
    <t>CALL 15 A 29 A 50</t>
  </si>
  <si>
    <t>CL 18 9 31</t>
  </si>
  <si>
    <t>CARRERA 24 # 21-26</t>
  </si>
  <si>
    <t>CARRERA 38 11 15 B SEVILLA</t>
  </si>
  <si>
    <t>CR 23 21 18</t>
  </si>
  <si>
    <t>CRA 7A 17 35</t>
  </si>
  <si>
    <t>CLL 17A 5A 05</t>
  </si>
  <si>
    <t>CLL 2A 17 27</t>
  </si>
  <si>
    <t>CR 37 7 84</t>
  </si>
  <si>
    <t>CL 13A 5 75</t>
  </si>
  <si>
    <t>CL 11 38 14</t>
  </si>
  <si>
    <t>CL 18 1 40</t>
  </si>
  <si>
    <t>CAR 18 18 28</t>
  </si>
  <si>
    <t>CALLE 11 A  28 _21</t>
  </si>
  <si>
    <t>CR 24 N 8 06</t>
  </si>
  <si>
    <t>MZ D CASA 13 ALT MARANTAL</t>
  </si>
  <si>
    <t>CLL 17 N 1-07</t>
  </si>
  <si>
    <t>CR 1B 16 41</t>
  </si>
  <si>
    <t>CLL 20 33 18</t>
  </si>
  <si>
    <t>CR 30 20 54</t>
  </si>
  <si>
    <t>CL 6A 35 58</t>
  </si>
  <si>
    <t>CL 13 35 A 25</t>
  </si>
  <si>
    <t>CL 18 15 40</t>
  </si>
  <si>
    <t>CR 16 N 33 03</t>
  </si>
  <si>
    <t>KM3 VIA NOBSA</t>
  </si>
  <si>
    <t>CRA 16-10-04</t>
  </si>
  <si>
    <t>CR 4 40 C 53</t>
  </si>
  <si>
    <t>CL 5 2 71</t>
  </si>
  <si>
    <t>CR 30 19 78</t>
  </si>
  <si>
    <t>CR 12 16 12</t>
  </si>
  <si>
    <t>CLL 18 2A 09</t>
  </si>
  <si>
    <t>CRA22 N 17A29</t>
  </si>
  <si>
    <t>VDA TOCOGUA</t>
  </si>
  <si>
    <t>CLL 18 N 312</t>
  </si>
  <si>
    <t>CR 24 21 53</t>
  </si>
  <si>
    <t>VIA PANTANO DE VARGAS</t>
  </si>
  <si>
    <t>CL 20 2A 17</t>
  </si>
  <si>
    <t>cr10 a 12 64</t>
  </si>
  <si>
    <t>CL 29 16 49</t>
  </si>
  <si>
    <t>CL 12 7 73</t>
  </si>
  <si>
    <t>CRA 12 N° 21 - 76</t>
  </si>
  <si>
    <t>VRDA LA TRINIDAD</t>
  </si>
  <si>
    <t>CRA 7 4 20</t>
  </si>
  <si>
    <t>VDA PEÑA NEGRA SECT LA MANA</t>
  </si>
  <si>
    <t>CALLE 20 N 9-32</t>
  </si>
  <si>
    <t>CL 12 A 7 B 25</t>
  </si>
  <si>
    <t>CR 38 16 A 02</t>
  </si>
  <si>
    <t>CR 27 21 16</t>
  </si>
  <si>
    <t>CRA16 8 21</t>
  </si>
  <si>
    <t>CL 5A 45A 17</t>
  </si>
  <si>
    <t>CLL21 29 43</t>
  </si>
  <si>
    <t>CR 3 12 60 BARRIO EL DORADO</t>
  </si>
  <si>
    <t>CR 26 20 44</t>
  </si>
  <si>
    <t>CLL 29B 16 18</t>
  </si>
  <si>
    <t>CLL 6A 35 62</t>
  </si>
  <si>
    <t>CR11 1857</t>
  </si>
  <si>
    <t>CR 24 21 71</t>
  </si>
  <si>
    <t>CR 17 14 53</t>
  </si>
  <si>
    <t>CARRERA 19 N 4-17</t>
  </si>
  <si>
    <t>CL 17 17 22</t>
  </si>
  <si>
    <t>CR 27 14 03</t>
  </si>
  <si>
    <t>CL 16  37 A  21</t>
  </si>
  <si>
    <t>CALLE 10 N° 24-70</t>
  </si>
  <si>
    <t>CL 9 34 33 APT 1003</t>
  </si>
  <si>
    <t>CR 12 15 25</t>
  </si>
  <si>
    <t>CR 16A 19 58</t>
  </si>
  <si>
    <t>CR 16 A 14 27</t>
  </si>
  <si>
    <t>CR 21 10 81</t>
  </si>
  <si>
    <t>TR 21 22 19</t>
  </si>
  <si>
    <t>K 8 VIA TIBASOSA</t>
  </si>
  <si>
    <t>CRR 17 14 60</t>
  </si>
  <si>
    <t>CRA 25 3 48</t>
  </si>
  <si>
    <t>CR 32  15 A 15</t>
  </si>
  <si>
    <t>CR 27 7 43</t>
  </si>
  <si>
    <t>CL 19 13 26</t>
  </si>
  <si>
    <t>CL 18 235</t>
  </si>
  <si>
    <t>KILOMETRO 4 VIA DTM-SOG</t>
  </si>
  <si>
    <t>CR 15 18 6 3</t>
  </si>
  <si>
    <t>CR 19 18 16</t>
  </si>
  <si>
    <t>CR 19  15-32</t>
  </si>
  <si>
    <t>CR 16 16 63</t>
  </si>
  <si>
    <t>TRANS 14 8 40</t>
  </si>
  <si>
    <t>CL 20 21 12</t>
  </si>
  <si>
    <t>CR 28 12 18</t>
  </si>
  <si>
    <t>TV 29 13A  55</t>
  </si>
  <si>
    <t>CASA 106 M4</t>
  </si>
  <si>
    <t>CR 31 A14 52</t>
  </si>
  <si>
    <t>CL 21 37 30</t>
  </si>
  <si>
    <t>CLL 17 1D 34</t>
  </si>
  <si>
    <t>CRA 8A 13A 19</t>
  </si>
  <si>
    <t>CRA7B 17B 29</t>
  </si>
  <si>
    <t>CR 27 20 44</t>
  </si>
  <si>
    <t>CL 20 44 09</t>
  </si>
  <si>
    <t>CL 17 19 81</t>
  </si>
  <si>
    <t>CLL 15A 7 29</t>
  </si>
  <si>
    <t>CRA 10  N 10  18</t>
  </si>
  <si>
    <t>CRA22 17 80 PSO2</t>
  </si>
  <si>
    <t>VEREDA SA SUR LOS PINOS</t>
  </si>
  <si>
    <t>CALLE 21 40 07</t>
  </si>
  <si>
    <t>CALLE 15 A N 38-25</t>
  </si>
  <si>
    <t>CRR 45 5 A 09</t>
  </si>
  <si>
    <t>CRA 21 20A 11</t>
  </si>
  <si>
    <t>KM3 VIA DUITAMA BELENCITO</t>
  </si>
  <si>
    <t>CR 23 13 57</t>
  </si>
  <si>
    <t>SANTA LUCIA B- 18 APAR 302</t>
  </si>
  <si>
    <t>CL 28 17 150</t>
  </si>
  <si>
    <t>CR 19  19 90</t>
  </si>
  <si>
    <t>CL 13 13 50</t>
  </si>
  <si>
    <t>CR 42 14 31</t>
  </si>
  <si>
    <t>CRA 11 Nª 9 - 08</t>
  </si>
  <si>
    <t>TRAV.19 N- 25-27</t>
  </si>
  <si>
    <t>VDA ESPARTAL BAJO</t>
  </si>
  <si>
    <t>CR 4 14 51</t>
  </si>
  <si>
    <t>CL 3 28B 14</t>
  </si>
  <si>
    <t>CL 8 36B 17</t>
  </si>
  <si>
    <t>CL 2 26 35</t>
  </si>
  <si>
    <t>CL 22B 10 71</t>
  </si>
  <si>
    <t>CL 8 13 84</t>
  </si>
  <si>
    <t>CRA 13 12 67</t>
  </si>
  <si>
    <t>CL 20 29 72</t>
  </si>
  <si>
    <t>CLL 25 17 C_27</t>
  </si>
  <si>
    <t>CL 20 25 41</t>
  </si>
  <si>
    <t>CL 14 16 50</t>
  </si>
  <si>
    <t>KM2 VDR CHORRITO</t>
  </si>
  <si>
    <t>DG 8 9 51</t>
  </si>
  <si>
    <t>CRA 19 N 16 30</t>
  </si>
  <si>
    <t>CRA 44 8A 03</t>
  </si>
  <si>
    <t>CR 15 617 45</t>
  </si>
  <si>
    <t>CR 39 10 49</t>
  </si>
  <si>
    <t>CL 17 A N 6 27</t>
  </si>
  <si>
    <t>CRA 25 9 A 3</t>
  </si>
  <si>
    <t>CR 21 A N 20 A 51</t>
  </si>
  <si>
    <t>CR 8 13-12 PROGRESO</t>
  </si>
  <si>
    <t>CL 8  24 16</t>
  </si>
  <si>
    <t>CALLE 12 15 37</t>
  </si>
  <si>
    <t>CL 4 10 13</t>
  </si>
  <si>
    <t>CR 22 N 20-10</t>
  </si>
  <si>
    <t>CL 22 A 21 16</t>
  </si>
  <si>
    <t>CL 9 32 20</t>
  </si>
  <si>
    <t>CR 34 16 20</t>
  </si>
  <si>
    <t>CL2239 A 34</t>
  </si>
  <si>
    <t>DI 67 4 13</t>
  </si>
  <si>
    <t>CLL 23B 22 48</t>
  </si>
  <si>
    <t>CR 8 6 A 18</t>
  </si>
  <si>
    <t>CR 17 22 53</t>
  </si>
  <si>
    <t>CRA 3 N 8 31</t>
  </si>
  <si>
    <t>CL 1440 25</t>
  </si>
  <si>
    <t>CL 11A 32 20</t>
  </si>
  <si>
    <t>CR 14A 21B 28</t>
  </si>
  <si>
    <t>CL 26 25 29</t>
  </si>
  <si>
    <t>CR 30 23 06</t>
  </si>
  <si>
    <t>CL 12 32 62</t>
  </si>
  <si>
    <t>CR 32 19 40 T 11 APTO304 ROBLEDALES II</t>
  </si>
  <si>
    <t>CR 25B 16 19</t>
  </si>
  <si>
    <t>CL 5 A 22 63</t>
  </si>
  <si>
    <t>BARRIO 1 DE ENERO CASA 7</t>
  </si>
  <si>
    <t>TVR 20 22 7 3</t>
  </si>
  <si>
    <t>CL 12A 18 28</t>
  </si>
  <si>
    <t>CR 13A 3 32</t>
  </si>
  <si>
    <t>CR 4 N 4 - 27</t>
  </si>
  <si>
    <t>VDA TOBASIA</t>
  </si>
  <si>
    <t>cll 4 n 48 10</t>
  </si>
  <si>
    <t>CRA 30 174</t>
  </si>
  <si>
    <t>CL 20A 18 10</t>
  </si>
  <si>
    <t>CALLE 4 N 3 43</t>
  </si>
  <si>
    <t>CRA 48 N 5 52 brr nueva floresta</t>
  </si>
  <si>
    <t>CR 10 10 33</t>
  </si>
  <si>
    <t>CL 18 C 1 C 07</t>
  </si>
  <si>
    <t>FLORESTA BOYACA</t>
  </si>
  <si>
    <t>TR 37 16 180</t>
  </si>
  <si>
    <t>CALLE 28 17 37</t>
  </si>
  <si>
    <t>CLL 15 N 13 38</t>
  </si>
  <si>
    <t>DG 59 72 68  VDA SAN JOSE DEL PORVENIR</t>
  </si>
  <si>
    <t>CL 21 B 40 17</t>
  </si>
  <si>
    <t>CL 19 N 14 32</t>
  </si>
  <si>
    <t>CL 14 6 45</t>
  </si>
  <si>
    <t>CR 22 N 20 A 47</t>
  </si>
  <si>
    <t>CR7B 16_05</t>
  </si>
  <si>
    <t>CALLE 14B 37B 04</t>
  </si>
  <si>
    <t>cll 3 17 36</t>
  </si>
  <si>
    <t>CLL 15A 37 81</t>
  </si>
  <si>
    <t>CR 38 C 14 40 BRR SEVILLA 02</t>
  </si>
  <si>
    <t>CL 6C SUR 7 09</t>
  </si>
  <si>
    <t>CR 11 N 22 04</t>
  </si>
  <si>
    <t>CL 13B 38A 57</t>
  </si>
  <si>
    <t>CL 15 11A 10</t>
  </si>
  <si>
    <t>CR 44 N 18 44</t>
  </si>
  <si>
    <t>CR 23 5 48</t>
  </si>
  <si>
    <t>CR 4 4B 37</t>
  </si>
  <si>
    <t>CL 9 8 A 32</t>
  </si>
  <si>
    <t>CLL 6 10 40</t>
  </si>
  <si>
    <t>CL 14 N 8 A 08</t>
  </si>
  <si>
    <t>CR 35 9 13</t>
  </si>
  <si>
    <t>CR 1633 23</t>
  </si>
  <si>
    <t>CL 21B 40 62</t>
  </si>
  <si>
    <t>CL 21 25 12</t>
  </si>
  <si>
    <t>CRA5  51</t>
  </si>
  <si>
    <t>CR 15 6A 44 SUR MANITAS</t>
  </si>
  <si>
    <t>CL 5 1 34</t>
  </si>
  <si>
    <t>CL 4 3 03</t>
  </si>
  <si>
    <t>CR 26A 11B 24</t>
  </si>
  <si>
    <t>CRA 4 N 1 84</t>
  </si>
  <si>
    <t>CR 38A 16 14</t>
  </si>
  <si>
    <t>CRA9 2W 38</t>
  </si>
  <si>
    <t>CR 5 14A 51</t>
  </si>
  <si>
    <t>CLL 29B 16 54</t>
  </si>
  <si>
    <t>CL 11 7B 81</t>
  </si>
  <si>
    <t>CL 8 1 26</t>
  </si>
  <si>
    <t>CL 28 15 71 BRR LA PAZ</t>
  </si>
  <si>
    <t>CL 63 56</t>
  </si>
  <si>
    <t>CL 28A 16 19</t>
  </si>
  <si>
    <t>CLL 8 7 31</t>
  </si>
  <si>
    <t>CR 37 B 13 86</t>
  </si>
  <si>
    <t>VEREDA CACHAVITA</t>
  </si>
  <si>
    <t>CL 21 29 55</t>
  </si>
  <si>
    <t>CL 23 11 B 56</t>
  </si>
  <si>
    <t>VDA PATROCINIO</t>
  </si>
  <si>
    <t>CL 12 2 07</t>
  </si>
  <si>
    <t>CL 6 36 B 16</t>
  </si>
  <si>
    <t>CR 26A 20 63</t>
  </si>
  <si>
    <t>CLL 7 N 10 55</t>
  </si>
  <si>
    <t>CLL 10 7A 05 BRR EL PROGRESO</t>
  </si>
  <si>
    <t>KM 5 VIA SOGAMOSO NOBSA</t>
  </si>
  <si>
    <t>CL 9  9 50</t>
  </si>
  <si>
    <t>CL 4 11 94</t>
  </si>
  <si>
    <t>NOPSA</t>
  </si>
  <si>
    <t>VDA CHAMESA MAYOR</t>
  </si>
  <si>
    <t>CRA 14 N 3 17</t>
  </si>
  <si>
    <t>CL 4 11A 01</t>
  </si>
  <si>
    <t>CLL 3 25 92</t>
  </si>
  <si>
    <t>CRR 4 5A 22</t>
  </si>
  <si>
    <t>CL 7  10   88</t>
  </si>
  <si>
    <t>CL 6 N 8 97</t>
  </si>
  <si>
    <t>VDA LAS CALERAS CENTRO</t>
  </si>
  <si>
    <t>CALLE 21 33 249</t>
  </si>
  <si>
    <t>CL 21 26A 05</t>
  </si>
  <si>
    <t>VEREDA PUNTA LARGO</t>
  </si>
  <si>
    <t>CLL 20 4332</t>
  </si>
  <si>
    <t>CL 19B 26 20</t>
  </si>
  <si>
    <t>CLL 13 35 23</t>
  </si>
  <si>
    <t>CL 3N 10 20</t>
  </si>
  <si>
    <t>VEREDA LAS CALERAS</t>
  </si>
  <si>
    <t>CLL 16 6 26</t>
  </si>
  <si>
    <t>CR 11A 7 24</t>
  </si>
  <si>
    <t>VRD SANTANA NOBSA</t>
  </si>
  <si>
    <t>CR 34N 19 112</t>
  </si>
  <si>
    <t>CR 17A 21 29</t>
  </si>
  <si>
    <t>CALLE 24 N 24 16</t>
  </si>
  <si>
    <t>VRD LA TRINIDAD</t>
  </si>
  <si>
    <t>CLL 29 15 14</t>
  </si>
  <si>
    <t>CRR 6 N5 11 NOBSA</t>
  </si>
  <si>
    <t>CRA 9 10_150</t>
  </si>
  <si>
    <t>VRD TOIBITA</t>
  </si>
  <si>
    <t>CLL 17 27 27</t>
  </si>
  <si>
    <t>CLL 10 92 37</t>
  </si>
  <si>
    <t>VEREDA LA TRINDAD</t>
  </si>
  <si>
    <t>KM 2 PAIPA BOYACA</t>
  </si>
  <si>
    <t>CR 24A 30 59</t>
  </si>
  <si>
    <t>CALLE 7SUR N 5A 73</t>
  </si>
  <si>
    <t>CR 36 A 21 50</t>
  </si>
  <si>
    <t>CRA 16  13 25</t>
  </si>
  <si>
    <t>CLL 21 22 13</t>
  </si>
  <si>
    <t>VDR SAN LORENZO</t>
  </si>
  <si>
    <t>CLL 25 24A 45</t>
  </si>
  <si>
    <t>CRA 7 1 A 15</t>
  </si>
  <si>
    <t>CRA 30 19 36</t>
  </si>
  <si>
    <t>CR 16 01 OESTE</t>
  </si>
  <si>
    <t>CRA 48A 30</t>
  </si>
  <si>
    <t>AV FRANCISCO MONTAÑA N 592</t>
  </si>
  <si>
    <t>TV 4  5 82</t>
  </si>
  <si>
    <t>ALTO DE SURVA</t>
  </si>
  <si>
    <t>CL 3A 8 73 MZ 1 CA 25</t>
  </si>
  <si>
    <t>CRA 13A N 7B 70</t>
  </si>
  <si>
    <t>sindireccion</t>
  </si>
  <si>
    <t>CRRA 18A 2A24</t>
  </si>
  <si>
    <t>CR 25 20 90</t>
  </si>
  <si>
    <t>CL 18 16 69</t>
  </si>
  <si>
    <t>CR 39A 10 50</t>
  </si>
  <si>
    <t>CR 37 A 13 28</t>
  </si>
  <si>
    <t>KR 14A 2A 114</t>
  </si>
  <si>
    <t>EL SALITRE</t>
  </si>
  <si>
    <t>METROPOLIS MZ 4 CA 49</t>
  </si>
  <si>
    <t>COLINAS DEL NORTE</t>
  </si>
  <si>
    <t>CL 66 6 57</t>
  </si>
  <si>
    <t>CR 20 6 32</t>
  </si>
  <si>
    <t>TRASVERSAL 10 12 53</t>
  </si>
  <si>
    <t>CR 11 2BIS 22 29</t>
  </si>
  <si>
    <t>CR 5 N 5A 51</t>
  </si>
  <si>
    <t>CL 19 20 53</t>
  </si>
  <si>
    <t>CR 116 N 77 35</t>
  </si>
  <si>
    <t>CL 10 3 18 BR BRIZAS DEL SUAPAGA</t>
  </si>
  <si>
    <t>CR 13A 1 66</t>
  </si>
  <si>
    <t>CL 13 12 168</t>
  </si>
  <si>
    <t>cl 20 6 88</t>
  </si>
  <si>
    <t>CL 10 5 23</t>
  </si>
  <si>
    <t>CR 5 8 06</t>
  </si>
  <si>
    <t>BRR SAN JUAN BOSCO</t>
  </si>
  <si>
    <t>K R 7 N18 17</t>
  </si>
  <si>
    <t>CL 21 N 27 15</t>
  </si>
  <si>
    <t>CR 8 N 11 60</t>
  </si>
  <si>
    <t>CR 3 4 29</t>
  </si>
  <si>
    <t>KR 4 N 4 01 BR GAITAN</t>
  </si>
  <si>
    <t>CLL 12 3533</t>
  </si>
  <si>
    <t>CR 32 A 10 25</t>
  </si>
  <si>
    <t>CR 2 1 120</t>
  </si>
  <si>
    <t>CRR 10 22 B 119</t>
  </si>
  <si>
    <t>FRENTE ASADERO FRETPOLLO</t>
  </si>
  <si>
    <t>MANZ C 7 09</t>
  </si>
  <si>
    <t>CR 16 1 33</t>
  </si>
  <si>
    <t>ROBLEDALES1</t>
  </si>
  <si>
    <t>CR 32 N 19 41</t>
  </si>
  <si>
    <t>CALLE 26 N -18-10</t>
  </si>
  <si>
    <t>CR 7 1 21</t>
  </si>
  <si>
    <t>CLL 6 N 18 90</t>
  </si>
  <si>
    <t>CL 7 1 07</t>
  </si>
  <si>
    <t>TV 10 12 53</t>
  </si>
  <si>
    <t>CRA 1C 18 37</t>
  </si>
  <si>
    <t>CR 35 1 C 111</t>
  </si>
  <si>
    <t>CLL 21 30A 10</t>
  </si>
  <si>
    <t>CLL 17 1 D 34</t>
  </si>
  <si>
    <t>CL 104 03</t>
  </si>
  <si>
    <t>CRRA 34 16 102</t>
  </si>
  <si>
    <t>CR 14 b 3 24</t>
  </si>
  <si>
    <t>CL 8 4 33</t>
  </si>
  <si>
    <t>CL 7 4 37</t>
  </si>
  <si>
    <t>CR 24 23 19</t>
  </si>
  <si>
    <t>C 19B 24 46</t>
  </si>
  <si>
    <t>VDR GUERCA</t>
  </si>
  <si>
    <t>CONSENTAR</t>
  </si>
  <si>
    <t>CL 2 6 03</t>
  </si>
  <si>
    <t>CRA 24 19 17</t>
  </si>
  <si>
    <t>CL 1 5 41</t>
  </si>
  <si>
    <t>CL11 7B 12</t>
  </si>
  <si>
    <t>CR 5 15B 55</t>
  </si>
  <si>
    <t>CR 5 23 38</t>
  </si>
  <si>
    <t>CNJ ROBLEDALES 2</t>
  </si>
  <si>
    <t>CR 37A 13 19</t>
  </si>
  <si>
    <t>CL 21 25 48</t>
  </si>
  <si>
    <t>CR 487 B 34</t>
  </si>
  <si>
    <t>CR 4 4 32</t>
  </si>
  <si>
    <t>CL 20 32 2 60 CS10</t>
  </si>
  <si>
    <t>CLL 78 N0_3</t>
  </si>
  <si>
    <t>CR181956</t>
  </si>
  <si>
    <t>CLL 22 39 14</t>
  </si>
  <si>
    <t>CR 25 21 47</t>
  </si>
  <si>
    <t>CR 43 5 36</t>
  </si>
  <si>
    <t>CRA 7 N 08 01</t>
  </si>
  <si>
    <t>CL 6 7  76</t>
  </si>
  <si>
    <t>CR 5A 17A 34</t>
  </si>
  <si>
    <t>CR 24 23 17</t>
  </si>
  <si>
    <t>CL 6 10 47</t>
  </si>
  <si>
    <t>ESPARTAL TIBASOSA</t>
  </si>
  <si>
    <t>CR 87 37</t>
  </si>
  <si>
    <t>TV 21 22 57</t>
  </si>
  <si>
    <t>CR 2 1 26 TIBASOSA</t>
  </si>
  <si>
    <t>CR 5 15A 23</t>
  </si>
  <si>
    <t>CLL 6AN3705</t>
  </si>
  <si>
    <t>CALLE 17 14 39</t>
  </si>
  <si>
    <t>CLL 20 22 34</t>
  </si>
  <si>
    <t>CLL 22A 22 45</t>
  </si>
  <si>
    <t>CR 23 22 17</t>
  </si>
  <si>
    <t>CRR 24 7 55</t>
  </si>
  <si>
    <t>CRR 6A N 3 15</t>
  </si>
  <si>
    <t>CL 20 N 44 63</t>
  </si>
  <si>
    <t>CRA 24 21 74</t>
  </si>
  <si>
    <t>SANJOSE DE PARE</t>
  </si>
  <si>
    <t>URB GUADALUPE</t>
  </si>
  <si>
    <t>MIRADOR DEL CHITICUY</t>
  </si>
  <si>
    <t>CL 14 16 66</t>
  </si>
  <si>
    <t>CLL 16 6 23</t>
  </si>
  <si>
    <t>CL 18 N 1 64</t>
  </si>
  <si>
    <t>CR 8 12 24</t>
  </si>
  <si>
    <t>CR 9 A 15 80</t>
  </si>
  <si>
    <t>CLL 1 18 02</t>
  </si>
  <si>
    <t>CALLE 13 N 27-60 APA 514 TORRE 4 FLORESTA CLUB</t>
  </si>
  <si>
    <t>CL 20 4 85</t>
  </si>
  <si>
    <t>CRA 5  14B - 65 BRR COLOMBIA</t>
  </si>
  <si>
    <t>CL 18A 4 100</t>
  </si>
  <si>
    <t>CLL 19 43 75</t>
  </si>
  <si>
    <t>CR 5 4 69</t>
  </si>
  <si>
    <t>ALCASARES</t>
  </si>
  <si>
    <t>KM 3 VIA NOBSA</t>
  </si>
  <si>
    <t>CARRERA 6 N 5-55</t>
  </si>
  <si>
    <t>CL 7 5 71</t>
  </si>
  <si>
    <t>CR 4 N 7 00</t>
  </si>
  <si>
    <t>CRR 13 18 28</t>
  </si>
  <si>
    <t>CR 9 17A 33</t>
  </si>
  <si>
    <t>CR 2A  4A  03</t>
  </si>
  <si>
    <t>CL 14B 37B 17</t>
  </si>
  <si>
    <t>CR 48 150 53</t>
  </si>
  <si>
    <t>CR 4 6 135</t>
  </si>
  <si>
    <t>CLL 18 13 36</t>
  </si>
  <si>
    <t>CR 16 31A 18</t>
  </si>
  <si>
    <t>CLL 8 N 6 36</t>
  </si>
  <si>
    <t>AV CLIMACO CALDERON SALIDA A DUITAMA</t>
  </si>
  <si>
    <t>CL 13  4 53</t>
  </si>
  <si>
    <t>DG 16 11 A 35</t>
  </si>
  <si>
    <t>CR 5 14 81</t>
  </si>
  <si>
    <t>CR 19 16 37</t>
  </si>
  <si>
    <t>CR 2 A 11</t>
  </si>
  <si>
    <t>CR 5A 5A24</t>
  </si>
  <si>
    <t>CL 9 5 80</t>
  </si>
  <si>
    <t>CL 12 5 44</t>
  </si>
  <si>
    <t>CR 5A 5A 49</t>
  </si>
  <si>
    <t>CR 19 10 34</t>
  </si>
  <si>
    <t>CL 8 3 26</t>
  </si>
  <si>
    <t>CL 9 2 130</t>
  </si>
  <si>
    <t>CR 3 15 45</t>
  </si>
  <si>
    <t>CLL 12 5 35</t>
  </si>
  <si>
    <t>CALLE 14 N 4-11</t>
  </si>
  <si>
    <t>CRA 3A 15 BIS 30</t>
  </si>
  <si>
    <t>CRA 8 N° 86 B -5</t>
  </si>
  <si>
    <t>TRANS19_13_30 SOGAMOSO</t>
  </si>
  <si>
    <t>CL 15 03 32</t>
  </si>
  <si>
    <t>VEREDA LA LAGUNA</t>
  </si>
  <si>
    <t>CRR 21 40 06</t>
  </si>
  <si>
    <t>CR 8 10 50</t>
  </si>
  <si>
    <t>CL 7B 1 05</t>
  </si>
  <si>
    <t>CRR 8 14 04</t>
  </si>
  <si>
    <t>CL 11 356</t>
  </si>
  <si>
    <t>CR 6 11 93</t>
  </si>
  <si>
    <t>CL 16 3 94 LA UNION</t>
  </si>
  <si>
    <t>CL 8 8 28</t>
  </si>
  <si>
    <t>CALLE 20A N 25 62</t>
  </si>
  <si>
    <t>CL 6 B 1 51</t>
  </si>
  <si>
    <t>CL 7 7 148</t>
  </si>
  <si>
    <t>CR 18 20 125</t>
  </si>
  <si>
    <t>CL 34 16 44</t>
  </si>
  <si>
    <t>CL 19 BIS 30 49</t>
  </si>
  <si>
    <t>CARRERA 8 N13 A-34</t>
  </si>
  <si>
    <t>CL 12 A 6 54</t>
  </si>
  <si>
    <t>CLL 6 9 94</t>
  </si>
  <si>
    <t>CRA 19 NO 20 40</t>
  </si>
  <si>
    <t>CL 2 B 4 A 09</t>
  </si>
  <si>
    <t>CL 25 18 32</t>
  </si>
  <si>
    <t>CLL 15 NO 4 17</t>
  </si>
  <si>
    <t>CR 5 7 39</t>
  </si>
  <si>
    <t>CONJ SAN RAFAEL</t>
  </si>
  <si>
    <t>CL 13 3 71</t>
  </si>
  <si>
    <t>SANTAROSA</t>
  </si>
  <si>
    <t>CR 3 N 11 61</t>
  </si>
  <si>
    <t>CLL 2 A 4 A 02</t>
  </si>
  <si>
    <t>CLL17 31 73</t>
  </si>
  <si>
    <t>CL 9 7 28</t>
  </si>
  <si>
    <t>CRA 5 12 76</t>
  </si>
  <si>
    <t>CR 5 A N 13 90</t>
  </si>
  <si>
    <t>CL 10 N 5 50</t>
  </si>
  <si>
    <t>CL 14 4 20</t>
  </si>
  <si>
    <t>CHAMEZA MAYOR</t>
  </si>
  <si>
    <t>TORRES DE LA VILLA402</t>
  </si>
  <si>
    <t>CL 2A 4 75</t>
  </si>
  <si>
    <t>CR 4 13 46</t>
  </si>
  <si>
    <t>CL 02 04 A 14</t>
  </si>
  <si>
    <t>CLL 21 31 6 4</t>
  </si>
  <si>
    <t>CRA 8 N 9 -62</t>
  </si>
  <si>
    <t>CR 13 21 63</t>
  </si>
  <si>
    <t>SATIVA NORTE</t>
  </si>
  <si>
    <t>CL 19 N 4 NOR 40</t>
  </si>
  <si>
    <t>CL 16 N 11 81</t>
  </si>
  <si>
    <t>CL 32 53</t>
  </si>
  <si>
    <t>CRA 26 15 09</t>
  </si>
  <si>
    <t>CR 28 B 4 12</t>
  </si>
  <si>
    <t>CR 13 8 92</t>
  </si>
  <si>
    <t>DIG 11 A N 10 A 86</t>
  </si>
  <si>
    <t>CL 13  37 A 104</t>
  </si>
  <si>
    <t>PARAMO LA CAPILLA</t>
  </si>
  <si>
    <t>SANRAFAEL 2</t>
  </si>
  <si>
    <t>CRA 36 A 22 26</t>
  </si>
  <si>
    <t>CRA  24 N  11B  27</t>
  </si>
  <si>
    <t>CALLE 7 N 4-37</t>
  </si>
  <si>
    <t>CLL 1 45 03</t>
  </si>
  <si>
    <t>LA COLINA</t>
  </si>
  <si>
    <t>CR 24 21 50</t>
  </si>
  <si>
    <t>CLL 1 6 06</t>
  </si>
  <si>
    <t>CR 26 8 17 CASA 11</t>
  </si>
  <si>
    <t>CL 2W 17 23</t>
  </si>
  <si>
    <t>KILOMETRO 5 VIA TRINIDAD</t>
  </si>
  <si>
    <t>CRA 4A 4 35</t>
  </si>
  <si>
    <t>CL 22 N 2 B 54</t>
  </si>
  <si>
    <t>CR 27 24 08</t>
  </si>
  <si>
    <t>BARRIO CENTRO SOATA</t>
  </si>
  <si>
    <t>CRA 12 21 90</t>
  </si>
  <si>
    <t>CR 14 16 69</t>
  </si>
  <si>
    <t>CL 8 9 45</t>
  </si>
  <si>
    <t>CR 26 24 58</t>
  </si>
  <si>
    <t>DG 165 82</t>
  </si>
  <si>
    <t>CL 22 39A 26</t>
  </si>
  <si>
    <t>CALLE 5 N 1 21</t>
  </si>
  <si>
    <t>CLL 17 2 72</t>
  </si>
  <si>
    <t>CALLE 1 2 34</t>
  </si>
  <si>
    <t>CRA 3 4 57</t>
  </si>
  <si>
    <t>CALLE 12 N3533</t>
  </si>
  <si>
    <t>CARRERA 32 N- 9 B 23</t>
  </si>
  <si>
    <t>CLL18 18 12</t>
  </si>
  <si>
    <t>CARRERA 24 20A 68</t>
  </si>
  <si>
    <t>CRA 11 17A 40</t>
  </si>
  <si>
    <t>CR7 9 59</t>
  </si>
  <si>
    <t>CR 34 19 112 ROBLEDALES</t>
  </si>
  <si>
    <t>CR 9 N 2 03</t>
  </si>
  <si>
    <t>CR 5 3 56</t>
  </si>
  <si>
    <t>CR 8 10 45 IN 3</t>
  </si>
  <si>
    <t>CL 3 3 07</t>
  </si>
  <si>
    <t>CRA 16 1 40</t>
  </si>
  <si>
    <t>CLL15 39 18</t>
  </si>
  <si>
    <t>CRA 5 26 11</t>
  </si>
  <si>
    <t>CLL 24 2321</t>
  </si>
  <si>
    <t>CR 10 8 45</t>
  </si>
  <si>
    <t>CALLE 1 N 6-46</t>
  </si>
  <si>
    <t>CLL 37 62</t>
  </si>
  <si>
    <t>CR 9 N 2 08</t>
  </si>
  <si>
    <t>CLLE 17 34 48</t>
  </si>
  <si>
    <t>CLL 18 14 55</t>
  </si>
  <si>
    <t>VEREDA SOCHA VIEJO</t>
  </si>
  <si>
    <t>CLL 4 4 15</t>
  </si>
  <si>
    <t>ROBLEDALES 2 T 32</t>
  </si>
  <si>
    <t>CL 8 9 12</t>
  </si>
  <si>
    <t>CALLE 29A 16 08</t>
  </si>
  <si>
    <t>CL 20 26 36</t>
  </si>
  <si>
    <t>CL 23 21 11</t>
  </si>
  <si>
    <t>CR 4 A 1B 28</t>
  </si>
  <si>
    <t>CL 14 27 26</t>
  </si>
  <si>
    <t>cl 2 3 36</t>
  </si>
  <si>
    <t>CR 32 22 52</t>
  </si>
  <si>
    <t>KM 7 VIA SOCHA SOCOTA</t>
  </si>
  <si>
    <t>VEREDA LA LAJA</t>
  </si>
  <si>
    <t>VDA GUARCA</t>
  </si>
  <si>
    <t>CLL22 20 09</t>
  </si>
  <si>
    <t>TV 1  N 1 - 181</t>
  </si>
  <si>
    <t>CLL 13 27 60</t>
  </si>
  <si>
    <t>CLL 96 45 A 40</t>
  </si>
  <si>
    <t>CR 27 VIA TUNJA PAIPA</t>
  </si>
  <si>
    <t>CR 76 32</t>
  </si>
  <si>
    <t>CL 12 7 B 30</t>
  </si>
  <si>
    <t>CR 73 B 7B 01</t>
  </si>
  <si>
    <t>CR 5 5 55</t>
  </si>
  <si>
    <t>SIN DIRECCION</t>
  </si>
  <si>
    <t>CR 43 20 42</t>
  </si>
  <si>
    <t>CR 38 A 14 110</t>
  </si>
  <si>
    <t>CRR 9 10 150</t>
  </si>
  <si>
    <t>CR 5 3 20</t>
  </si>
  <si>
    <t>CR 23 17 29</t>
  </si>
  <si>
    <t>DIG 16 6 170</t>
  </si>
  <si>
    <t>TV 7 N 1 27 CENTRO</t>
  </si>
  <si>
    <t>DG 66B 1 12 BRR MUISCAS</t>
  </si>
  <si>
    <t>CR 4  6 51</t>
  </si>
  <si>
    <t>CLL 10A 7A 10</t>
  </si>
  <si>
    <t>CALLE 22B N 40 52</t>
  </si>
  <si>
    <t>CL 25A 26 70</t>
  </si>
  <si>
    <t>CL 23A TV 5A 15</t>
  </si>
  <si>
    <t>TRANS 10 12 53</t>
  </si>
  <si>
    <t>CR 68 18</t>
  </si>
  <si>
    <t>CR 8 9 105</t>
  </si>
  <si>
    <t>CRA 6 N 1 06</t>
  </si>
  <si>
    <t>CR10 N17 A 14</t>
  </si>
  <si>
    <t>CR 56A 137 74</t>
  </si>
  <si>
    <t>CL 19 17 73</t>
  </si>
  <si>
    <t>CRA 48 N 7B 23</t>
  </si>
  <si>
    <t>CR 9 3 12</t>
  </si>
  <si>
    <t>CALLE 3A N 7 81</t>
  </si>
  <si>
    <t>CL 2 1 A 07</t>
  </si>
  <si>
    <t>ACAPULCO</t>
  </si>
  <si>
    <t>CL 19 B 6 94</t>
  </si>
  <si>
    <t>PUNTALARGA</t>
  </si>
  <si>
    <t>CR 2A 5 A 36</t>
  </si>
  <si>
    <t>CL 20 31A 119</t>
  </si>
  <si>
    <t>CL 34 35</t>
  </si>
  <si>
    <t>CL 1 3 51</t>
  </si>
  <si>
    <t>CRR 4 3 A 12</t>
  </si>
  <si>
    <t>CR 8B 1 04</t>
  </si>
  <si>
    <t>DIAGONAL 11 318</t>
  </si>
  <si>
    <t>CL 4 2 57</t>
  </si>
  <si>
    <t>PUNTA LARGA NOTSA</t>
  </si>
  <si>
    <t>CR 8D 1 03</t>
  </si>
  <si>
    <t>CL 28 17 37</t>
  </si>
  <si>
    <t>CL 1 SUR 1 18</t>
  </si>
  <si>
    <t>VD GERMANIA</t>
  </si>
  <si>
    <t>CR 9 3 82</t>
  </si>
  <si>
    <t>CRA 1 3 24</t>
  </si>
  <si>
    <t>CR 55A 168A11</t>
  </si>
  <si>
    <t>CR 6 1 18</t>
  </si>
  <si>
    <t>CALLE 3 No 7 - 88</t>
  </si>
  <si>
    <t>CL 4 8 94</t>
  </si>
  <si>
    <t>calle 5 6a 12 tibasosa</t>
  </si>
  <si>
    <t>CLL 1  1 12E</t>
  </si>
  <si>
    <t>CR 17 N 2 110</t>
  </si>
  <si>
    <t>CR 2 2 77 SUR</t>
  </si>
  <si>
    <t>CR 13 1 60</t>
  </si>
  <si>
    <t>CL 4 6 72</t>
  </si>
  <si>
    <t>CL 5 2 64</t>
  </si>
  <si>
    <t>CR 2 A 5A 14</t>
  </si>
  <si>
    <t>CL 3 N 8 18</t>
  </si>
  <si>
    <t>VRDA SANTA TERESA</t>
  </si>
  <si>
    <t>TV 18 26 30</t>
  </si>
  <si>
    <t>VRD EL CHORRITO</t>
  </si>
  <si>
    <t>RINCON DE VARGAS</t>
  </si>
  <si>
    <t>CL 23 16 85</t>
  </si>
  <si>
    <t>CR 10 N 1 27</t>
  </si>
  <si>
    <t>CL 19  41 28</t>
  </si>
  <si>
    <t>CLL 22 20 04</t>
  </si>
  <si>
    <t>CLL 8 2 14</t>
  </si>
  <si>
    <t>CRA  4 N 3 - 69</t>
  </si>
  <si>
    <t>CL 27 17 15</t>
  </si>
  <si>
    <t>CR 4    N°  4  - 04</t>
  </si>
  <si>
    <t>CR 15 11 20</t>
  </si>
  <si>
    <t>CL 20 42 41</t>
  </si>
  <si>
    <t>CL 3 25 66</t>
  </si>
  <si>
    <t>CLL 4 N 3 03</t>
  </si>
  <si>
    <t>CL 4 2 50</t>
  </si>
  <si>
    <t>CR 11 BIS 9 76 DUITAMA</t>
  </si>
  <si>
    <t>CL 22 N 38 04</t>
  </si>
  <si>
    <t>SANTA ROSA DE VITERBO</t>
  </si>
  <si>
    <t>CL 18 4 34</t>
  </si>
  <si>
    <t>CR 30 18 24</t>
  </si>
  <si>
    <t>CRA 27 8 70</t>
  </si>
  <si>
    <t>MILAGROSA</t>
  </si>
  <si>
    <t>CR 5 24 17</t>
  </si>
  <si>
    <t>CL 36B 12 25</t>
  </si>
  <si>
    <t>CR 32 19 124</t>
  </si>
  <si>
    <t>CR 29 19A 78</t>
  </si>
  <si>
    <t>CR 42 15 496</t>
  </si>
  <si>
    <t>VDR LA TRINIDAD</t>
  </si>
  <si>
    <t>VRD SAN MARTIN</t>
  </si>
  <si>
    <t>CR 16 CL 16 ESQ LC P 2</t>
  </si>
  <si>
    <t>CR 24A 11 47</t>
  </si>
  <si>
    <t>CRA 16 26 54</t>
  </si>
  <si>
    <t>CLL14 B 5 25</t>
  </si>
  <si>
    <t>CLL 15A 29A 27</t>
  </si>
  <si>
    <t>CR 2B 5B 07</t>
  </si>
  <si>
    <t>SAN LORENZO DE ABAJO PUENTE LA VALSA</t>
  </si>
  <si>
    <t>CR 17 26 50</t>
  </si>
  <si>
    <t>CL 7 N 46 7 5</t>
  </si>
  <si>
    <t>CL 22 42 35</t>
  </si>
  <si>
    <t>CR 22 9 23</t>
  </si>
  <si>
    <t>altosdel marantal mz c casa 20</t>
  </si>
  <si>
    <t>CRA 16 5 20</t>
  </si>
  <si>
    <t>CL 17 A 6 27</t>
  </si>
  <si>
    <t>TRV 15 32  22</t>
  </si>
  <si>
    <t>CRA 29 8 45</t>
  </si>
  <si>
    <t>CL 12 14 05 ESQ</t>
  </si>
  <si>
    <t>CR 10 N 11 13</t>
  </si>
  <si>
    <t>CL 848 4</t>
  </si>
  <si>
    <t>CL 9A BIS 7 84</t>
  </si>
  <si>
    <t>CL 13 33 A 06</t>
  </si>
  <si>
    <t>CARRERA 1C 18 37</t>
  </si>
  <si>
    <t>CARRERA 17 N 2 A 24</t>
  </si>
  <si>
    <t>CLL 24 39B 130</t>
  </si>
  <si>
    <t>CR 24 23 45</t>
  </si>
  <si>
    <t>cll  9 n 36 142</t>
  </si>
  <si>
    <t>CALLE 29B N° 10A - 12 APAR202</t>
  </si>
  <si>
    <t>CR 17 N 24</t>
  </si>
  <si>
    <t>CRA 19 22 35</t>
  </si>
  <si>
    <t>CRA 16 31 70</t>
  </si>
  <si>
    <t>CR 5C 7 04</t>
  </si>
  <si>
    <t>CR 34 N 19 133</t>
  </si>
  <si>
    <t>CRA 9BIS  10 110</t>
  </si>
  <si>
    <t>CR 11 2 41</t>
  </si>
  <si>
    <t>CR 22 20 26</t>
  </si>
  <si>
    <t>TV 76 7 A 75</t>
  </si>
  <si>
    <t>CL 27 19 45</t>
  </si>
  <si>
    <t>CL 23 8A 43</t>
  </si>
  <si>
    <t>CR 5 N 2 22</t>
  </si>
  <si>
    <t>CLL 12 37 9</t>
  </si>
  <si>
    <t>CLL 15A 4A 19</t>
  </si>
  <si>
    <t>CL 21 33 241</t>
  </si>
  <si>
    <t>CR32 19 41</t>
  </si>
  <si>
    <t>CRA 22 20 46</t>
  </si>
  <si>
    <t>CLL 7 18 63</t>
  </si>
  <si>
    <t>CR 20 18 40</t>
  </si>
  <si>
    <t>CLL 4 20 59</t>
  </si>
  <si>
    <t>CR 30 19</t>
  </si>
  <si>
    <t>CRA 45 5A 09</t>
  </si>
  <si>
    <t>CR 12A 22 67</t>
  </si>
  <si>
    <t>CL 13 38 55</t>
  </si>
  <si>
    <t>CR N 21 16</t>
  </si>
  <si>
    <t>CR 38 19 40</t>
  </si>
  <si>
    <t>MNZ I CASA 11 B. ESTACION</t>
  </si>
  <si>
    <t>CR 23 23 100</t>
  </si>
  <si>
    <t>CL 15 N 16 25</t>
  </si>
  <si>
    <t>CRA 23 A 21 12</t>
  </si>
  <si>
    <t>cll  14a 31b 08</t>
  </si>
  <si>
    <t>VEREDA SAN MARTIN</t>
  </si>
  <si>
    <t>CL 19 24 12</t>
  </si>
  <si>
    <t>KM 9 VIA DUITAMA NOBSA</t>
  </si>
  <si>
    <t>CRA 5 1 77</t>
  </si>
  <si>
    <t>CRA 22 A N 20 63</t>
  </si>
  <si>
    <t>CR 10A 14 75</t>
  </si>
  <si>
    <t>CLL 18 14 30</t>
  </si>
  <si>
    <t>CLL 29 16 55ALTOS DEL MARANTA DUITAMA</t>
  </si>
  <si>
    <t>CL 16 11 26</t>
  </si>
  <si>
    <t>CRA 6 19A 47</t>
  </si>
  <si>
    <t>CR 27 24 40</t>
  </si>
  <si>
    <t>CRA 25 N 11 47</t>
  </si>
  <si>
    <t>CLL 70 DEBIS A 105G 23</t>
  </si>
  <si>
    <t>CR 36A 22 25</t>
  </si>
  <si>
    <t>CL 16 A 25 12</t>
  </si>
  <si>
    <t>CR 16D 2 29</t>
  </si>
  <si>
    <t>CR 8 17 A 36</t>
  </si>
  <si>
    <t>VRD SOCHA VIEJO</t>
  </si>
  <si>
    <t>VRD CRUZ DE BONSA</t>
  </si>
  <si>
    <t>CR 17 17 23</t>
  </si>
  <si>
    <t>CL 3 3 80</t>
  </si>
  <si>
    <t>CR 24 A 3 19</t>
  </si>
  <si>
    <t>K 30 1925</t>
  </si>
  <si>
    <t>CLL 17A 5 111</t>
  </si>
  <si>
    <t>CR 5 14 B 68</t>
  </si>
  <si>
    <t>CRA 29 N 13  19</t>
  </si>
  <si>
    <t>CARRERA 36A 7 33</t>
  </si>
  <si>
    <t>CR 27 6 02</t>
  </si>
  <si>
    <t>DG 16 6 184</t>
  </si>
  <si>
    <t>CR 17A 27 19</t>
  </si>
  <si>
    <t>CR 10 A 8 A 45</t>
  </si>
  <si>
    <t>CRA 30 14 77</t>
  </si>
  <si>
    <t>VEREDA COCHIA</t>
  </si>
  <si>
    <t>CLL 36A 22 26</t>
  </si>
  <si>
    <t>CALLE 14 A N 38 B 05</t>
  </si>
  <si>
    <t>CR 10 A 10 26</t>
  </si>
  <si>
    <t>CLL 22 38 38 CAMILO TORRE</t>
  </si>
  <si>
    <t>CRA 1E 22 99</t>
  </si>
  <si>
    <t>CR  24 # 22-59</t>
  </si>
  <si>
    <t>CR 38C 14 06</t>
  </si>
  <si>
    <t>CL 17A 21 45</t>
  </si>
  <si>
    <t>CR 32 16 05</t>
  </si>
  <si>
    <t>CLL 13 1545</t>
  </si>
  <si>
    <t>CONDOMINIO  CAMPESTRE</t>
  </si>
  <si>
    <t>CL 17A 4 21 COLINA REAL</t>
  </si>
  <si>
    <t>LOS ALPES</t>
  </si>
  <si>
    <t>CLL 1 6 _ 34</t>
  </si>
  <si>
    <t>CR 24 4 72</t>
  </si>
  <si>
    <t>CLL17A 2 58</t>
  </si>
  <si>
    <t>ALTOS DEL MARANTA  A 6</t>
  </si>
  <si>
    <t>CRA 8 17B 20</t>
  </si>
  <si>
    <t>DG 16 11A 35 BRR VATICANO</t>
  </si>
  <si>
    <t>CR 17 N 35A 205</t>
  </si>
  <si>
    <t>CR 16 19 43</t>
  </si>
  <si>
    <t>CR 11 A 4 35</t>
  </si>
  <si>
    <t>CR 26 11B 12</t>
  </si>
  <si>
    <t>CR 15 16 22</t>
  </si>
  <si>
    <t>CARRERA 10A 22 B 119</t>
  </si>
  <si>
    <t>CR 6  5 11</t>
  </si>
  <si>
    <t>CR 43 21 37</t>
  </si>
  <si>
    <t>CL 15 A 4 53</t>
  </si>
  <si>
    <t>CR 11 14 79</t>
  </si>
  <si>
    <t>CL 13 34 49</t>
  </si>
  <si>
    <t>CL 29B 10A 12</t>
  </si>
  <si>
    <t>VR LA CRECIENTE</t>
  </si>
  <si>
    <t>CR 20 25 53</t>
  </si>
  <si>
    <t>CR 15 18 47</t>
  </si>
  <si>
    <t>CL 15A 452</t>
  </si>
  <si>
    <t>VEREDA LA PARROQUIA</t>
  </si>
  <si>
    <t>CR 35 1C O 110</t>
  </si>
  <si>
    <t>PANTANO VARGAS</t>
  </si>
  <si>
    <t>CL 07B 47 17</t>
  </si>
  <si>
    <t>CR 27 2 B 22</t>
  </si>
  <si>
    <t>LAURELES</t>
  </si>
  <si>
    <t>CL 13 60</t>
  </si>
  <si>
    <t>CR 6 17 60</t>
  </si>
  <si>
    <t>CRA 26 22 12</t>
  </si>
  <si>
    <t>CR 7 1 37</t>
  </si>
  <si>
    <t>SAN JUAN BOSCO</t>
  </si>
  <si>
    <t>CR 17 19 70</t>
  </si>
  <si>
    <t>CR 830 TIBASOSA</t>
  </si>
  <si>
    <t>CL 14 15 69</t>
  </si>
  <si>
    <t>CL 3 4 44</t>
  </si>
  <si>
    <t>CLL 6 B 1 16</t>
  </si>
  <si>
    <t>CLL 18 16 15</t>
  </si>
  <si>
    <t>VEREDA TRINIDAD</t>
  </si>
  <si>
    <t>CALLE 9 N 34 33 DUITAMA</t>
  </si>
  <si>
    <t>CLLE15A N 25 21</t>
  </si>
  <si>
    <t>CL 8 21 12</t>
  </si>
  <si>
    <t>VDA SAN LORENZO DE ABAJO</t>
  </si>
  <si>
    <t>CR 5 14 74</t>
  </si>
  <si>
    <t>CL 01 A 08 46</t>
  </si>
  <si>
    <t>KR 1 A ESTE 8 82</t>
  </si>
  <si>
    <t>CR 6 73 61</t>
  </si>
  <si>
    <t>CALLE 19 Nª 26 -69</t>
  </si>
  <si>
    <t>CL 21 21 08</t>
  </si>
  <si>
    <t>CARRERA 18 N 13-51</t>
  </si>
  <si>
    <t>CRA 35 06 40</t>
  </si>
  <si>
    <t>CLL 5 7 58</t>
  </si>
  <si>
    <t>CRA 1A N 2 24</t>
  </si>
  <si>
    <t>CRA 7 12 34</t>
  </si>
  <si>
    <t>VEREDA CRUZ DE BONZA  PAIPA</t>
  </si>
  <si>
    <t>CR 13  3 60</t>
  </si>
  <si>
    <t>CR 31 A 21 36</t>
  </si>
  <si>
    <t>CR 15 16 111</t>
  </si>
  <si>
    <t>CALLE 18 N 14-06</t>
  </si>
  <si>
    <t>TV 20 19 116</t>
  </si>
  <si>
    <t>CL 7 3 82</t>
  </si>
  <si>
    <t>CR 30 21 04</t>
  </si>
  <si>
    <t>VEREDA LA TRINIDAD</t>
  </si>
  <si>
    <t>VDA CRUZ DE BONZA</t>
  </si>
  <si>
    <t>CL 12 37A 85</t>
  </si>
  <si>
    <t>CR 15 N 24  39 BRR SANTA LUCIA</t>
  </si>
  <si>
    <t>MZ B CASA 13 LOS ALAMOS</t>
  </si>
  <si>
    <t>CR 37 7 132</t>
  </si>
  <si>
    <t>CL 21 A 27 24</t>
  </si>
  <si>
    <t>CRA 11 N 15 112</t>
  </si>
  <si>
    <t>CR 7 12 34</t>
  </si>
  <si>
    <t>TRV 19 25 23</t>
  </si>
  <si>
    <t>CR 12 04 64</t>
  </si>
  <si>
    <t>CLL18 13 05</t>
  </si>
  <si>
    <t>KM 7 VIA DUITAMA NOBSA</t>
  </si>
  <si>
    <t>CRR 14 A NR15 A 05</t>
  </si>
  <si>
    <t>CR 10 17 34</t>
  </si>
  <si>
    <t>CL 14 B 04 34</t>
  </si>
  <si>
    <t>CL 24 18 32</t>
  </si>
  <si>
    <t>VEREDA RIO DE PIEDRAS TUTA</t>
  </si>
  <si>
    <t>CRR45 4 29</t>
  </si>
  <si>
    <t>VDR ESPINAL</t>
  </si>
  <si>
    <t>CR 8 19 27</t>
  </si>
  <si>
    <t>CL 11A 5D 94APTO 302</t>
  </si>
  <si>
    <t>crr 4 n64 b29</t>
  </si>
  <si>
    <t>DIAGONAL 21A 22A 52</t>
  </si>
  <si>
    <t>CL 7 10 29</t>
  </si>
  <si>
    <t>CR 14 17 06</t>
  </si>
  <si>
    <t>CR 10 66 48</t>
  </si>
  <si>
    <t>CRA 5 N 16 60</t>
  </si>
  <si>
    <t>CALLE 18 19 15</t>
  </si>
  <si>
    <t>TV 10 12 53 TO J 502</t>
  </si>
  <si>
    <t>CARRERA 2217 57</t>
  </si>
  <si>
    <t>CARRERA 9A 14 21</t>
  </si>
  <si>
    <t>CL 4A OESTE 34 55</t>
  </si>
  <si>
    <t>CR 29 7A 72</t>
  </si>
  <si>
    <t>TRS 3 11 85</t>
  </si>
  <si>
    <t>PUEBLITO BOYACENSE CASA 2 7</t>
  </si>
  <si>
    <t>CR 35 16 42</t>
  </si>
  <si>
    <t>CL 16 34 20</t>
  </si>
  <si>
    <t>CR 7 4 28</t>
  </si>
  <si>
    <t>CL 19B 32 31</t>
  </si>
  <si>
    <t>CL 24 29</t>
  </si>
  <si>
    <t>carrera 13-1-25</t>
  </si>
  <si>
    <t>CL 29A 15 49</t>
  </si>
  <si>
    <t>AV UNIVERSITARIA 41-50 AP902</t>
  </si>
  <si>
    <t>CL 11 2 20</t>
  </si>
  <si>
    <t>CLL 17A BIS 10 25</t>
  </si>
  <si>
    <t>CR 11 16 19</t>
  </si>
  <si>
    <t>CRA 9 13 41</t>
  </si>
  <si>
    <t>CR10 22B 119</t>
  </si>
  <si>
    <t>CR 9 19 23</t>
  </si>
  <si>
    <t>CR 3 17 05</t>
  </si>
  <si>
    <t>CR 14 15 91</t>
  </si>
  <si>
    <t>CLL 1 10 22</t>
  </si>
  <si>
    <t>AV CIR CR 9 15 51</t>
  </si>
  <si>
    <t>CR 24 8 25</t>
  </si>
  <si>
    <t>BR LOS ALPES</t>
  </si>
  <si>
    <t>CR 35 9 13 BRR LA ESPERANZA</t>
  </si>
  <si>
    <t>CL 16 15 43</t>
  </si>
  <si>
    <t>CL 21 40 70</t>
  </si>
  <si>
    <t>CALLE 13 27 60</t>
  </si>
  <si>
    <t>CALLE 12 10 78</t>
  </si>
  <si>
    <t>CLL6 8 A21</t>
  </si>
  <si>
    <t>CR 10 22 82</t>
  </si>
  <si>
    <t>CL 11 7A 25</t>
  </si>
  <si>
    <t>SANTA LUCIA BLOQUE 6 201</t>
  </si>
  <si>
    <t>CL 18 2 06</t>
  </si>
  <si>
    <t>CR 14 5 111</t>
  </si>
  <si>
    <t>CR 3 16 84</t>
  </si>
  <si>
    <t>CR 40 22A 83</t>
  </si>
  <si>
    <t>CL 29 B 16 63</t>
  </si>
  <si>
    <t>CR 6 5 17</t>
  </si>
  <si>
    <t>CRR 41 9 20 SUR</t>
  </si>
  <si>
    <t>CL 20 17 86</t>
  </si>
  <si>
    <t>cra 26 19 a 21</t>
  </si>
  <si>
    <t>CR 5 6 150</t>
  </si>
  <si>
    <t>CLL 29 26 75</t>
  </si>
  <si>
    <t>CLL 22 3A 12</t>
  </si>
  <si>
    <t>CRA18A 11 35</t>
  </si>
  <si>
    <t>CLL 15 11 11</t>
  </si>
  <si>
    <t>CL 11A BIS 19 73</t>
  </si>
  <si>
    <t>VRD CRUZ DE BONZA</t>
  </si>
  <si>
    <t>CALLE 19 N 13-26</t>
  </si>
  <si>
    <t>CR 9 16 45</t>
  </si>
  <si>
    <t>CR 26 23 65</t>
  </si>
  <si>
    <t>CR 13 1 34 SUR</t>
  </si>
  <si>
    <t>CLL 25 6 17</t>
  </si>
  <si>
    <t>C . R.CHITICUY</t>
  </si>
  <si>
    <t>CLL 12 37 a 19</t>
  </si>
  <si>
    <t>CL 5 06A12</t>
  </si>
  <si>
    <t>CR 90 29 124</t>
  </si>
  <si>
    <t>CR 402216</t>
  </si>
  <si>
    <t>CL 14 4 40</t>
  </si>
  <si>
    <t>CL 19A 09A 13</t>
  </si>
  <si>
    <t>VERREDA LA CHORRERA</t>
  </si>
  <si>
    <t>CALLE 12 32 61</t>
  </si>
  <si>
    <t>CL 15B 15 13</t>
  </si>
  <si>
    <t>CRR 38 13 30</t>
  </si>
  <si>
    <t>CL 20 25A 10 LC 1</t>
  </si>
  <si>
    <t>CL 16 14 45</t>
  </si>
  <si>
    <t>CR 6 18 15 CASA 15</t>
  </si>
  <si>
    <t>CLL 7B 1 02</t>
  </si>
  <si>
    <t>CR 34 11 40</t>
  </si>
  <si>
    <t>ALTOS MARANTA</t>
  </si>
  <si>
    <t>CR 12 23 44 CA B 09</t>
  </si>
  <si>
    <t>VD CENTRO BOSQUE</t>
  </si>
  <si>
    <t>CLL 17A 4 40</t>
  </si>
  <si>
    <t>CR 36 A 13 05</t>
  </si>
  <si>
    <t>CR 22 14 20</t>
  </si>
  <si>
    <t>CL 19BIS 30 27</t>
  </si>
  <si>
    <t>CR 15 13 30</t>
  </si>
  <si>
    <t>CALLE 20 # 25-34 PISO 4</t>
  </si>
  <si>
    <t>CONJUNTO SANTA LUCIA</t>
  </si>
  <si>
    <t>CL 13 20 A 16</t>
  </si>
  <si>
    <t>CLL 17 0454</t>
  </si>
  <si>
    <t>CALL 3 N 6A 02NAZARETH</t>
  </si>
  <si>
    <t>CR 1 17 37</t>
  </si>
  <si>
    <t>MIRADOR CHITICUY B11</t>
  </si>
  <si>
    <t>CL 12 10 78</t>
  </si>
  <si>
    <t>VEREDA SAN LORENZO ABAJO</t>
  </si>
  <si>
    <t>CARRERA 21 N. 11B-75</t>
  </si>
  <si>
    <t>VRDA LAS VUELTAS</t>
  </si>
  <si>
    <t>CLL 21 23 74</t>
  </si>
  <si>
    <t>VRD CHORRITO</t>
  </si>
  <si>
    <t>CRA 5 7 02</t>
  </si>
  <si>
    <t>CRA 42 15 35</t>
  </si>
  <si>
    <t>CR 33 N 16 27</t>
  </si>
  <si>
    <t>CR 27 14 10</t>
  </si>
  <si>
    <t>CLL  4SUR  11-71</t>
  </si>
  <si>
    <t>CLL 21 31 06</t>
  </si>
  <si>
    <t>CLL 17 14 77</t>
  </si>
  <si>
    <t>CL 2420 100</t>
  </si>
  <si>
    <t>DG 59 69 82</t>
  </si>
  <si>
    <t>CL 17 7 A 19</t>
  </si>
  <si>
    <t>k 33   n ___ 16 31</t>
  </si>
  <si>
    <t>CRA 4 N 4 26</t>
  </si>
  <si>
    <t>CR 11 20A 05</t>
  </si>
  <si>
    <t>CR 3 2 78</t>
  </si>
  <si>
    <t>CLL 6 N 15A 39</t>
  </si>
  <si>
    <t>CL 30 16 34</t>
  </si>
  <si>
    <t>VDA CRUZ DE MURCIA</t>
  </si>
  <si>
    <t>CLL 9 N 10 37</t>
  </si>
  <si>
    <t>CL 7 7 78</t>
  </si>
  <si>
    <t>CR 13 27 98</t>
  </si>
  <si>
    <t>CALLE 7 N 3 76</t>
  </si>
  <si>
    <t>CRA 3 N 3 28</t>
  </si>
  <si>
    <t>CRA 28 N 11 40</t>
  </si>
  <si>
    <t>CL 37 SUR CA VILLA LUZ</t>
  </si>
  <si>
    <t>TRAV 12 53</t>
  </si>
  <si>
    <t>CR 2 A 1A-76</t>
  </si>
  <si>
    <t>DG 59 11B 155</t>
  </si>
  <si>
    <t>CR 7 6 39</t>
  </si>
  <si>
    <t>CL 5 11 29</t>
  </si>
  <si>
    <t>CL 11B 23 33</t>
  </si>
  <si>
    <t>CLL 39 10B 1_ 44</t>
  </si>
  <si>
    <t>MENESES</t>
  </si>
  <si>
    <t>CR 5 2 87</t>
  </si>
  <si>
    <t>CL 1A 8 54</t>
  </si>
  <si>
    <t>CL 3 3 118</t>
  </si>
  <si>
    <t>CL 12 18 96 98</t>
  </si>
  <si>
    <t>CR 13 A 2 15</t>
  </si>
  <si>
    <t>CR 26 5C 17</t>
  </si>
  <si>
    <t>CLL 14 10 43 APT 506</t>
  </si>
  <si>
    <t>CR 12 10-32</t>
  </si>
  <si>
    <t>CL 41A 10 A123</t>
  </si>
  <si>
    <t>CLL 39 N 10 B 44</t>
  </si>
  <si>
    <t>CR 94 39</t>
  </si>
  <si>
    <t>AV CIR 21 52</t>
  </si>
  <si>
    <t>DIAGONAL 13 8 01</t>
  </si>
  <si>
    <t>CR 31 21 30</t>
  </si>
  <si>
    <t>CL 14 26 26</t>
  </si>
  <si>
    <t>CRR 25 23 106</t>
  </si>
  <si>
    <t>CR 6 19 22</t>
  </si>
  <si>
    <t>CR 27A 27 14</t>
  </si>
  <si>
    <t>CLL 17 18 32</t>
  </si>
  <si>
    <t>CALLE 7 N 1 53</t>
  </si>
  <si>
    <t>CR 22 20 70</t>
  </si>
  <si>
    <t>Cr 11 14 79</t>
  </si>
  <si>
    <t>CLL 11A 2674</t>
  </si>
  <si>
    <t>CR 3 N 5 14</t>
  </si>
  <si>
    <t>VRDA GUAQUIDA</t>
  </si>
  <si>
    <t>CLL 17 35 48</t>
  </si>
  <si>
    <t>CLL 17 27 49</t>
  </si>
  <si>
    <t>CALLE 14 N 18 65</t>
  </si>
  <si>
    <t>CR 282 61</t>
  </si>
  <si>
    <t>CL 3 9 05</t>
  </si>
  <si>
    <t>CR 4 N 7 35 BR LAS DELICIAS</t>
  </si>
  <si>
    <t>CRA 10 16 06</t>
  </si>
  <si>
    <t>CR 10 10 87</t>
  </si>
  <si>
    <t>CLL 3 N 7 88</t>
  </si>
  <si>
    <t>CLL 23 23A 13</t>
  </si>
  <si>
    <t>CR 21A 11 33</t>
  </si>
  <si>
    <t>CLL 21 33249</t>
  </si>
  <si>
    <t>CLL14 6A 95</t>
  </si>
  <si>
    <t>CR 4 3 75</t>
  </si>
  <si>
    <t>CR 30 19 25 AP 401</t>
  </si>
  <si>
    <t>CR 26 21 22</t>
  </si>
  <si>
    <t>CL 36 16 2 81</t>
  </si>
  <si>
    <t>CR 37 7 28</t>
  </si>
  <si>
    <t>CR 29 11 37</t>
  </si>
  <si>
    <t>TVR 25B 27 162</t>
  </si>
  <si>
    <t>CL 12 18 107</t>
  </si>
  <si>
    <t>CLL22 16A 02</t>
  </si>
  <si>
    <t>CALLE 21 N 33 - 249</t>
  </si>
  <si>
    <t>CRA37B N1390</t>
  </si>
  <si>
    <t>PISBA CENTRO</t>
  </si>
  <si>
    <t>CL 26 2 108</t>
  </si>
  <si>
    <t>TRV10 12 53</t>
  </si>
  <si>
    <t>CLL 68 10A 3 37</t>
  </si>
  <si>
    <t>CL 6 2A 02</t>
  </si>
  <si>
    <t>CR 10 21 157</t>
  </si>
  <si>
    <t>CL 23 A 5B 34</t>
  </si>
  <si>
    <t>CL 22 40 86</t>
  </si>
  <si>
    <t>CL 14 26 54</t>
  </si>
  <si>
    <t>CHIA</t>
  </si>
  <si>
    <t>CL 1218 147</t>
  </si>
  <si>
    <t>CLL 1B 34B31</t>
  </si>
  <si>
    <t>CL 43 3 65</t>
  </si>
  <si>
    <t>CANDIDO QUINTERO</t>
  </si>
  <si>
    <t>CL 21 N 33 2 49</t>
  </si>
  <si>
    <t>CR 13 14 87 APTO 201</t>
  </si>
  <si>
    <t>CL 12 18 69 BR VEINTE DE JULIO</t>
  </si>
  <si>
    <t>CR 12B 51 112</t>
  </si>
  <si>
    <t>CR 11 22 A 79</t>
  </si>
  <si>
    <t>CL 17A 1 58</t>
  </si>
  <si>
    <t>CL 15 A 39 20</t>
  </si>
  <si>
    <t>CLL 5 SUR N 1425</t>
  </si>
  <si>
    <t>CRR 9 4 11 BBR ALCAZARES</t>
  </si>
  <si>
    <t>CALLE 7A 17A66</t>
  </si>
  <si>
    <t>CLL 11 20 20</t>
  </si>
  <si>
    <t>CL   5    5   17</t>
  </si>
  <si>
    <t>CRA 4 15 b 21</t>
  </si>
  <si>
    <t>CHAMEZA MENOR</t>
  </si>
  <si>
    <t>CR 21 N 2A 50</t>
  </si>
  <si>
    <t>CR18N327</t>
  </si>
  <si>
    <t>CR 26 3 100</t>
  </si>
  <si>
    <t>CLL 14 A 16A 112</t>
  </si>
  <si>
    <t>CL 4 N 3 25</t>
  </si>
  <si>
    <t>KLL 10 28 83</t>
  </si>
  <si>
    <t>TRAV 10 42</t>
  </si>
  <si>
    <t>CR 6 N 8 78</t>
  </si>
  <si>
    <t>CL 23 24 35</t>
  </si>
  <si>
    <t>CL 39 10B 1 77</t>
  </si>
  <si>
    <t>CLL 17 14 57</t>
  </si>
  <si>
    <t>CL 13 A 8 09</t>
  </si>
  <si>
    <t>CR 10 9A 32</t>
  </si>
  <si>
    <t>CR 13 4 72</t>
  </si>
  <si>
    <t>CLL 3 11A 18</t>
  </si>
  <si>
    <t>CR 2 N5 49 BRR NAZARETH</t>
  </si>
  <si>
    <t>CL 18 12 22</t>
  </si>
  <si>
    <t>CLL 11 14 55</t>
  </si>
  <si>
    <t>CLL 5 4 66</t>
  </si>
  <si>
    <t>CL 03 03 73</t>
  </si>
  <si>
    <t>VEREDA SU ESCUN</t>
  </si>
  <si>
    <t>CLL 22 31 56</t>
  </si>
  <si>
    <t>CL 5 5 18</t>
  </si>
  <si>
    <t>CR 36A 21 49</t>
  </si>
  <si>
    <t>CL 4 3 26</t>
  </si>
  <si>
    <t>CL 14D N 39 18</t>
  </si>
  <si>
    <t>CLL 2B 14 24</t>
  </si>
  <si>
    <t>CR 11 1A 06 SUR</t>
  </si>
  <si>
    <t>CR 23A 21 24</t>
  </si>
  <si>
    <t>CL 17 34 59</t>
  </si>
  <si>
    <t>CR 5 N 7 48</t>
  </si>
  <si>
    <t>CR 9A 19A 14</t>
  </si>
  <si>
    <t>KM 2 via llano</t>
  </si>
  <si>
    <t>CR 2A 6 32</t>
  </si>
  <si>
    <t>CR 12 N 55 20</t>
  </si>
  <si>
    <t>CRA 2 6 24</t>
  </si>
  <si>
    <t>CR 17 22 27</t>
  </si>
  <si>
    <t>CR 8 30 22</t>
  </si>
  <si>
    <t>CLL10 N 2883</t>
  </si>
  <si>
    <t>VDR CHAMEZA MENOR</t>
  </si>
  <si>
    <t>CR 20 26 36</t>
  </si>
  <si>
    <t>CR 7B 9A SOATA</t>
  </si>
  <si>
    <t>CR 01 E 15 103</t>
  </si>
  <si>
    <t>BARRIO SAN JUAN BOSCO</t>
  </si>
  <si>
    <t>CL 9 12 27</t>
  </si>
  <si>
    <t>CL 28 16 75</t>
  </si>
  <si>
    <t>CL 12A 19 45</t>
  </si>
  <si>
    <t>CR 15 18 35</t>
  </si>
  <si>
    <t>DIAG 26 20 36</t>
  </si>
  <si>
    <t>colina real</t>
  </si>
  <si>
    <t>CLL 17 39 26</t>
  </si>
  <si>
    <t>CRA 11 18 57</t>
  </si>
  <si>
    <t>CL 4 10 07</t>
  </si>
  <si>
    <t>CR 5 N 14B 81</t>
  </si>
  <si>
    <t>CR 23 24 06</t>
  </si>
  <si>
    <t>CR 9 9B 30</t>
  </si>
  <si>
    <t>AVEN. CIRCUNVALAR 22 - 15</t>
  </si>
  <si>
    <t>C R SAN RAFAEL 1</t>
  </si>
  <si>
    <t>TRNV 53 21D 09</t>
  </si>
  <si>
    <t>VDA SIRATA</t>
  </si>
  <si>
    <t>CL 27 19 151</t>
  </si>
  <si>
    <t>CALLE 19#22-41</t>
  </si>
  <si>
    <t>CL 33 2 49</t>
  </si>
  <si>
    <t>CRA 18A 2A 24</t>
  </si>
  <si>
    <t>CLL 16 33 56</t>
  </si>
  <si>
    <t>CR 9 17 56</t>
  </si>
  <si>
    <t>CR 5 6 89 LC 1</t>
  </si>
  <si>
    <t>CR 10 27 16</t>
  </si>
  <si>
    <t>CL 9 11 BIS 23</t>
  </si>
  <si>
    <t>CLL 13B 38A 57 BRR SEVILLA 2</t>
  </si>
  <si>
    <t>CR 9 B 17 A 30</t>
  </si>
  <si>
    <t>CR 20 20 A 23</t>
  </si>
  <si>
    <t>CR 10 9A 71</t>
  </si>
  <si>
    <t>VDR PUNTALARGA</t>
  </si>
  <si>
    <t>VD AYALAS</t>
  </si>
  <si>
    <t>CLL 17A 12 32</t>
  </si>
  <si>
    <t>CR 29 A 7 88</t>
  </si>
  <si>
    <t>CRA 16 19 64</t>
  </si>
  <si>
    <t>CLL 21 24 40</t>
  </si>
  <si>
    <t>CR 7 12 12</t>
  </si>
  <si>
    <t>CRR 11 17 61</t>
  </si>
  <si>
    <t>TV 37 16 180</t>
  </si>
  <si>
    <t>KL 5  VEREDA SAN LORENZO</t>
  </si>
  <si>
    <t>CLL 1 104 EL RECREO DUITAMA</t>
  </si>
  <si>
    <t>CL 22 20 38</t>
  </si>
  <si>
    <t>CR 20 12A 17</t>
  </si>
  <si>
    <t>CLL 11 7 50</t>
  </si>
  <si>
    <t>TRV 7 23 12</t>
  </si>
  <si>
    <t>CL 12 7D 38</t>
  </si>
  <si>
    <t>CR 2 A 17 A 68</t>
  </si>
  <si>
    <t>CL 20 06 54</t>
  </si>
  <si>
    <t>AV CIRCUNVALAR 10A 10</t>
  </si>
  <si>
    <t>CR 46 20 86</t>
  </si>
  <si>
    <t>CR 9 1 01</t>
  </si>
  <si>
    <t>CL 1 8 04</t>
  </si>
  <si>
    <t>CR 1A 18 61</t>
  </si>
  <si>
    <t>crr18 3 27</t>
  </si>
  <si>
    <t>CL 17 A 37 38</t>
  </si>
  <si>
    <t>CL 15  36 12</t>
  </si>
  <si>
    <t>CR 8 13 70</t>
  </si>
  <si>
    <t>CLL20 26 12</t>
  </si>
  <si>
    <t>CRA 21A 20A 56</t>
  </si>
  <si>
    <t>KL 5 VIA DUITAMA TIBASOSA</t>
  </si>
  <si>
    <t>CRA 12 37 69</t>
  </si>
  <si>
    <t>CL 6 9 23</t>
  </si>
  <si>
    <t>CL 7 26 41</t>
  </si>
  <si>
    <t>CL 2 17 A 17</t>
  </si>
  <si>
    <t>CR 3A 22 11</t>
  </si>
  <si>
    <t>cll 23 a n 23 42</t>
  </si>
  <si>
    <t>URB ROBLEDALES 2</t>
  </si>
  <si>
    <t>CR 7 19 94</t>
  </si>
  <si>
    <t>CLL 40 TRA 23 73</t>
  </si>
  <si>
    <t>CL 22 25 66</t>
  </si>
  <si>
    <t>CR 19 13 26</t>
  </si>
  <si>
    <t>CLL 15 19</t>
  </si>
  <si>
    <t>CR 30 14 05</t>
  </si>
  <si>
    <t>CL 1 24A 11</t>
  </si>
  <si>
    <t>CRA 34 N° 19 - 112 TO. 32 AP 401</t>
  </si>
  <si>
    <t>CR 18 7 27</t>
  </si>
  <si>
    <t>VEREDA SAN ANTONIO SUR</t>
  </si>
  <si>
    <t>CL 12 7B 41</t>
  </si>
  <si>
    <t>CRA 14 12 51</t>
  </si>
  <si>
    <t>CL 11 6 20</t>
  </si>
  <si>
    <t>CL 2 28 36</t>
  </si>
  <si>
    <t>KRA36B723</t>
  </si>
  <si>
    <t>CLL9 N 38-35</t>
  </si>
  <si>
    <t>CALLE 25A 26 55</t>
  </si>
  <si>
    <t>CL 20 41 96</t>
  </si>
  <si>
    <t>31 14 51</t>
  </si>
  <si>
    <t>CLL 15 22 34</t>
  </si>
  <si>
    <t>CR 7 6A 15</t>
  </si>
  <si>
    <t>CR 5 16 10</t>
  </si>
  <si>
    <t>CR 20 4 45</t>
  </si>
  <si>
    <t>TV 15 N 22A 95</t>
  </si>
  <si>
    <t>CL 13 16 37</t>
  </si>
  <si>
    <t>CL 23A 5A 12</t>
  </si>
  <si>
    <t>CLL_12_30A_17</t>
  </si>
  <si>
    <t>CL 23 22 55</t>
  </si>
  <si>
    <t>CRA 5 N 14B 122</t>
  </si>
  <si>
    <t>CR 2 5 31</t>
  </si>
  <si>
    <t>CL 1 12A 45</t>
  </si>
  <si>
    <t>CL 19 B 6 99</t>
  </si>
  <si>
    <t>VRD SANTA TERESA</t>
  </si>
  <si>
    <t>CL 6 8 23</t>
  </si>
  <si>
    <t>CRA18 22 150</t>
  </si>
  <si>
    <t>CR 13A 3 64</t>
  </si>
  <si>
    <t>TRANV 5B 23A 51</t>
  </si>
  <si>
    <t>TV 10 10 30</t>
  </si>
  <si>
    <t>TRV 15 32 22</t>
  </si>
  <si>
    <t>KILOMETRO 4 DUI PAIP</t>
  </si>
  <si>
    <t>CR 109 137 16</t>
  </si>
  <si>
    <t>CR 7A 11 17</t>
  </si>
  <si>
    <t>DG  16  5 30</t>
  </si>
  <si>
    <t>CR 1 24 312 SAN ANTONIO NORTE</t>
  </si>
  <si>
    <t>CL 24 1 95</t>
  </si>
  <si>
    <t>CLL 15A 42 15</t>
  </si>
  <si>
    <t>CL 22 A 3 26</t>
  </si>
  <si>
    <t>CL 4 6 47</t>
  </si>
  <si>
    <t>CR 11 16 51</t>
  </si>
  <si>
    <t>CLL 23 3067</t>
  </si>
  <si>
    <t>VEREDA  UCUENCA</t>
  </si>
  <si>
    <t>CR 3 20 67</t>
  </si>
  <si>
    <t>CR 17 17 47</t>
  </si>
  <si>
    <t>CLL 17 A 2 22</t>
  </si>
  <si>
    <t>CL 20A 12 37</t>
  </si>
  <si>
    <t>CLL 21a 27 60</t>
  </si>
  <si>
    <t>calle 4 18 a 46</t>
  </si>
  <si>
    <t>CR 711 31</t>
  </si>
  <si>
    <t>CR 30 19 15</t>
  </si>
  <si>
    <t>CR 35 N 1C OES 111</t>
  </si>
  <si>
    <t>CR 34 2080</t>
  </si>
  <si>
    <t>CR 44 20 74</t>
  </si>
  <si>
    <t>CR 15 7 50</t>
  </si>
  <si>
    <t>CR 11 23 A86</t>
  </si>
  <si>
    <t>CL 8 2960</t>
  </si>
  <si>
    <t>CR 22 1B 67</t>
  </si>
  <si>
    <t>CR 25 20 35</t>
  </si>
  <si>
    <t>CR 1 B 16 41</t>
  </si>
  <si>
    <t>CR 31 22 47</t>
  </si>
  <si>
    <t>CR 42 9 42</t>
  </si>
  <si>
    <t>CR 45A 5A 16</t>
  </si>
  <si>
    <t>CLL 20 17 68</t>
  </si>
  <si>
    <t>CRA 11 17A 50</t>
  </si>
  <si>
    <t>CRA 9 17B 19</t>
  </si>
  <si>
    <t>CR 27 6 60</t>
  </si>
  <si>
    <t>CR 41 20 09</t>
  </si>
  <si>
    <t>SEC EL HOGAR</t>
  </si>
  <si>
    <t>CL33 1624</t>
  </si>
  <si>
    <t>CL 3 A 1 21</t>
  </si>
  <si>
    <t>CALLE 9 N 5 31</t>
  </si>
  <si>
    <t>AV UNIVERSITARIA 42A 30</t>
  </si>
  <si>
    <t>CRA 3 # 3 - 143 CHAMEZA</t>
  </si>
  <si>
    <t>CALLE 25 2 68</t>
  </si>
  <si>
    <t>CRA 18 22 81</t>
  </si>
  <si>
    <t>CALLE 17 N 1 99</t>
  </si>
  <si>
    <t>DG 11 A 12 16</t>
  </si>
  <si>
    <t>CR 6 15 A 35</t>
  </si>
  <si>
    <t>TRN 14 20 84</t>
  </si>
  <si>
    <t>CL 9 35 34</t>
  </si>
  <si>
    <t>TV 19 20 64</t>
  </si>
  <si>
    <t>CR 17 15 67</t>
  </si>
  <si>
    <t>CR 19 11 32</t>
  </si>
  <si>
    <t>VEREDA VARGITAS PAIPA</t>
  </si>
  <si>
    <t>CL 21 23 17</t>
  </si>
  <si>
    <t>KLL 18 1 28</t>
  </si>
  <si>
    <t>KR25 20 90</t>
  </si>
  <si>
    <t>DG 10 10 52</t>
  </si>
  <si>
    <t>CL 17  A 7A 02</t>
  </si>
  <si>
    <t>CL 17 7 06</t>
  </si>
  <si>
    <t>CRA11 22 19</t>
  </si>
  <si>
    <t>CALLE 19 44 33</t>
  </si>
  <si>
    <t>CR 22 20 108</t>
  </si>
  <si>
    <t>CLL 8 27 28</t>
  </si>
  <si>
    <t>CR 17 23 30</t>
  </si>
  <si>
    <t>CR 31C 14A 24</t>
  </si>
  <si>
    <t>CR29 21A 16</t>
  </si>
  <si>
    <t>CL 15 32 31 BRR PARAISO</t>
  </si>
  <si>
    <t>CL 14B N 4 34</t>
  </si>
  <si>
    <t>CL 34 17 59 T4 APTO</t>
  </si>
  <si>
    <t>CLL 14B 5C 23</t>
  </si>
  <si>
    <t>VDR LA PRADERA SECTOR LA ESPERANZA</t>
  </si>
  <si>
    <t>CL 21 N 39 27</t>
  </si>
  <si>
    <t>CRA 18 20 50</t>
  </si>
  <si>
    <t>TRANV 15 27 05</t>
  </si>
  <si>
    <t>CL 9 31 59</t>
  </si>
  <si>
    <t>CR 43 19 54</t>
  </si>
  <si>
    <t>DG 11 10 A 86</t>
  </si>
  <si>
    <t>VRD OTENGA</t>
  </si>
  <si>
    <t>CRA 1 NORTE 15 60</t>
  </si>
  <si>
    <t>VRD tunguaquita</t>
  </si>
  <si>
    <t>CARRERA 45 N. 4-42</t>
  </si>
  <si>
    <t>VILLA PATRICIA</t>
  </si>
  <si>
    <t>CR 29A 7 32</t>
  </si>
  <si>
    <t>CL 23 D 5 58</t>
  </si>
  <si>
    <t>CR 26 24 25</t>
  </si>
  <si>
    <t>CRA 9 1 W 72</t>
  </si>
  <si>
    <t>CL 23 21A 11</t>
  </si>
  <si>
    <t>CL 17 1 19</t>
  </si>
  <si>
    <t>CR 3 18 23</t>
  </si>
  <si>
    <t>VDR SAN ANTONIO NORTE</t>
  </si>
  <si>
    <t>TV 15 28 220</t>
  </si>
  <si>
    <t>CLL 14 N14 58</t>
  </si>
  <si>
    <t>CL 5 45A 46</t>
  </si>
  <si>
    <t>CL 21 33 244</t>
  </si>
  <si>
    <t>CL 26 2 113</t>
  </si>
  <si>
    <t>VDR SIRATA</t>
  </si>
  <si>
    <t>CRA 10 19 41</t>
  </si>
  <si>
    <t>CL 19 29 29</t>
  </si>
  <si>
    <t>CL 17 21 79</t>
  </si>
  <si>
    <t>CARRERA 17N15_67</t>
  </si>
  <si>
    <t>CRR 30 21 04</t>
  </si>
  <si>
    <t>TV 29 14 84</t>
  </si>
  <si>
    <t>CL 24 N 27 45</t>
  </si>
  <si>
    <t>Cl 10  7A - 31</t>
  </si>
  <si>
    <t>CARRERA 2A 17A 68 BARRIO LIBERTDOR</t>
  </si>
  <si>
    <t>CL 9A 13 40</t>
  </si>
  <si>
    <t>VD LAS VUELTAS</t>
  </si>
  <si>
    <t>cll19b N26 41</t>
  </si>
  <si>
    <t>CL 20 N 33A 273</t>
  </si>
  <si>
    <t>CR 31 N 14 51</t>
  </si>
  <si>
    <t>CL 20 16 87</t>
  </si>
  <si>
    <t>CRA 18 15 36</t>
  </si>
  <si>
    <t>CL 25 26 60</t>
  </si>
  <si>
    <t>VDA LA TRINIDAD</t>
  </si>
  <si>
    <t>CR 24A 12 45</t>
  </si>
  <si>
    <t>CR 10 17B 39</t>
  </si>
  <si>
    <t>CL 18 20 50</t>
  </si>
  <si>
    <t>CL 10  8 32</t>
  </si>
  <si>
    <t>CL 19 26 72</t>
  </si>
  <si>
    <t>MIRADOR DEL BOSQUE</t>
  </si>
  <si>
    <t>CRA 3 3A 20</t>
  </si>
  <si>
    <t>CR 17 19 78</t>
  </si>
  <si>
    <t>CRR 4 7 22</t>
  </si>
  <si>
    <t>CL 21B 40 17</t>
  </si>
  <si>
    <t>VDR SALITRE</t>
  </si>
  <si>
    <t>CL 4B 2 68</t>
  </si>
  <si>
    <t>CALLE 23 N 27-135</t>
  </si>
  <si>
    <t>CLL19 15_25</t>
  </si>
  <si>
    <t>CL 20 24 75</t>
  </si>
  <si>
    <t>CR 9A 23 42</t>
  </si>
  <si>
    <t>CRA 42 14 32</t>
  </si>
  <si>
    <t>CL 23 21 64</t>
  </si>
  <si>
    <t>TRV 14 8 50</t>
  </si>
  <si>
    <t>CRA 26 23 45</t>
  </si>
  <si>
    <t>CR 16 N1 110</t>
  </si>
  <si>
    <t>VDR QUEBRADA DE BECERRAS</t>
  </si>
  <si>
    <t>CLL 17BIS 5C 49</t>
  </si>
  <si>
    <t>CR 17 2 46</t>
  </si>
  <si>
    <t>CALLE 5W 43 39 DUITAMA</t>
  </si>
  <si>
    <t>CR 26 20 79</t>
  </si>
  <si>
    <t>CLL 15 9 45</t>
  </si>
  <si>
    <t>CR 40 22B 16</t>
  </si>
  <si>
    <t>CR 11A 15 07</t>
  </si>
  <si>
    <t>DG 17A 1A 124</t>
  </si>
  <si>
    <t>VRD HIGUERAS</t>
  </si>
  <si>
    <t>CR 5 34 55</t>
  </si>
  <si>
    <t>CR 22 20 84</t>
  </si>
  <si>
    <t>SAUSALITO</t>
  </si>
  <si>
    <t>CL 20 17 115</t>
  </si>
  <si>
    <t>DG 16 06 312</t>
  </si>
  <si>
    <t>CR 40 16 A 19</t>
  </si>
  <si>
    <t>CL 14B 37B 05</t>
  </si>
  <si>
    <t>CL 20 16 22</t>
  </si>
  <si>
    <t>CL 5 9 75</t>
  </si>
  <si>
    <t>CRA 40 22 142</t>
  </si>
  <si>
    <t>CRA5 18 27</t>
  </si>
  <si>
    <t>CR 13A 2 27</t>
  </si>
  <si>
    <t>CRA 31A N° 14A - 21</t>
  </si>
  <si>
    <t>CL 21 26C 09</t>
  </si>
  <si>
    <t>CR 10 19 05</t>
  </si>
  <si>
    <t>CRR 18 18 28</t>
  </si>
  <si>
    <t>CL 16 3 A 60</t>
  </si>
  <si>
    <t>CALLE 14 N 3 54</t>
  </si>
  <si>
    <t>CR 31 22 36</t>
  </si>
  <si>
    <t>CL 18 28 59</t>
  </si>
  <si>
    <t>CL 16 11 71</t>
  </si>
  <si>
    <t>KILO 9 VIA DUITAMA NOBSA</t>
  </si>
  <si>
    <t>CR 29 19A 54</t>
  </si>
  <si>
    <t>CR 12 N 1AW 46</t>
  </si>
  <si>
    <t>CR 6 19A 48</t>
  </si>
  <si>
    <t>DVA TOCOGUA</t>
  </si>
  <si>
    <t>CR 35 16 25</t>
  </si>
  <si>
    <t>CRA 22 N 13 14</t>
  </si>
  <si>
    <t>CL 20 A 12 47</t>
  </si>
  <si>
    <t>DURDAN</t>
  </si>
  <si>
    <t>CR 22 22 25</t>
  </si>
  <si>
    <t>CR36 N8 19</t>
  </si>
  <si>
    <t>CRA 16  35  213</t>
  </si>
  <si>
    <t>TV22 36 40</t>
  </si>
  <si>
    <t>CLL 8 N 27 28</t>
  </si>
  <si>
    <t>CR 28 26 60</t>
  </si>
  <si>
    <t>CR23 23 29</t>
  </si>
  <si>
    <t>CR 25 15 80</t>
  </si>
  <si>
    <t>CR 29A 7 82</t>
  </si>
  <si>
    <t>CALLE 2 16 11</t>
  </si>
  <si>
    <t>DG 16 6 158</t>
  </si>
  <si>
    <t>CALLE 15 30 17</t>
  </si>
  <si>
    <t>VRDA LA PRADERA</t>
  </si>
  <si>
    <t>CLL 19 173</t>
  </si>
  <si>
    <t>CR 39 21 33</t>
  </si>
  <si>
    <t>CLL 11 32 250</t>
  </si>
  <si>
    <t>CR 12 N 22 41</t>
  </si>
  <si>
    <t>MANZANA L CASA 132 STA ROSA</t>
  </si>
  <si>
    <t>CR 16A 1 35</t>
  </si>
  <si>
    <t>CR 8A N 9A 71</t>
  </si>
  <si>
    <t>CLLE 19 B 2929</t>
  </si>
  <si>
    <t>CR 14 12 63</t>
  </si>
  <si>
    <t>CR 37 20 A 36</t>
  </si>
  <si>
    <t>CR 15 7 76</t>
  </si>
  <si>
    <t>CL 14B 37B 22</t>
  </si>
  <si>
    <t>CL 16 2 16</t>
  </si>
  <si>
    <t>CL 14 B 5 D 18</t>
  </si>
  <si>
    <t>CLL 15 8 34</t>
  </si>
  <si>
    <t>CL 27 15 46</t>
  </si>
  <si>
    <t>CRA 16 27 03</t>
  </si>
  <si>
    <t>CLL 14B 38B 46</t>
  </si>
  <si>
    <t>CL 19 26 50</t>
  </si>
  <si>
    <t>CL 1A SUR 6D 18</t>
  </si>
  <si>
    <t>CL10 10 27</t>
  </si>
  <si>
    <t>CALLE 18 30 132</t>
  </si>
  <si>
    <t>CR 27 N 2B 22</t>
  </si>
  <si>
    <t>CR 11A 951</t>
  </si>
  <si>
    <t>CLL 20 A 24 37</t>
  </si>
  <si>
    <t>CR 13 2 84</t>
  </si>
  <si>
    <t>CARRERA 18 N. 24-85</t>
  </si>
  <si>
    <t>CR 9 1 06</t>
  </si>
  <si>
    <t>CARRERA 10 N-9-BIS 05</t>
  </si>
  <si>
    <t>KR 3A NRT 19 20</t>
  </si>
  <si>
    <t>CRA 37 21 15</t>
  </si>
  <si>
    <t>CRR 2 7 81</t>
  </si>
  <si>
    <t>CR 5 18 04</t>
  </si>
  <si>
    <t>CL 20 41A 28</t>
  </si>
  <si>
    <t>CALLE 91 N13-68</t>
  </si>
  <si>
    <t>CR 7 11 37</t>
  </si>
  <si>
    <t>CR 16 9 27</t>
  </si>
  <si>
    <t>VRD LAS VUELTAS TIBASOSA</t>
  </si>
  <si>
    <t>CR 31 12 47</t>
  </si>
  <si>
    <t>CL 3 14 50</t>
  </si>
  <si>
    <t>CR 8 1 43</t>
  </si>
  <si>
    <t>CR 18 8 37</t>
  </si>
  <si>
    <t>PUENTE DE LA BALSA</t>
  </si>
  <si>
    <t>CR 23B N 5 54</t>
  </si>
  <si>
    <t>CR 8 N 13 72</t>
  </si>
  <si>
    <t>CR 8 4 15</t>
  </si>
  <si>
    <t>BARRIO MANSANAREZ</t>
  </si>
  <si>
    <t>CRA 40 19 77</t>
  </si>
  <si>
    <t>CRA 2 A 18 05</t>
  </si>
  <si>
    <t>CL 15 39 25</t>
  </si>
  <si>
    <t>CR 23 20 61</t>
  </si>
  <si>
    <t>cll 1 n 6 06</t>
  </si>
  <si>
    <t>Cl 17 1D 34 T1 APTO 601</t>
  </si>
  <si>
    <t>CR 26 20 36</t>
  </si>
  <si>
    <t>CR 17A 28 27</t>
  </si>
  <si>
    <t>Cl 20 A 24 53</t>
  </si>
  <si>
    <t>CL  20 1A 36</t>
  </si>
  <si>
    <t>CR 1 A 17 09</t>
  </si>
  <si>
    <t>CRA 41 21 B 28</t>
  </si>
  <si>
    <t>CR 34 19_112</t>
  </si>
  <si>
    <t>CLL 9 13 22</t>
  </si>
  <si>
    <t>CARRERA 16 N 19 41</t>
  </si>
  <si>
    <t>BARRIO COGOLLO</t>
  </si>
  <si>
    <t>CLL 23B TRA 5A 28</t>
  </si>
  <si>
    <t>CLL 18 42A 18</t>
  </si>
  <si>
    <t>CRA 5C 14B 87</t>
  </si>
  <si>
    <t>CL 22 A 40A 31</t>
  </si>
  <si>
    <t>CR 11A 22 30</t>
  </si>
  <si>
    <t>CLL 4 9 04</t>
  </si>
  <si>
    <t>CALLE 5A 45 17</t>
  </si>
  <si>
    <t>DG 11 A 10 A 86</t>
  </si>
  <si>
    <t>CRR 17 2 110</t>
  </si>
  <si>
    <t>CL 20 17 68</t>
  </si>
  <si>
    <t>CR 29N 7A 10</t>
  </si>
  <si>
    <t>CL 21 42 32</t>
  </si>
  <si>
    <t>CL 17 21 73</t>
  </si>
  <si>
    <t>CLL 08_96</t>
  </si>
  <si>
    <t>CL 17 34 19</t>
  </si>
  <si>
    <t>CALLE 8 29_60</t>
  </si>
  <si>
    <t>CR 18 27 79</t>
  </si>
  <si>
    <t>TV 14 12 53</t>
  </si>
  <si>
    <t>CLL 17 N 34 58</t>
  </si>
  <si>
    <t>CLLE 20 2A 25</t>
  </si>
  <si>
    <t>CL 21 24 40</t>
  </si>
  <si>
    <t>CR 35 19 46</t>
  </si>
  <si>
    <t>CR 16 35 101</t>
  </si>
  <si>
    <t>CR 25 19A 03</t>
  </si>
  <si>
    <t>CLL 19 A 30 61</t>
  </si>
  <si>
    <t>CL 21 23-18</t>
  </si>
  <si>
    <t>BLQ C CASA 7</t>
  </si>
  <si>
    <t>CLL 5A 36 38</t>
  </si>
  <si>
    <t>VDA PRADERA</t>
  </si>
  <si>
    <t>CL 1 9 60</t>
  </si>
  <si>
    <t>CL 9 11 18</t>
  </si>
  <si>
    <t>CON ROBLEDALES 1</t>
  </si>
  <si>
    <t>CR 9 A 15 49</t>
  </si>
  <si>
    <t>CL 1AW 9 70</t>
  </si>
  <si>
    <t>CR 5 15 A 81</t>
  </si>
  <si>
    <t>MANZAJCASA7</t>
  </si>
  <si>
    <t>CL 17A 37 50</t>
  </si>
  <si>
    <t>CALLE 17 N 18 50</t>
  </si>
  <si>
    <t>CR 35 15 17</t>
  </si>
  <si>
    <t>CL 6 9 59</t>
  </si>
  <si>
    <t>CL 10 10 05</t>
  </si>
  <si>
    <t>CR 4 14 179</t>
  </si>
  <si>
    <t>CL 13 7 B 51</t>
  </si>
  <si>
    <t>DIAGONAL 11A 10A 70</t>
  </si>
  <si>
    <t>CL21B4039</t>
  </si>
  <si>
    <t>CR 24 20 46</t>
  </si>
  <si>
    <t>TRR 26 APTO 504</t>
  </si>
  <si>
    <t>CR 7 B 17 A 24</t>
  </si>
  <si>
    <t>CL 18 5A 64</t>
  </si>
  <si>
    <t>CLL6 N 25 22</t>
  </si>
  <si>
    <t>TRV 5 22 194</t>
  </si>
  <si>
    <t>CR 27  20-44</t>
  </si>
  <si>
    <t>CL16 35 41</t>
  </si>
  <si>
    <t>VRA LA PARROQUIA</t>
  </si>
  <si>
    <t>CL 14 5 D 32</t>
  </si>
  <si>
    <t>CL 14 02 27</t>
  </si>
  <si>
    <t>CLL 2W 17C 51</t>
  </si>
  <si>
    <t>CL 3A 8 89</t>
  </si>
  <si>
    <t>CL 21 27 47</t>
  </si>
  <si>
    <t>VDRA TOCOGUA</t>
  </si>
  <si>
    <t>CL 23A 5B 28</t>
  </si>
  <si>
    <t>vrda tocogua</t>
  </si>
  <si>
    <t>CR 40 24 126</t>
  </si>
  <si>
    <t>CL 16 A 38 31</t>
  </si>
  <si>
    <t>AV CIRCUNVALAR 20 98</t>
  </si>
  <si>
    <t>CR 7 3 16</t>
  </si>
  <si>
    <t>CAR 10  64 45</t>
  </si>
  <si>
    <t>CL 22 A 22 11</t>
  </si>
  <si>
    <t>CL 12 B 23 06</t>
  </si>
  <si>
    <t>CL 3 18 65</t>
  </si>
  <si>
    <t>tranv 18 26 16</t>
  </si>
  <si>
    <t>CR 26 19A 32 BRR SAN JOSE</t>
  </si>
  <si>
    <t>ROBLEDALES 2 TRR 25 APTO 401</t>
  </si>
  <si>
    <t>CRA 31 21 38</t>
  </si>
  <si>
    <t>CLL 4B 268 IN 2 B DELICIAS</t>
  </si>
  <si>
    <t>CLL14 N12 73</t>
  </si>
  <si>
    <t>CR 27 14 11</t>
  </si>
  <si>
    <t>VRD SAN ANTONIO</t>
  </si>
  <si>
    <t>CL 17 A 3 11</t>
  </si>
  <si>
    <t>VDR UCUENGA</t>
  </si>
  <si>
    <t>38 17</t>
  </si>
  <si>
    <t>CR 16 28 34</t>
  </si>
  <si>
    <t>CL 13 N 6 49</t>
  </si>
  <si>
    <t>CR 9 N 17 37</t>
  </si>
  <si>
    <t>CR 38 C 13 A 52</t>
  </si>
  <si>
    <t>VEREDA SANTA CLARA</t>
  </si>
  <si>
    <t>CRA 38C 14 19</t>
  </si>
  <si>
    <t>CL 19 N 44 47</t>
  </si>
  <si>
    <t>CR 38 N11 14</t>
  </si>
  <si>
    <t>CARRERA 24 20 22</t>
  </si>
  <si>
    <t>CR 17 22 21</t>
  </si>
  <si>
    <t>CL 23</t>
  </si>
  <si>
    <t>CL 18 1 19</t>
  </si>
  <si>
    <t>CL 1 8 60</t>
  </si>
  <si>
    <t>CL 3 24 B80</t>
  </si>
  <si>
    <t>CALLE 25 17C 12</t>
  </si>
  <si>
    <t>CR 34 19 41</t>
  </si>
  <si>
    <t>CRR 11A 9 24</t>
  </si>
  <si>
    <t>SECTOR EL HOGAR</t>
  </si>
  <si>
    <t>CRA 24 23A 19</t>
  </si>
  <si>
    <t>CL 4B 4 27</t>
  </si>
  <si>
    <t>CR 29 21A 30</t>
  </si>
  <si>
    <t>CR 5 15B 20</t>
  </si>
  <si>
    <t>CALLE 15A 4 55</t>
  </si>
  <si>
    <t>CL 8 7 56</t>
  </si>
  <si>
    <t>CR 9A 14 47</t>
  </si>
  <si>
    <t>CRA 1 NORTE N 16 37</t>
  </si>
  <si>
    <t>CLL 21 39 30</t>
  </si>
  <si>
    <t>CALLE 27 2B 22</t>
  </si>
  <si>
    <t>cll 21a 43 07</t>
  </si>
  <si>
    <t>CR 24A 12 30</t>
  </si>
  <si>
    <t>CLL 14 5E 75</t>
  </si>
  <si>
    <t>CARRERA 11 N 22 A 160</t>
  </si>
  <si>
    <t>CARRERA 26 21 25</t>
  </si>
  <si>
    <t>ROBLEDADES 2</t>
  </si>
  <si>
    <t>CL 03 13 35</t>
  </si>
  <si>
    <t>CR 16 20 40</t>
  </si>
  <si>
    <t>CR 16 35 05</t>
  </si>
  <si>
    <t>KM 2 VIA RUTA DEL MUNDIAL</t>
  </si>
  <si>
    <t>CR 6 15A 35</t>
  </si>
  <si>
    <t>CL 24 24 48</t>
  </si>
  <si>
    <t>CR 8 N 2 07</t>
  </si>
  <si>
    <t>CR 2A 19A 12</t>
  </si>
  <si>
    <t>CRA 18 444</t>
  </si>
  <si>
    <t>CLL9A 7 87</t>
  </si>
  <si>
    <t>VDR ROMITA FINCA LS GRANJITA</t>
  </si>
  <si>
    <t>CR 45 4 107</t>
  </si>
  <si>
    <t>CALLE 20 25 34</t>
  </si>
  <si>
    <t>CR 16 21 37</t>
  </si>
  <si>
    <t>CRA 11 17A 10</t>
  </si>
  <si>
    <t>CR 11 6 35</t>
  </si>
  <si>
    <t>KR 8 9 130</t>
  </si>
  <si>
    <t>CL 24 22 61</t>
  </si>
  <si>
    <t>CR 38 22 24</t>
  </si>
  <si>
    <t>CLL 18 1A 07</t>
  </si>
  <si>
    <t>CLL 4W 34 6 5</t>
  </si>
  <si>
    <t>CR 20  3032</t>
  </si>
  <si>
    <t>CL 10 10B 7A 15</t>
  </si>
  <si>
    <t>CR 7 4 45</t>
  </si>
  <si>
    <t>BRR EL BOSQUE</t>
  </si>
  <si>
    <t>CLL 19 32 40</t>
  </si>
  <si>
    <t>CL 17A 8A 17</t>
  </si>
  <si>
    <t>AV 27</t>
  </si>
  <si>
    <t>ONCE DE MAYO</t>
  </si>
  <si>
    <t>CRA 19 13 64</t>
  </si>
  <si>
    <t>CL 17 34 48</t>
  </si>
  <si>
    <t>CL 23 C 319</t>
  </si>
  <si>
    <t>CR 2 15 20</t>
  </si>
  <si>
    <t>CRA9 N 17B-03</t>
  </si>
  <si>
    <t>CL 18 a 4 50</t>
  </si>
  <si>
    <t>CR 9 1 29</t>
  </si>
  <si>
    <t>CONJUNTO VILLA SAHARA</t>
  </si>
  <si>
    <t>CRA 31 18A 38</t>
  </si>
  <si>
    <t>CL 11A 6 50</t>
  </si>
  <si>
    <t>CL 5 19 23</t>
  </si>
  <si>
    <t>CRA 16 32 37</t>
  </si>
  <si>
    <t>CRA 42 10 68</t>
  </si>
  <si>
    <t>CL 11 6 69</t>
  </si>
  <si>
    <t>CRA11 23A 8</t>
  </si>
  <si>
    <t>CARRERA 25 20-50</t>
  </si>
  <si>
    <t>CLL 11 N 37A 78</t>
  </si>
  <si>
    <t>CR13A 3 32</t>
  </si>
  <si>
    <t>CLL 17VS 5C 49</t>
  </si>
  <si>
    <t>CLL 23 30 21</t>
  </si>
  <si>
    <t>CR 27 7 25</t>
  </si>
  <si>
    <t>CLL 17 14 49</t>
  </si>
  <si>
    <t>CR 12 9A 43</t>
  </si>
  <si>
    <t>CR 5 15A 25</t>
  </si>
  <si>
    <t>CLL 12 30A 23</t>
  </si>
  <si>
    <t>KM 3  VRDA TOCOGUA</t>
  </si>
  <si>
    <t>CR 43A 17 19</t>
  </si>
  <si>
    <t>CR 19A 20 56</t>
  </si>
  <si>
    <t>CR 6 8 33</t>
  </si>
  <si>
    <t>CLL 23 C N 3 19</t>
  </si>
  <si>
    <t>CR 36 11 10</t>
  </si>
  <si>
    <t>MZ E  C2</t>
  </si>
  <si>
    <t>CL 6 22 28</t>
  </si>
  <si>
    <t>DG 11 13 70</t>
  </si>
  <si>
    <t>CRA 24 4 40</t>
  </si>
  <si>
    <t>CONJUNTO RESIDENCIAL ALTOS BELLA SUIZA</t>
  </si>
  <si>
    <t>CL 4W 17A 24</t>
  </si>
  <si>
    <t>CL 13 N 6 46</t>
  </si>
  <si>
    <t>CRA 33A 12 50</t>
  </si>
  <si>
    <t>CL 13 16 58</t>
  </si>
  <si>
    <t>CL 15 9 59</t>
  </si>
  <si>
    <t>CR 6 16 50</t>
  </si>
  <si>
    <t>CL 20 29 42</t>
  </si>
  <si>
    <t>CL 2 A W 17 39</t>
  </si>
  <si>
    <t>CRA 7 12 46</t>
  </si>
  <si>
    <t>CR 26 24 52</t>
  </si>
  <si>
    <t>CL 21 25 83</t>
  </si>
  <si>
    <t>CR 30 21 62</t>
  </si>
  <si>
    <t>CR 18 9 72</t>
  </si>
  <si>
    <t>CALLE 23 30 33</t>
  </si>
  <si>
    <t>TRANVS 21 22 27</t>
  </si>
  <si>
    <t>CR 23B 4 35</t>
  </si>
  <si>
    <t>CL 165 59</t>
  </si>
  <si>
    <t>CR 10 A 10 84</t>
  </si>
  <si>
    <t>CRA15 1845</t>
  </si>
  <si>
    <t>CL 21 24 20</t>
  </si>
  <si>
    <t>CL 12 6 32</t>
  </si>
  <si>
    <t>CALLE 19 15 30</t>
  </si>
  <si>
    <t>CR 14 18 28</t>
  </si>
  <si>
    <t>CRA 16 35 46</t>
  </si>
  <si>
    <t>CL 21 3 73</t>
  </si>
  <si>
    <t>CR 28 10 38</t>
  </si>
  <si>
    <t>CL 17 A 4 54</t>
  </si>
  <si>
    <t>CR 80C N 8 53</t>
  </si>
  <si>
    <t>CR 15 17 45</t>
  </si>
  <si>
    <t>CR 22 19A 07</t>
  </si>
  <si>
    <t>CALLE 15 39 13</t>
  </si>
  <si>
    <t>CL 15 N 31C 03</t>
  </si>
  <si>
    <t>CL 6 6 35</t>
  </si>
  <si>
    <t>CR 22 2058</t>
  </si>
  <si>
    <t>CR 29 2 17</t>
  </si>
  <si>
    <t>KM 6.5 VIA DUITAMA</t>
  </si>
  <si>
    <t>CR23A N 21 63</t>
  </si>
  <si>
    <t>CL 22 34 73</t>
  </si>
  <si>
    <t>CLL 12 27 69</t>
  </si>
  <si>
    <t>CR 36A 21 32</t>
  </si>
  <si>
    <t>CL 18 19 22</t>
  </si>
  <si>
    <t>CR 23 19 92</t>
  </si>
  <si>
    <t>CR 22 17 13</t>
  </si>
  <si>
    <t>VEREDA SAN ANTONIO NORTE</t>
  </si>
  <si>
    <t>CR 11A 14 38</t>
  </si>
  <si>
    <t>CR 2 340</t>
  </si>
  <si>
    <t>CL 10 37 20</t>
  </si>
  <si>
    <t>CL 3 8 12</t>
  </si>
  <si>
    <t>MZ A CS 13</t>
  </si>
  <si>
    <t>CR 7 16 55</t>
  </si>
  <si>
    <t>CR 26 19 12</t>
  </si>
  <si>
    <t>CARRERA 19 N 18-18</t>
  </si>
  <si>
    <t>CR 8 6 59</t>
  </si>
  <si>
    <t>TV 19 31 70</t>
  </si>
  <si>
    <t>CII 161446</t>
  </si>
  <si>
    <t>CL 22 41 16</t>
  </si>
  <si>
    <t>VILLA JAZMIN</t>
  </si>
  <si>
    <t>CLL 13 18 83</t>
  </si>
  <si>
    <t>CR 16 16 8</t>
  </si>
  <si>
    <t>CL 16 10 27</t>
  </si>
  <si>
    <t>CLL 18 N 14 23</t>
  </si>
  <si>
    <t>CR 39 15 20</t>
  </si>
  <si>
    <t>CL 18 N 16 15 APTO 202</t>
  </si>
  <si>
    <t>CR 16 18 82</t>
  </si>
  <si>
    <t>TRSV 29 16A 111</t>
  </si>
  <si>
    <t>CR 24 19 111</t>
  </si>
  <si>
    <t>CR 11 9A 28</t>
  </si>
  <si>
    <t>TRAV 10 12 53</t>
  </si>
  <si>
    <t>SUESCUN TIBASOSA</t>
  </si>
  <si>
    <t>CL 9A 25 27</t>
  </si>
  <si>
    <t>CL 20A N 4 24</t>
  </si>
  <si>
    <t>Cr 30 19 02</t>
  </si>
  <si>
    <t>CL 12 17 42 AP 501</t>
  </si>
  <si>
    <t>CLL 1 B 44 10</t>
  </si>
  <si>
    <t>CLL 29 16 86</t>
  </si>
  <si>
    <t>CR 12 17A 41</t>
  </si>
  <si>
    <t>CL 20A 25 62</t>
  </si>
  <si>
    <t>CARRERA 26C N 21-60</t>
  </si>
  <si>
    <t>CR 30 14 55</t>
  </si>
  <si>
    <t>CL23 26 19</t>
  </si>
  <si>
    <t>CR 8 2 33</t>
  </si>
  <si>
    <t>CR 14 A 8 16</t>
  </si>
  <si>
    <t>CRA 3 1 30</t>
  </si>
  <si>
    <t>CRA 25 21 43</t>
  </si>
  <si>
    <t>CL3 540</t>
  </si>
  <si>
    <t>CALLE10N 34-40</t>
  </si>
  <si>
    <t>CL 29 B 16 84</t>
  </si>
  <si>
    <t>CRA 17 2 110</t>
  </si>
  <si>
    <t>CL 6 35 42</t>
  </si>
  <si>
    <t>CL9 N 10 48</t>
  </si>
  <si>
    <t>CL 8 18 96</t>
  </si>
  <si>
    <t>CRA 8 16 22</t>
  </si>
  <si>
    <t>CALLE 9 N 8 38</t>
  </si>
  <si>
    <t>DG 10 10 180</t>
  </si>
  <si>
    <t>TRAN. 20 N 20-09</t>
  </si>
  <si>
    <t>CL 18B 5 74</t>
  </si>
  <si>
    <t>CL 19 N 7 86</t>
  </si>
  <si>
    <t>VDA LA LAGUNA</t>
  </si>
  <si>
    <t>CL 18 30 15</t>
  </si>
  <si>
    <t>CL 20A 5 21</t>
  </si>
  <si>
    <t>CR 11A 22 77</t>
  </si>
  <si>
    <t>VR SAN ANTONIO NORTE</t>
  </si>
  <si>
    <t>CRA 2C 19A24</t>
  </si>
  <si>
    <t>CR 8 A17 29</t>
  </si>
  <si>
    <t>CENTRO PANTANO DE VARGAS</t>
  </si>
  <si>
    <t>VDR GERMANIA</t>
  </si>
  <si>
    <t>CR 6 18 15</t>
  </si>
  <si>
    <t>CLL 11 N 2 42</t>
  </si>
  <si>
    <t>CLL 12 28 44</t>
  </si>
  <si>
    <t>CL 6 6B 39</t>
  </si>
  <si>
    <t>CL 8 17 66</t>
  </si>
  <si>
    <t>CARRERA 17 11 32</t>
  </si>
  <si>
    <t>CR 16 34 47</t>
  </si>
  <si>
    <t>CRA 12 3 18</t>
  </si>
  <si>
    <t>CALLE 18 N 17-63</t>
  </si>
  <si>
    <t>CL 24 27 14</t>
  </si>
  <si>
    <t>CR 31C 14A 09</t>
  </si>
  <si>
    <t>CLL 100 64 51</t>
  </si>
  <si>
    <t>VRD SALITRICO</t>
  </si>
  <si>
    <t>CL 8 23 32</t>
  </si>
  <si>
    <t>CR 17 9 6 5</t>
  </si>
  <si>
    <t>CL 19 42 34</t>
  </si>
  <si>
    <t>CLL 17A 4 20</t>
  </si>
  <si>
    <t>VEREDA SANTA TERESA TIBASOSA</t>
  </si>
  <si>
    <t>CL 4 6 85</t>
  </si>
  <si>
    <t>CRA 25 1963</t>
  </si>
  <si>
    <t>CR 10 16A 19</t>
  </si>
  <si>
    <t>CL 23 B 23 51</t>
  </si>
  <si>
    <t>CRA 26 23 69</t>
  </si>
  <si>
    <t>CR 21 19 10</t>
  </si>
  <si>
    <t>CL 20 21 10</t>
  </si>
  <si>
    <t>CRR26 20 86</t>
  </si>
  <si>
    <t>CLL 9 3433</t>
  </si>
  <si>
    <t>CR 22 20B 05</t>
  </si>
  <si>
    <t>CR 34 20 84</t>
  </si>
  <si>
    <t>CR 37 A 13 19</t>
  </si>
  <si>
    <t>CRA 10 N° 22B  - 119</t>
  </si>
  <si>
    <t>CL 17 1 06</t>
  </si>
  <si>
    <t>ROBLE DALES 2</t>
  </si>
  <si>
    <t>CALLE 19 A 6_141</t>
  </si>
  <si>
    <t>CRA 30 N 19A 85</t>
  </si>
  <si>
    <t>CL19 2262</t>
  </si>
  <si>
    <t>CR 17 15 08 OF 203</t>
  </si>
  <si>
    <t>CL 22A 21 68</t>
  </si>
  <si>
    <t>CR 09 B 01 75 BRR BOYACA</t>
  </si>
  <si>
    <t>MZ 1 CA 14</t>
  </si>
  <si>
    <t>CRA 12 1531</t>
  </si>
  <si>
    <t>CRA 28 2 207</t>
  </si>
  <si>
    <t>CARRERA 29A 19B 32</t>
  </si>
  <si>
    <t>CL 8 7 27</t>
  </si>
  <si>
    <t>CL 10 32 97</t>
  </si>
  <si>
    <t>CLL 23B 23 32</t>
  </si>
  <si>
    <t>CR 5C 17 34</t>
  </si>
  <si>
    <t>MZ E CASA 17 CERRITO ENCANTADO</t>
  </si>
  <si>
    <t>TRANSV 19 34A 98</t>
  </si>
  <si>
    <t>CLL 26 12 60</t>
  </si>
  <si>
    <t>CARRERA 5 11 78</t>
  </si>
  <si>
    <t>CALLE 14 N 5 54</t>
  </si>
  <si>
    <t>CONJ AALTOS DEL MARANTA BLOQUE B CASA 15</t>
  </si>
  <si>
    <t>CRA 12A BARRIO MARANTA</t>
  </si>
  <si>
    <t>CR 8 16 43</t>
  </si>
  <si>
    <t>CRR 3 19 40</t>
  </si>
  <si>
    <t>CLL 5 23 48</t>
  </si>
  <si>
    <t>CL7A 48 17 CA 17</t>
  </si>
  <si>
    <t>CRA 20 20A15</t>
  </si>
  <si>
    <t>CL 19B N 30 23</t>
  </si>
  <si>
    <t>CR 8 9 45</t>
  </si>
  <si>
    <t>CR 19 19 52</t>
  </si>
  <si>
    <t>CLL 10 7B 44 EL PROGRESO</t>
  </si>
  <si>
    <t>CRR 21 23 22 P 2</t>
  </si>
  <si>
    <t>CLL 25 26 40</t>
  </si>
  <si>
    <t>CALLE18 14 23</t>
  </si>
  <si>
    <t>KR 39 12 17</t>
  </si>
  <si>
    <t>CLL 19 22A 39</t>
  </si>
  <si>
    <t>CLL 9 24 115</t>
  </si>
  <si>
    <t>CLL 9 1425</t>
  </si>
  <si>
    <t>CR 23 23 18</t>
  </si>
  <si>
    <t>CR 16 19 96</t>
  </si>
  <si>
    <t>CLL 16 10 27</t>
  </si>
  <si>
    <t>CLL 19 4 B 12</t>
  </si>
  <si>
    <t>CR 38 10 08</t>
  </si>
  <si>
    <t>TV 17 21 35</t>
  </si>
  <si>
    <t>TV 29</t>
  </si>
  <si>
    <t>CLL 19 26 02</t>
  </si>
  <si>
    <t>CR15 14 58</t>
  </si>
  <si>
    <t>CL 9 D 7 A 16</t>
  </si>
  <si>
    <t>CL 5 35 25</t>
  </si>
  <si>
    <t>CL 22 A 17 19</t>
  </si>
  <si>
    <t>CRA 40A 22 25</t>
  </si>
  <si>
    <t>CL 12A 8 23</t>
  </si>
  <si>
    <t>CLL21 N 23A 21</t>
  </si>
  <si>
    <t>CALLE 4 6 05</t>
  </si>
  <si>
    <t>CR 26 C 21 29</t>
  </si>
  <si>
    <t>CR 8 9A 126</t>
  </si>
  <si>
    <t>CR 5C 14B 126</t>
  </si>
  <si>
    <t>K37 N 6 24</t>
  </si>
  <si>
    <t>FINCA LA ARGEMTINA</t>
  </si>
  <si>
    <t>CL 11 A 6 51</t>
  </si>
  <si>
    <t>KM 4 VIA DUITAMA NOBSA</t>
  </si>
  <si>
    <t>CL 17 13 39</t>
  </si>
  <si>
    <t>CLL 15 10 06</t>
  </si>
  <si>
    <t>CR 5 BIS N 18 30</t>
  </si>
  <si>
    <t>CL 29 19 73</t>
  </si>
  <si>
    <t>CRA 3 1 54</t>
  </si>
  <si>
    <t>LA BALZA</t>
  </si>
  <si>
    <t>CL 20 B 3 122</t>
  </si>
  <si>
    <t>CL 8 8 06</t>
  </si>
  <si>
    <t>VEREDA DICHO</t>
  </si>
  <si>
    <t>CLL 1 CR 2</t>
  </si>
  <si>
    <t>CL 2 18 03</t>
  </si>
  <si>
    <t>CRA 19A 20 36</t>
  </si>
  <si>
    <t>CLL 28 17 59</t>
  </si>
  <si>
    <t>CL 16 N 14 41</t>
  </si>
  <si>
    <t>CRA 36A 22 26</t>
  </si>
  <si>
    <t>CL 21 23 56</t>
  </si>
  <si>
    <t>VR TRINIDAD</t>
  </si>
  <si>
    <t>CLL 05 42 23</t>
  </si>
  <si>
    <t>CR 8 A N 15 42</t>
  </si>
  <si>
    <t>CR 32 9C 14</t>
  </si>
  <si>
    <t>CR 8 15 18</t>
  </si>
  <si>
    <t>CALLE 11 15 25</t>
  </si>
  <si>
    <t>CARRERA 23 N. 16-38</t>
  </si>
  <si>
    <t>VILLA MUNDIAL</t>
  </si>
  <si>
    <t>CL 7B 47A 08</t>
  </si>
  <si>
    <t>CRA 27 2B 22 CASA 13</t>
  </si>
  <si>
    <t>CRA 26 19 77</t>
  </si>
  <si>
    <t>CLL 14 6 80</t>
  </si>
  <si>
    <t>CL 22 N 11 18</t>
  </si>
  <si>
    <t>KM 9 VIA DUITAMA-NOBSA</t>
  </si>
  <si>
    <t>CL 17 6 58</t>
  </si>
  <si>
    <t>CR 38 16 20</t>
  </si>
  <si>
    <t>CRR 36A  22 26</t>
  </si>
  <si>
    <t>CR 17 N 23 108</t>
  </si>
  <si>
    <t>CRA 16A 9 14</t>
  </si>
  <si>
    <t>CRA 13 17A 15</t>
  </si>
  <si>
    <t>CLL 17A 4 54</t>
  </si>
  <si>
    <t>CL 34 16 52</t>
  </si>
  <si>
    <t>CRR 3 N17 58</t>
  </si>
  <si>
    <t>CR34A1625</t>
  </si>
  <si>
    <t>VDR TRINIDAD</t>
  </si>
  <si>
    <t>CL 13A 10 02</t>
  </si>
  <si>
    <t>CR 5 2 18</t>
  </si>
  <si>
    <t>CL 13 23 85 BRR EL LIBERTADOR</t>
  </si>
  <si>
    <t>CARRERA 21 10 67</t>
  </si>
  <si>
    <t>BRR SAN CARLOS</t>
  </si>
  <si>
    <t>CLL 23A27 46</t>
  </si>
  <si>
    <t>CR 14  8 422</t>
  </si>
  <si>
    <t>BRR VILLAS DEL MUNDIAL LC 12</t>
  </si>
  <si>
    <t>CL 5 4 60</t>
  </si>
  <si>
    <t>CRA 4B 19 10</t>
  </si>
  <si>
    <t>CLL1  6 06</t>
  </si>
  <si>
    <t>CR 26 19 10</t>
  </si>
  <si>
    <t>CLL 14 18 44</t>
  </si>
  <si>
    <t>CLL11 27 42</t>
  </si>
  <si>
    <t>cl 19 14 80</t>
  </si>
  <si>
    <t>CALLE 17 7A45</t>
  </si>
  <si>
    <t>CARRERA 42 N 13 - 143</t>
  </si>
  <si>
    <t>CR 25 20 A 13</t>
  </si>
  <si>
    <t>CR 15 18 81</t>
  </si>
  <si>
    <t>CL 26 20 72</t>
  </si>
  <si>
    <t>CL 02 08 87</t>
  </si>
  <si>
    <t>CRR 23 14 48</t>
  </si>
  <si>
    <t>CL 15 A 8 18</t>
  </si>
  <si>
    <t>CL 21 13 37</t>
  </si>
  <si>
    <t>VEREDA SIRATA</t>
  </si>
  <si>
    <t>CR 6A 11 24</t>
  </si>
  <si>
    <t>MIRADOR ESPERANZA</t>
  </si>
  <si>
    <t>ALTA VISTA</t>
  </si>
  <si>
    <t>CR 2713 08</t>
  </si>
  <si>
    <t>CLL 25 4A 180</t>
  </si>
  <si>
    <t>CRA 17A BIS 17 02</t>
  </si>
  <si>
    <t>CL 17 N 1 D 34 RESERVAS DE ALAMEDA</t>
  </si>
  <si>
    <t>CL 14 8 49</t>
  </si>
  <si>
    <t>KR 8 15 06</t>
  </si>
  <si>
    <t>CLL9 18 22</t>
  </si>
  <si>
    <t>CL 10 2 16</t>
  </si>
  <si>
    <t>CR 23A 21 65</t>
  </si>
  <si>
    <t>CR 10 2 41</t>
  </si>
  <si>
    <t>CALLE 1W Nº 17-46</t>
  </si>
  <si>
    <t>VEEDA TOCOGUA</t>
  </si>
  <si>
    <t>CR 17 22 10</t>
  </si>
  <si>
    <t>CL 11 37A 40</t>
  </si>
  <si>
    <t>CR 20 A N 20A 56</t>
  </si>
  <si>
    <t>KILOMETRO 6 VIA DUITAMA NOBSA</t>
  </si>
  <si>
    <t>CRA 10  23 46</t>
  </si>
  <si>
    <t>CR 43 N 22A 16</t>
  </si>
  <si>
    <t>CL14A 31B 02 BRR VILLA JULIANA</t>
  </si>
  <si>
    <t>CR 42 19 90</t>
  </si>
  <si>
    <t>CL 14 6 12</t>
  </si>
  <si>
    <t>CL 11 A 32 20 CA 17 CON QUINTAS DE LA ESPERANZA</t>
  </si>
  <si>
    <t>CL 15A 37 75</t>
  </si>
  <si>
    <t>CL 14 5E69</t>
  </si>
  <si>
    <t>CR 21 20 22</t>
  </si>
  <si>
    <t>CR 38 13 102</t>
  </si>
  <si>
    <t>CR 31 19 42</t>
  </si>
  <si>
    <t>VD CAÑOS PAIPA</t>
  </si>
  <si>
    <t>CLL23A 17 24</t>
  </si>
  <si>
    <t>CL 12 N 35 33</t>
  </si>
  <si>
    <t>CRA 26 N 10 43</t>
  </si>
  <si>
    <t>CL 14 05 12</t>
  </si>
  <si>
    <t>CL 23 C 4 124 SAN CARLOS</t>
  </si>
  <si>
    <t>CLL 12 38 25</t>
  </si>
  <si>
    <t>CR 37 22 06</t>
  </si>
  <si>
    <t>CL 9 13 23</t>
  </si>
  <si>
    <t>CALLE 8 24 21</t>
  </si>
  <si>
    <t>TRANS 14 22 40</t>
  </si>
  <si>
    <t>CARRERA 35 N. 14-35</t>
  </si>
  <si>
    <t>CRA 14A 9 04</t>
  </si>
  <si>
    <t>CL 21 18 54</t>
  </si>
  <si>
    <t>CALLE 19 N° 30 - 41 ALPES</t>
  </si>
  <si>
    <t>CR 25 22 130</t>
  </si>
  <si>
    <t>CLL 3A 13 27</t>
  </si>
  <si>
    <t>CL10 N 27 36</t>
  </si>
  <si>
    <t>MZG CASA14</t>
  </si>
  <si>
    <t>CALLE 22 N 38  04</t>
  </si>
  <si>
    <t>CR 16 27A 57</t>
  </si>
  <si>
    <t>CRA38 15  14</t>
  </si>
  <si>
    <t>DG 11A N 10A 86</t>
  </si>
  <si>
    <t>CR 8 4W 34</t>
  </si>
  <si>
    <t>CLL 6 6 03</t>
  </si>
  <si>
    <t>CRA 17 22 29</t>
  </si>
  <si>
    <t>cll 18 a n 26 41</t>
  </si>
  <si>
    <t>CRA 30Ñ14 77</t>
  </si>
  <si>
    <t>CR 9B 2 83</t>
  </si>
  <si>
    <t>cr 31 13 11</t>
  </si>
  <si>
    <t>CLL1 N 669</t>
  </si>
  <si>
    <t>CARRERA 28A 8_33</t>
  </si>
  <si>
    <t>CL 21 25 17</t>
  </si>
  <si>
    <t>KRA 37 11 09</t>
  </si>
  <si>
    <t>CR 10 22 119</t>
  </si>
  <si>
    <t>CL  20 40 41</t>
  </si>
  <si>
    <t>CL 21 31 9</t>
  </si>
  <si>
    <t>CR 23A 23 36</t>
  </si>
  <si>
    <t>KM 16.5 VIA DUITAMA</t>
  </si>
  <si>
    <t>FC EL  PARAISO</t>
  </si>
  <si>
    <t>CR 3A 22A 02</t>
  </si>
  <si>
    <t>VRDA CHORRITO</t>
  </si>
  <si>
    <t>CL 16 A 09 A 29</t>
  </si>
  <si>
    <t>CL 20 21 32</t>
  </si>
  <si>
    <t>TRANS 37 16 180</t>
  </si>
  <si>
    <t>CL 15 N 13 27</t>
  </si>
  <si>
    <t>V. SAN LORENZO DE ABAJP</t>
  </si>
  <si>
    <t>MZ I CASA 15</t>
  </si>
  <si>
    <t>CR 8A N 12A 05</t>
  </si>
  <si>
    <t>CLL 19 6 14</t>
  </si>
  <si>
    <t>CR 10 10 55</t>
  </si>
  <si>
    <t>CL 8 14 03</t>
  </si>
  <si>
    <t>ROBLEALES II</t>
  </si>
  <si>
    <t>CR 7 N 7 05 CL 7 N7 08ESQ</t>
  </si>
  <si>
    <t>KR 31 12A 12</t>
  </si>
  <si>
    <t>CLL 16A 9 51</t>
  </si>
  <si>
    <t>CL 17 07 36</t>
  </si>
  <si>
    <t>CL 1 8 20</t>
  </si>
  <si>
    <t>CLL 21 N° 47 - 46</t>
  </si>
  <si>
    <t>VRD PEÑA NEGRA</t>
  </si>
  <si>
    <t>CR 18 5 59</t>
  </si>
  <si>
    <t>CR 30 6 65</t>
  </si>
  <si>
    <t>CL 16 7 25</t>
  </si>
  <si>
    <t>CRA 11 22A 78</t>
  </si>
  <si>
    <t>KM 5 VIA DUITAMA - NOBSA</t>
  </si>
  <si>
    <t>CLL 17A 11 59</t>
  </si>
  <si>
    <t>CR 16 1 170</t>
  </si>
  <si>
    <t>CR 17 N 19 15</t>
  </si>
  <si>
    <t>CR 11A 22 09</t>
  </si>
  <si>
    <t>CL 4 18 40</t>
  </si>
  <si>
    <t>CR 11 22 A 27</t>
  </si>
  <si>
    <t>CRA 4 N 6-59</t>
  </si>
  <si>
    <t>CR 5A 15B 55</t>
  </si>
  <si>
    <t>CR 1A 24 180</t>
  </si>
  <si>
    <t>CL 21 26 20</t>
  </si>
  <si>
    <t>CR 15 10 69</t>
  </si>
  <si>
    <t>CR 35 N 10 10LC102</t>
  </si>
  <si>
    <t>CR 3 10 81</t>
  </si>
  <si>
    <t>CL 2W 28 175</t>
  </si>
  <si>
    <t>CL 21 21 41 P2</t>
  </si>
  <si>
    <t>CL 24 N 39B 130</t>
  </si>
  <si>
    <t>CR 15 VIA SIVA PLASA</t>
  </si>
  <si>
    <t>CL 7 48 41</t>
  </si>
  <si>
    <t>crr 24 cll 1 1 0 5</t>
  </si>
  <si>
    <t>CR 17 7 124</t>
  </si>
  <si>
    <t>CLL 17 11 20</t>
  </si>
  <si>
    <t>CR 32 17 26</t>
  </si>
  <si>
    <t>CR 27 N 2 B 22</t>
  </si>
  <si>
    <t>VDA ESPERANZA</t>
  </si>
  <si>
    <t>CALLE 21 27 80</t>
  </si>
  <si>
    <t>CR 32 22 33</t>
  </si>
  <si>
    <t>CL 9 14 64</t>
  </si>
  <si>
    <t>CR 16A 26A 30</t>
  </si>
  <si>
    <t>CL 21 23 40</t>
  </si>
  <si>
    <t>CL 22 1 235</t>
  </si>
  <si>
    <t>CLL 4 20 15</t>
  </si>
  <si>
    <t>CL 18 13 19</t>
  </si>
  <si>
    <t>CL36 N 170 60</t>
  </si>
  <si>
    <t>CL 13 02 40</t>
  </si>
  <si>
    <t>CARRERA 27 25 52</t>
  </si>
  <si>
    <t>CR 4024 168 CAMILO TORRES</t>
  </si>
  <si>
    <t>CRA 17 1 95</t>
  </si>
  <si>
    <t>CR 35 2W 179</t>
  </si>
  <si>
    <t>CR 22 21 07</t>
  </si>
  <si>
    <t>CLL 13 N27 60</t>
  </si>
  <si>
    <t>CR 36 8 08</t>
  </si>
  <si>
    <t>CL 19 30 208</t>
  </si>
  <si>
    <t>DGNAL 16 6  184</t>
  </si>
  <si>
    <t>CL 21 1E 54</t>
  </si>
  <si>
    <t>CLL 21 31 71</t>
  </si>
  <si>
    <t>CL 3  3 05</t>
  </si>
  <si>
    <t>MZ B  casa 15 alcazares</t>
  </si>
  <si>
    <t>CALLE 25A 11 51</t>
  </si>
  <si>
    <t>CL 15 N 31B 08</t>
  </si>
  <si>
    <t>CARRERA 33#12-45</t>
  </si>
  <si>
    <t>CLL 12 15 37</t>
  </si>
  <si>
    <t>CRA 43 13 16</t>
  </si>
  <si>
    <t>CL 1B 8A 52</t>
  </si>
  <si>
    <t>CR 5 1 04</t>
  </si>
  <si>
    <t>CR 8A N 13A 75 APTO 305</t>
  </si>
  <si>
    <t>CR 16 4W 18</t>
  </si>
  <si>
    <t>CRR 33 16 25</t>
  </si>
  <si>
    <t>DG 18 21 16</t>
  </si>
  <si>
    <t>TRANS 37 16 25</t>
  </si>
  <si>
    <t>CR 1010B 09</t>
  </si>
  <si>
    <t>CR 17 10 81</t>
  </si>
  <si>
    <t>CR 14 7 67</t>
  </si>
  <si>
    <t>TV  37 16 180</t>
  </si>
  <si>
    <t>CL 17 1A 03</t>
  </si>
  <si>
    <t>CL 5 5 37</t>
  </si>
  <si>
    <t>CLL 1 S N 16 0 8</t>
  </si>
  <si>
    <t>SANTA LUCIA</t>
  </si>
  <si>
    <t>VRD  LA LAGUNA</t>
  </si>
  <si>
    <t>CRR 17 4</t>
  </si>
  <si>
    <t>CR 3 17 27</t>
  </si>
  <si>
    <t>CR 22 8 43</t>
  </si>
  <si>
    <t>CR 28 2 50</t>
  </si>
  <si>
    <t>VD SANTA LUCIA</t>
  </si>
  <si>
    <t>CR 23 21 06</t>
  </si>
  <si>
    <t>CL 19 N 22 A 55</t>
  </si>
  <si>
    <t>CR 38 15 20</t>
  </si>
  <si>
    <t>CLL 1 A OESTE N34 B O8</t>
  </si>
  <si>
    <t>CR 7 A 12 57</t>
  </si>
  <si>
    <t>KM 1 VIA PANTANO VARGAS</t>
  </si>
  <si>
    <t>CR 24 N 21 41</t>
  </si>
  <si>
    <t>CR 18 8 40</t>
  </si>
  <si>
    <t>CR 68 98A 41</t>
  </si>
  <si>
    <t>PUEBLITO CASA 24</t>
  </si>
  <si>
    <t>CR 16 A 19 40</t>
  </si>
  <si>
    <t>CR45 15A 16</t>
  </si>
  <si>
    <t>CL 14B 4 34</t>
  </si>
  <si>
    <t>CL 10 N 4 11</t>
  </si>
  <si>
    <t>CR 27 02B 22</t>
  </si>
  <si>
    <t>CR 5A 14 56</t>
  </si>
  <si>
    <t>CL 9 16B 09</t>
  </si>
  <si>
    <t>DG 11 10A 86</t>
  </si>
  <si>
    <t>CL 9A 32 40</t>
  </si>
  <si>
    <t>CRA 19 21 30</t>
  </si>
  <si>
    <t>CL 21A 45 56</t>
  </si>
  <si>
    <t>CLL 19 17 32</t>
  </si>
  <si>
    <t>CLL 22A 3A 48</t>
  </si>
  <si>
    <t>cll 16 7 12</t>
  </si>
  <si>
    <t>CLL 23 B N 22 61</t>
  </si>
  <si>
    <t>cra 21 8 48</t>
  </si>
  <si>
    <t>CL 12 17 72</t>
  </si>
  <si>
    <t>CLL 9A BIS 7 78</t>
  </si>
  <si>
    <t>CLL 19B N 3054</t>
  </si>
  <si>
    <t>CLL 10 28 28</t>
  </si>
  <si>
    <t>CL7  29A 86</t>
  </si>
  <si>
    <t>CRA 27 25 56</t>
  </si>
  <si>
    <t>CR 11 N 17 A 52</t>
  </si>
  <si>
    <t>CLL 22 36A 29</t>
  </si>
  <si>
    <t>KM 6 VIA DUITAMA-NOBSA SECTOR PUNTA LARGA</t>
  </si>
  <si>
    <t>CR 17 18 40</t>
  </si>
  <si>
    <t>TRASV 21 22 45</t>
  </si>
  <si>
    <t>CRA 7 6A 09</t>
  </si>
  <si>
    <t>CL 10 38 26</t>
  </si>
  <si>
    <t>CR 32 9_10</t>
  </si>
  <si>
    <t>CR 3 18 19</t>
  </si>
  <si>
    <t>CRA 12 10 32</t>
  </si>
  <si>
    <t>CR 6 16 06</t>
  </si>
  <si>
    <t>CL 02 A 17 27</t>
  </si>
  <si>
    <t>CARRERA 25 19 73</t>
  </si>
  <si>
    <t>CR 22 3 23</t>
  </si>
  <si>
    <t>CALLE 23B 23 69</t>
  </si>
  <si>
    <t>CL 6 18 41</t>
  </si>
  <si>
    <t>ROBLEALES 1</t>
  </si>
  <si>
    <t>CL 11 37A 29</t>
  </si>
  <si>
    <t>CRA 13A 3A 21</t>
  </si>
  <si>
    <t>CR 16 27A 43</t>
  </si>
  <si>
    <t>CR 2 N 20 A 09</t>
  </si>
  <si>
    <t>CR 15 20 34</t>
  </si>
  <si>
    <t>CR 6 A 17 A 09</t>
  </si>
  <si>
    <t>CLL 17 N1   11</t>
  </si>
  <si>
    <t>CRR 1NT 24 262</t>
  </si>
  <si>
    <t>CR 20 8 50</t>
  </si>
  <si>
    <t>VRD GRATAMIRA</t>
  </si>
  <si>
    <t>CR 6 A 38</t>
  </si>
  <si>
    <t>CR 8 13 40 BRR PROGRESO- SECTOR SEMINARIO</t>
  </si>
  <si>
    <t>CR 13 11 15</t>
  </si>
  <si>
    <t>CR 03A 14 165</t>
  </si>
  <si>
    <t>CR 13 13A 07</t>
  </si>
  <si>
    <t>CR 11 9 92</t>
  </si>
  <si>
    <t>cll 241 05</t>
  </si>
  <si>
    <t>CR 17 12 53</t>
  </si>
  <si>
    <t>CALLE 16 N 11 36</t>
  </si>
  <si>
    <t>CLL 12A 7 32</t>
  </si>
  <si>
    <t>CLL 2 N 15 42</t>
  </si>
  <si>
    <t>CL 98A 96</t>
  </si>
  <si>
    <t>CL 22 22 13</t>
  </si>
  <si>
    <t>K1 VIA PT L BALSA</t>
  </si>
  <si>
    <t>CLL 16 5C 139</t>
  </si>
  <si>
    <t>CRA  29 20 64</t>
  </si>
  <si>
    <t>TV 15 N 27 28</t>
  </si>
  <si>
    <t>CRA 3 A N 23 11</t>
  </si>
  <si>
    <t>CR13A 7B</t>
  </si>
  <si>
    <t>AV CIRCUNVALAR 22 58</t>
  </si>
  <si>
    <t>CL 17 31B 14</t>
  </si>
  <si>
    <t>C 9 11B 19</t>
  </si>
  <si>
    <t>ALTOS DEL MARANDA MANZANA 3</t>
  </si>
  <si>
    <t>CLL 18 9 65</t>
  </si>
  <si>
    <t>CL 1 13 B 17</t>
  </si>
  <si>
    <t>CR 23 166 50</t>
  </si>
  <si>
    <t>CR 24 19 77</t>
  </si>
  <si>
    <t>CLL 20 2569</t>
  </si>
  <si>
    <t>CL 10 10A 19</t>
  </si>
  <si>
    <t>CR 16 33 17</t>
  </si>
  <si>
    <t>CR 17 12A 06</t>
  </si>
  <si>
    <t>CR 19A 22 69</t>
  </si>
  <si>
    <t>CL 5 19 31</t>
  </si>
  <si>
    <t>CL 18 3 52</t>
  </si>
  <si>
    <t>CLL 64 A 57 23</t>
  </si>
  <si>
    <t>CL 17 A N 3 36</t>
  </si>
  <si>
    <t>CL 17 10 25</t>
  </si>
  <si>
    <t>CR5C 14B 45</t>
  </si>
  <si>
    <t>CL 12 8 40</t>
  </si>
  <si>
    <t>cll 18 1 13</t>
  </si>
  <si>
    <t>CR 40  22B  08</t>
  </si>
  <si>
    <t>CL 20 24 37</t>
  </si>
  <si>
    <t>CL 15   16   36  LC 205</t>
  </si>
  <si>
    <t>CR 1 17 145</t>
  </si>
  <si>
    <t>CRA 26 19 10</t>
  </si>
  <si>
    <t>RAMIRIQUI</t>
  </si>
  <si>
    <t>CL 11A 27 26</t>
  </si>
  <si>
    <t>CR 5 19 86</t>
  </si>
  <si>
    <t>CLLE 17A 6A 28</t>
  </si>
  <si>
    <t>CALLE 13 22 60</t>
  </si>
  <si>
    <t>CL 15 40 13</t>
  </si>
  <si>
    <t>CLL 20 24 68</t>
  </si>
  <si>
    <t>CALLE 24A 27 61</t>
  </si>
  <si>
    <t>CL 20 31 43</t>
  </si>
  <si>
    <t>CARRERA 12 1 11</t>
  </si>
  <si>
    <t>DG 1112 27</t>
  </si>
  <si>
    <t>MIRADOR DE CHITICUY</t>
  </si>
  <si>
    <t>CR 7B 6A 03</t>
  </si>
  <si>
    <t>CLL 16 9 25</t>
  </si>
  <si>
    <t>CL 15A N 4 15</t>
  </si>
  <si>
    <t>CL 21A 29 41</t>
  </si>
  <si>
    <t>TRV 17A 21 40</t>
  </si>
  <si>
    <t>CR 32 19 40 LC1</t>
  </si>
  <si>
    <t>CALLE 7 28 602</t>
  </si>
  <si>
    <t>CR 31 22 86</t>
  </si>
  <si>
    <t>CALLE 5 No 5 - 34</t>
  </si>
  <si>
    <t>CL 22 40 104</t>
  </si>
  <si>
    <t>CR 34 A 20 53</t>
  </si>
  <si>
    <t>CR 7 15 62</t>
  </si>
  <si>
    <t>CR 5 A 17 A 55</t>
  </si>
  <si>
    <t>CR 17 22 124</t>
  </si>
  <si>
    <t>CARRERA 16A No 21-  05</t>
  </si>
  <si>
    <t>cr 7  2 77</t>
  </si>
  <si>
    <t>CR 2 17 39</t>
  </si>
  <si>
    <t>TRANSV5 23 09</t>
  </si>
  <si>
    <t>CR 11 N 21 10</t>
  </si>
  <si>
    <t>CLL 2A 17A 05</t>
  </si>
  <si>
    <t>CL 10A 7 31</t>
  </si>
  <si>
    <t>CL 27 2 20</t>
  </si>
  <si>
    <t>CR 18 21 07</t>
  </si>
  <si>
    <t>CR 16A10 70</t>
  </si>
  <si>
    <t>CL 2319 111</t>
  </si>
  <si>
    <t>CALLE 16 Nª 32-34 ESQUINA</t>
  </si>
  <si>
    <t>CLL 9 3 A 33</t>
  </si>
  <si>
    <t>CL 12 8 46</t>
  </si>
  <si>
    <t>CL 6 17 93</t>
  </si>
  <si>
    <t>CALLE 13 No 14 - 69</t>
  </si>
  <si>
    <t>CL 21A N 27 24</t>
  </si>
  <si>
    <t>CRA 16 34 53</t>
  </si>
  <si>
    <t>CL 21 A 25 23</t>
  </si>
  <si>
    <t>CR 6 17 35</t>
  </si>
  <si>
    <t>CL 2 8 38</t>
  </si>
  <si>
    <t>CR 5 N 15B 63</t>
  </si>
  <si>
    <t>CL 16 6 A 04</t>
  </si>
  <si>
    <t>CL 27 17 167</t>
  </si>
  <si>
    <t>CR 8 11 60</t>
  </si>
  <si>
    <t>VRD  LA ISLA FINCA FAROL</t>
  </si>
  <si>
    <t>CL 19 B 26 45</t>
  </si>
  <si>
    <t>CR 29A 7 88</t>
  </si>
  <si>
    <t>VERDA SURBA</t>
  </si>
  <si>
    <t>CR 24 23 76</t>
  </si>
  <si>
    <t>CLL 21 8 09</t>
  </si>
  <si>
    <t>CONJUNTO RECIDENCIAL AMANECER</t>
  </si>
  <si>
    <t>CL 20 42 96</t>
  </si>
  <si>
    <t>CL 17 11 62</t>
  </si>
  <si>
    <t>CARRERA 28 11 11</t>
  </si>
  <si>
    <t>CRA 21 26 26</t>
  </si>
  <si>
    <t>la laguna</t>
  </si>
  <si>
    <t>CLLE 18 43 A04</t>
  </si>
  <si>
    <t>TV 18 22 26</t>
  </si>
  <si>
    <t>CR 16 32 57</t>
  </si>
  <si>
    <t>CR 34 A 10 W 09</t>
  </si>
  <si>
    <t>CR 9 14 19</t>
  </si>
  <si>
    <t>VRDA SAN LORENZO</t>
  </si>
  <si>
    <t>CARRERA 17 N 19_ 24</t>
  </si>
  <si>
    <t>CR  318 09</t>
  </si>
  <si>
    <t>MZ A CA 8</t>
  </si>
  <si>
    <t>CR 24 4 46</t>
  </si>
  <si>
    <t>CLL 15 A N 4 15</t>
  </si>
  <si>
    <t>CL 20 24 68</t>
  </si>
  <si>
    <t>CR 8 N 9 A 50</t>
  </si>
  <si>
    <t>CLL 17 7 07</t>
  </si>
  <si>
    <t>CARRERA 18 15 36</t>
  </si>
  <si>
    <t>cr 27 n 20 79</t>
  </si>
  <si>
    <t>C 24 23A 19</t>
  </si>
  <si>
    <t>VDR HIGUERAS</t>
  </si>
  <si>
    <t>CLL 18 LA GRUTA</t>
  </si>
  <si>
    <t>CLL 17 AN5 111</t>
  </si>
  <si>
    <t>CR 42 15 35</t>
  </si>
  <si>
    <t>CALLE 13 35 A 25</t>
  </si>
  <si>
    <t>CRA 24 20 21</t>
  </si>
  <si>
    <t>CR 5 15 A 25</t>
  </si>
  <si>
    <t>CR 16 9 12</t>
  </si>
  <si>
    <t>CR 6A 11 42</t>
  </si>
  <si>
    <t>CRA 26 18 57</t>
  </si>
  <si>
    <t>CR 3 A 22 11</t>
  </si>
  <si>
    <t>CRR23 4 50</t>
  </si>
  <si>
    <t>CR 17 02 110 TO 03 AP 302</t>
  </si>
  <si>
    <t>CL 23 B 5 A 16</t>
  </si>
  <si>
    <t>VILLAS</t>
  </si>
  <si>
    <t>K 23 N 19 08</t>
  </si>
  <si>
    <t>CL 28 13A 39</t>
  </si>
  <si>
    <t>CR192012</t>
  </si>
  <si>
    <t>CR 27 23 30</t>
  </si>
  <si>
    <t>CR 17A N 18 28</t>
  </si>
  <si>
    <t>CR 19 A N 26 91</t>
  </si>
  <si>
    <t>CR 10 9 A 94</t>
  </si>
  <si>
    <t>KLL 19 7 86</t>
  </si>
  <si>
    <t>TRV 29 16 49</t>
  </si>
  <si>
    <t>CL 2523 12</t>
  </si>
  <si>
    <t>CR 43 20 56</t>
  </si>
  <si>
    <t>VD VOLCAN</t>
  </si>
  <si>
    <t>CLL 14 6 41</t>
  </si>
  <si>
    <t>CRA 22A 21 42</t>
  </si>
  <si>
    <t>CL 25 24 A 62</t>
  </si>
  <si>
    <t>CL 26A 25 22</t>
  </si>
  <si>
    <t>CLL 16 1 18</t>
  </si>
  <si>
    <t>CLL25N 17   _ 38</t>
  </si>
  <si>
    <t>CALLE 2W 25 84</t>
  </si>
  <si>
    <t>CL 57 A 11 B 2 20</t>
  </si>
  <si>
    <t>CL 15 39 19</t>
  </si>
  <si>
    <t>CLL 20 22A 21</t>
  </si>
  <si>
    <t>CR 32 14 52 APTO 302</t>
  </si>
  <si>
    <t>VDA BOSIGAS NTE</t>
  </si>
  <si>
    <t>URB LA ESTACION MZ F CA 3</t>
  </si>
  <si>
    <t>cr 27 n 2 b 22</t>
  </si>
  <si>
    <t>cll 4 10 59</t>
  </si>
  <si>
    <t>CR 21 N 17 106</t>
  </si>
  <si>
    <t>CR 18 A 10 07</t>
  </si>
  <si>
    <t>CR 44 19 45</t>
  </si>
  <si>
    <t>CL 30 16 69</t>
  </si>
  <si>
    <t>VRD EL PORTACHUELO</t>
  </si>
  <si>
    <t>CL 4  02</t>
  </si>
  <si>
    <t>SERINSA</t>
  </si>
  <si>
    <t>CRA 28 12 67</t>
  </si>
  <si>
    <t>CL 27 11 83</t>
  </si>
  <si>
    <t>TVR 30 14 2 222 EDIFIO ALTOS DEL TUNDAMA</t>
  </si>
  <si>
    <t>cl 9 36 24</t>
  </si>
  <si>
    <t>CR 7A 17B 08</t>
  </si>
  <si>
    <t>CR 12 2 45</t>
  </si>
  <si>
    <t>CL 17 17 03</t>
  </si>
  <si>
    <t>CR 15 18 12</t>
  </si>
  <si>
    <t>CLL 17 A 7 27</t>
  </si>
  <si>
    <t>VEREDA CENTRO TIBASOSA</t>
  </si>
  <si>
    <t>TRANS27BIS 43 53 SUR</t>
  </si>
  <si>
    <t>KM 4VIA DUITAMA PAIPA</t>
  </si>
  <si>
    <t>CARRERA 17 N 1 12</t>
  </si>
  <si>
    <t>CL 21 B  40 62</t>
  </si>
  <si>
    <t>CR 12B  57 05</t>
  </si>
  <si>
    <t>CR 45 5 A 30 CASA 44 B DEL P</t>
  </si>
  <si>
    <t>CL 20A 27 52</t>
  </si>
  <si>
    <t>CL2 A N 8 29LOC 105</t>
  </si>
  <si>
    <t>CL 20 20 35</t>
  </si>
  <si>
    <t>ROBLEDALES 2 TORRE 33 401</t>
  </si>
  <si>
    <t>KM6 NOBSA</t>
  </si>
  <si>
    <t>CR 53 149 36</t>
  </si>
  <si>
    <t>CL 17 A7 B 09 BRR MANZANARES</t>
  </si>
  <si>
    <t>CLL 15 35 85</t>
  </si>
  <si>
    <t>CLL 12 37A 30</t>
  </si>
  <si>
    <t>CR 10 18 49</t>
  </si>
  <si>
    <t>CRA 19 28 60</t>
  </si>
  <si>
    <t>CR 3 1 67</t>
  </si>
  <si>
    <t>CL 13 29</t>
  </si>
  <si>
    <t>CRA 41A 21B 28</t>
  </si>
  <si>
    <t>CL 11 18 99</t>
  </si>
  <si>
    <t>CR 19 12 28</t>
  </si>
  <si>
    <t>CLL 24 27 58</t>
  </si>
  <si>
    <t>CR 18 7 81</t>
  </si>
  <si>
    <t>VEREDA RESGUARDO TUTA</t>
  </si>
  <si>
    <t>KM 3 23A 09 BRR SAN ANTONIO NORTE</t>
  </si>
  <si>
    <t>VRD HORNA Y VIVAS</t>
  </si>
  <si>
    <t>CR 7A 11 49</t>
  </si>
  <si>
    <t>CALLE 27A 23A 52</t>
  </si>
  <si>
    <t>FINCA LA ESPERANZA VEREDA SUESCUN</t>
  </si>
  <si>
    <t>CR 30 23 30</t>
  </si>
  <si>
    <t>CR 37 A 13 28 AP 401</t>
  </si>
  <si>
    <t>CR 13 21 05</t>
  </si>
  <si>
    <t>CR 21 8 66</t>
  </si>
  <si>
    <t>CALLE 17 6 27</t>
  </si>
  <si>
    <t>cr 5 b 14 72</t>
  </si>
  <si>
    <t>CR 8 A 17 A 34</t>
  </si>
  <si>
    <t>VDA LA ESMERALDA</t>
  </si>
  <si>
    <t>CL 10 4 17</t>
  </si>
  <si>
    <t>cr 24 87 15</t>
  </si>
  <si>
    <t>CLL 6 A 37 93</t>
  </si>
  <si>
    <t>CALLE 15 12 49</t>
  </si>
  <si>
    <t>CL 5 2 80</t>
  </si>
  <si>
    <t>CL 12 16 56</t>
  </si>
  <si>
    <t>CLL 20A 20 22</t>
  </si>
  <si>
    <t>CLL 11 12A 74</t>
  </si>
  <si>
    <t>CR 8B 9A 32</t>
  </si>
  <si>
    <t>CR 12 22 36 DUITAMA</t>
  </si>
  <si>
    <t>CL 10 24 80</t>
  </si>
  <si>
    <t>CRR 3 B 4 A _ 10</t>
  </si>
  <si>
    <t>CR 4 N 17 61</t>
  </si>
  <si>
    <t>CR 4 74 36 BOGOTA</t>
  </si>
  <si>
    <t>CLL 12 31 22</t>
  </si>
  <si>
    <t>CL 18 3 15</t>
  </si>
  <si>
    <t>CR 20 16 41</t>
  </si>
  <si>
    <t>CR 17 102 110</t>
  </si>
  <si>
    <t>CRA 3 21 56</t>
  </si>
  <si>
    <t>cll 21 09 39</t>
  </si>
  <si>
    <t>CR 116B 77 33</t>
  </si>
  <si>
    <t>CALLE 9 34 33</t>
  </si>
  <si>
    <t>CL 4 8 34</t>
  </si>
  <si>
    <t>VER LA LAGUNA</t>
  </si>
  <si>
    <t>CR 23 A 2 07</t>
  </si>
  <si>
    <t>CRA 5 BIS 18 30</t>
  </si>
  <si>
    <t>CRA 27 13 45</t>
  </si>
  <si>
    <t>TV 15 31 79</t>
  </si>
  <si>
    <t>CL 5 4 47</t>
  </si>
  <si>
    <t>CRA 24 N 23 A 19</t>
  </si>
  <si>
    <t>CL 24  24 16 CORR DE PALERMO</t>
  </si>
  <si>
    <t>KR 27 25A 18</t>
  </si>
  <si>
    <t>CR 16 25 A 20</t>
  </si>
  <si>
    <t>CLL 6 5 75</t>
  </si>
  <si>
    <t>MANZANA J CASA 6</t>
  </si>
  <si>
    <t>CL 21 31 45 401</t>
  </si>
  <si>
    <t>CL 8 N 8 65</t>
  </si>
  <si>
    <t>cr 16 n 28 74</t>
  </si>
  <si>
    <t>CL 17 N 1A 50</t>
  </si>
  <si>
    <t>CL 9 C 34 02</t>
  </si>
  <si>
    <t>DIAG 16 5 30</t>
  </si>
  <si>
    <t>CR10 17 B39</t>
  </si>
  <si>
    <t>CARRERA 20 N 20 B 38</t>
  </si>
  <si>
    <t>CRA 50 104B_37</t>
  </si>
  <si>
    <t>CLL 7 N 7 08 AUTOSERVICIO LOS CORCELES</t>
  </si>
  <si>
    <t>AV SANTANDER 9 44</t>
  </si>
  <si>
    <t>CL 20 5 46</t>
  </si>
  <si>
    <t>CL 20 41 77</t>
  </si>
  <si>
    <t>CRA 03 01 52</t>
  </si>
  <si>
    <t>CL 8 N 29 60</t>
  </si>
  <si>
    <t>VEREDA EL PALMAR</t>
  </si>
  <si>
    <t>CLL 37SUR 9 235</t>
  </si>
  <si>
    <t>CLL 12A 8 22</t>
  </si>
  <si>
    <t>CRA 32 16 A11</t>
  </si>
  <si>
    <t>CR 12 1AW 46</t>
  </si>
  <si>
    <t>DG 8 8 24</t>
  </si>
  <si>
    <t>CL 92 16 68</t>
  </si>
  <si>
    <t>CR 24 20 77</t>
  </si>
  <si>
    <t>CR 17N 35A 2 75</t>
  </si>
  <si>
    <t>CL 24 2 107</t>
  </si>
  <si>
    <t>CLL 23 A N 25 40</t>
  </si>
  <si>
    <t>TOBASIA SECTOR SAN ISIDRO</t>
  </si>
  <si>
    <t>CL 14 17 30</t>
  </si>
  <si>
    <t>VRD RICON DE VARGAS</t>
  </si>
  <si>
    <t>CLL 20 N 44 71</t>
  </si>
  <si>
    <t>CALLE 9A N° 6A - 31</t>
  </si>
  <si>
    <t>CRA 15 14 58</t>
  </si>
  <si>
    <t>CLL 14 14 05</t>
  </si>
  <si>
    <t>CR 18  10 66</t>
  </si>
  <si>
    <t>CL 24 29 05</t>
  </si>
  <si>
    <t>CL 48 02</t>
  </si>
  <si>
    <t>CALLE 20 N 29 49</t>
  </si>
  <si>
    <t>CJ 7 VR TRINIDAD</t>
  </si>
  <si>
    <t>CRA 115 147A 16</t>
  </si>
  <si>
    <t>CL 17 1 D 34</t>
  </si>
  <si>
    <t>CRA 28 12A18</t>
  </si>
  <si>
    <t>CR 7A N 12 70</t>
  </si>
  <si>
    <t>CR 3 4 75</t>
  </si>
  <si>
    <t>CL 23 B TV 5 A 13</t>
  </si>
  <si>
    <t>CR 9 9B 18</t>
  </si>
  <si>
    <t>VDRA SUESCUN SECTOR SALITRICO</t>
  </si>
  <si>
    <t>CR 15 10 58</t>
  </si>
  <si>
    <t>CLL 26B 17 108</t>
  </si>
  <si>
    <t>CR 24 23 24</t>
  </si>
  <si>
    <t>PUNTA  LARGA</t>
  </si>
  <si>
    <t>CRA 10 22B 119</t>
  </si>
  <si>
    <t>RINCON DE VARGAS CS 1</t>
  </si>
  <si>
    <t>CL 13 6 45</t>
  </si>
  <si>
    <t>CL 16A 38 19</t>
  </si>
  <si>
    <t>CRA 28 2 60</t>
  </si>
  <si>
    <t>CLL 25 4 27</t>
  </si>
  <si>
    <t>CR 32 N 19 40</t>
  </si>
  <si>
    <t>CLL14 8A 88</t>
  </si>
  <si>
    <t>CL 21A 40 4</t>
  </si>
  <si>
    <t>CL 3A 1A 04</t>
  </si>
  <si>
    <t>CR 18 8 26</t>
  </si>
  <si>
    <t>CL  9 44 23</t>
  </si>
  <si>
    <t>VEREDA  EL SALITRE</t>
  </si>
  <si>
    <t>AUT MEDELLIN</t>
  </si>
  <si>
    <t>CR43A 17 20</t>
  </si>
  <si>
    <t>CLL 17 N 1 D,34</t>
  </si>
  <si>
    <t>CARRERA 23A 23A 05</t>
  </si>
  <si>
    <t>ROBLEDALES 2 TORRE 23</t>
  </si>
  <si>
    <t>CR 16 N 15 30</t>
  </si>
  <si>
    <t>CL 14 3717</t>
  </si>
  <si>
    <t>VDR EGIPTO</t>
  </si>
  <si>
    <t>CRA 10 22B 139</t>
  </si>
  <si>
    <t>CR 4 5 05</t>
  </si>
  <si>
    <t>CL 35 10AVIS 38</t>
  </si>
  <si>
    <t>CR 11 N 18 57</t>
  </si>
  <si>
    <t>CL 1 6 24</t>
  </si>
  <si>
    <t>CR 9 10 33</t>
  </si>
  <si>
    <t>CRR 24 39 148</t>
  </si>
  <si>
    <t>CR 28 10 36</t>
  </si>
  <si>
    <t>CR30 N 19 36</t>
  </si>
  <si>
    <t>CALLAE 17 A4 54</t>
  </si>
  <si>
    <t>CR 8A 12 52</t>
  </si>
  <si>
    <t>CLL 17 1D  4</t>
  </si>
  <si>
    <t>CALLE 15A N 4 47</t>
  </si>
  <si>
    <t>CLL 19 A 22 35</t>
  </si>
  <si>
    <t>CLL 17 A 4 21</t>
  </si>
  <si>
    <t>CRA 33  N2043</t>
  </si>
  <si>
    <t>CL 2 2 05</t>
  </si>
  <si>
    <t>CR 17 2 37</t>
  </si>
  <si>
    <t>CR 33 15  34</t>
  </si>
  <si>
    <t>CL 6 N 6 55</t>
  </si>
  <si>
    <t>CL 14A 8A 38</t>
  </si>
  <si>
    <t>CL 14 38B 07</t>
  </si>
  <si>
    <t>CRA 7B 10 50</t>
  </si>
  <si>
    <t>CL18 7 17</t>
  </si>
  <si>
    <t>CARRERA 11A 15 19</t>
  </si>
  <si>
    <t>KR 11 21 36</t>
  </si>
  <si>
    <t>CR 9A N 10 21</t>
  </si>
  <si>
    <t>CR 18 18 49</t>
  </si>
  <si>
    <t>SOCHA VIEJO</t>
  </si>
  <si>
    <t>CR 17  11B 36</t>
  </si>
  <si>
    <t>CR 15 11 68</t>
  </si>
  <si>
    <t>CL 16 12 15</t>
  </si>
  <si>
    <t>CR 5C 17 56</t>
  </si>
  <si>
    <t>CRR 13 N9_02</t>
  </si>
  <si>
    <t>CL 2 W CR 17 08</t>
  </si>
  <si>
    <t>CL 3W 17 39</t>
  </si>
  <si>
    <t>CLL 6 N 7 19</t>
  </si>
  <si>
    <t>CR 45 31A 64</t>
  </si>
  <si>
    <t>CR 26 23 46</t>
  </si>
  <si>
    <t>CL 7 B47 A24</t>
  </si>
  <si>
    <t>CL 22 18 18</t>
  </si>
  <si>
    <t>CL 29 N 14 50</t>
  </si>
  <si>
    <t>CR 9 21 48</t>
  </si>
  <si>
    <t>CLL 17 10 48</t>
  </si>
  <si>
    <t>CR 5 19</t>
  </si>
  <si>
    <t>C 23 C 5 80</t>
  </si>
  <si>
    <t>CRA 31C 15 15</t>
  </si>
  <si>
    <t>CR 29 A 24 12</t>
  </si>
  <si>
    <t>CRR 11 N17 23 TUNJA</t>
  </si>
  <si>
    <t>CL 19 07 86</t>
  </si>
  <si>
    <t>CL 9 N 10 38</t>
  </si>
  <si>
    <t>CL 1 330</t>
  </si>
  <si>
    <t>CLL 20 20 18</t>
  </si>
  <si>
    <t>CRR 4 11 80</t>
  </si>
  <si>
    <t>CR10 22B_119</t>
  </si>
  <si>
    <t>CLL 19 5 21</t>
  </si>
  <si>
    <t>MIRADOR DEL CHIQUITUI</t>
  </si>
  <si>
    <t>CARRERA 3 23 20</t>
  </si>
  <si>
    <t>FINCA BELA VISTA</t>
  </si>
  <si>
    <t>CRA 5 15 23</t>
  </si>
  <si>
    <t>CR 8 N 3 A 12</t>
  </si>
  <si>
    <t>CLL 25 4B 114</t>
  </si>
  <si>
    <t>CR 8 24B 72 PAIPA</t>
  </si>
  <si>
    <t>CR 31 21 24</t>
  </si>
  <si>
    <t>CL 17VIS 5 C 66</t>
  </si>
  <si>
    <t>CR 24 23 20</t>
  </si>
  <si>
    <t>CL 18 A 26 47</t>
  </si>
  <si>
    <t>MZ M CA 4 CERRITO ENCANTADO</t>
  </si>
  <si>
    <t>CL 26 A N 16 A 65</t>
  </si>
  <si>
    <t>CRR 16 5 48</t>
  </si>
  <si>
    <t>CR 3 5 36</t>
  </si>
  <si>
    <t>C-B URB SIGLO XXI NAZARETH</t>
  </si>
  <si>
    <t>CRA36 712</t>
  </si>
  <si>
    <t>CRA 7 8BIS CASA 23</t>
  </si>
  <si>
    <t>CLL 5 9 63</t>
  </si>
  <si>
    <t>CALLE 20 13A 41</t>
  </si>
  <si>
    <t>CL 15 N 30 17</t>
  </si>
  <si>
    <t>VDR VARGUITAS</t>
  </si>
  <si>
    <t>CL 3 11 89</t>
  </si>
  <si>
    <t>CR 12 A 21 07 SOLANO</t>
  </si>
  <si>
    <t>CL 3 25 24</t>
  </si>
  <si>
    <t>CL 17 A 3 A 06</t>
  </si>
  <si>
    <t>CLL 1 19 50</t>
  </si>
  <si>
    <t>CRA 28 10 23</t>
  </si>
  <si>
    <t>CALLE 21 N22 13</t>
  </si>
  <si>
    <t>CR37A 5A 8</t>
  </si>
  <si>
    <t>TV 05 03 18</t>
  </si>
  <si>
    <t>CL 21 37 A 30</t>
  </si>
  <si>
    <t>CLL 152D 102B 10</t>
  </si>
  <si>
    <t>CL 4 16 34</t>
  </si>
  <si>
    <t>CL 23 30 33</t>
  </si>
  <si>
    <t>CL 18 18 64</t>
  </si>
  <si>
    <t>TRANS 5B 23A 51</t>
  </si>
  <si>
    <t>CLL 7 2 48</t>
  </si>
  <si>
    <t>CL 9 N 10 78</t>
  </si>
  <si>
    <t>CL 18 34 37</t>
  </si>
  <si>
    <t>DIAG 6 4 12</t>
  </si>
  <si>
    <t>CR 38C 13B 10</t>
  </si>
  <si>
    <t>BRR SANTA ISABEL</t>
  </si>
  <si>
    <t>CR 21 24 58</t>
  </si>
  <si>
    <t>CR 8 9B 68</t>
  </si>
  <si>
    <t>CR 6A 1A 23</t>
  </si>
  <si>
    <t>CR 1 4B 07</t>
  </si>
  <si>
    <t>CR 3 8 37</t>
  </si>
  <si>
    <t>CARRERA 9A 1A 31</t>
  </si>
  <si>
    <t>VRD UCUENGA</t>
  </si>
  <si>
    <t>CL 13 17 12</t>
  </si>
  <si>
    <t>CLL36 9 80</t>
  </si>
  <si>
    <t>CLL 2S 1A BIS 34</t>
  </si>
  <si>
    <t>CL 16 11 81</t>
  </si>
  <si>
    <t>CL 15A N 20 23</t>
  </si>
  <si>
    <t>CLL 7 A 8 68</t>
  </si>
  <si>
    <t>CII 9 N33 31</t>
  </si>
  <si>
    <t>CL 3 3 32</t>
  </si>
  <si>
    <t>CRR10 A N3 58</t>
  </si>
  <si>
    <t>CR 36 A 21 27</t>
  </si>
  <si>
    <t>CR 7 N 1 259</t>
  </si>
  <si>
    <t>CR 9 47 75</t>
  </si>
  <si>
    <t>CR 8 6 10</t>
  </si>
  <si>
    <t>CLL 5A N45A  46</t>
  </si>
  <si>
    <t>CLL 22 36 50</t>
  </si>
  <si>
    <t>CL 24 N 22 59</t>
  </si>
  <si>
    <t>CLL12 30A 05</t>
  </si>
  <si>
    <t>CLL 17A 5 111 APTO 403A</t>
  </si>
  <si>
    <t>CLL 22A 20 29</t>
  </si>
  <si>
    <t>CR 05 18 11</t>
  </si>
  <si>
    <t>CRA 23 A 2 45</t>
  </si>
  <si>
    <t>CL 7 31</t>
  </si>
  <si>
    <t>CLL 8 29 80</t>
  </si>
  <si>
    <t>CL 4 6A 16</t>
  </si>
  <si>
    <t>CR 35 19 36</t>
  </si>
  <si>
    <t>SECTOR EL SALITRICO</t>
  </si>
  <si>
    <t>CL 20 22 78</t>
  </si>
  <si>
    <t>CLL 17 N34 60</t>
  </si>
  <si>
    <t>CR 9 16 35</t>
  </si>
  <si>
    <t>CR 10 4 30</t>
  </si>
  <si>
    <t>CR 22 A 19 27</t>
  </si>
  <si>
    <t>CRA 18 14 86</t>
  </si>
  <si>
    <t>CR 20A 6 08</t>
  </si>
  <si>
    <t>CL 12 A 18 54</t>
  </si>
  <si>
    <t>CALLE 3 1  24</t>
  </si>
  <si>
    <t>CR16 34 29</t>
  </si>
  <si>
    <t>CR 12 16 13</t>
  </si>
  <si>
    <t>CL 2A 8 15</t>
  </si>
  <si>
    <t>CL 7 47 23</t>
  </si>
  <si>
    <t>cr 37 b 13 47</t>
  </si>
  <si>
    <t>CLL 17 21 23</t>
  </si>
  <si>
    <t>CR 28 13B 10</t>
  </si>
  <si>
    <t>CR 11 2 72</t>
  </si>
  <si>
    <t>cr 32 n 19 41</t>
  </si>
  <si>
    <t>CR 4 9 80</t>
  </si>
  <si>
    <t>CR 11 A 14 19</t>
  </si>
  <si>
    <t>CR 10A 36 46</t>
  </si>
  <si>
    <t>CL 4 23 69</t>
  </si>
  <si>
    <t>CLL 14 05D 43</t>
  </si>
  <si>
    <t>CR 5 1 15</t>
  </si>
  <si>
    <t>CL 34B 22 21 B BOSQUE</t>
  </si>
  <si>
    <t>CLL 10A 3 32</t>
  </si>
  <si>
    <t>CL25 A 26 24</t>
  </si>
  <si>
    <t>CR 30 10 44</t>
  </si>
  <si>
    <t>CR 7 1 58</t>
  </si>
  <si>
    <t>CR 22 A 20 62</t>
  </si>
  <si>
    <t>CL 7A 10 A 64</t>
  </si>
  <si>
    <t>vd san martin</t>
  </si>
  <si>
    <t>CLL 23 24 35</t>
  </si>
  <si>
    <t>CL 46 A 12 26</t>
  </si>
  <si>
    <t>VDR SUESCUN TIBASOSA</t>
  </si>
  <si>
    <t>CR 09 19 A 23</t>
  </si>
  <si>
    <t>CRR 27A 2A 07</t>
  </si>
  <si>
    <t>CL 16A 9 30</t>
  </si>
  <si>
    <t>CL 50 10A 52</t>
  </si>
  <si>
    <t>CALLE 14 N 18 52</t>
  </si>
  <si>
    <t>CRD SAN LORENZO</t>
  </si>
  <si>
    <t>CR 31 22 43</t>
  </si>
  <si>
    <t>CLL 17 N 1 B  30</t>
  </si>
  <si>
    <t>cra 17 3 w 17</t>
  </si>
  <si>
    <t>CL 23 A 27 125</t>
  </si>
  <si>
    <t>VEREDA SANTA TERESA</t>
  </si>
  <si>
    <t>CR 42A N 17 32</t>
  </si>
  <si>
    <t>CR 27 21 19</t>
  </si>
  <si>
    <t>CRA 18 N 11A 68</t>
  </si>
  <si>
    <t>CR 5 6 34</t>
  </si>
  <si>
    <t>CL 49 12 A BIS 06</t>
  </si>
  <si>
    <t>TASCO BOYACA</t>
  </si>
  <si>
    <t>CLL 12 35 14</t>
  </si>
  <si>
    <t>TIBASOSA VEREDA</t>
  </si>
  <si>
    <t>VDASAN ISIDRO SEC SOBREPEСA</t>
  </si>
  <si>
    <t>CL 12 30A 24</t>
  </si>
  <si>
    <t>CRR 27 21 43</t>
  </si>
  <si>
    <t>CRR 9 BIS A N10 A 35</t>
  </si>
  <si>
    <t>CL 17 N 1ID 34</t>
  </si>
  <si>
    <t>CR 13A  10 08</t>
  </si>
  <si>
    <t>CL 1A 6A 38</t>
  </si>
  <si>
    <t>No informado</t>
  </si>
  <si>
    <t>VDA EL PEDREGAL</t>
  </si>
  <si>
    <t>CR 29 21 16</t>
  </si>
  <si>
    <t>CR 33 A 12 50</t>
  </si>
  <si>
    <t>cll 22 a n 30 15</t>
  </si>
  <si>
    <t>VDRA CRUZ DE MURCIA</t>
  </si>
  <si>
    <t>CRA 4 N 4 45</t>
  </si>
  <si>
    <t>CLL 9 32 82</t>
  </si>
  <si>
    <t>CR 8 13 33</t>
  </si>
  <si>
    <t>K1 E N    13 __ 283</t>
  </si>
  <si>
    <t>CARRERA 11 N 6-35</t>
  </si>
  <si>
    <t>CLL 33 16 28</t>
  </si>
  <si>
    <t>CRA2N10 SANTAROSA</t>
  </si>
  <si>
    <t>CL 11 1 08</t>
  </si>
  <si>
    <t>BR BOLIVARIANO</t>
  </si>
  <si>
    <t>CR 20 N 20 B 12</t>
  </si>
  <si>
    <t>CLL 16 31B 13</t>
  </si>
  <si>
    <t>CLL 18 N 11-33</t>
  </si>
  <si>
    <t>BARRIO FARAON</t>
  </si>
  <si>
    <t>CR 6 23B 15</t>
  </si>
  <si>
    <t>CR 3 7 85</t>
  </si>
  <si>
    <t>CRA 5 N° 10-25</t>
  </si>
  <si>
    <t>CL 14 42 93</t>
  </si>
  <si>
    <t>CL 24 SUR 68 H 94 AP 301</t>
  </si>
  <si>
    <t>CR 7 11 19</t>
  </si>
  <si>
    <t>SANTA ROSA VITERBO</t>
  </si>
  <si>
    <t>CR 15 13 17</t>
  </si>
  <si>
    <t>CR 5  5  46</t>
  </si>
  <si>
    <t>CR 5 14 23</t>
  </si>
  <si>
    <t>CL 9 N 2 12</t>
  </si>
  <si>
    <t>CL 19BIS 30 49</t>
  </si>
  <si>
    <t>CRA 5 N. 15 35</t>
  </si>
  <si>
    <t>CLL 14 4 11</t>
  </si>
  <si>
    <t>CRR 20 16 41</t>
  </si>
  <si>
    <t>CRA 5 N 9 14</t>
  </si>
  <si>
    <t>CR 5  12 76</t>
  </si>
  <si>
    <t>CRA8 9 35</t>
  </si>
  <si>
    <t>CR 3 2 42</t>
  </si>
  <si>
    <t>CR 16 26 63</t>
  </si>
  <si>
    <t>CRR 2 A 58</t>
  </si>
  <si>
    <t>TRV 18 N2306</t>
  </si>
  <si>
    <t>CR 2 A 6 32</t>
  </si>
  <si>
    <t>CL 6 6 34</t>
  </si>
  <si>
    <t>CR 1 B 7 22</t>
  </si>
  <si>
    <t>CR 03 09 14</t>
  </si>
  <si>
    <t>VDR QUEBRADA GRANDE</t>
  </si>
  <si>
    <t>CLL 14A 8A 52</t>
  </si>
  <si>
    <t>cra 4 9 18</t>
  </si>
  <si>
    <t>CL 14 27 23</t>
  </si>
  <si>
    <t>CR 8 13 A 39</t>
  </si>
  <si>
    <t>CL 13 5 55</t>
  </si>
  <si>
    <t>CR 4 14 151</t>
  </si>
  <si>
    <t>CR 5 6 44</t>
  </si>
  <si>
    <t>CLL 27 16 14</t>
  </si>
  <si>
    <t>CR 19 N 28 60</t>
  </si>
  <si>
    <t>CL 12 38 44</t>
  </si>
  <si>
    <t>CRA 14 2 2</t>
  </si>
  <si>
    <t>CRA 112 G 89 D 03</t>
  </si>
  <si>
    <t>CL 13 36 14</t>
  </si>
  <si>
    <t>TVR 13</t>
  </si>
  <si>
    <t>CL 22 39 76</t>
  </si>
  <si>
    <t>CL 3 14 42</t>
  </si>
  <si>
    <t>CRR5 N 11 27</t>
  </si>
  <si>
    <t>CALLE2 23 54</t>
  </si>
  <si>
    <t>CL 38 30</t>
  </si>
  <si>
    <t>CR 32 16 10</t>
  </si>
  <si>
    <t>CL 8 10 04</t>
  </si>
  <si>
    <t>VR SOCHA VIEJO</t>
  </si>
  <si>
    <t>CLL 12 35 33</t>
  </si>
  <si>
    <t>CL BIS 10 45</t>
  </si>
  <si>
    <t>SEC CENTRO</t>
  </si>
  <si>
    <t>CALLE 23 N 27-111</t>
  </si>
  <si>
    <t>CR 25 22 12</t>
  </si>
  <si>
    <t>CR34 16 43</t>
  </si>
  <si>
    <t>CR 26 A 21 22</t>
  </si>
  <si>
    <t>VDR BOCHE</t>
  </si>
  <si>
    <t>CL 1 6 46</t>
  </si>
  <si>
    <t>CRA13 32 32</t>
  </si>
  <si>
    <t>CRA 38A 16A 15</t>
  </si>
  <si>
    <t>CLL 23 27 107</t>
  </si>
  <si>
    <t>VR LAS VUELTAS</t>
  </si>
  <si>
    <t>SOLARES DE LA ARBOLEDA</t>
  </si>
  <si>
    <t>CR 10 10 51</t>
  </si>
  <si>
    <t>CR 4A 1B 19</t>
  </si>
  <si>
    <t>CR 31B 14 15</t>
  </si>
  <si>
    <t>CR 9 1S 47</t>
  </si>
  <si>
    <t>CRA 10 34 1 21</t>
  </si>
  <si>
    <t>CR 5 23 64</t>
  </si>
  <si>
    <t>CR 75 24 MERCA SOCHA</t>
  </si>
  <si>
    <t>CR 13 2 44</t>
  </si>
  <si>
    <t>CR 10 7 45</t>
  </si>
  <si>
    <t>CLL 20 26 34</t>
  </si>
  <si>
    <t>VRD ROSAL</t>
  </si>
  <si>
    <t>CALLE 22B#22-35</t>
  </si>
  <si>
    <t>CL 22 A 20 56</t>
  </si>
  <si>
    <t>MANZ 3 CASA 23</t>
  </si>
  <si>
    <t>CR 8 13 05</t>
  </si>
  <si>
    <t>CLUB LOS CACIQUES</t>
  </si>
  <si>
    <t>CALLE 25 # 22-78</t>
  </si>
  <si>
    <t>CR 38 14A 12</t>
  </si>
  <si>
    <t>CR 22 22 60</t>
  </si>
  <si>
    <t>CRA 21 N 18 73</t>
  </si>
  <si>
    <t>CL 32 12A 20</t>
  </si>
  <si>
    <t>CLL 25 5 25</t>
  </si>
  <si>
    <t>CRA 22 N 19 41</t>
  </si>
  <si>
    <t>VEREDA TOIBITA</t>
  </si>
  <si>
    <t>CLL 46D 12F 06</t>
  </si>
  <si>
    <t>AV LIBERTADOR 31 66 PAIPA</t>
  </si>
  <si>
    <t>MANZANA G CASA 10 BARRIO SANDANIEL</t>
  </si>
  <si>
    <t>TV 19 22 84</t>
  </si>
  <si>
    <t>CALLE 6 4 27</t>
  </si>
  <si>
    <t>ALTOS DUITAMA</t>
  </si>
  <si>
    <t>CR 6 A 11 2</t>
  </si>
  <si>
    <t>CR 30 23 32</t>
  </si>
  <si>
    <t>CRR 3 N 8 A 19</t>
  </si>
  <si>
    <t>CL 4 11 A 27</t>
  </si>
  <si>
    <t>CR 35 1C 111</t>
  </si>
  <si>
    <t>CARRERA 30 19 36</t>
  </si>
  <si>
    <t>CR 17 N 2 102</t>
  </si>
  <si>
    <t>CL 14 6 A 133</t>
  </si>
  <si>
    <t>CLL 18 30 132</t>
  </si>
  <si>
    <t>CLL 2121A 40</t>
  </si>
  <si>
    <t>CL 3 9 21</t>
  </si>
  <si>
    <t>CL 6 N 5 19</t>
  </si>
  <si>
    <t>CR 32 13 58</t>
  </si>
  <si>
    <t>CL 18 11 80</t>
  </si>
  <si>
    <t>VDR LA VENTA</t>
  </si>
  <si>
    <t>CRA 11 22 72</t>
  </si>
  <si>
    <t>CRA7B 6A 26</t>
  </si>
  <si>
    <t>CL 40 24 17</t>
  </si>
  <si>
    <t>CLL 129 132 56</t>
  </si>
  <si>
    <t>CR 1A SUR 8 30</t>
  </si>
  <si>
    <t>CLL 8A 336</t>
  </si>
  <si>
    <t>CRA 11A 0951</t>
  </si>
  <si>
    <t>CR 44 N 20 39</t>
  </si>
  <si>
    <t>CL 21 25 61</t>
  </si>
  <si>
    <t>CR 4 9 19</t>
  </si>
  <si>
    <t>VDR TIRINQUITA</t>
  </si>
  <si>
    <t>CL 26 1A 05</t>
  </si>
  <si>
    <t>CL 23 A 5 B 2</t>
  </si>
  <si>
    <t>CRA 86H 63 27</t>
  </si>
  <si>
    <t>CL 8 5 23</t>
  </si>
  <si>
    <t>CR 24 20 06</t>
  </si>
  <si>
    <t>DG 18 21 46</t>
  </si>
  <si>
    <t>CR 3 8 26</t>
  </si>
  <si>
    <t>BR MOLINO REAL</t>
  </si>
  <si>
    <t>CR 9 16 A 18</t>
  </si>
  <si>
    <t>CL 20 N 24 44</t>
  </si>
  <si>
    <t>CR 5 1 33</t>
  </si>
  <si>
    <t>CRA 5 10 54</t>
  </si>
  <si>
    <t>CLL 8 3 22</t>
  </si>
  <si>
    <t>CARRERA 5 4 14 BELEN</t>
  </si>
  <si>
    <t>VEREDA PEÑA NEGRA</t>
  </si>
  <si>
    <t>CL15 25 101</t>
  </si>
  <si>
    <t>CL 21 A 40 45</t>
  </si>
  <si>
    <t>CRA 16 5 104</t>
  </si>
  <si>
    <t>CRA 20 2B 22</t>
  </si>
  <si>
    <t>CL 20A 24 53</t>
  </si>
  <si>
    <t>K 1 VIA PAIPA</t>
  </si>
  <si>
    <t>CALLE 19 B N 26-69</t>
  </si>
  <si>
    <t>CL 4 N 11 29</t>
  </si>
  <si>
    <t>CL 20A 24 57</t>
  </si>
  <si>
    <t>CRA 35 4A W 31</t>
  </si>
  <si>
    <t>VDR EL TRANSITO</t>
  </si>
  <si>
    <t>CL 5 4 10</t>
  </si>
  <si>
    <t>VR SALITRE</t>
  </si>
  <si>
    <t>BARRIO VILLA DEL PRADO CASA 42</t>
  </si>
  <si>
    <t>CR 4 1 40</t>
  </si>
  <si>
    <t>CR 5 115 03</t>
  </si>
  <si>
    <t>CLL 25 4 25</t>
  </si>
  <si>
    <t>CL 2W 17 18</t>
  </si>
  <si>
    <t>CL 3 4 14</t>
  </si>
  <si>
    <t>CLL 3 2 15</t>
  </si>
  <si>
    <t>CRA 24 20 66</t>
  </si>
  <si>
    <t>CR 03A 14 173</t>
  </si>
  <si>
    <t>MANZANA E CASA 8 BARRIO ALCAZARES</t>
  </si>
  <si>
    <t>CR 4 1 02</t>
  </si>
  <si>
    <t>CALLE 15 A 905</t>
  </si>
  <si>
    <t>CR 16 10 52</t>
  </si>
  <si>
    <t>TRA 5 23 27</t>
  </si>
  <si>
    <t>CR 19 3 29</t>
  </si>
  <si>
    <t>CR 7A 7 86</t>
  </si>
  <si>
    <t>CR 8 12 52</t>
  </si>
  <si>
    <t>CR 40 20 05</t>
  </si>
  <si>
    <t>CL 4 20 57</t>
  </si>
  <si>
    <t>CL 16 27 36</t>
  </si>
  <si>
    <t>URBANIZACION LOS LIBERTADORES</t>
  </si>
  <si>
    <t>CLL 1 W 34B 17</t>
  </si>
  <si>
    <t>VEREDA AYALAS</t>
  </si>
  <si>
    <t>CLL 13A 15 15</t>
  </si>
  <si>
    <t>CL 16 18 46</t>
  </si>
  <si>
    <t>CRR 27 N27 37</t>
  </si>
  <si>
    <t>SOLARES DE LA ARBOLEDAD</t>
  </si>
  <si>
    <t>CR 22 25 43</t>
  </si>
  <si>
    <t>TV 24 N 27A 31 BRR SAN FELIPE</t>
  </si>
  <si>
    <t>CLL 20 21 04</t>
  </si>
  <si>
    <t>CR 17 A 2 30</t>
  </si>
  <si>
    <t>CRA 34B 1 AW23 27</t>
  </si>
  <si>
    <t>KRA 34A 9A 90SUR</t>
  </si>
  <si>
    <t>CRR 31A 15 39</t>
  </si>
  <si>
    <t>CL 14 1 A 15</t>
  </si>
  <si>
    <t>CL 30 12B 104</t>
  </si>
  <si>
    <t>CLL 26 23 25</t>
  </si>
  <si>
    <t>CR 23 23B 13</t>
  </si>
  <si>
    <t>CR 12 22 68 CA 1</t>
  </si>
  <si>
    <t>CR 17 15 01 MZ 26 BL C LC 18</t>
  </si>
  <si>
    <t>MZ A CASA 3</t>
  </si>
  <si>
    <t>CR 21 22 74</t>
  </si>
  <si>
    <t>CL 21 18 44 C3</t>
  </si>
  <si>
    <t>CR 3 A 14 163</t>
  </si>
  <si>
    <t>CR 4 6 05</t>
  </si>
  <si>
    <t>LAS CALERAS NOBSA</t>
  </si>
  <si>
    <t>cl 10 a n 14 35</t>
  </si>
  <si>
    <t>CRA 10 5 59</t>
  </si>
  <si>
    <t>CL 21 29 22</t>
  </si>
  <si>
    <t>CR 9 1 W 21</t>
  </si>
  <si>
    <t>CR 29 21A 16</t>
  </si>
  <si>
    <t>CR 26A 24 25</t>
  </si>
  <si>
    <t>CALLE 21 42 72 JUAN GRANDE</t>
  </si>
  <si>
    <t>CL 4 5 06</t>
  </si>
  <si>
    <t>CR 5 N5A 66 BRR CAMILO TORRES</t>
  </si>
  <si>
    <t>CL 3 N 10 20</t>
  </si>
  <si>
    <t>KM 8 VIA DUITAMA NOBSA</t>
  </si>
  <si>
    <t>CR 6 146</t>
  </si>
  <si>
    <t>CR 1B 18 117</t>
  </si>
  <si>
    <t>CR 30 20 26</t>
  </si>
  <si>
    <t>CRA 3 A 629</t>
  </si>
  <si>
    <t>CLL 22 24 13</t>
  </si>
  <si>
    <t>CLL 28 37</t>
  </si>
  <si>
    <t>CRA 12 8 20</t>
  </si>
  <si>
    <t>CL 19 A 22 34</t>
  </si>
  <si>
    <t>CR 4 3 110</t>
  </si>
  <si>
    <t>CL 07 46 159</t>
  </si>
  <si>
    <t>CLL 22 24 16</t>
  </si>
  <si>
    <t>KM 1 VIA CERINZA STA ROSA</t>
  </si>
  <si>
    <t>CLL 1 6 24</t>
  </si>
  <si>
    <t>CLL 22 A 20 24</t>
  </si>
  <si>
    <t>CLL 3 N 24B 80</t>
  </si>
  <si>
    <t>CL 10 24 65</t>
  </si>
  <si>
    <t>CLL 17A 4 21</t>
  </si>
  <si>
    <t>CRA 40 10107</t>
  </si>
  <si>
    <t>CR 32 N 16 86</t>
  </si>
  <si>
    <t>CALLE 5 45  46</t>
  </si>
  <si>
    <t>CLL 3A 11 02</t>
  </si>
  <si>
    <t>CR 22 17 96</t>
  </si>
  <si>
    <t>CR 11 5 40</t>
  </si>
  <si>
    <t>DG 11 10 86</t>
  </si>
  <si>
    <t>BARRIO SOLANO</t>
  </si>
  <si>
    <t>AV CINCURVALAR 16 65</t>
  </si>
  <si>
    <t>CL 11 37A 33</t>
  </si>
  <si>
    <t>CR 6 12A 14</t>
  </si>
  <si>
    <t>CR 4 4 31</t>
  </si>
  <si>
    <t>CR 3 25 28</t>
  </si>
  <si>
    <t>CR 40 A 23 48</t>
  </si>
  <si>
    <t>CR 6 17 50</t>
  </si>
  <si>
    <t>CR 22 19 17</t>
  </si>
  <si>
    <t>CL 9 11 63</t>
  </si>
  <si>
    <t>CR 1 7 27</t>
  </si>
  <si>
    <t>CRA 16 34 50</t>
  </si>
  <si>
    <t>CLL 20A 21 22</t>
  </si>
  <si>
    <t>CL 14B 34 73</t>
  </si>
  <si>
    <t>CR 11A 9 51</t>
  </si>
  <si>
    <t>CR 18 327</t>
  </si>
  <si>
    <t>CR 17A 20 72</t>
  </si>
  <si>
    <t>CRA 40 22B 16</t>
  </si>
  <si>
    <t>CLL 1W 17C 09</t>
  </si>
  <si>
    <t>CR 16 35 179</t>
  </si>
  <si>
    <t>CRR 27 25 56</t>
  </si>
  <si>
    <t>CL 21 2 07</t>
  </si>
  <si>
    <t>CR 31 11B 56</t>
  </si>
  <si>
    <t>CALLE 20A 24 25</t>
  </si>
  <si>
    <t>CL 5 8 96</t>
  </si>
  <si>
    <t>CR 13A 11 45</t>
  </si>
  <si>
    <t>CLLE 18 3 16</t>
  </si>
  <si>
    <t>CLL 37 9 92</t>
  </si>
  <si>
    <t>CL 16 14 41</t>
  </si>
  <si>
    <t>CRA 5 C 14 B 110</t>
  </si>
  <si>
    <t>CL 14 5 C 60</t>
  </si>
  <si>
    <t>CLL 16 N 17 46</t>
  </si>
  <si>
    <t>cll 10 b 965</t>
  </si>
  <si>
    <t>CR 26 13 06</t>
  </si>
  <si>
    <t>CLL 16 N 32  34</t>
  </si>
  <si>
    <t>CR 32 19A 16</t>
  </si>
  <si>
    <t>CLL 16 5 85</t>
  </si>
  <si>
    <t>KM 6 VIA DUITAMA NOBSA</t>
  </si>
  <si>
    <t>CLL12A1722</t>
  </si>
  <si>
    <t>CR 10A 9A 17</t>
  </si>
  <si>
    <t>DG 11 A 9 86</t>
  </si>
  <si>
    <t>AVD.CIRC N 20 A 23</t>
  </si>
  <si>
    <t>CABAÑA ALTAMIRA NOBSA</t>
  </si>
  <si>
    <t>CR 21 17 186</t>
  </si>
  <si>
    <t>KL 3 VIA DTM PAIPA</t>
  </si>
  <si>
    <t>CL 20 13 45</t>
  </si>
  <si>
    <t>CL 17 31 57</t>
  </si>
  <si>
    <t>CR 36 A 22 26</t>
  </si>
  <si>
    <t>CR 38 N 20 22</t>
  </si>
  <si>
    <t>KR 18 12 63</t>
  </si>
  <si>
    <t>CL 18 3 36</t>
  </si>
  <si>
    <t>CR 38 12 21</t>
  </si>
  <si>
    <t>CR 7  A 12 54</t>
  </si>
  <si>
    <t>CR 21 19 12</t>
  </si>
  <si>
    <t>CLL 12A 19 45</t>
  </si>
  <si>
    <t>CL 17 A 05 111</t>
  </si>
  <si>
    <t>CL 15 A 25 25</t>
  </si>
  <si>
    <t>CL 36 17 152</t>
  </si>
  <si>
    <t>CR 34 N 19 112</t>
  </si>
  <si>
    <t>CL 23 A 5 B 34</t>
  </si>
  <si>
    <t>CERRITO ENCANTADO</t>
  </si>
  <si>
    <t>CR 12 N1AW 46</t>
  </si>
  <si>
    <t>CR 6A 17A 18</t>
  </si>
  <si>
    <t>CLL 10 4 01</t>
  </si>
  <si>
    <t>CR 26 N 20 82</t>
  </si>
  <si>
    <t>CR 16 3 64</t>
  </si>
  <si>
    <t>CR 10 1 22</t>
  </si>
  <si>
    <t>CARRERA 27 Nº 21 - 49</t>
  </si>
  <si>
    <t>VDRA SAN MARTIN</t>
  </si>
  <si>
    <t>CL 23 5 A 27</t>
  </si>
  <si>
    <t>CLL 24 N4 87</t>
  </si>
  <si>
    <t>CLL 22A 20 34</t>
  </si>
  <si>
    <t>CR 20 12 104</t>
  </si>
  <si>
    <t>CRR 16A 5 35</t>
  </si>
  <si>
    <t>TRANV 27 2A 08</t>
  </si>
  <si>
    <t>CL 13 35A 25</t>
  </si>
  <si>
    <t>CR 16 27 A 57 AP 301</t>
  </si>
  <si>
    <t>CR 10 10B 15</t>
  </si>
  <si>
    <t>CL 1 06 06</t>
  </si>
  <si>
    <t>CR 37 22 85</t>
  </si>
  <si>
    <t>CLL 12A 6 30</t>
  </si>
  <si>
    <t>CL 31 8 08</t>
  </si>
  <si>
    <t>CR 28 19 A 74</t>
  </si>
  <si>
    <t>CR 35 14 27</t>
  </si>
  <si>
    <t>CR 43 20 65</t>
  </si>
  <si>
    <t>CRR 32 19 40</t>
  </si>
  <si>
    <t>CR 7A 11 41</t>
  </si>
  <si>
    <t>CL 10 7C 29</t>
  </si>
  <si>
    <t>CR 27 20 21</t>
  </si>
  <si>
    <t>CL 1 A 846</t>
  </si>
  <si>
    <t>CR 12 55 20</t>
  </si>
  <si>
    <t>DG 11 12 27</t>
  </si>
  <si>
    <t>CR 27 A 5 63</t>
  </si>
  <si>
    <t>CL 22 36A 12</t>
  </si>
  <si>
    <t>CR 33A 16 13</t>
  </si>
  <si>
    <t>K 30B N  21 30</t>
  </si>
  <si>
    <t>CLL 24 10 23</t>
  </si>
  <si>
    <t>CLL 41 1 51</t>
  </si>
  <si>
    <t>CL 11 36 74</t>
  </si>
  <si>
    <t>CL 20A 16 63</t>
  </si>
  <si>
    <t>TIMONEL</t>
  </si>
  <si>
    <t>CLL 29B 16 45</t>
  </si>
  <si>
    <t>BR 11 MAYO</t>
  </si>
  <si>
    <t>kr 23 23b 25</t>
  </si>
  <si>
    <t>CL 36 17 60</t>
  </si>
  <si>
    <t>VDA SAN ANTONIO</t>
  </si>
  <si>
    <t>CR 27 10 43</t>
  </si>
  <si>
    <t>CLL 10 A 7 A 10</t>
  </si>
  <si>
    <t>CL 20B 3 2 83</t>
  </si>
  <si>
    <t>CL 10 24 48</t>
  </si>
  <si>
    <t>CRA 10 10B 09</t>
  </si>
  <si>
    <t>CL 17 4 46</t>
  </si>
  <si>
    <t>CALLE 11 N 27-23</t>
  </si>
  <si>
    <t>CLL 14 B 5C 111</t>
  </si>
  <si>
    <t>CALLE 18A 26 58</t>
  </si>
  <si>
    <t>CLL 19 N 26 50</t>
  </si>
  <si>
    <t>CR 13 19 22</t>
  </si>
  <si>
    <t>CR 5 B 14 71</t>
  </si>
  <si>
    <t>CRA 1 B 16 61</t>
  </si>
  <si>
    <t>CLL 2AW 17 30</t>
  </si>
  <si>
    <t>TV 19 22 86</t>
  </si>
  <si>
    <t>CLL 16  08 04</t>
  </si>
  <si>
    <t>CR 22 17 62</t>
  </si>
  <si>
    <t>CL 10  26 - 66</t>
  </si>
  <si>
    <t>CR 5C 14B 45 INTERIOR 11</t>
  </si>
  <si>
    <t>CLL27 19 151</t>
  </si>
  <si>
    <t>CR 34 16 07</t>
  </si>
  <si>
    <t>CR 43A 17 30</t>
  </si>
  <si>
    <t>AVENIDA CIRCUNVALAR 20A 27</t>
  </si>
  <si>
    <t>CR 23 24 24</t>
  </si>
  <si>
    <t>CLL 13 26 07</t>
  </si>
  <si>
    <t>CL 13A 5 76</t>
  </si>
  <si>
    <t>CLL 15 12 40</t>
  </si>
  <si>
    <t>CL 17 39 26</t>
  </si>
  <si>
    <t>CL 23A N 5A 24</t>
  </si>
  <si>
    <t>CL 11 29 85</t>
  </si>
  <si>
    <t>CL10 N 4 11</t>
  </si>
  <si>
    <t>CL 44 D 45 45</t>
  </si>
  <si>
    <t>CLL 21 A 28 27 PAIPA</t>
  </si>
  <si>
    <t>CR 24 21 23</t>
  </si>
  <si>
    <t>TIBASOSA VD EL SALITRE</t>
  </si>
  <si>
    <t>B ALCACERES</t>
  </si>
  <si>
    <t>CR 5  15A_ 25</t>
  </si>
  <si>
    <t>CR 36A 16 28</t>
  </si>
  <si>
    <t>CL 11 24 6 5</t>
  </si>
  <si>
    <t>CL 23 N 30 25</t>
  </si>
  <si>
    <t>CLL 13 38 46</t>
  </si>
  <si>
    <t>CR 42 17 71</t>
  </si>
  <si>
    <t>CR16 34 41</t>
  </si>
  <si>
    <t>CRA 42 22 18</t>
  </si>
  <si>
    <t>CR 23 C 5 17</t>
  </si>
  <si>
    <t>CL 22 37 75</t>
  </si>
  <si>
    <t>CL 17 5C 30</t>
  </si>
  <si>
    <t>CR 10 A 10 30</t>
  </si>
  <si>
    <t>CR 9 14 67</t>
  </si>
  <si>
    <t>DG 16 6184</t>
  </si>
  <si>
    <t>CL 02 02 E 33</t>
  </si>
  <si>
    <t>wbeernalmejia@gmail.com</t>
  </si>
  <si>
    <t>BRR SALESIANO</t>
  </si>
  <si>
    <t>CLL 1A 4A 04</t>
  </si>
  <si>
    <t>DG 25 22 40</t>
  </si>
  <si>
    <t>cr 37 20a 111</t>
  </si>
  <si>
    <t>CL 4W 34 38</t>
  </si>
  <si>
    <t>CR 9 6 72</t>
  </si>
  <si>
    <t>CL 11 A  23 87</t>
  </si>
  <si>
    <t>CL 4 9 03</t>
  </si>
  <si>
    <t>CR 16 28 74</t>
  </si>
  <si>
    <t>CR 34B 6 06</t>
  </si>
  <si>
    <t>CL 23 5 27</t>
  </si>
  <si>
    <t>CL 10 19 84</t>
  </si>
  <si>
    <t>PD 13 45 BRR LAS DELICIAS</t>
  </si>
  <si>
    <t>CR 4A 1 57</t>
  </si>
  <si>
    <t>CALL 17 B 10 05</t>
  </si>
  <si>
    <t>CR 13A 3 64 PISO 2</t>
  </si>
  <si>
    <t>CR 8 1A 23</t>
  </si>
  <si>
    <t>CR 16 28 44</t>
  </si>
  <si>
    <t>CL17 5 A 23</t>
  </si>
  <si>
    <t>CRA 10A 10 23</t>
  </si>
  <si>
    <t>CRA 18 27 23</t>
  </si>
  <si>
    <t>VDA TRINIDAD</t>
  </si>
  <si>
    <t>CR 7B 12A 16</t>
  </si>
  <si>
    <t>CR 27 10 37</t>
  </si>
  <si>
    <t>CR 12 N 22 29</t>
  </si>
  <si>
    <t>CL 19A 4 66</t>
  </si>
  <si>
    <t>CR 28 N 12-25</t>
  </si>
  <si>
    <t>CRA39 21 48</t>
  </si>
  <si>
    <t>BRR CACIQUE TUNDAMA MZ E CASA  2</t>
  </si>
  <si>
    <t>CR16 22 28</t>
  </si>
  <si>
    <t>CALLE 19 26 16</t>
  </si>
  <si>
    <t>BARRIO SAN ANTONIO</t>
  </si>
  <si>
    <t>CL 10 37 82</t>
  </si>
  <si>
    <t>MIRADOR DE LA ESPERANZA</t>
  </si>
  <si>
    <t>CR 27 17 04</t>
  </si>
  <si>
    <t>CL 19 44 33</t>
  </si>
  <si>
    <t>VDR SAN ANTONIO SUR</t>
  </si>
  <si>
    <t>CL 24 22 19</t>
  </si>
  <si>
    <t>CL 17 A 5 111</t>
  </si>
  <si>
    <t>CALLE 30 12A 61 PAIPA</t>
  </si>
  <si>
    <t>CLL 7B 47 22</t>
  </si>
  <si>
    <t>VD TOCOGUA</t>
  </si>
  <si>
    <t>DIG 4 6 60</t>
  </si>
  <si>
    <t>CLL20 28 36</t>
  </si>
  <si>
    <t>VR LA TRINIDAD</t>
  </si>
  <si>
    <t>CL 22 34 28</t>
  </si>
  <si>
    <t>CR 2A 17 A 47</t>
  </si>
  <si>
    <t>CRA 16 1268</t>
  </si>
  <si>
    <t>CR 12 21 90</t>
  </si>
  <si>
    <t>CR 23B 4 59</t>
  </si>
  <si>
    <t>CL 20 24 32</t>
  </si>
  <si>
    <t>CL 18 A 4 75</t>
  </si>
  <si>
    <t>CL 20 N 32 51</t>
  </si>
  <si>
    <t>VDR NOBSA</t>
  </si>
  <si>
    <t>CR 28 27 178</t>
  </si>
  <si>
    <t>CR 7 4 44</t>
  </si>
  <si>
    <t>CR 5 19A 09</t>
  </si>
  <si>
    <t>CLL 15A 29A 07</t>
  </si>
  <si>
    <t>CR 23 12 85</t>
  </si>
  <si>
    <t>VDR SANTATERESA</t>
  </si>
  <si>
    <t>AV CVR 20 90</t>
  </si>
  <si>
    <t>CARRERA 12 A 3-11</t>
  </si>
  <si>
    <t>TSV 19 31 50</t>
  </si>
  <si>
    <t>CR 12 1A 46</t>
  </si>
  <si>
    <t>CL 23B 22 61</t>
  </si>
  <si>
    <t>CR 16 5 54</t>
  </si>
  <si>
    <t>CL 20 16 95</t>
  </si>
  <si>
    <t>CR 1 22 20</t>
  </si>
  <si>
    <t>CL 15B 5 34</t>
  </si>
  <si>
    <t>CRR 26C 21 41</t>
  </si>
  <si>
    <t>VDRA LAS VUELTAS</t>
  </si>
  <si>
    <t>LA GERMANIA</t>
  </si>
  <si>
    <t>CR 39 21 48</t>
  </si>
  <si>
    <t>CR 42 N 15 35</t>
  </si>
  <si>
    <t>CL 9A 20 27</t>
  </si>
  <si>
    <t>CLL 12A 6 23</t>
  </si>
  <si>
    <t>CL 17 1A 19</t>
  </si>
  <si>
    <t>CR 16A 9 42</t>
  </si>
  <si>
    <t>CRA 7 A 11_25</t>
  </si>
  <si>
    <t>CL 23 30 24</t>
  </si>
  <si>
    <t>CRR 37B 13 86</t>
  </si>
  <si>
    <t>VDA LA PARROQUIA</t>
  </si>
  <si>
    <t>CL 7A 48 28</t>
  </si>
  <si>
    <t>CLL23 22 14</t>
  </si>
  <si>
    <t>CLL 20 28 38</t>
  </si>
  <si>
    <t>CR 17 1A 15</t>
  </si>
  <si>
    <t>DIAG11A 10A 86</t>
  </si>
  <si>
    <t>K 2 SILVA PLAZAS</t>
  </si>
  <si>
    <t>CRA 27 24 08</t>
  </si>
  <si>
    <t>VRD SAN PEDRO</t>
  </si>
  <si>
    <t>CARRERA 35 15 64 SIMON BOLIVAR</t>
  </si>
  <si>
    <t>CARRERA 32 9B 20</t>
  </si>
  <si>
    <t>KLL 2 13A 40</t>
  </si>
  <si>
    <t>CR 11A 9 128</t>
  </si>
  <si>
    <t>CRA23 4 39</t>
  </si>
  <si>
    <t>CR 29 N 8 45</t>
  </si>
  <si>
    <t>CL 24 11A 68</t>
  </si>
  <si>
    <t>CRA 21 N 7 21</t>
  </si>
  <si>
    <t>TRV 09 10A 18</t>
  </si>
  <si>
    <t>SECTOR EL NOGAL</t>
  </si>
  <si>
    <t>CR 24 23</t>
  </si>
  <si>
    <t>C L 2 14 39</t>
  </si>
  <si>
    <t>CL 24 30 26</t>
  </si>
  <si>
    <t>CR 17C 2 37</t>
  </si>
  <si>
    <t>CRA5A 17A30</t>
  </si>
  <si>
    <t>CR 14 14 77</t>
  </si>
  <si>
    <t>CL 4 17 37</t>
  </si>
  <si>
    <t>CL 19 22 78</t>
  </si>
  <si>
    <t>CR 42 20 13</t>
  </si>
  <si>
    <t>CR 13 18 28</t>
  </si>
  <si>
    <t>CR 40 20 15</t>
  </si>
  <si>
    <t>CLL 12 7 16</t>
  </si>
  <si>
    <t>CL 3 8 13</t>
  </si>
  <si>
    <t>CR 31C 14A 20</t>
  </si>
  <si>
    <t>VDRA UCUENGA</t>
  </si>
  <si>
    <t>CL 24 26 81</t>
  </si>
  <si>
    <t>el rosal</t>
  </si>
  <si>
    <t>CR 21 23 25</t>
  </si>
  <si>
    <t>CL 19 5 18</t>
  </si>
  <si>
    <t>cr 34 19 133</t>
  </si>
  <si>
    <t>CR 38 N 21 07</t>
  </si>
  <si>
    <t>CR 11 N 6 35</t>
  </si>
  <si>
    <t>CR 49B 26B 50</t>
  </si>
  <si>
    <t>TV 5 24A 06</t>
  </si>
  <si>
    <t>CLL 145A 15 31</t>
  </si>
  <si>
    <t>CL 24 A 1B 115</t>
  </si>
  <si>
    <t>CLL 13A 9 09</t>
  </si>
  <si>
    <t>TV 14 12 14</t>
  </si>
  <si>
    <t>CR 5 15 02</t>
  </si>
  <si>
    <t>SOCHA CENTRO</t>
  </si>
  <si>
    <t>CRA 21 16 34</t>
  </si>
  <si>
    <t>DG 20 37 32</t>
  </si>
  <si>
    <t>CR 8A 17B 45</t>
  </si>
  <si>
    <t>CR 01 A 18 32 BRR LA GRUTA</t>
  </si>
  <si>
    <t>VEREDA CENTRO</t>
  </si>
  <si>
    <t>VRD DONACION</t>
  </si>
  <si>
    <t>CR16 N 28 41</t>
  </si>
  <si>
    <t>CL 5 45 16</t>
  </si>
  <si>
    <t>CR 33 15 35</t>
  </si>
  <si>
    <t>CR 7 B 10 13</t>
  </si>
  <si>
    <t>CL 14 7 45</t>
  </si>
  <si>
    <t>CL 22 36 40</t>
  </si>
  <si>
    <t>CL 12 7 38</t>
  </si>
  <si>
    <t>VR SANTA LUCIA</t>
  </si>
  <si>
    <t>CL  1B  34B 31</t>
  </si>
  <si>
    <t>CALLE 15 13 62</t>
  </si>
  <si>
    <t>CR 23 12 13</t>
  </si>
  <si>
    <t>VRD SANTA ANA</t>
  </si>
  <si>
    <t>CR 18 8 31</t>
  </si>
  <si>
    <t>CLL 17A 10 40</t>
  </si>
  <si>
    <t>cr 30 14 77</t>
  </si>
  <si>
    <t>CL 19 A 6 152</t>
  </si>
  <si>
    <t>CLL 14 18 67</t>
  </si>
  <si>
    <t>CALLE 15 12 51</t>
  </si>
  <si>
    <t>CRA 3 1 77</t>
  </si>
  <si>
    <t>CL 20 N 1A 36</t>
  </si>
  <si>
    <t>CR 10A 9A 77</t>
  </si>
  <si>
    <t>CL 29A 16 29</t>
  </si>
  <si>
    <t>CL 13 37 A 17</t>
  </si>
  <si>
    <t>DG 16 5 109</t>
  </si>
  <si>
    <t>CL 54 N 7 13 PRINCIPAL</t>
  </si>
  <si>
    <t>CL 37 52 252</t>
  </si>
  <si>
    <t>CR 37A 13 28</t>
  </si>
  <si>
    <t>CR 5A 17A 78</t>
  </si>
  <si>
    <t>CLL 17 14 43</t>
  </si>
  <si>
    <t>TV 29 10 73</t>
  </si>
  <si>
    <t>CL 19B 126 19</t>
  </si>
  <si>
    <t>CL 10 27 36</t>
  </si>
  <si>
    <t>LAS AMERICAS DUITAMA</t>
  </si>
  <si>
    <t>CR 4  7 20</t>
  </si>
  <si>
    <t>CLL 7 28C 02</t>
  </si>
  <si>
    <t>CR 5 A 2 19</t>
  </si>
  <si>
    <t>CRA 24 11 36</t>
  </si>
  <si>
    <t>CR 29 N 19 A 54</t>
  </si>
  <si>
    <t>CR 23 23 29</t>
  </si>
  <si>
    <t>CLL9 29 28</t>
  </si>
  <si>
    <t>CRA 18 3 27</t>
  </si>
  <si>
    <t>CR 17 N 16 39</t>
  </si>
  <si>
    <t>CR 9 CL 40</t>
  </si>
  <si>
    <t>CL 1A W 34 B48</t>
  </si>
  <si>
    <t>CR 27 20 26</t>
  </si>
  <si>
    <t>CR 11 9 21</t>
  </si>
  <si>
    <t>CRA 8A 13A 75</t>
  </si>
  <si>
    <t>TV 14 8 50</t>
  </si>
  <si>
    <t>CLL 24 27 45</t>
  </si>
  <si>
    <t>CR 18 8 12</t>
  </si>
  <si>
    <t>CR 9A 15 56</t>
  </si>
  <si>
    <t>CR 11 N B9 113</t>
  </si>
  <si>
    <t>VDR ROMITA FINCA LA GRANJITA</t>
  </si>
  <si>
    <t>CR 17 18 05</t>
  </si>
  <si>
    <t>CRR 12A 22 120</t>
  </si>
  <si>
    <t>CR 4 01 03</t>
  </si>
  <si>
    <t>CR 45 21 29</t>
  </si>
  <si>
    <t>CL 22 26 65</t>
  </si>
  <si>
    <t>CR 15 N 10 51</t>
  </si>
  <si>
    <t>MIRADOR LA ESPERANZA</t>
  </si>
  <si>
    <t>CLL 4 9 101</t>
  </si>
  <si>
    <t>CR 33 N 13 35</t>
  </si>
  <si>
    <t>CR 43 A 17 20</t>
  </si>
  <si>
    <t>CLL 16 31 205</t>
  </si>
  <si>
    <t>CLL 22 3 83</t>
  </si>
  <si>
    <t>CR 29A 7 20</t>
  </si>
  <si>
    <t>CLL 26 19 23</t>
  </si>
  <si>
    <t>CR 29 24 36</t>
  </si>
  <si>
    <t>CR 1 24 170</t>
  </si>
  <si>
    <t>CR 2 20 195</t>
  </si>
  <si>
    <t>BRR SAN ANTONIO</t>
  </si>
  <si>
    <t>CR 14 14 48</t>
  </si>
  <si>
    <t>CL 10 24 61</t>
  </si>
  <si>
    <t>CR 7 1A 17</t>
  </si>
  <si>
    <t>CL 16 25 12</t>
  </si>
  <si>
    <t>CL 15 37 15</t>
  </si>
  <si>
    <t>CL 3 11 A 18</t>
  </si>
  <si>
    <t>CRA17 10 27</t>
  </si>
  <si>
    <t>CL 24A 27 60</t>
  </si>
  <si>
    <t>CLL 18 B 4 55</t>
  </si>
  <si>
    <t>TV 15 20 93</t>
  </si>
  <si>
    <t>CL 10 9 37</t>
  </si>
  <si>
    <t>CL 14 12 73</t>
  </si>
  <si>
    <t>CL 7 4 70</t>
  </si>
  <si>
    <t>AVENIDA 1 49 50</t>
  </si>
  <si>
    <t>CL 14 13 58</t>
  </si>
  <si>
    <t>CR 11 A 22 09</t>
  </si>
  <si>
    <t>CR 17 14 28</t>
  </si>
  <si>
    <t>CLL 28 15_81</t>
  </si>
  <si>
    <t>CLL 12 30 16</t>
  </si>
  <si>
    <t>CL 15 42 30</t>
  </si>
  <si>
    <t>CR 17 23 43</t>
  </si>
  <si>
    <t>VR CHAPA</t>
  </si>
  <si>
    <t>CL 8 N 8 28</t>
  </si>
  <si>
    <t>CLL 29 19 22</t>
  </si>
  <si>
    <t>CR 22A 19 - 33</t>
  </si>
  <si>
    <t>CL 25 A 26 23</t>
  </si>
  <si>
    <t>CR 2A 17A 68</t>
  </si>
  <si>
    <t>CLL  18 26 44</t>
  </si>
  <si>
    <t>AV CIRCUNVALAR N 20A 27</t>
  </si>
  <si>
    <t>CLL 12 30 23</t>
  </si>
  <si>
    <t>CALLE 22 23 A15</t>
  </si>
  <si>
    <t>CLL 11 0778</t>
  </si>
  <si>
    <t>CL 13 A 5 75</t>
  </si>
  <si>
    <t>CR 29 8 36</t>
  </si>
  <si>
    <t>KILO 4 VIA DUITAMA</t>
  </si>
  <si>
    <t>CR 8 9 71</t>
  </si>
  <si>
    <t>CR 42 N 19 46</t>
  </si>
  <si>
    <t>KM 6 .5</t>
  </si>
  <si>
    <t>CL 41  1 51 ESTE</t>
  </si>
  <si>
    <t>CR 1 16 25</t>
  </si>
  <si>
    <t>CL 10 25 54</t>
  </si>
  <si>
    <t>CRA 1E 18 65</t>
  </si>
  <si>
    <t>CR 9B 17 A 30</t>
  </si>
  <si>
    <t>CL 28 17 36</t>
  </si>
  <si>
    <t>CLL 21 29 50</t>
  </si>
  <si>
    <t>CL 7 A 14 A 02 AP 201</t>
  </si>
  <si>
    <t>CLL 6 7 67</t>
  </si>
  <si>
    <t>CLL22 16 47</t>
  </si>
  <si>
    <t>VERD TRINIDAD</t>
  </si>
  <si>
    <t>CL 20 06 32</t>
  </si>
  <si>
    <t>CLL 17A 5 42</t>
  </si>
  <si>
    <t>CL 7 12 30</t>
  </si>
  <si>
    <t>CL 6 2 54</t>
  </si>
  <si>
    <t>SAN LORENZO DE ABAJO</t>
  </si>
  <si>
    <t>CR 10 11 3</t>
  </si>
  <si>
    <t>KRR 23   N 21   67</t>
  </si>
  <si>
    <t>CLL 20 36 30</t>
  </si>
  <si>
    <t>CR 35 2W 165</t>
  </si>
  <si>
    <t>CL 10A N 9 64</t>
  </si>
  <si>
    <t>CR  21 20 30</t>
  </si>
  <si>
    <t>CR 4 7 58</t>
  </si>
  <si>
    <t>CR 24 22 19</t>
  </si>
  <si>
    <t>CL 17 38 30</t>
  </si>
  <si>
    <t>CR 26 19 A 01</t>
  </si>
  <si>
    <t>DG16 6 184</t>
  </si>
  <si>
    <t>CR 11 1 20</t>
  </si>
  <si>
    <t>CL 2016</t>
  </si>
  <si>
    <t>CR 12 2 7 6</t>
  </si>
  <si>
    <t>TV 14 8 44</t>
  </si>
  <si>
    <t>CR 36 N 20A 69</t>
  </si>
  <si>
    <t>CR 17 J28 33</t>
  </si>
  <si>
    <t>CRA 5 18 28</t>
  </si>
  <si>
    <t>CR 20 8 58</t>
  </si>
  <si>
    <t>VRD LA PRADERA</t>
  </si>
  <si>
    <t>CL 17 A 7 B 09</t>
  </si>
  <si>
    <t>CR 10 9 64</t>
  </si>
  <si>
    <t>CL 11 36 67</t>
  </si>
  <si>
    <t>CR 18 Ñ3 27</t>
  </si>
  <si>
    <t>VDA SANLORENZO</t>
  </si>
  <si>
    <t>CLL 21 33 2 49</t>
  </si>
  <si>
    <t>CL 1 A 44 37</t>
  </si>
  <si>
    <t>TRASVERSAL 47 7 A16</t>
  </si>
  <si>
    <t>CL 17 4 08</t>
  </si>
  <si>
    <t>CL 5 8 19</t>
  </si>
  <si>
    <t>TRAV 19 28 55</t>
  </si>
  <si>
    <t>CLL 24 N3 68</t>
  </si>
  <si>
    <t>CR 27 19 33</t>
  </si>
  <si>
    <t>CLL 21 N° 29 - 52</t>
  </si>
  <si>
    <t>CLL 25  10 01</t>
  </si>
  <si>
    <t>CR 19 12 29</t>
  </si>
  <si>
    <t>CL 23A 27 45</t>
  </si>
  <si>
    <t>CR 38 13 16 PISO 4</t>
  </si>
  <si>
    <t>CR 10 22B_119</t>
  </si>
  <si>
    <t>CLL 28 1775</t>
  </si>
  <si>
    <t>VDA LA PRADERA</t>
  </si>
  <si>
    <t>CLL 16 18</t>
  </si>
  <si>
    <t>CR 22A 20 81</t>
  </si>
  <si>
    <t>CL 23 TV 5 B 15</t>
  </si>
  <si>
    <t>CR 8 16 13</t>
  </si>
  <si>
    <t>CRA 8 16 50</t>
  </si>
  <si>
    <t>CR 40 18 36</t>
  </si>
  <si>
    <t>CLL 15 8 71</t>
  </si>
  <si>
    <t>CL 9 10 49</t>
  </si>
  <si>
    <t>CRA 9 5 03</t>
  </si>
  <si>
    <t>CL 7A 47 A07</t>
  </si>
  <si>
    <t>CR 5 17 09</t>
  </si>
  <si>
    <t>CL 9 6 12</t>
  </si>
  <si>
    <t>TV 29 19 12</t>
  </si>
  <si>
    <t>CL 10 23 14</t>
  </si>
  <si>
    <t>CONCENTRACION GABRIELA MISTRAL</t>
  </si>
  <si>
    <t>CL 14 B 37B 05</t>
  </si>
  <si>
    <t>CR 18 8 20</t>
  </si>
  <si>
    <t>CR 31 21 38</t>
  </si>
  <si>
    <t>DGN 16 03 22</t>
  </si>
  <si>
    <t>CLL 14 5A 64</t>
  </si>
  <si>
    <t>CALLE 23C 3 43</t>
  </si>
  <si>
    <t>VARGUITAS</t>
  </si>
  <si>
    <t>CRA 40A 22 68</t>
  </si>
  <si>
    <t>CARRERA 24 23B 19</t>
  </si>
  <si>
    <t>CL 16 6 26</t>
  </si>
  <si>
    <t>CALLE 26 1A 05</t>
  </si>
  <si>
    <t>CR 16 34 15</t>
  </si>
  <si>
    <t>DNAL 18 21 37</t>
  </si>
  <si>
    <t>CRA10A 8A 174</t>
  </si>
  <si>
    <t>CL 2C 25 98</t>
  </si>
  <si>
    <t>CR 32 29 41</t>
  </si>
  <si>
    <t>CLL 17A 6 27</t>
  </si>
  <si>
    <t>CLL 15 17 36</t>
  </si>
  <si>
    <t>CARR 19 A 20 61</t>
  </si>
  <si>
    <t>CL 6 18 48</t>
  </si>
  <si>
    <t>CL 30 SAN RAFAEL DOS</t>
  </si>
  <si>
    <t>CRR 6A 15 15</t>
  </si>
  <si>
    <t>TRV 19 23 116</t>
  </si>
  <si>
    <t>CR 4B 17 16</t>
  </si>
  <si>
    <t>CLL15_17 71</t>
  </si>
  <si>
    <t>MZ E CS 4</t>
  </si>
  <si>
    <t>CR 4 1 178</t>
  </si>
  <si>
    <t>CR 14 16 11</t>
  </si>
  <si>
    <t>CLL 5A 45A 46</t>
  </si>
  <si>
    <t>CL 20 42 112</t>
  </si>
  <si>
    <t>CR 6 19 20</t>
  </si>
  <si>
    <t>CL 3 N 17 66</t>
  </si>
  <si>
    <t>CL 7W 34A 18</t>
  </si>
  <si>
    <t>CL 17 1E 60</t>
  </si>
  <si>
    <t>CR 22 17 74</t>
  </si>
  <si>
    <t>CLLE 20 17 71</t>
  </si>
  <si>
    <t>CR 42 19 46</t>
  </si>
  <si>
    <t>Robledales II T 24 Apto303</t>
  </si>
  <si>
    <t>CRA 41 21B 28</t>
  </si>
  <si>
    <t>CR 45 19 13</t>
  </si>
  <si>
    <t>CL 18 BIS 30 17</t>
  </si>
  <si>
    <t>CL 23 TVS 5 04</t>
  </si>
  <si>
    <t>CL 4W 34 01</t>
  </si>
  <si>
    <t>CLL 13A 23 35</t>
  </si>
  <si>
    <t>DG 16 4 65</t>
  </si>
  <si>
    <t>CR 11A 22 135</t>
  </si>
  <si>
    <t>CR 17B N 24 40</t>
  </si>
  <si>
    <t>CR 26 13 28</t>
  </si>
  <si>
    <t>CRA 2 N17 A 25</t>
  </si>
  <si>
    <t>CR 5C 14A 27</t>
  </si>
  <si>
    <t>CRR 9 1 47</t>
  </si>
  <si>
    <t>VEREDA CHORITO</t>
  </si>
  <si>
    <t>CR 34 N 19 102</t>
  </si>
  <si>
    <t>CLL 15 1 23</t>
  </si>
  <si>
    <t>CLL 15 35 74</t>
  </si>
  <si>
    <t>CR 11 A 4 24</t>
  </si>
  <si>
    <t>cll 3 n 17 36</t>
  </si>
  <si>
    <t>VDR PEÑA NEGRA TIBASOSA</t>
  </si>
  <si>
    <t>CR 37a 10 06</t>
  </si>
  <si>
    <t>CL 24 5 48</t>
  </si>
  <si>
    <t>KM 5 VIA DUITAMA TIBASOSA SANTA TE</t>
  </si>
  <si>
    <t>CLL 15N11A35</t>
  </si>
  <si>
    <t>CR 21 17A 148</t>
  </si>
  <si>
    <t>CLL 1 N 6 06</t>
  </si>
  <si>
    <t>CR 29 7A 10</t>
  </si>
  <si>
    <t>CR 8 9 A  71</t>
  </si>
  <si>
    <t>CL 16 N 5 C 139</t>
  </si>
  <si>
    <t>CL 24 4A 10</t>
  </si>
  <si>
    <t>CR 2A N7 39</t>
  </si>
  <si>
    <t>CL 11 3 50</t>
  </si>
  <si>
    <t>CLL 18 11 28</t>
  </si>
  <si>
    <t>CL 4 1 03</t>
  </si>
  <si>
    <t>CR 40 22A 83 85</t>
  </si>
  <si>
    <t>CLL 15 98</t>
  </si>
  <si>
    <t>DIAGONAL 11A 10A 86</t>
  </si>
  <si>
    <t>CLL 21 37 33</t>
  </si>
  <si>
    <t>CL 2 8 18</t>
  </si>
  <si>
    <t>CR 11 9 88</t>
  </si>
  <si>
    <t>CL 19 A N 22 62</t>
  </si>
  <si>
    <t>CRA 25 21 47</t>
  </si>
  <si>
    <t>CLL 14 10 10</t>
  </si>
  <si>
    <t>CR 32 16 70</t>
  </si>
  <si>
    <t>AV 21 52</t>
  </si>
  <si>
    <t>CR 13 15B 18</t>
  </si>
  <si>
    <t>CR 24 N 4A 58</t>
  </si>
  <si>
    <t>CL 15 A 32 28</t>
  </si>
  <si>
    <t>CR 23 22A 41</t>
  </si>
  <si>
    <t>CLL 18 19 22</t>
  </si>
  <si>
    <t>CR 35 15 70</t>
  </si>
  <si>
    <t>CR 42 05 A 146</t>
  </si>
  <si>
    <t>CR 68B 76A 41</t>
  </si>
  <si>
    <t>CL 17 34 58</t>
  </si>
  <si>
    <t>VDA EL BOSQUE</t>
  </si>
  <si>
    <t>CL 17A 4A 07</t>
  </si>
  <si>
    <t>TRAN 10 N 12 53</t>
  </si>
  <si>
    <t>CL 24 24 13</t>
  </si>
  <si>
    <t>CR 30 14 35</t>
  </si>
  <si>
    <t>BARRIO LEON 13</t>
  </si>
  <si>
    <t>CRA 10 N° 22D - 119</t>
  </si>
  <si>
    <t>CR 40 BIS 22 A 30</t>
  </si>
  <si>
    <t>CR 42 15 312</t>
  </si>
  <si>
    <t>CR 30  21 24</t>
  </si>
  <si>
    <t>CONJUNTO PATIVILCA</t>
  </si>
  <si>
    <t>CL 18 8 01</t>
  </si>
  <si>
    <t>CR 23 A 23 55</t>
  </si>
  <si>
    <t>CLL 23A N5 B 28</t>
  </si>
  <si>
    <t>CL 57B 35A 46</t>
  </si>
  <si>
    <t>CL 18 A 4 50</t>
  </si>
  <si>
    <t>CL 15 11 09</t>
  </si>
  <si>
    <t>TV 5C 23A 21</t>
  </si>
  <si>
    <t>CL 26 17 45</t>
  </si>
  <si>
    <t>CR 37 20 A 26</t>
  </si>
  <si>
    <t>CL 5 3 17</t>
  </si>
  <si>
    <t>CARRERA 4  2 15 LA SALINA</t>
  </si>
  <si>
    <t>CR 23 20 60</t>
  </si>
  <si>
    <t>CR 1 E 17 A 52</t>
  </si>
  <si>
    <t>CLL 10 9 46</t>
  </si>
  <si>
    <t>CL 22 36A 29</t>
  </si>
  <si>
    <t>CR 30 8 69</t>
  </si>
  <si>
    <t>TRV 19 N 36 35</t>
  </si>
  <si>
    <t>CLL 9 30 08</t>
  </si>
  <si>
    <t>VIA SALITRE</t>
  </si>
  <si>
    <t>CL 1 8A 04</t>
  </si>
  <si>
    <t>CALL 27 2 16</t>
  </si>
  <si>
    <t>CL 16 14 63 OF 305</t>
  </si>
  <si>
    <t>VDA EL COGOLLO</t>
  </si>
  <si>
    <t>CRR 6B 4 44</t>
  </si>
  <si>
    <t>CR 10 9A 99</t>
  </si>
  <si>
    <t>KLL 21 34 60</t>
  </si>
  <si>
    <t>CR 8 2 27</t>
  </si>
  <si>
    <t>CL 8 37 03</t>
  </si>
  <si>
    <t>CALLE 29 19 17</t>
  </si>
  <si>
    <t>cr 8 1 43</t>
  </si>
  <si>
    <t>CL 7 B 25 A 60</t>
  </si>
  <si>
    <t>CR 2N 22 04</t>
  </si>
  <si>
    <t>CALLE 17  34 59</t>
  </si>
  <si>
    <t>CR 25 19 73</t>
  </si>
  <si>
    <t>CRA 11 9BIS 45</t>
  </si>
  <si>
    <t>CR 34 1585</t>
  </si>
  <si>
    <t>CR 30 23 09</t>
  </si>
  <si>
    <t>CL 17 21 47</t>
  </si>
  <si>
    <t>CL 18A 3 N 04</t>
  </si>
  <si>
    <t>CLL 5A 2 59</t>
  </si>
  <si>
    <t>CRR 2E 1 66</t>
  </si>
  <si>
    <t>CR 9 18 29</t>
  </si>
  <si>
    <t>CL 19BIS 5 57</t>
  </si>
  <si>
    <t>CALLE 24 27 126</t>
  </si>
  <si>
    <t>CL 18 1 67</t>
  </si>
  <si>
    <t>CRA7B 1125</t>
  </si>
  <si>
    <t>TRV 37 16 180</t>
  </si>
  <si>
    <t>CR 16A N 5 94</t>
  </si>
  <si>
    <t>CALLE 21 33 2 49</t>
  </si>
  <si>
    <t>CLL 9 10 N13 24</t>
  </si>
  <si>
    <t>CL 19 4 B26</t>
  </si>
  <si>
    <t>ROBLEDALES 2 BLQ 4</t>
  </si>
  <si>
    <t>DIAGONAL 11 A N 13-14</t>
  </si>
  <si>
    <t>CL 12A N  7B 45</t>
  </si>
  <si>
    <t>CR 9 19 A31</t>
  </si>
  <si>
    <t>KR 38A 14 120</t>
  </si>
  <si>
    <t>CL 17 BIS 1 D 31</t>
  </si>
  <si>
    <t>CR 39 21 04</t>
  </si>
  <si>
    <t>CR 26 13 12</t>
  </si>
  <si>
    <t>CR 5 14B 65</t>
  </si>
  <si>
    <t>BERREDA EL CARMEN</t>
  </si>
  <si>
    <t>DG 7B N 6A 08 MZ I CA 8</t>
  </si>
  <si>
    <t>CLL 24A 2 12</t>
  </si>
  <si>
    <t>CR 10 BIS 10 89</t>
  </si>
  <si>
    <t>CR 16 A 9 30</t>
  </si>
  <si>
    <t>CR 9 17A 31</t>
  </si>
  <si>
    <t>CR 1B 17 19</t>
  </si>
  <si>
    <t>CLL 16 25 12</t>
  </si>
  <si>
    <t>CRR 44 21A 16</t>
  </si>
  <si>
    <t>VEREDA QUEBRADADE BECERAS</t>
  </si>
  <si>
    <t>CR 17 35A 205</t>
  </si>
  <si>
    <t>CRA 36 22 75</t>
  </si>
  <si>
    <t>CR 16 35 213</t>
  </si>
  <si>
    <t>VDR PUNTALARG</t>
  </si>
  <si>
    <t>CL 9AB 9 17</t>
  </si>
  <si>
    <t>CL 8 11 75</t>
  </si>
  <si>
    <t>CL 4 19 32</t>
  </si>
  <si>
    <t>CR 7 B 7 44</t>
  </si>
  <si>
    <t>CL 15 8 93</t>
  </si>
  <si>
    <t>CR 11 2 51</t>
  </si>
  <si>
    <t>CL 23B TV 5B 21</t>
  </si>
  <si>
    <t>CR 12 2 29</t>
  </si>
  <si>
    <t>CR 17 N 19 57</t>
  </si>
  <si>
    <t>CL 20 A 24 53</t>
  </si>
  <si>
    <t>CL 14 6 83</t>
  </si>
  <si>
    <t>CR 12 15 34</t>
  </si>
  <si>
    <t>CLL 3 A 7 25</t>
  </si>
  <si>
    <t>CL 12 27 106</t>
  </si>
  <si>
    <t>CL 14 N 6 44</t>
  </si>
  <si>
    <t>CR 7A 11 60</t>
  </si>
  <si>
    <t>KM 5 VIA SANTAROSA</t>
  </si>
  <si>
    <t>TRAN 19 22 84</t>
  </si>
  <si>
    <t>CRR 5 15A 25</t>
  </si>
  <si>
    <t>LAS LAJAS</t>
  </si>
  <si>
    <t>CR 26 7 09 APT402</t>
  </si>
  <si>
    <t>CL 7 48 23</t>
  </si>
  <si>
    <t>cr 24 4 40</t>
  </si>
  <si>
    <t>CR 37 20 45</t>
  </si>
  <si>
    <t>CL 3 18 25</t>
  </si>
  <si>
    <t>CR 4 6 95</t>
  </si>
  <si>
    <t>CLL 17B 10 15</t>
  </si>
  <si>
    <t>CR 04A 02A 22</t>
  </si>
  <si>
    <t>CR 9 13 A 23</t>
  </si>
  <si>
    <t>CR 7 B 17 B 30</t>
  </si>
  <si>
    <t>AV CRA 80 8_11</t>
  </si>
  <si>
    <t>CLL 21 N 33 249</t>
  </si>
  <si>
    <t>CLL 6 36 B  64</t>
  </si>
  <si>
    <t>CALLE 11 35 46</t>
  </si>
  <si>
    <t>CR 12 22 50</t>
  </si>
  <si>
    <t>CR 3 11 50</t>
  </si>
  <si>
    <t>CLL 17 A  5 111</t>
  </si>
  <si>
    <t>CL 11 27 92</t>
  </si>
  <si>
    <t>CL 19A 30 45</t>
  </si>
  <si>
    <t>CL 25 2 90</t>
  </si>
  <si>
    <t>CLL 12 N 1622</t>
  </si>
  <si>
    <t>CR 38 C 14 19</t>
  </si>
  <si>
    <t>CALLE 14 N 15-31</t>
  </si>
  <si>
    <t>CLL 18 1406</t>
  </si>
  <si>
    <t>VDR SALITRE SANTA ROSA</t>
  </si>
  <si>
    <t>CNJ ROBLEALES 2</t>
  </si>
  <si>
    <t>CR 11 BIS 9 135</t>
  </si>
  <si>
    <t>CL 9 01 10</t>
  </si>
  <si>
    <t>CL 26A 17 31</t>
  </si>
  <si>
    <t>CL 20A 20 22</t>
  </si>
  <si>
    <t>cl 8a 14 04</t>
  </si>
  <si>
    <t>CLL 20 16 57</t>
  </si>
  <si>
    <t>CALLE 16 3 26</t>
  </si>
  <si>
    <t>CRR 26 A 24 25</t>
  </si>
  <si>
    <t>CR 3A 18 71 N</t>
  </si>
  <si>
    <t>CL 4 2 103</t>
  </si>
  <si>
    <t>CL 20A 45 53</t>
  </si>
  <si>
    <t>CLL 16 N 32-34</t>
  </si>
  <si>
    <t>CR 24 20 64</t>
  </si>
  <si>
    <t>KM 1 VDR SIRATA</t>
  </si>
  <si>
    <t>CL 5 8 40</t>
  </si>
  <si>
    <t>CR 23 13 56</t>
  </si>
  <si>
    <t>CARR 2 A 42 A 45 TUNJA</t>
  </si>
  <si>
    <t>CR 9 17 A 24</t>
  </si>
  <si>
    <t>CR 4 18 33</t>
  </si>
  <si>
    <t>CLL 18 9 56</t>
  </si>
  <si>
    <t>CR 3 B 23 B 04</t>
  </si>
  <si>
    <t>CR 31A 16 20</t>
  </si>
  <si>
    <t>CL 16 315</t>
  </si>
  <si>
    <t>CLL 15 N 17 52</t>
  </si>
  <si>
    <t>CRR 21 20 40</t>
  </si>
  <si>
    <t>CRA 30 20 18</t>
  </si>
  <si>
    <t>CL 12 13 04</t>
  </si>
  <si>
    <t>CL 20 32 260</t>
  </si>
  <si>
    <t>CL 17 4 13</t>
  </si>
  <si>
    <t>CL 14A 4 46</t>
  </si>
  <si>
    <t>CR 10A N 10 82</t>
  </si>
  <si>
    <t>CL 20 26 94</t>
  </si>
  <si>
    <t>CR 3 4 74</t>
  </si>
  <si>
    <t>CL 152 116 62</t>
  </si>
  <si>
    <t>CR 18 03 27</t>
  </si>
  <si>
    <t>CLL2 C 25 64</t>
  </si>
  <si>
    <t>CALLE 15 29 46</t>
  </si>
  <si>
    <t>CR 37B 13 58</t>
  </si>
  <si>
    <t>CL 16 5C 139</t>
  </si>
  <si>
    <t>CRA 10B 10 05</t>
  </si>
  <si>
    <t>CR 18 4 44</t>
  </si>
  <si>
    <t>CL 8 19B 23</t>
  </si>
  <si>
    <t>CRA 9A 17C 45</t>
  </si>
  <si>
    <t>CR 5 14 B 82 P 2</t>
  </si>
  <si>
    <t>BARRIO EL COGOLLO</t>
  </si>
  <si>
    <t>CR 2 A 15 A 68</t>
  </si>
  <si>
    <t>CR 26 19A 31</t>
  </si>
  <si>
    <t>CR 8 17 47</t>
  </si>
  <si>
    <t>CL 111 91</t>
  </si>
  <si>
    <t>CONJNTO CAMILO TORRES</t>
  </si>
  <si>
    <t>CR 22 20 28</t>
  </si>
  <si>
    <t>CL 22 31 60</t>
  </si>
  <si>
    <t>CR 23 23 36</t>
  </si>
  <si>
    <t>CR 11 9BIS 131</t>
  </si>
  <si>
    <t>CR 15 17 28</t>
  </si>
  <si>
    <t>CL 19A 26 90</t>
  </si>
  <si>
    <t>CL 10 8 34</t>
  </si>
  <si>
    <t>CRA 21 33 2 40</t>
  </si>
  <si>
    <t>CR 9A 15 15</t>
  </si>
  <si>
    <t>CL 15 7A 03</t>
  </si>
  <si>
    <t>CL 17 N 10 12</t>
  </si>
  <si>
    <t>CR 23C 5 7 3</t>
  </si>
  <si>
    <t>CL 24A 27 48</t>
  </si>
  <si>
    <t>CRR8 N9 45 ALCASAREZ CASA92</t>
  </si>
  <si>
    <t>CLL17 7-82</t>
  </si>
  <si>
    <t>CR 29 21 A 16</t>
  </si>
  <si>
    <t>CR 25 3 47</t>
  </si>
  <si>
    <t>PARQUE DE FLORENCIA</t>
  </si>
  <si>
    <t>CRA 11 17A 82</t>
  </si>
  <si>
    <t>CR 42 20 35</t>
  </si>
  <si>
    <t>CR 22B 2 17</t>
  </si>
  <si>
    <t>CL 14B 38A 18</t>
  </si>
  <si>
    <t>CL2 13A 54</t>
  </si>
  <si>
    <t>CL 27 17 20</t>
  </si>
  <si>
    <t>URBANIZACION PANORAMA</t>
  </si>
  <si>
    <t>CLL 10 3195</t>
  </si>
  <si>
    <t>CL 19 42 48</t>
  </si>
  <si>
    <t>CLL 27 19 151</t>
  </si>
  <si>
    <t>TV 14 42 41</t>
  </si>
  <si>
    <t>CR 2 18 09</t>
  </si>
  <si>
    <t>CR 34 19 102</t>
  </si>
  <si>
    <t>VRD SIRATA</t>
  </si>
  <si>
    <t>CR 18_32_36</t>
  </si>
  <si>
    <t>CL 20A 34 117</t>
  </si>
  <si>
    <t>CL 16 31 A 53</t>
  </si>
  <si>
    <t>CR 26C 21 14</t>
  </si>
  <si>
    <t>CL 19A 30 66</t>
  </si>
  <si>
    <t>CRA 10 A BIS 10 84</t>
  </si>
  <si>
    <t>CR 3 NORTE 18 20</t>
  </si>
  <si>
    <t>CR 24 4 146</t>
  </si>
  <si>
    <t>CL 20 43 75</t>
  </si>
  <si>
    <t>CL 23 23A 13</t>
  </si>
  <si>
    <t>CL 9A 10A 17</t>
  </si>
  <si>
    <t>URB LOS LIBERTADORES</t>
  </si>
  <si>
    <t>CL 17A 2 22</t>
  </si>
  <si>
    <t>CALLE12 N 13 13</t>
  </si>
  <si>
    <t>CALLE 12N 28 18</t>
  </si>
  <si>
    <t>CRA 13A 1 13</t>
  </si>
  <si>
    <t>PARQUE DE FLORESTA</t>
  </si>
  <si>
    <t>CALLE 15 17 62</t>
  </si>
  <si>
    <t>TRV 19 31 74 PISO 4</t>
  </si>
  <si>
    <t>CLL 10 11A 32</t>
  </si>
  <si>
    <t>CR 37 20A 12</t>
  </si>
  <si>
    <t>CR 16 7 95</t>
  </si>
  <si>
    <t>CR 3 23 188</t>
  </si>
  <si>
    <t>BRR LOS LIBERTADORES</t>
  </si>
  <si>
    <t>CRA 3A 14 163</t>
  </si>
  <si>
    <t>CL 14 B 34 61</t>
  </si>
  <si>
    <t>CRR 27 24 52</t>
  </si>
  <si>
    <t>CL 3 A 25 B 80</t>
  </si>
  <si>
    <t>CL 14 31 15</t>
  </si>
  <si>
    <t>CRA 26  21 20</t>
  </si>
  <si>
    <t>CLL 02 A 4 A 50 SANTA ROSA VITERBO</t>
  </si>
  <si>
    <t>CALLE 10  39_13</t>
  </si>
  <si>
    <t>CL 4 9 84</t>
  </si>
  <si>
    <t>CL 19 30 280</t>
  </si>
  <si>
    <t>CR 44 1B19</t>
  </si>
  <si>
    <t>VDR EL SALITRE</t>
  </si>
  <si>
    <t>CL 15 A 37 51</t>
  </si>
  <si>
    <t>CL 3 14 36</t>
  </si>
  <si>
    <t>CR 9 9A 7 1</t>
  </si>
  <si>
    <t>CRR 7 1A 14</t>
  </si>
  <si>
    <t>CR 30 23 38</t>
  </si>
  <si>
    <t>VDA QUEBRADA DE BECERRAS</t>
  </si>
  <si>
    <t>CR 6 2 48</t>
  </si>
  <si>
    <t>CR 11 17 28</t>
  </si>
  <si>
    <t>CLLE 12 A 7 55</t>
  </si>
  <si>
    <t>VRD EL ROSAL</t>
  </si>
  <si>
    <t>TV 19 21 116</t>
  </si>
  <si>
    <t>CR 6 19 A 38</t>
  </si>
  <si>
    <t>CRA 24 1 60</t>
  </si>
  <si>
    <t>CRR 12 D 46 C 22</t>
  </si>
  <si>
    <t>CALLE 21 25 61</t>
  </si>
  <si>
    <t>CL2 6A 10</t>
  </si>
  <si>
    <t>K 3 VIA NOBSA</t>
  </si>
  <si>
    <t>CLL8 SUR 13 50</t>
  </si>
  <si>
    <t>VRD DIRAVITA</t>
  </si>
  <si>
    <t>CALLE 13A 38A 43</t>
  </si>
  <si>
    <t>CL 24 29 15</t>
  </si>
  <si>
    <t>CRA 3 3 94</t>
  </si>
  <si>
    <t>CR 7 43 21</t>
  </si>
  <si>
    <t>CL 4A 3 19</t>
  </si>
  <si>
    <t>CLL 6 N 10 14</t>
  </si>
  <si>
    <t>CR 11 332</t>
  </si>
  <si>
    <t>CRR 39 N 16 08</t>
  </si>
  <si>
    <t>VRD PUNTALARGA KM 7 VIA DUITAMA NOBSA</t>
  </si>
  <si>
    <t>CR 4 2 02</t>
  </si>
  <si>
    <t>CLL 13A 4263</t>
  </si>
  <si>
    <t>CRA 14 7 71</t>
  </si>
  <si>
    <t>DIG 11A 10 A 86</t>
  </si>
  <si>
    <t>CLL 15 A N 25 116</t>
  </si>
  <si>
    <t>MZ 7 CASA 1</t>
  </si>
  <si>
    <t>CR 11 9 24</t>
  </si>
  <si>
    <t>CR 40 22 108</t>
  </si>
  <si>
    <t>CRA10 N22B 119</t>
  </si>
  <si>
    <t>CLL 15 1 49</t>
  </si>
  <si>
    <t>CR 10 N 10 86</t>
  </si>
  <si>
    <t>CR 3 18 51</t>
  </si>
  <si>
    <t>CLL15 35 57</t>
  </si>
  <si>
    <t>CL 18A 26 61</t>
  </si>
  <si>
    <t>VRD DICHO NOBSA</t>
  </si>
  <si>
    <t>CRA 45 5A 17</t>
  </si>
  <si>
    <t>CALLE 30B 11 03 PAIPA</t>
  </si>
  <si>
    <t>CR 16 13 27</t>
  </si>
  <si>
    <t>CLL 49 71 44</t>
  </si>
  <si>
    <t>CL 13 35 49</t>
  </si>
  <si>
    <t>CLL 24 17 A 09</t>
  </si>
  <si>
    <t>CRA 24 23 20</t>
  </si>
  <si>
    <t>CR 5 B 151 A 09</t>
  </si>
  <si>
    <t>VDR AYALAS SESTOR AGUA BLANA</t>
  </si>
  <si>
    <t>CL 9 C 31 36</t>
  </si>
  <si>
    <t>CR 17 14 57 LC 101</t>
  </si>
  <si>
    <t>CL 7 7 10</t>
  </si>
  <si>
    <t>CRA10 N 22B 119</t>
  </si>
  <si>
    <t>CR 16 35 290</t>
  </si>
  <si>
    <t>CL 6 10 61</t>
  </si>
  <si>
    <t>CR 35 3AW 11</t>
  </si>
  <si>
    <t>CLL 23 27 111</t>
  </si>
  <si>
    <t>CR 8A 13 A 75</t>
  </si>
  <si>
    <t>CL 125 56 97</t>
  </si>
  <si>
    <t>KM 6 VIA DUITAMA SOGAMOSO LA CHOCOATERA</t>
  </si>
  <si>
    <t>CLL 15 8 97</t>
  </si>
  <si>
    <t>CL 28 21 35</t>
  </si>
  <si>
    <t>CR 4 15 36</t>
  </si>
  <si>
    <t>CR 3419 112</t>
  </si>
  <si>
    <t>VEREDA DE DICHO</t>
  </si>
  <si>
    <t>CRA 9 34 35</t>
  </si>
  <si>
    <t>CL 14 C37 54</t>
  </si>
  <si>
    <t>CL 23C 5 61</t>
  </si>
  <si>
    <t>CR 36 5 42</t>
  </si>
  <si>
    <t>CL 9 10 150</t>
  </si>
  <si>
    <t>CLL21 23 62</t>
  </si>
  <si>
    <t>CL 20 37 62</t>
  </si>
  <si>
    <t>TRANS27BIS 43 53</t>
  </si>
  <si>
    <t>CLL 2 SUR 6A 48</t>
  </si>
  <si>
    <t>FINCA LA PRADERA</t>
  </si>
  <si>
    <t>CRA 13 119 40</t>
  </si>
  <si>
    <t>CL 28 19A 61</t>
  </si>
  <si>
    <t>LOTE 1  LA PARROQUIA</t>
  </si>
  <si>
    <t>CR 15 14 24</t>
  </si>
  <si>
    <t>CR 16 23 39</t>
  </si>
  <si>
    <t>CR 23 21 33</t>
  </si>
  <si>
    <t>CRA 96A 152 31</t>
  </si>
  <si>
    <t>CLL21 25 36</t>
  </si>
  <si>
    <t>SAN JOSE DE MIRANDA</t>
  </si>
  <si>
    <t>CL 18B 1B 26</t>
  </si>
  <si>
    <t>CR 16 13 02</t>
  </si>
  <si>
    <t>CL 24 5 78</t>
  </si>
  <si>
    <t>CR 8 2 09</t>
  </si>
  <si>
    <t>CR 3 NORTE 17A 09</t>
  </si>
  <si>
    <t>CR 2 A 17 A 55</t>
  </si>
  <si>
    <t>CLL23A N22 43</t>
  </si>
  <si>
    <t>CRA 56 145 51</t>
  </si>
  <si>
    <t>CLL 17 1E 36</t>
  </si>
  <si>
    <t>CL 17 6 30 BRR SIRATA</t>
  </si>
  <si>
    <t>CLL 146 6 31</t>
  </si>
  <si>
    <t>CALLE1 6 06</t>
  </si>
  <si>
    <t>BR LAURELES</t>
  </si>
  <si>
    <t>CR_5A_13A_24</t>
  </si>
  <si>
    <t>CR 23 21 11</t>
  </si>
  <si>
    <t>CR 34N 19 133</t>
  </si>
  <si>
    <t>CLL 21 A MANZ F CASA 4</t>
  </si>
  <si>
    <t>CL 18 28 65</t>
  </si>
  <si>
    <t>CR 34 A N 16 25</t>
  </si>
  <si>
    <t>CL 04 18 A 21</t>
  </si>
  <si>
    <t>CL 3 769</t>
  </si>
  <si>
    <t>CRA 4 Nº 3 - 20</t>
  </si>
  <si>
    <t>CR 25 22 183</t>
  </si>
  <si>
    <t>CR 44 20 19</t>
  </si>
  <si>
    <t>CR 1 C 18 37</t>
  </si>
  <si>
    <t>CR 11 18 57 TO 1 AP 202</t>
  </si>
  <si>
    <t>CR 9 5 64</t>
  </si>
  <si>
    <t>CL 20 A 24 12</t>
  </si>
  <si>
    <t>CR 42 18 51</t>
  </si>
  <si>
    <t>VDA SAN ISIDRO LOS POZOS</t>
  </si>
  <si>
    <t>CLL 2 8 87</t>
  </si>
  <si>
    <t>CL 9 6 48</t>
  </si>
  <si>
    <t>AV REINA BOYACA 8 06 LOCAL 2</t>
  </si>
  <si>
    <t>cra 6b 41 torre 1 apto 201</t>
  </si>
  <si>
    <t>CALLE 9 N 38-33</t>
  </si>
  <si>
    <t>VRA QUEBRADA DE BECERRAS</t>
  </si>
  <si>
    <t>CR 20 A 11 50</t>
  </si>
  <si>
    <t>CL 20A 5 33 PISO 3</t>
  </si>
  <si>
    <t>FINCA MORENO</t>
  </si>
  <si>
    <t>CR 11 17 18</t>
  </si>
  <si>
    <t>CL 14B 38B 19</t>
  </si>
  <si>
    <t>CRA 99 69A 81</t>
  </si>
  <si>
    <t>VRD CENTRO COCHIA</t>
  </si>
  <si>
    <t>CL 11 14 71</t>
  </si>
  <si>
    <t>CL 167 74 32</t>
  </si>
  <si>
    <t>CR 9 19  A 03</t>
  </si>
  <si>
    <t>CLL 12 16 56</t>
  </si>
  <si>
    <t>CARRERA 14 # 16 - 61</t>
  </si>
  <si>
    <t>CR 4 06 70</t>
  </si>
  <si>
    <t>KL 5 VRD PUNTA LARGA NOBSA</t>
  </si>
  <si>
    <t>CR 4 0 191</t>
  </si>
  <si>
    <t>CL 15 36 45</t>
  </si>
  <si>
    <t>CR 5 5 56</t>
  </si>
  <si>
    <t>CR 62 64 10</t>
  </si>
  <si>
    <t>CLL 21B 37 20</t>
  </si>
  <si>
    <t>CLL 19 A 82 65 BOGOTA</t>
  </si>
  <si>
    <t>CR 17 35A 275</t>
  </si>
  <si>
    <t>KLM 1 VIA NOBSA SOGAMOSO</t>
  </si>
  <si>
    <t>CR11A 09 50</t>
  </si>
  <si>
    <t>CLL 17 21 79</t>
  </si>
  <si>
    <t>CL 4 17 2</t>
  </si>
  <si>
    <t>CL 7 2 52</t>
  </si>
  <si>
    <t>CL 13 13 22</t>
  </si>
  <si>
    <t>CR 8 14 44</t>
  </si>
  <si>
    <t>CR 18 2A 24</t>
  </si>
  <si>
    <t>CLL 24A NR 27 48</t>
  </si>
  <si>
    <t>CL 43 10 B 36</t>
  </si>
  <si>
    <t>CL 1 11 91</t>
  </si>
  <si>
    <t>CR 9 1W 37</t>
  </si>
  <si>
    <t>CR 24 20 59</t>
  </si>
  <si>
    <t>CLL 12 13 30</t>
  </si>
  <si>
    <t>CLL 8 5 11</t>
  </si>
  <si>
    <t>CR 12B 21 08</t>
  </si>
  <si>
    <t>CLL 14 17 30</t>
  </si>
  <si>
    <t>CR 35 9 107</t>
  </si>
  <si>
    <t>CR 17A 2 10</t>
  </si>
  <si>
    <t>CR 26 27 A 49</t>
  </si>
  <si>
    <t>CR 18 7 22</t>
  </si>
  <si>
    <t>CL 17A 5A 35</t>
  </si>
  <si>
    <t>CL 23 7 21</t>
  </si>
  <si>
    <t>CR 40 N 21 160</t>
  </si>
  <si>
    <t>VRD QUEBRADAS BECERRAS</t>
  </si>
  <si>
    <t>CL 4 F 39 B 20</t>
  </si>
  <si>
    <t>CALLE18 4 111</t>
  </si>
  <si>
    <t>CR3420 14</t>
  </si>
  <si>
    <t>CLL 29 SUR 1A54</t>
  </si>
  <si>
    <t>TRAV 14 20 82</t>
  </si>
  <si>
    <t>CR 42 9 39</t>
  </si>
  <si>
    <t>CL 11 11 32</t>
  </si>
  <si>
    <t>CALLE 8 04 07</t>
  </si>
  <si>
    <t>CL 14 05 21</t>
  </si>
  <si>
    <t>MANZANA C CASA 1</t>
  </si>
  <si>
    <t>CR 6B 1 51</t>
  </si>
  <si>
    <t>CL 212 77 91</t>
  </si>
  <si>
    <t>CRA 21 27 74</t>
  </si>
  <si>
    <t>CL 20 N 31 43</t>
  </si>
  <si>
    <t>CL 15A 25 82</t>
  </si>
  <si>
    <t>CL 9 44 23</t>
  </si>
  <si>
    <t>CQ 10 B A 38a 43</t>
  </si>
  <si>
    <t>CRA 42 No 14 - 21</t>
  </si>
  <si>
    <t>KM 1 VR CHORRITO</t>
  </si>
  <si>
    <t>CR 3 4 06</t>
  </si>
  <si>
    <t>CLL 22 23 37</t>
  </si>
  <si>
    <t>URBANIZACION ALAMEDAKM 2</t>
  </si>
  <si>
    <t>VRDA PEÑA NEGRA</t>
  </si>
  <si>
    <t>CLL 9 10 59</t>
  </si>
  <si>
    <t>CL 23 B 5A 22</t>
  </si>
  <si>
    <t>DIG 74A 86 42</t>
  </si>
  <si>
    <t>CR 68 A 33 49</t>
  </si>
  <si>
    <t>CLL 18 N 33 73</t>
  </si>
  <si>
    <t>CR 9 1 134</t>
  </si>
  <si>
    <t>CR 8 13A 75</t>
  </si>
  <si>
    <t>CLL68 55 3 8</t>
  </si>
  <si>
    <t>PARAISO</t>
  </si>
  <si>
    <t>CR 7 94 43</t>
  </si>
  <si>
    <t>CR 22A 19 33</t>
  </si>
  <si>
    <t>CR 10 22D 119</t>
  </si>
  <si>
    <t>CLL4 11 66 TIBASOSA</t>
  </si>
  <si>
    <t>CR 11 22A 160</t>
  </si>
  <si>
    <t>CR27 2B 22</t>
  </si>
  <si>
    <t>CRA 16 7 87</t>
  </si>
  <si>
    <t>AV CL 24 N 85 B 09</t>
  </si>
  <si>
    <t>VRDA SUESCUN SALITRE</t>
  </si>
  <si>
    <t>CR 6 3 16</t>
  </si>
  <si>
    <t>VD LA CARRERA</t>
  </si>
  <si>
    <t>AV CIRC 22 78</t>
  </si>
  <si>
    <t>CLL 25 A 26 11</t>
  </si>
  <si>
    <t>KR 14 14 50</t>
  </si>
  <si>
    <t>CR 12 A 22 67</t>
  </si>
  <si>
    <t>CR 5 8 130</t>
  </si>
  <si>
    <t>CL 13A 5C 65</t>
  </si>
  <si>
    <t>CRR 37 N7 132</t>
  </si>
  <si>
    <t>SOGAMUSI</t>
  </si>
  <si>
    <t>CALLE 11 4 84 SANTA ROSA DE VITERBO</t>
  </si>
  <si>
    <t>CL 6 35 75</t>
  </si>
  <si>
    <t>KRA702 275</t>
  </si>
  <si>
    <t>CLL 67 62 03</t>
  </si>
  <si>
    <t>CL 4 11 44</t>
  </si>
  <si>
    <t>KLL 10 10A 17</t>
  </si>
  <si>
    <t>CRRA 16 16 21</t>
  </si>
  <si>
    <t>VDR STA ROSA</t>
  </si>
  <si>
    <t>CR 72 J 47 22 SUR</t>
  </si>
  <si>
    <t>CRA 44 Nº 2 0 -37</t>
  </si>
  <si>
    <t>CLL 69 B 112A52</t>
  </si>
  <si>
    <t>CRA 20 20A 21</t>
  </si>
  <si>
    <t>VEREDA STA TERESA</t>
  </si>
  <si>
    <t>VER SUESCUN</t>
  </si>
  <si>
    <t>BARRIO LAS LAJAS</t>
  </si>
  <si>
    <t>CALLE 2A 1 29</t>
  </si>
  <si>
    <t>BARRIO LOS ALPES</t>
  </si>
  <si>
    <t>CR 42 20 44</t>
  </si>
  <si>
    <t>CRA 37 A 13 19</t>
  </si>
  <si>
    <t>CR 28 2 11</t>
  </si>
  <si>
    <t>CR23 N 24 20</t>
  </si>
  <si>
    <t>VDA PANTANO DE VARGAS SECTRO EL GACHAL</t>
  </si>
  <si>
    <t>CR 3A DIAGONAL NORTE19 73</t>
  </si>
  <si>
    <t>VRD SAGRA ARRIBA</t>
  </si>
  <si>
    <t>DIG 11A 10A 86</t>
  </si>
  <si>
    <t>CR 5 15A 17</t>
  </si>
  <si>
    <t>CR 14 TV 17 30 SUR</t>
  </si>
  <si>
    <t>CL 15 A 4 75</t>
  </si>
  <si>
    <t>CRR 34A 20A 21</t>
  </si>
  <si>
    <t>CR 17 24 74</t>
  </si>
  <si>
    <t>CL 24 27 30</t>
  </si>
  <si>
    <t>CLL 17A 1E 23</t>
  </si>
  <si>
    <t>CL 17 34 49</t>
  </si>
  <si>
    <t>CR 35 1CW 111</t>
  </si>
  <si>
    <t>SANLORENZO</t>
  </si>
  <si>
    <t>VRA SORAQUI SOCHA</t>
  </si>
  <si>
    <t>CL 2 05</t>
  </si>
  <si>
    <t>CL 17A 21 13</t>
  </si>
  <si>
    <t>CL 3 N 1 71</t>
  </si>
  <si>
    <t>VDR PATROCINIO FINCA SAN RAFAEL</t>
  </si>
  <si>
    <t>CR 19 5 60</t>
  </si>
  <si>
    <t>CRRA 42 10  05</t>
  </si>
  <si>
    <t>CL 16 34 37</t>
  </si>
  <si>
    <t>CL 20 6 88 APTO 202</t>
  </si>
  <si>
    <t>CL 17 A 298</t>
  </si>
  <si>
    <t>CL 14B 3 25</t>
  </si>
  <si>
    <t>CRA8A BIS 9 34</t>
  </si>
  <si>
    <t>CL 21 27 26</t>
  </si>
  <si>
    <t>CR 06 03 18</t>
  </si>
  <si>
    <t>CL 10 35 09</t>
  </si>
  <si>
    <t>CR 9 10 150 MZ D CA 14</t>
  </si>
  <si>
    <t>C 12 36 82</t>
  </si>
  <si>
    <t>CRA 3 2 61</t>
  </si>
  <si>
    <t>CR 19 22 91</t>
  </si>
  <si>
    <t>CR 79 0A 61</t>
  </si>
  <si>
    <t>CR 15 19A 13</t>
  </si>
  <si>
    <t>CR 27 20 80</t>
  </si>
  <si>
    <t>KR 11 17A 15</t>
  </si>
  <si>
    <t>CAMILO TORRES</t>
  </si>
  <si>
    <t>CLL 14 1 A 35</t>
  </si>
  <si>
    <t>CLL 24 27 123</t>
  </si>
  <si>
    <t>CR 23 23 41</t>
  </si>
  <si>
    <t>VILLA MARIA</t>
  </si>
  <si>
    <t>CLL 24 29 65</t>
  </si>
  <si>
    <t>CL 7 20 06</t>
  </si>
  <si>
    <t>CRA42 2 04</t>
  </si>
  <si>
    <t>VEREDA FIRAVITOBA</t>
  </si>
  <si>
    <t>CRA 2A 9 35</t>
  </si>
  <si>
    <t>CL 1A N 8 54</t>
  </si>
  <si>
    <t>CR 4A 3 09</t>
  </si>
  <si>
    <t>CR 16 2 08</t>
  </si>
  <si>
    <t>CR7V 6A 8</t>
  </si>
  <si>
    <t>CL 4 N 2 38</t>
  </si>
  <si>
    <t>VR BONZA</t>
  </si>
  <si>
    <t>CR 8 16 39</t>
  </si>
  <si>
    <t>CR 25 4 85</t>
  </si>
  <si>
    <t>CR17 9 17</t>
  </si>
  <si>
    <t>CRR 16A 9 43</t>
  </si>
  <si>
    <t>CLL 21 31 09</t>
  </si>
  <si>
    <t>CR 1A N 6B 27</t>
  </si>
  <si>
    <t>CR 26 20 15</t>
  </si>
  <si>
    <t>CL 7 29 14</t>
  </si>
  <si>
    <t>CR 14 15 06</t>
  </si>
  <si>
    <t>CL 33 16 25</t>
  </si>
  <si>
    <t>CLL 16A 2564</t>
  </si>
  <si>
    <t>CR 8 10 31</t>
  </si>
  <si>
    <t>CRA 30A 17_21</t>
  </si>
  <si>
    <t>VDA BECERRAS</t>
  </si>
  <si>
    <t>CL 18 N 1 28</t>
  </si>
  <si>
    <t>CRA 1 NORTE N 18 23</t>
  </si>
  <si>
    <t>CR 12 9 108</t>
  </si>
  <si>
    <t>CL 11 37 A 6 8</t>
  </si>
  <si>
    <t>CR 9A 17A 12</t>
  </si>
  <si>
    <t>CR</t>
  </si>
  <si>
    <t>CRRA 9 10 150</t>
  </si>
  <si>
    <t>CLL 19 4201</t>
  </si>
  <si>
    <t>CL 25 A 26 11</t>
  </si>
  <si>
    <t>CR 22 15 66</t>
  </si>
  <si>
    <t>CL 9A 14 19</t>
  </si>
  <si>
    <t>CR 32 9B 02</t>
  </si>
  <si>
    <t>CR 5A 5A 24</t>
  </si>
  <si>
    <t>VEREDA EL HATO</t>
  </si>
  <si>
    <t>CR 7 B 15 61</t>
  </si>
  <si>
    <t>CR 13 15 44</t>
  </si>
  <si>
    <t>AVENIDA LIBERTADOR 26 27</t>
  </si>
  <si>
    <t>CR 16A 19 83</t>
  </si>
  <si>
    <t>CALLE 11 26 33</t>
  </si>
  <si>
    <t>CON ALTOS MARANTA CA 6</t>
  </si>
  <si>
    <t>CR 25 N 3 67</t>
  </si>
  <si>
    <t>CR 5C 16 42</t>
  </si>
  <si>
    <t>CR 35 N 1 C OESTE 11O</t>
  </si>
  <si>
    <t>CR 38 13 69</t>
  </si>
  <si>
    <t>CR 4 15B 89</t>
  </si>
  <si>
    <t>CRA 11 A 15A 17</t>
  </si>
  <si>
    <t>CR 34 16 19</t>
  </si>
  <si>
    <t>CR 9 11A 63</t>
  </si>
  <si>
    <t>VEREDA GUARCA</t>
  </si>
  <si>
    <t>CASA 14 CONDOMINIO LA LAGUNA</t>
  </si>
  <si>
    <t>CL921 36</t>
  </si>
  <si>
    <t>CLL 10 32 97</t>
  </si>
  <si>
    <t>CR 3 N 3 27</t>
  </si>
  <si>
    <t>EL BOSQUE SECTOR B APTO 402</t>
  </si>
  <si>
    <t>CRA 12 1 44</t>
  </si>
  <si>
    <t>CLL 1B W 34B 17</t>
  </si>
  <si>
    <t>CR 22 17A 03 P 3</t>
  </si>
  <si>
    <t>CR 31 A N 21 36</t>
  </si>
  <si>
    <t>CL 21 N 33 249</t>
  </si>
  <si>
    <t>CL 14 12 33</t>
  </si>
  <si>
    <t>CLL 11 38 24</t>
  </si>
  <si>
    <t>CLL 7 28C  02 CA 18 A</t>
  </si>
  <si>
    <t>carrera 18 27 52</t>
  </si>
  <si>
    <t>CL 16 31 176</t>
  </si>
  <si>
    <t>CR 17 17 77</t>
  </si>
  <si>
    <t>CALLE 16 N 21-40</t>
  </si>
  <si>
    <t>CLL 2A 4A 02</t>
  </si>
  <si>
    <t>CR 22 33 259</t>
  </si>
  <si>
    <t>CLL 20 27 45</t>
  </si>
  <si>
    <t>CLL 10 10 78</t>
  </si>
  <si>
    <t>CL 6A 35A 11</t>
  </si>
  <si>
    <t>CLL 4 9 58</t>
  </si>
  <si>
    <t>CR 20 25 40</t>
  </si>
  <si>
    <t>CR 3 4 B 37</t>
  </si>
  <si>
    <t>CRR8 11 31</t>
  </si>
  <si>
    <t>CLL 7 A N3 27</t>
  </si>
  <si>
    <t>CL 159 56 75</t>
  </si>
  <si>
    <t>CRA 6A 9A  57</t>
  </si>
  <si>
    <t>DIAGONAL 11A N 10 70</t>
  </si>
  <si>
    <t>cll15a n 7 _29</t>
  </si>
  <si>
    <t>KL 1VIA BATALLON</t>
  </si>
  <si>
    <t>trasversal 29 n12 200</t>
  </si>
  <si>
    <t>CRA 24 24 04</t>
  </si>
  <si>
    <t>CRA16N 10.04</t>
  </si>
  <si>
    <t>VD SATIVA</t>
  </si>
  <si>
    <t>CRA 52 7 72</t>
  </si>
  <si>
    <t>CR 25 12 46</t>
  </si>
  <si>
    <t>URB ALMEDA KM 2</t>
  </si>
  <si>
    <t>CR 28C 8 53  ARAUQUITA</t>
  </si>
  <si>
    <t>CR 63 14 75</t>
  </si>
  <si>
    <t>CL 24 20 29</t>
  </si>
  <si>
    <t>CL 15  16  30</t>
  </si>
  <si>
    <t>CR 16 A 10 26</t>
  </si>
  <si>
    <t>CLL 3 9 81</t>
  </si>
  <si>
    <t>CR 305 81</t>
  </si>
  <si>
    <t>CALLE 19 N. 68-95</t>
  </si>
  <si>
    <t>CR 17 27 44</t>
  </si>
  <si>
    <t>CL 54 10 E 65</t>
  </si>
  <si>
    <t>CL 20 28 21</t>
  </si>
  <si>
    <t>CL 122 21 55 AP 406</t>
  </si>
  <si>
    <t>CL  4 N 2-20 CD INDUSTRIAL</t>
  </si>
  <si>
    <t>CR 19 A 20 31</t>
  </si>
  <si>
    <t>CR 16 85 96</t>
  </si>
  <si>
    <t>KILOMETRO 2 VIA DUITAMA PAIPA</t>
  </si>
  <si>
    <t>CL 6 9 46</t>
  </si>
  <si>
    <t>CALLE 35 134-201</t>
  </si>
  <si>
    <t>CL 9 18 66</t>
  </si>
  <si>
    <t>CR 11 18 57 TO 3 AP 1202 ED INNOVO</t>
  </si>
  <si>
    <t>CR 16 20 38</t>
  </si>
  <si>
    <t>CLL 17 N 4N 25</t>
  </si>
  <si>
    <t>CR 3 7 49</t>
  </si>
  <si>
    <t>CENTRO EMPRESARIAL LOS ROBLES B 5</t>
  </si>
  <si>
    <t>CR 62 12 78</t>
  </si>
  <si>
    <t>CRA 30 45A-52</t>
  </si>
  <si>
    <t>CR 69 B 17 A 26 P 2</t>
  </si>
  <si>
    <t>TV 93 53 48 IN 84</t>
  </si>
  <si>
    <t>CL 21 8 21</t>
  </si>
  <si>
    <t>CR 36 7 36</t>
  </si>
  <si>
    <t>CL 12 18A 06</t>
  </si>
  <si>
    <t>CLL16 27 05</t>
  </si>
  <si>
    <t>CL 17 10 11 P7</t>
  </si>
  <si>
    <t>CR  13  18 26</t>
  </si>
  <si>
    <t>KM 15 VIA MOSQUERA BOGOTA</t>
  </si>
  <si>
    <t>CR 42 18 41 OESTE</t>
  </si>
  <si>
    <t>CL 28  17 40</t>
  </si>
  <si>
    <t>CLL 23 B 104 B 43</t>
  </si>
  <si>
    <t>VDA CANAVITA CENTRO EMPR OIKOS</t>
  </si>
  <si>
    <t>CL 22D 127 84</t>
  </si>
  <si>
    <t>CL 19 19 15</t>
  </si>
  <si>
    <t>KM 5 VIA PAIPA-TUNJA</t>
  </si>
  <si>
    <t>CR 33 7 41 P2</t>
  </si>
  <si>
    <t>AV CR 19 95 20 OF 2601 ED TO SIGMA</t>
  </si>
  <si>
    <t>CL 25 17C 27 ED TORREALBA P 1</t>
  </si>
  <si>
    <t>CRA 7 155 C 20</t>
  </si>
  <si>
    <t>CR 2 5 50</t>
  </si>
  <si>
    <t>KL1 VIA PANTANO DE VARGAS</t>
  </si>
  <si>
    <t>AV AMERICAS 63 05</t>
  </si>
  <si>
    <t>VDA PEÑA NEGRA MCP TIBASOSA</t>
  </si>
  <si>
    <t>CL 18 4 55</t>
  </si>
  <si>
    <t>CRA 6 36 25</t>
  </si>
  <si>
    <t>CR 2 1 TORRE EMPRES PISO 8</t>
  </si>
  <si>
    <t>CL 10 4 11 OF 301</t>
  </si>
  <si>
    <t>CL 100 11 B 95</t>
  </si>
  <si>
    <t>CR 14 11 47</t>
  </si>
  <si>
    <t>CL 7 16 52</t>
  </si>
  <si>
    <t>CR 2 6 26</t>
  </si>
  <si>
    <t>CR 23 63 09 ED EL CASTILLO OF 502 A</t>
  </si>
  <si>
    <t>CENTRAL MAYORISTA BL 12 LC 23</t>
  </si>
  <si>
    <t>CR 28C 8 53 BRR ARAUQUITA</t>
  </si>
  <si>
    <t>CR CENTRAL DEL NORTE KM 27 VIA TUNJA-PAIPA</t>
  </si>
  <si>
    <t>CR 11 27 27</t>
  </si>
  <si>
    <t>CR 12 20 97</t>
  </si>
  <si>
    <t>CL 25 N 22 - 80 P2</t>
  </si>
  <si>
    <t>CALLE 17 10 48</t>
  </si>
  <si>
    <t>CLL 69 6-48</t>
  </si>
  <si>
    <t>VDA SOCHA VIEJO KM 5 VIA PAZ DEL RIO SOCHA</t>
  </si>
  <si>
    <t>CLL  110 N 9 25</t>
  </si>
  <si>
    <t>CL 9 16 30</t>
  </si>
  <si>
    <t>CL 8 3 13</t>
  </si>
  <si>
    <t>CR 33 16-27</t>
  </si>
  <si>
    <t>CR 18 20A 32 UNO</t>
  </si>
  <si>
    <t>OFICENTRO</t>
  </si>
  <si>
    <t>CL 7 2 47</t>
  </si>
  <si>
    <t>CR 21 36 A 69</t>
  </si>
  <si>
    <t>CR 9 330</t>
  </si>
  <si>
    <t>KM 7 AUT DUITAMA BELENCITO</t>
  </si>
  <si>
    <t>CL 11 A 28 82</t>
  </si>
  <si>
    <t>CL 20 30 39</t>
  </si>
  <si>
    <t>AV AMERICAS 24 80</t>
  </si>
  <si>
    <t>CL 16 15 21 P5</t>
  </si>
  <si>
    <t>CRA 21 20A 49</t>
  </si>
  <si>
    <t>CL 22 N  24  27</t>
  </si>
  <si>
    <t>CR 15 14 69 OF 402</t>
  </si>
  <si>
    <t>CR 3 3 10</t>
  </si>
  <si>
    <t>CL 22 25 05</t>
  </si>
  <si>
    <t>CL 52 11E 29</t>
  </si>
  <si>
    <t>CLL SEPTIMA 5 47</t>
  </si>
  <si>
    <t>CR 7 3 37</t>
  </si>
  <si>
    <t>KILOMETRO 3 VIA DUITAMA PAIPA</t>
  </si>
  <si>
    <t>VEREDA LA FLORIDA</t>
  </si>
  <si>
    <t>VALLE DE SURBA Y BONZA</t>
  </si>
  <si>
    <t>CL 16 13 32</t>
  </si>
  <si>
    <t>CL 29 16 00</t>
  </si>
  <si>
    <t>KM 16 MAS 200MTR VIA DUITAMA NOBSA</t>
  </si>
  <si>
    <t>SALON COMUNAL SAN LUIS</t>
  </si>
  <si>
    <t>CL 6 6 55PSO 2</t>
  </si>
  <si>
    <t>CR 41A 21B 25</t>
  </si>
  <si>
    <t>CR 7 4 18</t>
  </si>
  <si>
    <t>CR 10 3 47</t>
  </si>
  <si>
    <t>CR 15 13 23</t>
  </si>
  <si>
    <t>CR  35  16 74</t>
  </si>
  <si>
    <t>CL 21 A 27 37 49</t>
  </si>
  <si>
    <t>CD INDUSTRIAL</t>
  </si>
  <si>
    <t>CR 42 15 24</t>
  </si>
  <si>
    <t>CL 15 16 25 LC 107</t>
  </si>
  <si>
    <t>CR 45 20 60</t>
  </si>
  <si>
    <t>SATIVA N</t>
  </si>
  <si>
    <t>CALLE 17 15_44 OF 412</t>
  </si>
  <si>
    <t>KM 1 DUT-PAIPA</t>
  </si>
  <si>
    <t>CL21A 27 37 49</t>
  </si>
  <si>
    <t>CALLE 15 33 02</t>
  </si>
  <si>
    <t>R 10 15 84 BRR CENTRO</t>
  </si>
  <si>
    <t>BOYACA</t>
  </si>
  <si>
    <t>AV CL 26 N 69D 91 OF 604 TORRE AV EL DORADO CENTRO</t>
  </si>
  <si>
    <t>CRA 16 35 41</t>
  </si>
  <si>
    <t>AUTO NORTE N 114 78</t>
  </si>
  <si>
    <t>AC 100 19 54</t>
  </si>
  <si>
    <t>PARQUE INDUSTRIAL SAN JOSE</t>
  </si>
  <si>
    <t>CR 29A 19 20 SUR</t>
  </si>
  <si>
    <t>AUT MEDELLIN KM2 PUNTO 5 PAR INDUSTRIAL GUADALAJAR</t>
  </si>
  <si>
    <t>AK 19 120 71 OF 215</t>
  </si>
  <si>
    <t>CL 23 66 39 TO 8 AP 903</t>
  </si>
  <si>
    <t>CR 51 130 29</t>
  </si>
  <si>
    <t>CLL 15 N68 D88</t>
  </si>
  <si>
    <t>CL 104 21 45</t>
  </si>
  <si>
    <t>CR 57 C 427 B 05</t>
  </si>
  <si>
    <t>AUT MEDELLIN KM 6 6 580 M EN MORGAN TENJO</t>
  </si>
  <si>
    <t>AV CR 45 97 50 70 OF 808 ED PORTO CIEN</t>
  </si>
  <si>
    <t>CL 4 2 21</t>
  </si>
  <si>
    <t>CL 15 13 56</t>
  </si>
  <si>
    <t>DG 63 F 86 35</t>
  </si>
  <si>
    <t>CL 13 22 51</t>
  </si>
  <si>
    <t>CR 5E 10 131</t>
  </si>
  <si>
    <t>CR 46  13-20</t>
  </si>
  <si>
    <t>CL 13 50 69</t>
  </si>
  <si>
    <t>KM 1 VIA DUITAMA PAIPA</t>
  </si>
  <si>
    <t>CL 52 47 42</t>
  </si>
  <si>
    <t>TV 18 N° 96-41</t>
  </si>
  <si>
    <t>AC 26 57 83 ED T 7 P 4</t>
  </si>
  <si>
    <t>CL 25A No 69B-45 PISO 7</t>
  </si>
  <si>
    <t>cr 7 74 b 56 ofc 505</t>
  </si>
  <si>
    <t>KM 5 VIA TABIO</t>
  </si>
  <si>
    <t>CR 52 44C 43 BRR LA ESMERALDA</t>
  </si>
  <si>
    <t>CLL 9 24 75</t>
  </si>
  <si>
    <t>CL 19 19 27</t>
  </si>
  <si>
    <t>CRA 77 128A</t>
  </si>
  <si>
    <t>CLL 12 N 10 64</t>
  </si>
  <si>
    <t>CR 365C 09</t>
  </si>
  <si>
    <t>CLL 17 9A 07</t>
  </si>
  <si>
    <t>CR 45 94 72</t>
  </si>
  <si>
    <t>CL 34 24 08</t>
  </si>
  <si>
    <t>CR 18 32A 53</t>
  </si>
  <si>
    <t>CALLE 17D N.116-15</t>
  </si>
  <si>
    <t>CRA 15 16 27</t>
  </si>
  <si>
    <t>CR 68 G  43 C  30 SUR</t>
  </si>
  <si>
    <t>CL  72  10 07 P 7</t>
  </si>
  <si>
    <t>CL 76 81 33</t>
  </si>
  <si>
    <t>CL 17B 33 63</t>
  </si>
  <si>
    <t>CL 26 66A 48</t>
  </si>
  <si>
    <t>CR68 D39F 51 SUR</t>
  </si>
  <si>
    <t>CL 53 21 29</t>
  </si>
  <si>
    <t>PARQUE INDUSTRIAL SAN JORGE MOSQUERA CUNDINAMARCA</t>
  </si>
  <si>
    <t>CR 14 82 41</t>
  </si>
  <si>
    <t>AV CR 9 126 18 OF 704</t>
  </si>
  <si>
    <t>CR 15 18 56 BARRIO SOLANO</t>
  </si>
  <si>
    <t>KM1 VIA PANTANO DE VARGAS</t>
  </si>
  <si>
    <t>CL 2 2 71</t>
  </si>
  <si>
    <t>CL  100 9A 45 BOGOTA</t>
  </si>
  <si>
    <t>AV 15 119 73 OF 501</t>
  </si>
  <si>
    <t>AUTOPISTA KILOMETRO 7</t>
  </si>
  <si>
    <t>CL  15 31 146</t>
  </si>
  <si>
    <t>KM 6 VIA BELENCITO</t>
  </si>
  <si>
    <t>CR 34 19A 69</t>
  </si>
  <si>
    <t>KM 7</t>
  </si>
  <si>
    <t>CR 10A  30 07</t>
  </si>
  <si>
    <t>CL 16 13 33</t>
  </si>
  <si>
    <t>CL 70 44W 150 KM 4 AUT VIA A GIRON</t>
  </si>
  <si>
    <t>CR 9 N 28 E -93</t>
  </si>
  <si>
    <t>CRA 26 No 20-82 BARRIO LOS ALPES</t>
  </si>
  <si>
    <t>LA ELIANA PARAJE DE TAPIAS</t>
  </si>
  <si>
    <t>ORILLAS LAGO SOCHAGOTA</t>
  </si>
  <si>
    <t>CR 40 12A 13 ACOPI</t>
  </si>
  <si>
    <t>CLL 10 7 19</t>
  </si>
  <si>
    <t>CL 15 27 A 176 BL 7 B BG 2</t>
  </si>
  <si>
    <t>CL 15 25A 583 PARCELACION CIC 1</t>
  </si>
  <si>
    <t>CRA12 49 53</t>
  </si>
  <si>
    <t>MANIZALES CR 23 64 B -33 TORRE CASA/LUKER</t>
  </si>
  <si>
    <t>CR  53  30 27</t>
  </si>
  <si>
    <t>CLL 10 14 91</t>
  </si>
  <si>
    <t>KM 3.5 VIA BOGOTA-MOSQUERA</t>
  </si>
  <si>
    <t>CLL 10 #58-59A</t>
  </si>
  <si>
    <t>CR 43A N 25A 45</t>
  </si>
  <si>
    <t>DIAGONAL 17 B N 90-44</t>
  </si>
  <si>
    <t>CR 34 13 45  CIUDADELA IND</t>
  </si>
  <si>
    <t>ZF DEL PACIFICO-CARRETERA YUMBO AER KM 6 BG 15 Y 16</t>
  </si>
  <si>
    <t>CR 18 23 30</t>
  </si>
  <si>
    <t>CL 21  41 10 y 41 28</t>
  </si>
  <si>
    <t>CL 17 9 03</t>
  </si>
  <si>
    <t>CR 13 15 57</t>
  </si>
  <si>
    <t>CL 13 15 34</t>
  </si>
  <si>
    <t>CR 2 A 1 57 SALIDA PUENTE DE BOYACA URB DINASTIA</t>
  </si>
  <si>
    <t>CL 11 36 82</t>
  </si>
  <si>
    <t>CR 12 No 25-22 SANTA LUCIA</t>
  </si>
  <si>
    <t>SATIVA SUR BOYACA</t>
  </si>
  <si>
    <t>TRANS. 19 N 23-141</t>
  </si>
  <si>
    <t>COLEGIO REYES PATRIA</t>
  </si>
  <si>
    <t>CR 15 10 51</t>
  </si>
  <si>
    <t>CR 17 11A 27</t>
  </si>
  <si>
    <t>CR 16 13 44 OF 206 ED COSMOCENTRO LA 16</t>
  </si>
  <si>
    <t>CR 7A 17 50</t>
  </si>
  <si>
    <t>CRA 9 11 46 PS3</t>
  </si>
  <si>
    <t>CL  12 N 17-42</t>
  </si>
  <si>
    <t>CR 28 C 8 53</t>
  </si>
  <si>
    <t>CL 61 16 40</t>
  </si>
  <si>
    <t>CR 18  10 21</t>
  </si>
  <si>
    <t>VDA  SAN ANTONIO SUR</t>
  </si>
  <si>
    <t>CR 18 7 41</t>
  </si>
  <si>
    <t>PUNTALARGA NOBSA</t>
  </si>
  <si>
    <t>CARRERA 16 # 13-02</t>
  </si>
  <si>
    <t>CL 20 22 44</t>
  </si>
  <si>
    <t>TV 29 9 C 41</t>
  </si>
  <si>
    <t>TV 57 108 19</t>
  </si>
  <si>
    <t>CR  42  15 08</t>
  </si>
  <si>
    <t>CARRERA 17 11 33</t>
  </si>
  <si>
    <t>CR 18 11 60</t>
  </si>
  <si>
    <t>CL 18 A  26 47</t>
  </si>
  <si>
    <t>VDA SAN ANTONIO SUR</t>
  </si>
  <si>
    <t>CL 15 CR 15 ED ADMINISTRATIVO</t>
  </si>
  <si>
    <t>CR 4C 19 04</t>
  </si>
  <si>
    <t>CENTRO C ALPES 15</t>
  </si>
  <si>
    <t>CL 64 C 68 B 98</t>
  </si>
  <si>
    <t>VEREDAD CARICHANA PAZ DEL RIO</t>
  </si>
  <si>
    <t>TV 37 16 151 BRR SIMON BOLIVAR</t>
  </si>
  <si>
    <t>CL 10 39A 30</t>
  </si>
  <si>
    <t>CL 4 W 34 41</t>
  </si>
  <si>
    <t>CL 140 11 45 OF. 708</t>
  </si>
  <si>
    <t>CL 15 16 36</t>
  </si>
  <si>
    <t>CR 37B 13 66</t>
  </si>
  <si>
    <t>KL 1 VIA PAIPA</t>
  </si>
  <si>
    <t>CRA 15 16A 14</t>
  </si>
  <si>
    <t>CL 11 23 27</t>
  </si>
  <si>
    <t>CL 14 8A 08 CENTRO PASTORAL DON BOSCO</t>
  </si>
  <si>
    <t>CL 3 9 22</t>
  </si>
  <si>
    <t>CL 16 14 41 OF 1206</t>
  </si>
  <si>
    <t>CL 20A 24 09</t>
  </si>
  <si>
    <t>KM 3 VRED EL TEJAL</t>
  </si>
  <si>
    <t>CR 55 152B 68 OF 702</t>
  </si>
  <si>
    <t>CALLE 12 N13 48</t>
  </si>
  <si>
    <t>CR 16 7 A 27</t>
  </si>
  <si>
    <t>CR14 7 67</t>
  </si>
  <si>
    <t>CL 4A  3 10</t>
  </si>
  <si>
    <t>CR 13  13  15</t>
  </si>
  <si>
    <t>KRA. 34 N 9-34 barrio bochica</t>
  </si>
  <si>
    <t>BOMBA PUMA LA CARO</t>
  </si>
  <si>
    <t>CL 8 N 5 23</t>
  </si>
  <si>
    <t>CL 4 SUR 2 89</t>
  </si>
  <si>
    <t>CL 2W 16A 50</t>
  </si>
  <si>
    <t>CR 37 13 186</t>
  </si>
  <si>
    <t>VDA OMBACHITA</t>
  </si>
  <si>
    <t>CL 24 40 58</t>
  </si>
  <si>
    <t>KM 16 5 VIA DUITAMA BELENCITO</t>
  </si>
  <si>
    <t>CR 74 A 51 A 87</t>
  </si>
  <si>
    <t>FCA EL ARENAL CABAÑA 8</t>
  </si>
  <si>
    <t>CR 18 151 06</t>
  </si>
  <si>
    <t>CL 6 17 97</t>
  </si>
  <si>
    <t>CL 3 23 36</t>
  </si>
  <si>
    <t>CR 10 123 33</t>
  </si>
  <si>
    <t>CLL 182 45 11</t>
  </si>
  <si>
    <t>CRA 5 N 37 12</t>
  </si>
  <si>
    <t>CR 15 16A 14 OF 413</t>
  </si>
  <si>
    <t>CRA 18 18 34</t>
  </si>
  <si>
    <t>CR 26 24 17</t>
  </si>
  <si>
    <t>TV 14 9 65</t>
  </si>
  <si>
    <t>CL 24 29 65</t>
  </si>
  <si>
    <t>CRA 8 N 467 TIBASOSA</t>
  </si>
  <si>
    <t>CR 77C 63B 13</t>
  </si>
  <si>
    <t>AV LIBERTADORES 40 05</t>
  </si>
  <si>
    <t>CL 7 3 19</t>
  </si>
  <si>
    <t>DG 18 20 20</t>
  </si>
  <si>
    <t>CR 37 22 31</t>
  </si>
  <si>
    <t>CR 36 20 A 21</t>
  </si>
  <si>
    <t>MONASTERIO</t>
  </si>
  <si>
    <t>CRA 9A 22 56</t>
  </si>
  <si>
    <t>CL 21 N 33 317</t>
  </si>
  <si>
    <t>KM 6 VI DUITAMA NOBSA</t>
  </si>
  <si>
    <t>CL 14 42 67</t>
  </si>
  <si>
    <t>CL 9 A 13 32</t>
  </si>
  <si>
    <t>CL 5 36B 140</t>
  </si>
  <si>
    <t>TV 24 N 27 A31</t>
  </si>
  <si>
    <t>TVR 10 12 53</t>
  </si>
  <si>
    <t>CR 17 N 17 41</t>
  </si>
  <si>
    <t>AV 45 97 50 OF 808 ED PORTO 100</t>
  </si>
  <si>
    <t>CLL 23 21A 55</t>
  </si>
  <si>
    <t>CLL 146 A N58 B22</t>
  </si>
  <si>
    <t>CL 115 50 55</t>
  </si>
  <si>
    <t>CR 22 14 64</t>
  </si>
  <si>
    <t>KL 6 VIA DUITAMA PAIPA</t>
  </si>
  <si>
    <t>CR  18  23 116</t>
  </si>
  <si>
    <t>CR 11 8 41</t>
  </si>
  <si>
    <t>CRA 3 N° 3ESQ. CIUDADELA</t>
  </si>
  <si>
    <t>CR 7 16 56 OF 802</t>
  </si>
  <si>
    <t>CR 35  20  09</t>
  </si>
  <si>
    <t>CR 7C 138 19 OF 901</t>
  </si>
  <si>
    <t>CL 18 12 53</t>
  </si>
  <si>
    <t>CR 8 2 17</t>
  </si>
  <si>
    <t>CL 21B 40 88</t>
  </si>
  <si>
    <t>CL 4W 34 41</t>
  </si>
  <si>
    <t>CR 51 122 30AP 501</t>
  </si>
  <si>
    <t>CR 16 11 17</t>
  </si>
  <si>
    <t>CL 22 26 19</t>
  </si>
  <si>
    <t>CR 7 16 56</t>
  </si>
  <si>
    <t>KM 1 VIA DUITAMA-PAIPA</t>
  </si>
  <si>
    <t>CRA 23 B N 4 25</t>
  </si>
  <si>
    <t>CR 35 1 138</t>
  </si>
  <si>
    <t>CL  21  41 10</t>
  </si>
  <si>
    <t>CL 54 N 11 B 05</t>
  </si>
  <si>
    <t>DG 1 2 40</t>
  </si>
  <si>
    <t>CLL 22 N 40 08</t>
  </si>
  <si>
    <t>TRASVERSAL 18 A 97  10</t>
  </si>
  <si>
    <t>CLL13A 42 69</t>
  </si>
  <si>
    <t>CL 21 2 25</t>
  </si>
  <si>
    <t>CL 14 15 75</t>
  </si>
  <si>
    <t>KM 5 VIA PAIPA TUNJA</t>
  </si>
  <si>
    <t>KM 6 VIA DUITAMA SANTA ROSA SEC LA ISLA</t>
  </si>
  <si>
    <t>CRA 72C 9 59</t>
  </si>
  <si>
    <t>CR 9A 14 21IN 304</t>
  </si>
  <si>
    <t>CL 10 37 82 ED SAN RAFAEL</t>
  </si>
  <si>
    <t>VDA TRINIDAD CALLEJUELA 5</t>
  </si>
  <si>
    <t>CR 26 18 57</t>
  </si>
  <si>
    <t>CL 21 23 40 BRR SAN JUAN BOSCO</t>
  </si>
  <si>
    <t>CL 17 11 88 BRR FATIMA</t>
  </si>
  <si>
    <t>CLL 122 11 55 AP 406</t>
  </si>
  <si>
    <t>KM 7 VIA MORICHAL</t>
  </si>
  <si>
    <t>TV 15  31 79 BARRIO SAN CARLOS</t>
  </si>
  <si>
    <t>CL 9 24 72 P2</t>
  </si>
  <si>
    <t>VEREDA COSCATIVA</t>
  </si>
  <si>
    <t>CARRERA 5# 14B- 25</t>
  </si>
  <si>
    <t>CR 14 14 A 62 OF 203</t>
  </si>
  <si>
    <t>CON MIRADOR DEL CHITICUY BL 3 AP 401</t>
  </si>
  <si>
    <t>KM 6 VIA DUIT- NOBSA</t>
  </si>
  <si>
    <t>CR 42 N 15 24</t>
  </si>
  <si>
    <t>VDA CANICA BAJA PREDIO PALOMAR</t>
  </si>
  <si>
    <t>CRA 42 13 66</t>
  </si>
  <si>
    <t>CL 9 36 24</t>
  </si>
  <si>
    <t>CL 2 A 4 A 50</t>
  </si>
  <si>
    <t>CL 9 33 34</t>
  </si>
  <si>
    <t>CR 42 18 51 BRR SIMON BOLIVAR</t>
  </si>
  <si>
    <t>CR 66 67 F 46</t>
  </si>
  <si>
    <t>CR 21 7 21</t>
  </si>
  <si>
    <t>CL 15 18A 31</t>
  </si>
  <si>
    <t>CR 25 7 15</t>
  </si>
  <si>
    <t>CR 2 4 40 CD INDUSTRIAL</t>
  </si>
  <si>
    <t>CR 12 15 28 P2</t>
  </si>
  <si>
    <t>CR 52 CL 67 A 35</t>
  </si>
  <si>
    <t>CR 42 N 17 103</t>
  </si>
  <si>
    <t>CRA 20 25_25 YOPAL</t>
  </si>
  <si>
    <t>KM 3.5 VIA BTA SIBERIA</t>
  </si>
  <si>
    <t>CR 23 21 67</t>
  </si>
  <si>
    <t>CL 36 N.20A-40 SUR</t>
  </si>
  <si>
    <t>CR 42 8 62 P 2</t>
  </si>
  <si>
    <t>CALLE 20 N 19 58</t>
  </si>
  <si>
    <t>CL 53B 11D 106</t>
  </si>
  <si>
    <t>MZ 5 CA 9  BRR BOYACA</t>
  </si>
  <si>
    <t>CL 23 30 10 BRR LAS LAJAS</t>
  </si>
  <si>
    <t>TRV 29 15 33</t>
  </si>
  <si>
    <t>CL 5 N 18 53</t>
  </si>
  <si>
    <t>CL 17A 10 40</t>
  </si>
  <si>
    <t>CRA 40 10 12 SUR</t>
  </si>
  <si>
    <t>VIASANLORENZO</t>
  </si>
  <si>
    <t>CR 16 14 68</t>
  </si>
  <si>
    <t>CARRERA 13A N22 33</t>
  </si>
  <si>
    <t>CRA3 15 45 CALI</t>
  </si>
  <si>
    <t>CRA 6 N 64 B 195</t>
  </si>
  <si>
    <t>CR 56 153 84</t>
  </si>
  <si>
    <t>KM3 VIA DUITAMA PAIPA</t>
  </si>
  <si>
    <t>CR 19 40 86</t>
  </si>
  <si>
    <t>CLL 7A 28C 02</t>
  </si>
  <si>
    <t>CR 31D 14 28</t>
  </si>
  <si>
    <t>CL 13 34 27</t>
  </si>
  <si>
    <t>CL 2 G 5 B 37</t>
  </si>
  <si>
    <t>CR  11  18 57</t>
  </si>
  <si>
    <t>CL 7  12 52</t>
  </si>
  <si>
    <t>CL 9 34 31 33</t>
  </si>
  <si>
    <t>CL 23  30 24 P3</t>
  </si>
  <si>
    <t>CL  16 15 43 of 404</t>
  </si>
  <si>
    <t>CR 39 10 12 LC 1</t>
  </si>
  <si>
    <t>KM 1 VIA DUITAMA PANTANO DE VARGAS</t>
  </si>
  <si>
    <t>CL 12 A 28 34 BRR LA FLORESTA</t>
  </si>
  <si>
    <t>CR 57 22 41</t>
  </si>
  <si>
    <t>CL 7 18 73</t>
  </si>
  <si>
    <t>CR 15 N 14 45</t>
  </si>
  <si>
    <t>CR 15 1 09</t>
  </si>
  <si>
    <t>DIAG 94 7 65</t>
  </si>
  <si>
    <t>CL 22 9 27</t>
  </si>
  <si>
    <t>CR 5 28 51</t>
  </si>
  <si>
    <t>AVED AMERICAS 28 169</t>
  </si>
  <si>
    <t>CR 12 12 28 OF 105</t>
  </si>
  <si>
    <t>CALLE 10 3 04</t>
  </si>
  <si>
    <t>CR 42 16 56</t>
  </si>
  <si>
    <t>CLL 9 26 98</t>
  </si>
  <si>
    <t>DG 18 A N 21 16</t>
  </si>
  <si>
    <t>CR 18 14 35</t>
  </si>
  <si>
    <t>VDA GUINTIVA FCA EL ALCAPARRO</t>
  </si>
  <si>
    <t>AVENIDA9 A  N 15A 09</t>
  </si>
  <si>
    <t>CR 42 N 9 120</t>
  </si>
  <si>
    <t>CALLE 12 14 02</t>
  </si>
  <si>
    <t>DG 59 66 11</t>
  </si>
  <si>
    <t>CLL 16 N 16 66</t>
  </si>
  <si>
    <t>VRDA LLANO GRANDE</t>
  </si>
  <si>
    <t>CR 2 CL 5 ESQ CD INDUSTRIAL</t>
  </si>
  <si>
    <t>CR 16A 19 40</t>
  </si>
  <si>
    <t>CR 1 1 7</t>
  </si>
  <si>
    <t>CALLE 20 A 20 58</t>
  </si>
  <si>
    <t>CL 5 12 00</t>
  </si>
  <si>
    <t>CR 34 16 43</t>
  </si>
  <si>
    <t>CL 9 43C 88</t>
  </si>
  <si>
    <t>CALLE 5N36B40</t>
  </si>
  <si>
    <t>CL 12 11 53 OF 203</t>
  </si>
  <si>
    <t>CL 104 18A 52 TO 1 OF 503</t>
  </si>
  <si>
    <t>CR 8 45 76</t>
  </si>
  <si>
    <t>CR 5 9 67</t>
  </si>
  <si>
    <t>CR 5 1 A 37</t>
  </si>
  <si>
    <t>LA TONGA 11 ANTIGUO TOY</t>
  </si>
  <si>
    <t>CR 18 183 50</t>
  </si>
  <si>
    <t>CL 43 48 26</t>
  </si>
  <si>
    <t>CRA 19 8 86</t>
  </si>
  <si>
    <t>CR 15 14 - 69 OF 404</t>
  </si>
  <si>
    <t>CR 96 I 15 B 10</t>
  </si>
  <si>
    <t>CR 12 12 08</t>
  </si>
  <si>
    <t>CLL 71 10 47</t>
  </si>
  <si>
    <t>CR 35 4W 37</t>
  </si>
  <si>
    <t>CR 15 16 14</t>
  </si>
  <si>
    <t>CL  10  39A 30</t>
  </si>
  <si>
    <t>CLL4 11 108</t>
  </si>
  <si>
    <t>CRA 20 18 29</t>
  </si>
  <si>
    <t>VATICANO</t>
  </si>
  <si>
    <t>CLLE 20 A 24 37</t>
  </si>
  <si>
    <t>CR 54 A 167 A 41 TO 4 AP 602</t>
  </si>
  <si>
    <t>CL 127D 21 80</t>
  </si>
  <si>
    <t>AV LIBERTADORES 34 12</t>
  </si>
  <si>
    <t>CL 10 32 97 105</t>
  </si>
  <si>
    <t>CR 15 88 21</t>
  </si>
  <si>
    <t>CR 24 5 122</t>
  </si>
  <si>
    <t>CALLE2C 5 61</t>
  </si>
  <si>
    <t>VEREDA SOCHA VIEJA</t>
  </si>
  <si>
    <t>CARRERA 5A 62 15</t>
  </si>
  <si>
    <t>CL 150A 53 26</t>
  </si>
  <si>
    <t>CR 1 4 30</t>
  </si>
  <si>
    <t>CL 12 12 12 OF 206</t>
  </si>
  <si>
    <t>CR 17 A 116 15</t>
  </si>
  <si>
    <t>AV AMERICAS 29 46</t>
  </si>
  <si>
    <t>CR 24B 01D 23</t>
  </si>
  <si>
    <t>CL 19 25 46</t>
  </si>
  <si>
    <t>CR 14 12 51</t>
  </si>
  <si>
    <t>CRA 18 16 08</t>
  </si>
  <si>
    <t>CR 35 14A 37</t>
  </si>
  <si>
    <t>CLL 17 A 5 11</t>
  </si>
  <si>
    <t>CR 23 8 33</t>
  </si>
  <si>
    <t>KRA 6A 8 46</t>
  </si>
  <si>
    <t>CRR 15 10 32</t>
  </si>
  <si>
    <t>CR 9 31 75</t>
  </si>
  <si>
    <t>CRR 47 144 53</t>
  </si>
  <si>
    <t>CL 13 47 51</t>
  </si>
  <si>
    <t>CR 7 4 71</t>
  </si>
  <si>
    <t>CRA 22 24 74</t>
  </si>
  <si>
    <t>CL 15 13 56 ED TORRE 15 OF 501 502</t>
  </si>
  <si>
    <t>CR 15 23 70</t>
  </si>
  <si>
    <t>MZ A CASA 5</t>
  </si>
  <si>
    <t>CR 86 A N87 81</t>
  </si>
  <si>
    <t>CL 16 15 71</t>
  </si>
  <si>
    <t>CL 15 20 18</t>
  </si>
  <si>
    <t>CALLE 14 5D_43</t>
  </si>
  <si>
    <t>CR 11 17 23</t>
  </si>
  <si>
    <t>CLL 5 N 12 15</t>
  </si>
  <si>
    <t>CL 835 14</t>
  </si>
  <si>
    <t>CL 22 N 40 30</t>
  </si>
  <si>
    <t>CARRERA 6 7 8</t>
  </si>
  <si>
    <t>CR 17 2 61</t>
  </si>
  <si>
    <t>CR 16 18 11 OF 203</t>
  </si>
  <si>
    <t>CR 8F 160 39</t>
  </si>
  <si>
    <t>CR 30 14 77 BRR LA MILAGROSA</t>
  </si>
  <si>
    <t>CL 12A 7 16</t>
  </si>
  <si>
    <t>CLL 10 23 05</t>
  </si>
  <si>
    <t>CL 18 N 17 07</t>
  </si>
  <si>
    <t>CR 1 15 287 URB LA ALEGRIA</t>
  </si>
  <si>
    <t>CLL 22 A 20 58</t>
  </si>
  <si>
    <t>CL 24 N 24 44</t>
  </si>
  <si>
    <t>CL 3 5 62</t>
  </si>
  <si>
    <t>CL 17 37 A 48</t>
  </si>
  <si>
    <t>VDA LA LAGUNA CENTRO</t>
  </si>
  <si>
    <t>CLL 16 15 47</t>
  </si>
  <si>
    <t>CALLE 24N 27 123</t>
  </si>
  <si>
    <t>CL 14 18 36</t>
  </si>
  <si>
    <t>CR 30 20 45</t>
  </si>
  <si>
    <t>CARRERA 20 8 58</t>
  </si>
  <si>
    <t>CRA 42 22 41</t>
  </si>
  <si>
    <t>MCP TUTA VDA AGUABLANCA FCA SAN RAFAEL</t>
  </si>
  <si>
    <t>TV 20 36A 117</t>
  </si>
  <si>
    <t>KM 3 AUTOPISTA DUITAMA</t>
  </si>
  <si>
    <t>CR 15 11 49</t>
  </si>
  <si>
    <t>CR 13 18 191</t>
  </si>
  <si>
    <t>CLL 7 1131</t>
  </si>
  <si>
    <t>CL 20A 21 22</t>
  </si>
  <si>
    <t>VDA GUATATAMO</t>
  </si>
  <si>
    <t>KLL 18 16 15</t>
  </si>
  <si>
    <t>AV NORTE 34 35</t>
  </si>
  <si>
    <t>CLL 48 11 D 38</t>
  </si>
  <si>
    <t>PREDIO EL PUENTE VD LA CHAPA</t>
  </si>
  <si>
    <t>CL 15 16 25 OF 502</t>
  </si>
  <si>
    <t>CL 26 N 68 61</t>
  </si>
  <si>
    <t>DG 23 69 OF 320</t>
  </si>
  <si>
    <t>CL 26 A 16 A 13</t>
  </si>
  <si>
    <t>VDA ROMITA</t>
  </si>
  <si>
    <t>CL 16 31B 46</t>
  </si>
  <si>
    <t>AV SAN MARTIN 15 54 SOGAMOSO</t>
  </si>
  <si>
    <t>CL 11 N 11 49</t>
  </si>
  <si>
    <t>KL1 VIA DUITAMA</t>
  </si>
  <si>
    <t>CL 5 6 86</t>
  </si>
  <si>
    <t>M2 B BODEGA 7</t>
  </si>
  <si>
    <t>CL 146 12 18 AP 401</t>
  </si>
  <si>
    <t>CR 20 10 50</t>
  </si>
  <si>
    <t>VDA MARTIÑO</t>
  </si>
  <si>
    <t>CR 5 6 18</t>
  </si>
  <si>
    <t>CRA 16 19 73</t>
  </si>
  <si>
    <t>CRA161937</t>
  </si>
  <si>
    <t>CRA 5C 17 56</t>
  </si>
  <si>
    <t>CR 43 A 1 50 TRR 3 OF801</t>
  </si>
  <si>
    <t>VDA BUITREROS SECTOR EL CRUCERO</t>
  </si>
  <si>
    <t>CRA 16 14 54</t>
  </si>
  <si>
    <t>CR 15 14 69</t>
  </si>
  <si>
    <t>VDA SALITRE</t>
  </si>
  <si>
    <t>CRA 32 NRO 13 63</t>
  </si>
  <si>
    <t>CR 7 cbis 139 18</t>
  </si>
  <si>
    <t>CR 8 21 43</t>
  </si>
  <si>
    <t>KM 3 VIA DTMA_PAIPA</t>
  </si>
  <si>
    <t>CL 15 A 37 51 BRR SIMON BOLIVAR</t>
  </si>
  <si>
    <t>CRA 11 17 73 SUR</t>
  </si>
  <si>
    <t>CL 28 17 114</t>
  </si>
  <si>
    <t>CRA 1B 46A 18</t>
  </si>
  <si>
    <t>CR 24 CL 8 31</t>
  </si>
  <si>
    <t>avenidad el dorardo 68 c 61</t>
  </si>
  <si>
    <t>CR 16 18 11 O 203</t>
  </si>
  <si>
    <t>CL 24 5 25</t>
  </si>
  <si>
    <t>CL 6 37 42</t>
  </si>
  <si>
    <t>CR 42A BIS 13 83</t>
  </si>
  <si>
    <t>VEREDA LA TOMA</t>
  </si>
  <si>
    <t>CL 67 4A 41</t>
  </si>
  <si>
    <t>CR15 N 19_42</t>
  </si>
  <si>
    <t>AV 5 19 03</t>
  </si>
  <si>
    <t>CR 1 2 E 175 AV PANAMERICANA</t>
  </si>
  <si>
    <t>CR 18 9 49 OF 201</t>
  </si>
  <si>
    <t>CR 27 N2B 22</t>
  </si>
  <si>
    <t>CR 25 45 C 19</t>
  </si>
  <si>
    <t>CR 5 11 85</t>
  </si>
  <si>
    <t>CR 41 10 93</t>
  </si>
  <si>
    <t>CLL 77 13 47</t>
  </si>
  <si>
    <t>CR 4 162B 37</t>
  </si>
  <si>
    <t>CL 18 42 38</t>
  </si>
  <si>
    <t>CR 11 18 57 TO 2 AP 704</t>
  </si>
  <si>
    <t>CL 20 27 21</t>
  </si>
  <si>
    <t>CLL 25 26 29</t>
  </si>
  <si>
    <t>CR 6E 1A 60TO2 AP 102</t>
  </si>
  <si>
    <t>CALLE 21 N 12 12</t>
  </si>
  <si>
    <t>CRA 5 45 46</t>
  </si>
  <si>
    <t>TRANS 15 119 22</t>
  </si>
  <si>
    <t>VEREDA SAN VICTORINO</t>
  </si>
  <si>
    <t>CRA 39 10 21</t>
  </si>
  <si>
    <t>CR 26 23 71</t>
  </si>
  <si>
    <t>CLL 12 17 56</t>
  </si>
  <si>
    <t>CLL 18 15 35</t>
  </si>
  <si>
    <t>CLL 12 12 60</t>
  </si>
  <si>
    <t>CARRERA 10A 23 41</t>
  </si>
  <si>
    <t>TV 2 ESTE 27 03 BRR EL DORADO</t>
  </si>
  <si>
    <t>CR 19 24 16</t>
  </si>
  <si>
    <t>CL 16 17A 05</t>
  </si>
  <si>
    <t>CL 42 SUR 90C 22</t>
  </si>
  <si>
    <t>FINCA LA CABAÑA CHAGUANI CUNDINA</t>
  </si>
  <si>
    <t>CLL 15 A 25 03</t>
  </si>
  <si>
    <t>CL 8 36 19</t>
  </si>
  <si>
    <t>CR 17 26 16</t>
  </si>
  <si>
    <t>CR 11 25 13</t>
  </si>
  <si>
    <t>CR 5 14B 25</t>
  </si>
  <si>
    <t>CL 16 27 05</t>
  </si>
  <si>
    <t>CL 13 14 89</t>
  </si>
  <si>
    <t>CR 4 13B 00 P 1</t>
  </si>
  <si>
    <t>CR 10 A 27 28 IN 102</t>
  </si>
  <si>
    <t>CL 17 19 27</t>
  </si>
  <si>
    <t>CL 21 5-26</t>
  </si>
  <si>
    <t>CLL 21 40 211</t>
  </si>
  <si>
    <t>CL 5 9 23</t>
  </si>
  <si>
    <t>AV CIR CRA 11 B 9 75</t>
  </si>
  <si>
    <t>CR 42 14 57</t>
  </si>
  <si>
    <t>VDR PEÑA NEGRA SECTOR LA Y</t>
  </si>
  <si>
    <t>CR 68 B 23 B 35</t>
  </si>
  <si>
    <t>AK 15 4A 08 P 3</t>
  </si>
  <si>
    <t>CRA 3 6_102</t>
  </si>
  <si>
    <t>CRA 16 32 90</t>
  </si>
  <si>
    <t>CR 35 2 133</t>
  </si>
  <si>
    <t>CL 17 13 82</t>
  </si>
  <si>
    <t>CL 31 F SUR 15 A 27</t>
  </si>
  <si>
    <t>CL 20 30 31</t>
  </si>
  <si>
    <t>CL 4 5 07 CERINZA</t>
  </si>
  <si>
    <t>CR 11 A N 9 32</t>
  </si>
  <si>
    <t>CL 30 20 44P 2 BG</t>
  </si>
  <si>
    <t>VERDA CACHAVITA</t>
  </si>
  <si>
    <t>CLL 17 15 44 DUITAMA</t>
  </si>
  <si>
    <t>CR 14 16 71</t>
  </si>
  <si>
    <t>KM 4 VIA PAIPA DUITAMA VDA SAN LORENZO</t>
  </si>
  <si>
    <t>CR 22 8 25</t>
  </si>
  <si>
    <t>VDA CAÑOS</t>
  </si>
  <si>
    <t>CR 42 22 69</t>
  </si>
  <si>
    <t>CALLE 3A 1 30</t>
  </si>
  <si>
    <t>CR 18 20 137</t>
  </si>
  <si>
    <t>CL 5 10 25</t>
  </si>
  <si>
    <t>TV 29 16 19 BRR LA FLORESTA</t>
  </si>
  <si>
    <t>CRA 7 N 19 94</t>
  </si>
  <si>
    <t>CLL 6 15A 71</t>
  </si>
  <si>
    <t>CR 17 09 01</t>
  </si>
  <si>
    <t>VEREDA LLANO GRANDE</t>
  </si>
  <si>
    <t>CR 17 13 50</t>
  </si>
  <si>
    <t>CL 7A BIS C 80 A 50</t>
  </si>
  <si>
    <t>CR 42 22 41</t>
  </si>
  <si>
    <t>AV SATANDER 9 55</t>
  </si>
  <si>
    <t>CR 19 12 A 16</t>
  </si>
  <si>
    <t>AV AMERICAS 26 49</t>
  </si>
  <si>
    <t>CR 13 13 70</t>
  </si>
  <si>
    <t>CRA 15 14 24 OF 208</t>
  </si>
  <si>
    <t>CLL 70 KSUR 18 L 81</t>
  </si>
  <si>
    <t>CL 7 N 7 28 LC 5</t>
  </si>
  <si>
    <t>CR 42 20 40</t>
  </si>
  <si>
    <t>CR 6 8 68</t>
  </si>
  <si>
    <t>VDA BOSIGAS SEC DIACO</t>
  </si>
  <si>
    <t>CL 59 BIS 47 45 SUR BRR LA CORUÑA</t>
  </si>
  <si>
    <t>VRD SOCOTACITO PAZ DE RIO</t>
  </si>
  <si>
    <t>CR 17 N 24 02BRR LAS QUINTAS</t>
  </si>
  <si>
    <t>CR 41 A 21 B 25 TO E AP 501</t>
  </si>
  <si>
    <t>DG 59   11 C   105</t>
  </si>
  <si>
    <t>AV EL DORADO 69 D 91 TO 2 OF 202</t>
  </si>
  <si>
    <t>CLL 9 36 24</t>
  </si>
  <si>
    <t>TRANV 29 10 69</t>
  </si>
  <si>
    <t>CL 19 20 63</t>
  </si>
  <si>
    <t>CL 15A 4 53</t>
  </si>
  <si>
    <t>CL 20A 34 28</t>
  </si>
  <si>
    <t>CL 23 24 30</t>
  </si>
  <si>
    <t>VILLA ZULIMA OF 01</t>
  </si>
  <si>
    <t>CRA 18J 11 29</t>
  </si>
  <si>
    <t>DIG 53 C23 22</t>
  </si>
  <si>
    <t>CL 3A 24 80</t>
  </si>
  <si>
    <t>CL 15 13 56 EDIFICIO TOR 15</t>
  </si>
  <si>
    <t>CLL 20 7 67</t>
  </si>
  <si>
    <t>CRA 8A 13A 63</t>
  </si>
  <si>
    <t>CALLE2 C NUMERO 25 74</t>
  </si>
  <si>
    <t>CLL 16 14 46</t>
  </si>
  <si>
    <t>CRA12 21 37</t>
  </si>
  <si>
    <t>CLL 15 N 1240</t>
  </si>
  <si>
    <t>cl 21 31 06</t>
  </si>
  <si>
    <t>VEREDA BUENA VISTA</t>
  </si>
  <si>
    <t>CL 2 310 CD INDUSTRIAL</t>
  </si>
  <si>
    <t>CR 14 16 31</t>
  </si>
  <si>
    <t>CR 16B 21 20</t>
  </si>
  <si>
    <t>CL 7A 12 27</t>
  </si>
  <si>
    <t>CR 39 A10 21 BG 101</t>
  </si>
  <si>
    <t>CR 14 18 46</t>
  </si>
  <si>
    <t>CL 11 14 23 BRR EL CARMEN</t>
  </si>
  <si>
    <t>CR 11 22 A25</t>
  </si>
  <si>
    <t>CLL 20 29 10</t>
  </si>
  <si>
    <t>CR 28 13 60</t>
  </si>
  <si>
    <t>CL 21 17A 51</t>
  </si>
  <si>
    <t>CARRERA 42 N10 _ 76</t>
  </si>
  <si>
    <t>AV NORTE CR 6 47 15 BRR JOSE JOAQUIN CAMACHO</t>
  </si>
  <si>
    <t>CR 1910A 30</t>
  </si>
  <si>
    <t>CR 10 5 56 P 2</t>
  </si>
  <si>
    <t>CALLE 18 N19 71</t>
  </si>
  <si>
    <t>CL 8 22 28</t>
  </si>
  <si>
    <t>CRA16 14 05</t>
  </si>
  <si>
    <t>CALLE 22 22 63</t>
  </si>
  <si>
    <t>CL 14 17 74</t>
  </si>
  <si>
    <t>CALLE 7 9 67</t>
  </si>
  <si>
    <t>CLL6 5 23</t>
  </si>
  <si>
    <t>CR 11 22A 122</t>
  </si>
  <si>
    <t>CR 8 9 6</t>
  </si>
  <si>
    <t>CL 2</t>
  </si>
  <si>
    <t>CR 23 21 87</t>
  </si>
  <si>
    <t>KM 2 VIA DUITAMA PAIPA</t>
  </si>
  <si>
    <t>CR 42 17 62</t>
  </si>
  <si>
    <t>CL 3 N 7-69</t>
  </si>
  <si>
    <t>TV 19 27 16</t>
  </si>
  <si>
    <t>CLL 28B 13 27 L 3 Z N</t>
  </si>
  <si>
    <t>CR 9 14 44</t>
  </si>
  <si>
    <t>CLL 17 1544</t>
  </si>
  <si>
    <t>CLL 22D N 93 16</t>
  </si>
  <si>
    <t>CLL5 1 25</t>
  </si>
  <si>
    <t>CLL 14 N 4 31</t>
  </si>
  <si>
    <t>CRA 42 17 60</t>
  </si>
  <si>
    <t>KM 7 AUTOPISTA DUITAMA _BELENCITO</t>
  </si>
  <si>
    <t>CLL 50 9D ESTANCIA ROBLE</t>
  </si>
  <si>
    <t>CR 47C 76B SUR</t>
  </si>
  <si>
    <t>CRA 42 1 290</t>
  </si>
  <si>
    <t>CR 18 19 95</t>
  </si>
  <si>
    <t>CR 12 169 50</t>
  </si>
  <si>
    <t>CL 14 40 25</t>
  </si>
  <si>
    <t>CR 42 1 290</t>
  </si>
  <si>
    <t>VRD MODEK</t>
  </si>
  <si>
    <t>CR 94 22 A 90</t>
  </si>
  <si>
    <t>CR 41 22A 51</t>
  </si>
  <si>
    <t>CENTRO COMERCIAL INNOVO PLAZA</t>
  </si>
  <si>
    <t>VEREDA ROA</t>
  </si>
  <si>
    <t>CRA 18 16 07</t>
  </si>
  <si>
    <t>CL 15A ESTE 479</t>
  </si>
  <si>
    <t>CLL 73A 68G33 BOGOTA</t>
  </si>
  <si>
    <t>CLL 21 23 25</t>
  </si>
  <si>
    <t>CL 4RC 3 ESQUINA</t>
  </si>
  <si>
    <t>CLL 12 19 65</t>
  </si>
  <si>
    <t>CL 18 20 10</t>
  </si>
  <si>
    <t>VEREDAD SAN TERESA</t>
  </si>
  <si>
    <t>CRR 16 19 37</t>
  </si>
  <si>
    <t>CRR 21 8 16</t>
  </si>
  <si>
    <t>CRR 9 18 29</t>
  </si>
  <si>
    <t>K  7  A    N 11 24</t>
  </si>
  <si>
    <t>CARRERA 6 N 3_35</t>
  </si>
  <si>
    <t>CR 26 25 29</t>
  </si>
  <si>
    <t>CL 26 SUR 48 91</t>
  </si>
  <si>
    <t>VDRA GRATAMIRA SANTA ROSA VITERBO</t>
  </si>
  <si>
    <t>CRA 32 16 76</t>
  </si>
  <si>
    <t>CR 14 N 15 30</t>
  </si>
  <si>
    <t>CR 13 1 B 74 SUR</t>
  </si>
  <si>
    <t>CR 11 20 51</t>
  </si>
  <si>
    <t>CL 24 39B 86 CAMILO TORRES</t>
  </si>
  <si>
    <t>CLL 14 31 108</t>
  </si>
  <si>
    <t>CARRERA 2 2 31</t>
  </si>
  <si>
    <t>CL 6 1 80 E</t>
  </si>
  <si>
    <t>CL 7 SUR 42 70</t>
  </si>
  <si>
    <t>CR 10 97A 13 TORRE A OF505</t>
  </si>
  <si>
    <t>VEREDA MONTECILLO</t>
  </si>
  <si>
    <t>CR 11 140 41</t>
  </si>
  <si>
    <t>CR 513 349 SUR CA 69</t>
  </si>
  <si>
    <t>AV AMERICAS 28 72</t>
  </si>
  <si>
    <t>CL 13 18 60</t>
  </si>
  <si>
    <t>CR 3 23 41</t>
  </si>
  <si>
    <t>CR3 4B 05</t>
  </si>
  <si>
    <t>KILOMETRO 4 VIA TIBASOSA</t>
  </si>
  <si>
    <t>CARRERA 35 1 174</t>
  </si>
  <si>
    <t>CR 6A 19A 34</t>
  </si>
  <si>
    <t>CRA 4 N°2 - 30</t>
  </si>
  <si>
    <t>CRR 15 16A 14</t>
  </si>
  <si>
    <t>BONZA PAIPA</t>
  </si>
  <si>
    <t>TR 29 10 59</t>
  </si>
  <si>
    <t>CL 14A 11 101 LC 2</t>
  </si>
  <si>
    <t>KM 1 VIA DUITAMA-TIBASOSA</t>
  </si>
  <si>
    <t>CRA 17 5 54</t>
  </si>
  <si>
    <t>CRA 11 8 52</t>
  </si>
  <si>
    <t>CRA 11 2 20</t>
  </si>
  <si>
    <t>CRRERA 11 21 90</t>
  </si>
  <si>
    <t>FINCA SANTAROSITA</t>
  </si>
  <si>
    <t>CLL 9 A 15 25</t>
  </si>
  <si>
    <t>KM 0 VIA TIBASOSA A SOGAMOSO</t>
  </si>
  <si>
    <t>CARRERA 9 1 57</t>
  </si>
  <si>
    <t>CLL 1 sur 22 77</t>
  </si>
  <si>
    <t>CLL 68 14 A 60</t>
  </si>
  <si>
    <t>VDR LA PRADERA</t>
  </si>
  <si>
    <t>CL 15 14 58</t>
  </si>
  <si>
    <t>nobsa</t>
  </si>
  <si>
    <t>CR 11 79 35</t>
  </si>
  <si>
    <t>CR 25 21 61</t>
  </si>
  <si>
    <t>CRR45B  N 94 45</t>
  </si>
  <si>
    <t>CRA 17 12 20</t>
  </si>
  <si>
    <t>CLLE 19 20 53 P 1</t>
  </si>
  <si>
    <t>CLL 9  29 56</t>
  </si>
  <si>
    <t>CARRERA 5 05 GACHANCIPA</t>
  </si>
  <si>
    <t>CLL 13 17 A 23</t>
  </si>
  <si>
    <t>CLL 22 38B 10</t>
  </si>
  <si>
    <t>CR 10A 10 30</t>
  </si>
  <si>
    <t>CR 27 7 48</t>
  </si>
  <si>
    <t>CL 12 37 07</t>
  </si>
  <si>
    <t>CLL 23A 23 30</t>
  </si>
  <si>
    <t>CALLE 7 9 26</t>
  </si>
  <si>
    <t>CR 42 14 74</t>
  </si>
  <si>
    <t>CR 83 24 B 30</t>
  </si>
  <si>
    <t>CALLE 9 21_75</t>
  </si>
  <si>
    <t>CLL 29 1928B2</t>
  </si>
  <si>
    <t>CLL 21 33 293</t>
  </si>
  <si>
    <t>CL 12B 8A 03</t>
  </si>
  <si>
    <t>CL 16 18 80</t>
  </si>
  <si>
    <t>CR 6 7 19</t>
  </si>
  <si>
    <t>CLL 6 18 81</t>
  </si>
  <si>
    <t>CRA 37 20 22 PISO 2</t>
  </si>
  <si>
    <t>CARRE 16 11 27</t>
  </si>
  <si>
    <t>CRA 5 14 A89</t>
  </si>
  <si>
    <t>CL 18 5 A 110</t>
  </si>
  <si>
    <t>CLL 74B 72 88</t>
  </si>
  <si>
    <t>CLL 16 1215</t>
  </si>
  <si>
    <t>CLL 90 18 53 OFIC 404</t>
  </si>
  <si>
    <t>CLLE 20 21 04</t>
  </si>
  <si>
    <t>CL 25 22 71</t>
  </si>
  <si>
    <t>CLL 40 40 04</t>
  </si>
  <si>
    <t>CLL 20 25 34</t>
  </si>
  <si>
    <t>CLL 13 31 71</t>
  </si>
  <si>
    <t>KM 27 VIA TUNJA_PAIPA</t>
  </si>
  <si>
    <t>CL 14 13 04</t>
  </si>
  <si>
    <t>CALLE 12 N 15 33</t>
  </si>
  <si>
    <t>CR 23 C 5 66</t>
  </si>
  <si>
    <t>CLL 18 14 45</t>
  </si>
  <si>
    <t>CR 10 7 29</t>
  </si>
  <si>
    <t>CRA19 6 25</t>
  </si>
  <si>
    <t>CALLE 16 14 09</t>
  </si>
  <si>
    <t>CR 42 15 94</t>
  </si>
  <si>
    <t>CLL 20 22 78</t>
  </si>
  <si>
    <t>CRA 12 140</t>
  </si>
  <si>
    <t>C 4 21 09</t>
  </si>
  <si>
    <t>CLL 17 15 44</t>
  </si>
  <si>
    <t>CARRERA 2DA 2 15 TIBASOSA</t>
  </si>
  <si>
    <t>CRR 18 A2 13</t>
  </si>
  <si>
    <t>CLL 12 A 30 04</t>
  </si>
  <si>
    <t>CL 19 19 25</t>
  </si>
  <si>
    <t>KM 25 VIA TUNJA_PAIPA</t>
  </si>
  <si>
    <t>CRA 15 16A 14 OF 708</t>
  </si>
  <si>
    <t>CR 1 C 18 62</t>
  </si>
  <si>
    <t>CRA 45 147 12</t>
  </si>
  <si>
    <t>CR 11 15 84</t>
  </si>
  <si>
    <t>CLL 14B 38B_29</t>
  </si>
  <si>
    <t>VDA SIBARIA</t>
  </si>
  <si>
    <t>K40    N 10   48</t>
  </si>
  <si>
    <t>CL 2 A 6 37</t>
  </si>
  <si>
    <t>CR 23 24 14</t>
  </si>
  <si>
    <t>KM 1 VIA DUITAMA_SOGAMOSO</t>
  </si>
  <si>
    <t>CRA 37A 13 19</t>
  </si>
  <si>
    <t>CLL 162 20 32</t>
  </si>
  <si>
    <t>ATLANTICO BARRANQUILLA</t>
  </si>
  <si>
    <t>CR 79 ND 95</t>
  </si>
  <si>
    <t>CR 70C 65 _23</t>
  </si>
  <si>
    <t>SECTOR VD ROSAL</t>
  </si>
  <si>
    <t>CR 7 4 14</t>
  </si>
  <si>
    <t>CL 29 16 20</t>
  </si>
  <si>
    <t>CR07 A 12 70</t>
  </si>
  <si>
    <t>CL 16 9 48 P1</t>
  </si>
  <si>
    <t>KRR 16   N 9    36</t>
  </si>
  <si>
    <t>CL 24 5 68</t>
  </si>
  <si>
    <t>CRA 37 28 30</t>
  </si>
  <si>
    <t>CRA 37 7 60</t>
  </si>
  <si>
    <t>CL 18 N 3  N 13</t>
  </si>
  <si>
    <t>D 11 A N  10A 86</t>
  </si>
  <si>
    <t>CR 26 2432</t>
  </si>
  <si>
    <t>CR 24 N 23 24</t>
  </si>
  <si>
    <t>CL 14 6 29</t>
  </si>
  <si>
    <t>CL 23 25 42</t>
  </si>
  <si>
    <t>CL 27 17 35</t>
  </si>
  <si>
    <t>CRA 16 27A 37</t>
  </si>
  <si>
    <t>VDRA SUESCUN</t>
  </si>
  <si>
    <t>CL 17 105 26 (!) FONTIBON</t>
  </si>
  <si>
    <t>CL 9 A BIS 7 72</t>
  </si>
  <si>
    <t>CL 20 30 53</t>
  </si>
  <si>
    <t>CL 5 N 1 34</t>
  </si>
  <si>
    <t>CR 6 8 88</t>
  </si>
  <si>
    <t>CONJ ROBLEDALES 1</t>
  </si>
  <si>
    <t>VD PORTACHUELO</t>
  </si>
  <si>
    <t>CRA 6 1 0042</t>
  </si>
  <si>
    <t>LT 1236</t>
  </si>
  <si>
    <t>CL 20 A 27 18</t>
  </si>
  <si>
    <t>CL 21A 40A 36</t>
  </si>
  <si>
    <t>CL 15 1 52</t>
  </si>
  <si>
    <t>AV CINCUMVALAR 10A 10</t>
  </si>
  <si>
    <t>CR 11 43 12 CHAPINERO</t>
  </si>
  <si>
    <t>CRA 5 14B 81</t>
  </si>
  <si>
    <t>CLL 24A 22 68</t>
  </si>
  <si>
    <t>VD QUEBRADA DE BEERRAS</t>
  </si>
  <si>
    <t>CR 14 23 18</t>
  </si>
  <si>
    <t>CL 10 4 21</t>
  </si>
  <si>
    <t>CLL 14 N 3 A 133</t>
  </si>
  <si>
    <t>CRA 14 23 18</t>
  </si>
  <si>
    <t>CLL 18A N250 NORTE</t>
  </si>
  <si>
    <t>CLL 17 16 50</t>
  </si>
  <si>
    <t>CL 19 N 33 74</t>
  </si>
  <si>
    <t>CL 07 15 14</t>
  </si>
  <si>
    <t>CL 14 12 92</t>
  </si>
  <si>
    <t>CRA 18 20117</t>
  </si>
  <si>
    <t>CR 22 20 78</t>
  </si>
  <si>
    <t>CL 21 23 16</t>
  </si>
  <si>
    <t>CL 4 W 9 A 49</t>
  </si>
  <si>
    <t>CR 24 6 77</t>
  </si>
  <si>
    <t>CR 16 B 25 25</t>
  </si>
  <si>
    <t>CL 9 BIS 10 35</t>
  </si>
  <si>
    <t>CLL 20A 34 40</t>
  </si>
  <si>
    <t>CR 8 2 A 12</t>
  </si>
  <si>
    <t>VRD LA ESPERANZA SEC ALTO</t>
  </si>
  <si>
    <t>CRR 27 19 A 07</t>
  </si>
  <si>
    <t>alto de tocogua</t>
  </si>
  <si>
    <t>CR 45 20 30</t>
  </si>
  <si>
    <t>CR 23 23 B 16</t>
  </si>
  <si>
    <t>CR32 N 19_41</t>
  </si>
  <si>
    <t>CR 45 N 20 71</t>
  </si>
  <si>
    <t>KRA 33 15 08</t>
  </si>
  <si>
    <t>CLL 9 9 04</t>
  </si>
  <si>
    <t>CR5 N 13 05</t>
  </si>
  <si>
    <t>CALLE 20A N 18 08</t>
  </si>
  <si>
    <t>CR 13 8 53</t>
  </si>
  <si>
    <t>CL 14 7 30</t>
  </si>
  <si>
    <t>CR 38A 14 120</t>
  </si>
  <si>
    <t>CLL 21 26A 16</t>
  </si>
  <si>
    <t>CLL 24 A 22 _ 57</t>
  </si>
  <si>
    <t>CL 2 29A 50</t>
  </si>
  <si>
    <t>CR 18 32 112</t>
  </si>
  <si>
    <t>CR 19 4 35</t>
  </si>
  <si>
    <t>CLL11 N 6_20</t>
  </si>
  <si>
    <t>CLL 4 24 24</t>
  </si>
  <si>
    <t>CERRO PINO</t>
  </si>
  <si>
    <t>CL 19 N 42A 05</t>
  </si>
  <si>
    <t>CR 26 21 36</t>
  </si>
  <si>
    <t>CR 49 7 19</t>
  </si>
  <si>
    <t>CL 19 B 30 17</t>
  </si>
  <si>
    <t>CL 24 27 72</t>
  </si>
  <si>
    <t>CL 24a 22 65</t>
  </si>
  <si>
    <t>CLL 20 24 32</t>
  </si>
  <si>
    <t>CL 22 38 04</t>
  </si>
  <si>
    <t>VEREDA EL TOBAL</t>
  </si>
  <si>
    <t>VRD EL SALITRE</t>
  </si>
  <si>
    <t>CL 04 11 32 AP 201</t>
  </si>
  <si>
    <t>CLL 21 25 13</t>
  </si>
  <si>
    <t>CR 14 11 35</t>
  </si>
  <si>
    <t>KM5 VIA DTMA_NOBSA</t>
  </si>
  <si>
    <t>CRA9A 15 12</t>
  </si>
  <si>
    <t>CR 24A 6 67</t>
  </si>
  <si>
    <t>CONJ SAN RAFAEL II</t>
  </si>
  <si>
    <t>CL 23 4 10</t>
  </si>
  <si>
    <t>CLL 23  4 10</t>
  </si>
  <si>
    <t>CL 18 14 48</t>
  </si>
  <si>
    <t>CR 22 21 24</t>
  </si>
  <si>
    <t>CR 42 A 17 32</t>
  </si>
  <si>
    <t>CR 13 14 75</t>
  </si>
  <si>
    <t>VDA HIGUERAS SECTOR LA CAPELLANIA KM TRES</t>
  </si>
  <si>
    <t>CLL 9 A N 13 15</t>
  </si>
  <si>
    <t>CL 6 8A 41</t>
  </si>
  <si>
    <t>CARRERA 5 9 85</t>
  </si>
  <si>
    <t>CR 2 8 76</t>
  </si>
  <si>
    <t>CLL 11 25 37</t>
  </si>
  <si>
    <t>CL 1 6 06</t>
  </si>
  <si>
    <t>CR 7 4 69</t>
  </si>
  <si>
    <t>CR 31B 14A 14</t>
  </si>
  <si>
    <t>TRANV 20 22 105</t>
  </si>
  <si>
    <t>CRR 37 21 26</t>
  </si>
  <si>
    <t>CRA 02 15 20</t>
  </si>
  <si>
    <t>VRA LA  ESPERANZA</t>
  </si>
  <si>
    <t>CR 23 N 11 67</t>
  </si>
  <si>
    <t>CR 30 6 87</t>
  </si>
  <si>
    <t>CR 2 1 66E</t>
  </si>
  <si>
    <t>CL 25 27 26</t>
  </si>
  <si>
    <t>CRA 22 17 13</t>
  </si>
  <si>
    <t>CLL 25 460</t>
  </si>
  <si>
    <t>CR11 A N4 19</t>
  </si>
  <si>
    <t>CLL 75 73 84</t>
  </si>
  <si>
    <t>CL 27 17 54</t>
  </si>
  <si>
    <t>CR 32 14 52</t>
  </si>
  <si>
    <t>CRA 5 14A 27</t>
  </si>
  <si>
    <t>CL 9C 32 82</t>
  </si>
  <si>
    <t>CRA 19 09 34</t>
  </si>
  <si>
    <t>CL 17A 1B 23</t>
  </si>
  <si>
    <t>TV 19 36 0</t>
  </si>
  <si>
    <t>CR 32 13 62</t>
  </si>
  <si>
    <t>CR 18 10 60</t>
  </si>
  <si>
    <t>CL 28 N 115 IN 2</t>
  </si>
  <si>
    <t>CL 2 N 5 05</t>
  </si>
  <si>
    <t>CR 27 9 A 03</t>
  </si>
  <si>
    <t>CRA 22 16 14</t>
  </si>
  <si>
    <t>CL 2 13 39</t>
  </si>
  <si>
    <t>CR 17 22 29</t>
  </si>
  <si>
    <t>VR QUEBRADA DE BECERRAS</t>
  </si>
  <si>
    <t>CL 1A 8 47</t>
  </si>
  <si>
    <t>CR 5 C 13 A 19</t>
  </si>
  <si>
    <t>CRR 42 20 6</t>
  </si>
  <si>
    <t>CLL 15 4 15</t>
  </si>
  <si>
    <t>K 1E 22 20</t>
  </si>
  <si>
    <t>CL 2 7 42</t>
  </si>
  <si>
    <t>AV CARACAS 56_27 BOGOTA</t>
  </si>
  <si>
    <t>CL 10  9 109</t>
  </si>
  <si>
    <t>CL 14 42 106</t>
  </si>
  <si>
    <t>TRASVERSAL 29 N 19 -74</t>
  </si>
  <si>
    <t>CL 9A 20A 48</t>
  </si>
  <si>
    <t>CR 23 23 90</t>
  </si>
  <si>
    <t>CR 14 03 14</t>
  </si>
  <si>
    <t>CL 9 41 47</t>
  </si>
  <si>
    <t>CONJ RESIDENCIAL SANTA LUCIA</t>
  </si>
  <si>
    <t>CL 13 N 37 A 104</t>
  </si>
  <si>
    <t>VRD LA ESPERANZA</t>
  </si>
  <si>
    <t>MANZANAI CASA 15 CERRITO ENCANTAO</t>
  </si>
  <si>
    <t>CLL 18 20 62</t>
  </si>
  <si>
    <t>CL 9 29 28</t>
  </si>
  <si>
    <t>CL 1 9 43</t>
  </si>
  <si>
    <t>CR 15 N 11 68</t>
  </si>
  <si>
    <t>KLL 19A 30 131</t>
  </si>
  <si>
    <t>CLL 19 2813</t>
  </si>
  <si>
    <t>CR 4 8 48</t>
  </si>
  <si>
    <t>CL 15 N 38A 20</t>
  </si>
  <si>
    <t>DIAGONAL 21 22 52</t>
  </si>
  <si>
    <t>CRR 31 21 03</t>
  </si>
  <si>
    <t>VEREDA HIGUERAS</t>
  </si>
  <si>
    <t>mirador de las comunas</t>
  </si>
  <si>
    <t>CL 21B 43B 04</t>
  </si>
  <si>
    <t>CL 14 4 26</t>
  </si>
  <si>
    <t>CRA 24 2 54</t>
  </si>
  <si>
    <t>CR 32 N 9C 26</t>
  </si>
  <si>
    <t>CL 10 10A</t>
  </si>
  <si>
    <t>VEREDA ELESTERILLAL</t>
  </si>
  <si>
    <t>CL 21 44 67</t>
  </si>
  <si>
    <t>CL 4 8 107</t>
  </si>
  <si>
    <t>CR 10A 11 06</t>
  </si>
  <si>
    <t>CR 42 16 30</t>
  </si>
  <si>
    <t>CR 4 10 07</t>
  </si>
  <si>
    <t>CLL 18 N 13 36</t>
  </si>
  <si>
    <t>CR 10 2 01</t>
  </si>
  <si>
    <t>CRA 24 20A 68</t>
  </si>
  <si>
    <t>CR 07 44 20</t>
  </si>
  <si>
    <t>TVR 18 22 26</t>
  </si>
  <si>
    <t>CR 36A 22 26 CONJ RESERVA LOS SAUCES</t>
  </si>
  <si>
    <t>VEREDA SUESCUN</t>
  </si>
  <si>
    <t>KM 5 VIA DUIATAMA NOBSA</t>
  </si>
  <si>
    <t>CR 13 8 04</t>
  </si>
  <si>
    <t>VDA BOSIGAS NORTE</t>
  </si>
  <si>
    <t>CL 25 12 05</t>
  </si>
  <si>
    <t>AV LIBERTADORES 24 37</t>
  </si>
  <si>
    <t>VRD LA PARROQUIA</t>
  </si>
  <si>
    <t>CR 37B 14B 23</t>
  </si>
  <si>
    <t>CL 24 39B 86</t>
  </si>
  <si>
    <t>CR 2 8 07</t>
  </si>
  <si>
    <t>paz de rio</t>
  </si>
  <si>
    <t>CL 15 A 4 68</t>
  </si>
  <si>
    <t>pasadena</t>
  </si>
  <si>
    <t>CR 42A 17 32</t>
  </si>
  <si>
    <t>CLL 20 20 41</t>
  </si>
  <si>
    <t>CLL 23B22 22</t>
  </si>
  <si>
    <t>CALLE 19 24 10</t>
  </si>
  <si>
    <t>KL 2 VIA AL LLANO</t>
  </si>
  <si>
    <t>CR 9 8 110</t>
  </si>
  <si>
    <t>VRD SANTATERESA</t>
  </si>
  <si>
    <t>RBLEDALES</t>
  </si>
  <si>
    <t>CLL 22 B 19 A 01</t>
  </si>
  <si>
    <t>VRD LA GERMANIA TIBASOSA</t>
  </si>
  <si>
    <t>CR 6 9A N 86</t>
  </si>
  <si>
    <t>CL 17 32 40</t>
  </si>
  <si>
    <t>CR 5 15 35</t>
  </si>
  <si>
    <t>CL 3 5 65</t>
  </si>
  <si>
    <t>CLL 23 5 78</t>
  </si>
  <si>
    <t>CR 33A 9A 55</t>
  </si>
  <si>
    <t>B LA FUENTE</t>
  </si>
  <si>
    <t>RECTA SAN RAFAEL</t>
  </si>
  <si>
    <t>VDRA SALITRICO</t>
  </si>
  <si>
    <t>VDR PEÑA NEGRA SEC GERMANIA</t>
  </si>
  <si>
    <t>CR 11 9A 14</t>
  </si>
  <si>
    <t>CL 6 18 20</t>
  </si>
  <si>
    <t>VEREDA ALIZAL TUTA</t>
  </si>
  <si>
    <t>KLL 10 9 109</t>
  </si>
  <si>
    <t>CL 9 31 44</t>
  </si>
  <si>
    <t>VRD MANZANO</t>
  </si>
  <si>
    <t>CL 23C 5 80</t>
  </si>
  <si>
    <t>CRA 34 19 112 TORRE12 APT 102</t>
  </si>
  <si>
    <t>VDR SAN LUIS</t>
  </si>
  <si>
    <t>CARRERA 16 13 29</t>
  </si>
  <si>
    <t>CR 35 4 W 77</t>
  </si>
  <si>
    <t>CR 36 A 21 28</t>
  </si>
  <si>
    <t>CLL 20 A N 12 47</t>
  </si>
  <si>
    <t>CL 20 A 20 22</t>
  </si>
  <si>
    <t>CR 11B 9 119</t>
  </si>
  <si>
    <t>CRA 15A 29 06</t>
  </si>
  <si>
    <t>CR 38 16 13</t>
  </si>
  <si>
    <t>CLL 14 4 64</t>
  </si>
  <si>
    <t>calle 18 n  1a 101</t>
  </si>
  <si>
    <t>CLL19B 26 80</t>
  </si>
  <si>
    <t>VRD DICHO</t>
  </si>
  <si>
    <t>CL 21B 43B 16</t>
  </si>
  <si>
    <t>CLL 11 22 32</t>
  </si>
  <si>
    <t>CL 16 32 09</t>
  </si>
  <si>
    <t>TVR 9 13 03</t>
  </si>
  <si>
    <t>CLL 17 5 54</t>
  </si>
  <si>
    <t>CR 9B 6 72</t>
  </si>
  <si>
    <t>cra 42a 18 13</t>
  </si>
  <si>
    <t>CL 15A 32 42</t>
  </si>
  <si>
    <t>CR 18 22 18</t>
  </si>
  <si>
    <t>CR 10 1 09</t>
  </si>
  <si>
    <t>CL 65 6 35 TUNJA</t>
  </si>
  <si>
    <t>PRADOS DE ALEJANDRIA</t>
  </si>
  <si>
    <t>BR EL CARGUA</t>
  </si>
  <si>
    <t>CL 16 13 83</t>
  </si>
  <si>
    <t>CR 3 12 62</t>
  </si>
  <si>
    <t>CL 14B 38B 29</t>
  </si>
  <si>
    <t>CL 7A 47A 12</t>
  </si>
  <si>
    <t>BARRIO LA FUENTE</t>
  </si>
  <si>
    <t>CRA20 18 27</t>
  </si>
  <si>
    <t>CL 2 16 20</t>
  </si>
  <si>
    <t>CL 17A 37 75</t>
  </si>
  <si>
    <t>CR 20 20A 05</t>
  </si>
  <si>
    <t>CL 5 36 27</t>
  </si>
  <si>
    <t>BARRIO CAMILO TORRES</t>
  </si>
  <si>
    <t>AVENIDA C 18 95</t>
  </si>
  <si>
    <t>CRA 10 A 2 115</t>
  </si>
  <si>
    <t>CR 18 27 36</t>
  </si>
  <si>
    <t>CR 16 17 25</t>
  </si>
  <si>
    <t>CL 23 22 46</t>
  </si>
  <si>
    <t>CRRA 19 11 25</t>
  </si>
  <si>
    <t>CL 24 5 17</t>
  </si>
  <si>
    <t>cll 30 11 03</t>
  </si>
  <si>
    <t>EL PROGRESO</t>
  </si>
  <si>
    <t>CL 17A N 5 111</t>
  </si>
  <si>
    <t>CR 29 A 07 40</t>
  </si>
  <si>
    <t>CL 25 26 55</t>
  </si>
  <si>
    <t>CRA 17 A 5W</t>
  </si>
  <si>
    <t>CRR 8 2 13</t>
  </si>
  <si>
    <t>CR 7 10 21 SANTA ROSA VITERBO</t>
  </si>
  <si>
    <t>CL 13 15 41</t>
  </si>
  <si>
    <t>AV 14 17</t>
  </si>
  <si>
    <t>CL 23 39 33</t>
  </si>
  <si>
    <t>RESERBA ALAMEDA</t>
  </si>
  <si>
    <t>CLL 7 28 C 02 16</t>
  </si>
  <si>
    <t>KL 4 DUITAMA TIBASOSA</t>
  </si>
  <si>
    <t>CL 20 17 33</t>
  </si>
  <si>
    <t>BARRIO SAN JOSE ALTO</t>
  </si>
  <si>
    <t>CR 3 6 44NAZARETH</t>
  </si>
  <si>
    <t>CR 18 11 52</t>
  </si>
  <si>
    <t>CL 6 37 25</t>
  </si>
  <si>
    <t>CL 18 14 45</t>
  </si>
  <si>
    <t>CLL 44 17 44</t>
  </si>
  <si>
    <t>CR 11B N 9 119</t>
  </si>
  <si>
    <t>CRA 07 01 A 85</t>
  </si>
  <si>
    <t>CL 27 17  54</t>
  </si>
  <si>
    <t>cr 36a 21 22</t>
  </si>
  <si>
    <t>CRA15B 14 72</t>
  </si>
  <si>
    <t>CR 16 02 21</t>
  </si>
  <si>
    <t>CR 19 N 9 15</t>
  </si>
  <si>
    <t>CRR 45 N 21 41</t>
  </si>
  <si>
    <t>SAN ANTONIO CAMPOHERMOSO</t>
  </si>
  <si>
    <t>MZ G CA 7 C</t>
  </si>
  <si>
    <t>CRR 28 10 28</t>
  </si>
  <si>
    <t>CLL 20 41 96</t>
  </si>
  <si>
    <t>CLL 1CN 34C136</t>
  </si>
  <si>
    <t>CR 19 12 7</t>
  </si>
  <si>
    <t>CL 24A 2765</t>
  </si>
  <si>
    <t>DIAG 182_17 52</t>
  </si>
  <si>
    <t>CL 02 28 183</t>
  </si>
  <si>
    <t>cr 33 n 26 50</t>
  </si>
  <si>
    <t>VD SUESCON</t>
  </si>
  <si>
    <t>VDR SUESCUN SALITRI</t>
  </si>
  <si>
    <t>KRR  40   N 22  17</t>
  </si>
  <si>
    <t>CR 16 N 21 37</t>
  </si>
  <si>
    <t>CLL 19 26 6</t>
  </si>
  <si>
    <t>CALLE 25 NO 27-29</t>
  </si>
  <si>
    <t>CL 3A  B80</t>
  </si>
  <si>
    <t>CL 7 6 58</t>
  </si>
  <si>
    <t>CARREA 40 22 77</t>
  </si>
  <si>
    <t>CR 32 19 42</t>
  </si>
  <si>
    <t>TRANSVERSAL 19 22 114</t>
  </si>
  <si>
    <t>CALLE 4 N 1 115</t>
  </si>
  <si>
    <t>CALLE 2 4A 05</t>
  </si>
  <si>
    <t>VEREDA CARBONERA</t>
  </si>
  <si>
    <t>CR 34 59 17</t>
  </si>
  <si>
    <t>SAN ANTONIO NORTE VEREDA</t>
  </si>
  <si>
    <t>CL 7A 47A 24</t>
  </si>
  <si>
    <t>CR 17 1 A15</t>
  </si>
  <si>
    <t>BARRI SAN JORGE</t>
  </si>
  <si>
    <t>CR 24 2237</t>
  </si>
  <si>
    <t>CL 13 6 67</t>
  </si>
  <si>
    <t>MZ B C B1</t>
  </si>
  <si>
    <t>CL 28  A 86</t>
  </si>
  <si>
    <t>CR 8 13 04</t>
  </si>
  <si>
    <t>CR 16 N 10 28</t>
  </si>
  <si>
    <t>CR2 N 4_35</t>
  </si>
  <si>
    <t>GRUPO SILVA PLAZAS</t>
  </si>
  <si>
    <t>VDR HELIDA</t>
  </si>
  <si>
    <t>CALLE 147 13 67</t>
  </si>
  <si>
    <t>CALLE 10 N 32 21</t>
  </si>
  <si>
    <t>CLL 14 18 11</t>
  </si>
  <si>
    <t>CRA 2 C5 61</t>
  </si>
  <si>
    <t>CLL 22 26 07</t>
  </si>
  <si>
    <t>DIAGONAL 15 16 42</t>
  </si>
  <si>
    <t>CRR38 14 A04</t>
  </si>
  <si>
    <t>CR 10 A 8 41</t>
  </si>
  <si>
    <t>CR 29 5A 71</t>
  </si>
  <si>
    <t>CR 19 10 A 09</t>
  </si>
  <si>
    <t>CL 166 19 87</t>
  </si>
  <si>
    <t>CL 12 22 34</t>
  </si>
  <si>
    <t>CL 15 16 42</t>
  </si>
  <si>
    <t>CR 1 15 170</t>
  </si>
  <si>
    <t>CL 3 14 37</t>
  </si>
  <si>
    <t>CR 7 57 05</t>
  </si>
  <si>
    <t>CR 14 12 92</t>
  </si>
  <si>
    <t>CRA 19 53 85</t>
  </si>
  <si>
    <t>CALLE 21 11 29</t>
  </si>
  <si>
    <t>CR 9 N 3 31</t>
  </si>
  <si>
    <t>CALLE 16 77 04</t>
  </si>
  <si>
    <t>CR 5 N 10 52</t>
  </si>
  <si>
    <t>STA ROSA</t>
  </si>
  <si>
    <t>CR 7A 12 40</t>
  </si>
  <si>
    <t>CL 23 4 35</t>
  </si>
  <si>
    <t>VEREDA CUCHE</t>
  </si>
  <si>
    <t>CR 5C 17 86 APT 402</t>
  </si>
  <si>
    <t>VRD.TRINIDAD</t>
  </si>
  <si>
    <t>cl 15 12 49</t>
  </si>
  <si>
    <t>CRA34 16 42</t>
  </si>
  <si>
    <t>CARRERA 25 19 22</t>
  </si>
  <si>
    <t>CRA 30 23 13</t>
  </si>
  <si>
    <t>CR 4 3 A 41</t>
  </si>
  <si>
    <t>CR 24 N11A 65</t>
  </si>
  <si>
    <t>k8viaTIBASOSA DUITAMA</t>
  </si>
  <si>
    <t>CL 34 16 45</t>
  </si>
  <si>
    <t>CL 15 23 65</t>
  </si>
  <si>
    <t>CRA 26 2125</t>
  </si>
  <si>
    <t>SALESIANO DUITAMA</t>
  </si>
  <si>
    <t>CR 11 N 3 A 06</t>
  </si>
  <si>
    <t>CL 12 25 74</t>
  </si>
  <si>
    <t>primera de mayo</t>
  </si>
  <si>
    <t>CRR 34 19 122</t>
  </si>
  <si>
    <t>CLL 9 N 38 19</t>
  </si>
  <si>
    <t>CR 18 13 38</t>
  </si>
  <si>
    <t>CLL 20A 20 2</t>
  </si>
  <si>
    <t>CL 11 24 52</t>
  </si>
  <si>
    <t>CR 6 8 20</t>
  </si>
  <si>
    <t>VDR SANANTONIO NORTE</t>
  </si>
  <si>
    <t>VRD STA LUCIA</t>
  </si>
  <si>
    <t>CALLE 14B # 38A18</t>
  </si>
  <si>
    <t>CR 9 5 01</t>
  </si>
  <si>
    <t>CRA 31 14 51</t>
  </si>
  <si>
    <t>CL 12 31 16</t>
  </si>
  <si>
    <t>CRR 16 A 19 08</t>
  </si>
  <si>
    <t>CLL 21 18 26</t>
  </si>
  <si>
    <t>C 22 N 24 49</t>
  </si>
  <si>
    <t>CL 27 16 4 52</t>
  </si>
  <si>
    <t>VRD PUENTE DE LA BALSA</t>
  </si>
  <si>
    <t>CL 24 25 45</t>
  </si>
  <si>
    <t>CALLE9 NUMERO36_68</t>
  </si>
  <si>
    <t>CRR 5 15A 22</t>
  </si>
  <si>
    <t>CR 31 15 46</t>
  </si>
  <si>
    <t>CL 22 1 64</t>
  </si>
  <si>
    <t>CL 10 14A 85</t>
  </si>
  <si>
    <t>CALLE 18 1A 07 LA GRUTA</t>
  </si>
  <si>
    <t>TRANS 19 36 45</t>
  </si>
  <si>
    <t>CL 3A 3 21</t>
  </si>
  <si>
    <t>CL 1 N 11 35</t>
  </si>
  <si>
    <t>CR 35 01C 111</t>
  </si>
  <si>
    <t>CLL 21 23 68</t>
  </si>
  <si>
    <t>CLL6 35 41</t>
  </si>
  <si>
    <t>CL 20 6 88</t>
  </si>
  <si>
    <t>CR 16 17 21</t>
  </si>
  <si>
    <t>SAN ANTONIO NORT</t>
  </si>
  <si>
    <t>CR 16 A 20 B 61</t>
  </si>
  <si>
    <t>CR 21 15 28</t>
  </si>
  <si>
    <t>CL 24 15 27</t>
  </si>
  <si>
    <t>CLL 10 35 30</t>
  </si>
  <si>
    <t>CR 9 13 A 40</t>
  </si>
  <si>
    <t>CL 20 A 18 63</t>
  </si>
  <si>
    <t>CL 22 22 80 BRR CENTRO</t>
  </si>
  <si>
    <t>CRRA 16 13 29</t>
  </si>
  <si>
    <t>CR3A 42_53</t>
  </si>
  <si>
    <t>CR 6 7 42</t>
  </si>
  <si>
    <t>ROBLEDALES 2 APTO 103 TORRE 3 PORTERIA 1</t>
  </si>
  <si>
    <t>CR 10 BIS 10 56</t>
  </si>
  <si>
    <t>CR 8A 1 05</t>
  </si>
  <si>
    <t>CR 10 11 40</t>
  </si>
  <si>
    <t>TO 8 APTO 501</t>
  </si>
  <si>
    <t>CL 11A  32 20</t>
  </si>
  <si>
    <t>APARTAMENTO 115 PORTAL</t>
  </si>
  <si>
    <t>CR 12 9 116</t>
  </si>
  <si>
    <t>CL 10 36 59</t>
  </si>
  <si>
    <t>CR 15N 3017</t>
  </si>
  <si>
    <t>CLL 11 N 10A 46</t>
  </si>
  <si>
    <t>CR 3E 10 71</t>
  </si>
  <si>
    <t>TV 29 16 A 61</t>
  </si>
  <si>
    <t>CLL 127 7B_42</t>
  </si>
  <si>
    <t>CLL 16 N 14 12</t>
  </si>
  <si>
    <t>VRD ROMITA</t>
  </si>
  <si>
    <t>CARRERA36A#21-21</t>
  </si>
  <si>
    <t>KM 13 VIA DUITAMA BELENCITO</t>
  </si>
  <si>
    <t>CR 17 13 20</t>
  </si>
  <si>
    <t>CR 24 22 37</t>
  </si>
  <si>
    <t>CL 20B 20 10</t>
  </si>
  <si>
    <t>CR 8 9 15</t>
  </si>
  <si>
    <t>CL 9 B 8 A 25</t>
  </si>
  <si>
    <t>AV CIRCUNVALAR</t>
  </si>
  <si>
    <t>CL 7 A 47 A 32</t>
  </si>
  <si>
    <t>TRANS 29 16A 7 9</t>
  </si>
  <si>
    <t>VR ROSAL SAN LUIS</t>
  </si>
  <si>
    <t>CLL 20 30 85</t>
  </si>
  <si>
    <t>CR 09 14 57 P 02</t>
  </si>
  <si>
    <t>CR16 N 15 21</t>
  </si>
  <si>
    <t>CL 12 23 05</t>
  </si>
  <si>
    <t>CRA 10 11 13</t>
  </si>
  <si>
    <t>CL 20 A 21 44</t>
  </si>
  <si>
    <t>CR 20 3 24</t>
  </si>
  <si>
    <t>CARRERA17N 2 _ 110</t>
  </si>
  <si>
    <t>CL 14 27 31</t>
  </si>
  <si>
    <t>CR 25 2078</t>
  </si>
  <si>
    <t>CR 40 10 107</t>
  </si>
  <si>
    <t>CLL 15 31 C 14</t>
  </si>
  <si>
    <t>CR 37 8 09</t>
  </si>
  <si>
    <t>CRA 30 21 70</t>
  </si>
  <si>
    <t>CL14 32 35</t>
  </si>
  <si>
    <t>CRA 20 17 47</t>
  </si>
  <si>
    <t>SIMON BOLIVAR</t>
  </si>
  <si>
    <t>CLL 23 4A 19</t>
  </si>
  <si>
    <t>CR 26 19 26</t>
  </si>
  <si>
    <t>CRR 37 13 28</t>
  </si>
  <si>
    <t>CLL 12 A 31 24 PS 2</t>
  </si>
  <si>
    <t>CL 21 23 64</t>
  </si>
  <si>
    <t>CR 20 7 10 LC 2</t>
  </si>
  <si>
    <t>CR 15 17 47</t>
  </si>
  <si>
    <t>CR 29 4 13</t>
  </si>
  <si>
    <t>CR 17 11 27</t>
  </si>
  <si>
    <t>K 34 N 19 133</t>
  </si>
  <si>
    <t>CL 50 N 16B 04</t>
  </si>
  <si>
    <t>CL 12A 31 24</t>
  </si>
  <si>
    <t>CRRA 30 12 05</t>
  </si>
  <si>
    <t>CR 19 18 13</t>
  </si>
  <si>
    <t>CR 3 9 11</t>
  </si>
  <si>
    <t>CR 22 20 21</t>
  </si>
  <si>
    <t>CR 10 11 13</t>
  </si>
  <si>
    <t>KL 8 VIA BONSA BATALLON SILVA PLAZAS</t>
  </si>
  <si>
    <t>CL 22 25 42</t>
  </si>
  <si>
    <t>CRA 23 23_92</t>
  </si>
  <si>
    <t>CR 35 16 136</t>
  </si>
  <si>
    <t>CR 5 2_01</t>
  </si>
  <si>
    <t>CR 23 4 39</t>
  </si>
  <si>
    <t>ROBLEDALES2 TRR 5 203</t>
  </si>
  <si>
    <t>CRA 19 13 66</t>
  </si>
  <si>
    <t>BRD CUNDINAMARCA</t>
  </si>
  <si>
    <t>CR 27 03W88</t>
  </si>
  <si>
    <t>CR 6A 6 B 17</t>
  </si>
  <si>
    <t>CR 25 3 48</t>
  </si>
  <si>
    <t>CL 17 BIS 1D 42</t>
  </si>
  <si>
    <t>CR 31 B 15 14</t>
  </si>
  <si>
    <t>CLL 22 40 141</t>
  </si>
  <si>
    <t>CRA 5 16 111</t>
  </si>
  <si>
    <t>CR 9 4 22</t>
  </si>
  <si>
    <t>CL 17 11 65</t>
  </si>
  <si>
    <t>CL 22 18 06</t>
  </si>
  <si>
    <t>CL 4 7 76</t>
  </si>
  <si>
    <t>CR 32 33 22</t>
  </si>
  <si>
    <t>KM 4 VIA DUITAMA PAIPA</t>
  </si>
  <si>
    <t>CRA 16 12 20</t>
  </si>
  <si>
    <t>CR 10 N 15 53</t>
  </si>
  <si>
    <t>CLL 23 27 17</t>
  </si>
  <si>
    <t>CRA 19 18 82</t>
  </si>
  <si>
    <t>TIBASOSA VEREDA CENTRO</t>
  </si>
  <si>
    <t>CRA 13A 1 66</t>
  </si>
  <si>
    <t>CL 20 31 256</t>
  </si>
  <si>
    <t>CLL 25 A N26 15</t>
  </si>
  <si>
    <t>CRR 42 10 68</t>
  </si>
  <si>
    <t>vra trinidad</t>
  </si>
  <si>
    <t>CL18 2 27</t>
  </si>
  <si>
    <t>CLL 21 25 61</t>
  </si>
  <si>
    <t>CL 7 10 103</t>
  </si>
  <si>
    <t>CRR 38 14 40</t>
  </si>
  <si>
    <t>CR 26 15 13</t>
  </si>
  <si>
    <t>CR 29 19A 24</t>
  </si>
  <si>
    <t>CR 11 16 08 SUR</t>
  </si>
  <si>
    <t>CR 04 07 54</t>
  </si>
  <si>
    <t>CRAN 4 7 54</t>
  </si>
  <si>
    <t>CL 21 353 33</t>
  </si>
  <si>
    <t>CLL 2W 17 23</t>
  </si>
  <si>
    <t>CL 11A 11 03</t>
  </si>
  <si>
    <t>EL BOQUERON VEREDA SUANEME PEZCS</t>
  </si>
  <si>
    <t>CR 17 18 18</t>
  </si>
  <si>
    <t>CRA 9 14 19</t>
  </si>
  <si>
    <t>CLL 27 2B 22</t>
  </si>
  <si>
    <t>CL 20 A 27 72</t>
  </si>
  <si>
    <t>CLL 10 A 7 A 30</t>
  </si>
  <si>
    <t>CALL 13 35 18</t>
  </si>
  <si>
    <t>CRR 50 174 B 06</t>
  </si>
  <si>
    <t>CR 23A 21 05 LC101 BRR SAN JUAN BOSCO</t>
  </si>
  <si>
    <t>CR 13 27 60</t>
  </si>
  <si>
    <t>CALLE 77 89 A 28</t>
  </si>
  <si>
    <t>CR 42 13 83</t>
  </si>
  <si>
    <t>CL 21 21 24</t>
  </si>
  <si>
    <t>CR 10 18 27</t>
  </si>
  <si>
    <t>CR 28B 07 03</t>
  </si>
  <si>
    <t>CL 21 21 22</t>
  </si>
  <si>
    <t>CL 81 A 115 25</t>
  </si>
  <si>
    <t>VRD LA TORRE</t>
  </si>
  <si>
    <t>BELEN CENTRO</t>
  </si>
  <si>
    <t>CR 7 10 43</t>
  </si>
  <si>
    <t>CALLE 21 C 43 12</t>
  </si>
  <si>
    <t>CL 12 27 78</t>
  </si>
  <si>
    <t>CR 3 12 53</t>
  </si>
  <si>
    <t>CL 11 A 23 85</t>
  </si>
  <si>
    <t>CR  18  16 35</t>
  </si>
  <si>
    <t>CL 25 26 29</t>
  </si>
  <si>
    <t>CR 13 9 2</t>
  </si>
  <si>
    <t>CLL 19 A 30 78</t>
  </si>
  <si>
    <t>VDA SAN LUIS</t>
  </si>
  <si>
    <t>CRA 8 3 21</t>
  </si>
  <si>
    <t>CLL 20 29 53</t>
  </si>
  <si>
    <t>CR 3 3 30</t>
  </si>
  <si>
    <t>CL 19 30 133</t>
  </si>
  <si>
    <t>CR 24 14 62</t>
  </si>
  <si>
    <t>CR 40 22 185</t>
  </si>
  <si>
    <t>CLL24 25 155</t>
  </si>
  <si>
    <t>CL 10 18 11</t>
  </si>
  <si>
    <t>CR 26A 30 58</t>
  </si>
  <si>
    <t>MZ A CASA 15 CIUDAD SALITRE VILLAVI</t>
  </si>
  <si>
    <t>CL 15 38A 82</t>
  </si>
  <si>
    <t>CLLE 3 1 42</t>
  </si>
  <si>
    <t>CALL 11 11 A 05</t>
  </si>
  <si>
    <t>VD LA FLORIDA</t>
  </si>
  <si>
    <t>CRA 16 32 17</t>
  </si>
  <si>
    <t>BARRIO SEVILLA CARRERA 38 ESQ.</t>
  </si>
  <si>
    <t>CR 7 B 16 15</t>
  </si>
  <si>
    <t>CL 20 24 74</t>
  </si>
  <si>
    <t>CR 28 B 2 61</t>
  </si>
  <si>
    <t>CALLE 16 6 13</t>
  </si>
  <si>
    <t>CR 18 3 72</t>
  </si>
  <si>
    <t>CARRERA 8A 9 10</t>
  </si>
  <si>
    <t>CR 5 3 05</t>
  </si>
  <si>
    <t>CR 16 28 36</t>
  </si>
  <si>
    <t>CL 4 ESTE 16 57</t>
  </si>
  <si>
    <t>CLL 19 15 25</t>
  </si>
  <si>
    <t>CARRERA31D 14A 45</t>
  </si>
  <si>
    <t>CLL 29 16 61</t>
  </si>
  <si>
    <t>CLL 21 29 30</t>
  </si>
  <si>
    <t>CR 3 17 45</t>
  </si>
  <si>
    <t>CALLE 4D 2_18</t>
  </si>
  <si>
    <t>CR 8 45</t>
  </si>
  <si>
    <t>CALLE 1A 3 33</t>
  </si>
  <si>
    <t>CRA 5 A 17A 55</t>
  </si>
  <si>
    <t>CL 5 2 26</t>
  </si>
  <si>
    <t>CR 17 21 50</t>
  </si>
  <si>
    <t>cl 22a n 30 26</t>
  </si>
  <si>
    <t>CR 5C N 14B 11</t>
  </si>
  <si>
    <t>CL 63 01 06</t>
  </si>
  <si>
    <t>CLL 13 17 03</t>
  </si>
  <si>
    <t>CALLE 24 29 65</t>
  </si>
  <si>
    <t>CR 16A 9 30</t>
  </si>
  <si>
    <t>UPTC</t>
  </si>
  <si>
    <t>ESTACION DE ALEJANDRIA</t>
  </si>
  <si>
    <t>CL 24 1 E 56 BRR SAN ANTONIO NORTE</t>
  </si>
  <si>
    <t>CL 20 24 50</t>
  </si>
  <si>
    <t>CR 30 21 24</t>
  </si>
  <si>
    <t>CL 11 A 5 D 43</t>
  </si>
  <si>
    <t>MANZANA CASA 13</t>
  </si>
  <si>
    <t>CL 17A 11 40</t>
  </si>
  <si>
    <t>CL 6 SUR 8 28 BRR SAN FRANCISCO</t>
  </si>
  <si>
    <t>CL 5 N 7 75 BR SAN FRANCISCO</t>
  </si>
  <si>
    <t>CR 42 1068</t>
  </si>
  <si>
    <t>CRA35 9 13</t>
  </si>
  <si>
    <t>KM 03 VIA DUITAMA TIBASOSA</t>
  </si>
  <si>
    <t>CL 14 12 75</t>
  </si>
  <si>
    <t>CLL 7 20 06</t>
  </si>
  <si>
    <t>CL 10 19 77</t>
  </si>
  <si>
    <t>CR 5 7 89</t>
  </si>
  <si>
    <t>CR 7 B 17 48</t>
  </si>
  <si>
    <t>KM 4 VIA NOBSA</t>
  </si>
  <si>
    <t>CRA 17 B 22 114</t>
  </si>
  <si>
    <t>CL 6 2 45</t>
  </si>
  <si>
    <t>CR 20 28 70</t>
  </si>
  <si>
    <t>FUENTE HIGUERA</t>
  </si>
  <si>
    <t>BALCONES DE VILLA AURORA CA 18A</t>
  </si>
  <si>
    <t>CL 3 A 14 33</t>
  </si>
  <si>
    <t>KLL 18B 3B 2 24</t>
  </si>
  <si>
    <t>CR 5 20B 05</t>
  </si>
  <si>
    <t>CR 7B 17 48</t>
  </si>
  <si>
    <t>CL 25 23 31</t>
  </si>
  <si>
    <t>CRA 10A 22A 50</t>
  </si>
  <si>
    <t>CL 25A 26 29</t>
  </si>
  <si>
    <t>CRA 14 22 42</t>
  </si>
  <si>
    <t>CR 9 17 16</t>
  </si>
  <si>
    <t>CRA 11 2 15</t>
  </si>
  <si>
    <t>VRD TOCOGU</t>
  </si>
  <si>
    <t>CRRA 9 14 52</t>
  </si>
  <si>
    <t>KR 23 7 22</t>
  </si>
  <si>
    <t>VDA JUAN TOQUE</t>
  </si>
  <si>
    <t>CR 5 9 60</t>
  </si>
  <si>
    <t>CR 40 21 102</t>
  </si>
  <si>
    <t>CL 12 18 123</t>
  </si>
  <si>
    <t>CL 21 31 45</t>
  </si>
  <si>
    <t>CR 31B 15 14</t>
  </si>
  <si>
    <t>CALLE 15  30 17</t>
  </si>
  <si>
    <t>CRA 34A 20 106</t>
  </si>
  <si>
    <t>CR 33 9 55</t>
  </si>
  <si>
    <t>CR 15 A N9 A 73</t>
  </si>
  <si>
    <t>CR 20 N 22 74</t>
  </si>
  <si>
    <t>CL 13 32 75</t>
  </si>
  <si>
    <t>CR 9 15 15</t>
  </si>
  <si>
    <t>CRA 14A 5A 05</t>
  </si>
  <si>
    <t>CRA 15 18 49</t>
  </si>
  <si>
    <t>TV 14 21 08</t>
  </si>
  <si>
    <t>CL 21 27 71</t>
  </si>
  <si>
    <t>CRA 24 4 15</t>
  </si>
  <si>
    <t>CLL 11 A 32 79</t>
  </si>
  <si>
    <t>CL 10 N 9 A 56</t>
  </si>
  <si>
    <t>CR 2 N 6 27</t>
  </si>
  <si>
    <t>CL 19 30 2 80</t>
  </si>
  <si>
    <t>CR 5 N 18_25</t>
  </si>
  <si>
    <t>CRA 11 A 9 31</t>
  </si>
  <si>
    <t>AV NORTE 51 12</t>
  </si>
  <si>
    <t>CL 17 9A 06</t>
  </si>
  <si>
    <t>CR 30 20 32</t>
  </si>
  <si>
    <t>CRA 40 27 48</t>
  </si>
  <si>
    <t>CR 5 C13 A 02</t>
  </si>
  <si>
    <t>CR 14 N 11 38</t>
  </si>
  <si>
    <t>CRA 3 3220</t>
  </si>
  <si>
    <t>CLL 25 SU 11 500</t>
  </si>
  <si>
    <t>CR 38 16 15</t>
  </si>
  <si>
    <t>TR 29 9 78</t>
  </si>
  <si>
    <t>CR 35 9 19</t>
  </si>
  <si>
    <t>DG 68A 2C 25</t>
  </si>
  <si>
    <t>TRAS 20 22 105</t>
  </si>
  <si>
    <t>CR 31 12 37</t>
  </si>
  <si>
    <t>CR 3 1 71</t>
  </si>
  <si>
    <t>CL 23 19 23</t>
  </si>
  <si>
    <t>CL 23B N 5A 16</t>
  </si>
  <si>
    <t>CR 6  47  15 AV NORTE</t>
  </si>
  <si>
    <t>CR 45 21 41</t>
  </si>
  <si>
    <t>CR 7 N 18 17</t>
  </si>
  <si>
    <t>CR 1A 18A 04</t>
  </si>
  <si>
    <t>CR 28B 7 03</t>
  </si>
  <si>
    <t>CR 5 18 25</t>
  </si>
  <si>
    <t>AV LIBERADORES 27 27</t>
  </si>
  <si>
    <t>ROBLEALES  2</t>
  </si>
  <si>
    <t>CL 18 09 20</t>
  </si>
  <si>
    <t>CR 5 B 14 77</t>
  </si>
  <si>
    <t>CR 38 13 108</t>
  </si>
  <si>
    <t>GERMANIA</t>
  </si>
  <si>
    <t>CL 15 2 19</t>
  </si>
  <si>
    <t>TRANS 19 23 116</t>
  </si>
  <si>
    <t>CL 34 16 08</t>
  </si>
  <si>
    <t>CR 4 6 71</t>
  </si>
  <si>
    <t>CRA4A 1 53</t>
  </si>
  <si>
    <t>VD QUEBRADA ARRIBA</t>
  </si>
  <si>
    <t>CL 5 3 141</t>
  </si>
  <si>
    <t>CL 9 A 13 40</t>
  </si>
  <si>
    <t>CR 15 2 A 42</t>
  </si>
  <si>
    <t>cll 19 a 22 62</t>
  </si>
  <si>
    <t>CR 10 A 10 21</t>
  </si>
  <si>
    <t>KR 15 13 23</t>
  </si>
  <si>
    <t>CL 25 2E 05</t>
  </si>
  <si>
    <t>CL 07 D 01 A 03</t>
  </si>
  <si>
    <t>CALLE 20 N 43-23</t>
  </si>
  <si>
    <t>CLL 6 8 70</t>
  </si>
  <si>
    <t>DG 18 21 56</t>
  </si>
  <si>
    <t>CL 6 1 02</t>
  </si>
  <si>
    <t>CERINZA VEREDA CHITAL</t>
  </si>
  <si>
    <t>CR 8 9 29</t>
  </si>
  <si>
    <t>CL 9 6 03</t>
  </si>
  <si>
    <t>CR 39A 10 105</t>
  </si>
  <si>
    <t>CR 17 5 54</t>
  </si>
  <si>
    <t>CRA 17 7 54</t>
  </si>
  <si>
    <t>CLL24 39B 148</t>
  </si>
  <si>
    <t>CLL36 52</t>
  </si>
  <si>
    <t>CASA B5 SILVA PLAZAS</t>
  </si>
  <si>
    <t>CLL 21 21 02</t>
  </si>
  <si>
    <t>CLL 28 15 23</t>
  </si>
  <si>
    <t>CL 22 A 22 16</t>
  </si>
  <si>
    <t>CL 20 34 66</t>
  </si>
  <si>
    <t>BARRIO ARAUQUITA</t>
  </si>
  <si>
    <t>VILLAS DEL MUNDIAL APT 201 B.C</t>
  </si>
  <si>
    <t>CL 1 3 58</t>
  </si>
  <si>
    <t>CR 6 6 12</t>
  </si>
  <si>
    <t>CLL 20 CRA 30</t>
  </si>
  <si>
    <t>CLL 24A 5722</t>
  </si>
  <si>
    <t>CLL 8 6 28</t>
  </si>
  <si>
    <t>DG 23 37 28</t>
  </si>
  <si>
    <t>CR 26A 21 36</t>
  </si>
  <si>
    <t>CALLE 22 B 40 57</t>
  </si>
  <si>
    <t>CRR 18 22 109</t>
  </si>
  <si>
    <t>CR 3 10 53</t>
  </si>
  <si>
    <t>CR 34 19 133 T 22 302</t>
  </si>
  <si>
    <t>CR 8 9 26</t>
  </si>
  <si>
    <t>SENDEROS DE SAN DANIRL MAN F CAS 12</t>
  </si>
  <si>
    <t>CLL 19 44 42</t>
  </si>
  <si>
    <t>CR28B N 1 73</t>
  </si>
  <si>
    <t>CR 11 20 38SUR</t>
  </si>
  <si>
    <t>CL 21 39 30</t>
  </si>
  <si>
    <t>CR 17 17 20</t>
  </si>
  <si>
    <t>CLL 02 25 E</t>
  </si>
  <si>
    <t>CR 5 N 6 52</t>
  </si>
  <si>
    <t>CLL 11 A 6 27</t>
  </si>
  <si>
    <t>CLL 24 39B 134</t>
  </si>
  <si>
    <t>CR 6 9A 80</t>
  </si>
  <si>
    <t>CL 9A 6 48</t>
  </si>
  <si>
    <t>CR 3 8 23</t>
  </si>
  <si>
    <t>CL 24A 22 57</t>
  </si>
  <si>
    <t>TV 19 31 74</t>
  </si>
  <si>
    <t>CL 5 3 24</t>
  </si>
  <si>
    <t>CL 22A 30 17</t>
  </si>
  <si>
    <t>CLL 81A 80 69</t>
  </si>
  <si>
    <t>CR 38 9 15</t>
  </si>
  <si>
    <t>CALLE 2 4 48 FLORESTA</t>
  </si>
  <si>
    <t>CL 3 14 72</t>
  </si>
  <si>
    <t>CL 24 39 134</t>
  </si>
  <si>
    <t>CR 43A 11 117</t>
  </si>
  <si>
    <t>CRA 5 8 23</t>
  </si>
  <si>
    <t>CLL 16A N 25 12</t>
  </si>
  <si>
    <t>CL 3 2 50 T 5</t>
  </si>
  <si>
    <t>CL 2140 42</t>
  </si>
  <si>
    <t>VDR PARROQUIA</t>
  </si>
  <si>
    <t>CL 8A 4 14</t>
  </si>
  <si>
    <t>CR 23 23 21</t>
  </si>
  <si>
    <t>CR 16 32 97</t>
  </si>
  <si>
    <t>CR 4 10 14</t>
  </si>
  <si>
    <t>CRA 3 14 28</t>
  </si>
  <si>
    <t>DG 24 20 29</t>
  </si>
  <si>
    <t>CL 4 W 16 A 57</t>
  </si>
  <si>
    <t>CL 7 7 52</t>
  </si>
  <si>
    <t>CLL 7 10 140</t>
  </si>
  <si>
    <t>CRA 4 3 16</t>
  </si>
  <si>
    <t>MANZANA HCASA11</t>
  </si>
  <si>
    <t>CRA 30 10 56</t>
  </si>
  <si>
    <t>CRA 23A 2331</t>
  </si>
  <si>
    <t>CL 11A 5D 14</t>
  </si>
  <si>
    <t>CR 5 9 56</t>
  </si>
  <si>
    <t>CL 10 7 05</t>
  </si>
  <si>
    <t>cl 7 n 4 56</t>
  </si>
  <si>
    <t>CR 6 8 59</t>
  </si>
  <si>
    <t>CR 4 9 41</t>
  </si>
  <si>
    <t>VEREDA EL BOSQUE</t>
  </si>
  <si>
    <t>CRA  5 2 18</t>
  </si>
  <si>
    <t>CR 30 16 23</t>
  </si>
  <si>
    <t>CL 6 36B 64</t>
  </si>
  <si>
    <t>CR 07 02 W 11</t>
  </si>
  <si>
    <t>CRA 3A 4 18</t>
  </si>
  <si>
    <t>CR 13 21 68</t>
  </si>
  <si>
    <t>CARRERA 7 08 05 LA FLORIDA</t>
  </si>
  <si>
    <t>CLL13 6 18</t>
  </si>
  <si>
    <t>CR 8 5 23</t>
  </si>
  <si>
    <t>CR 6 N 08 59</t>
  </si>
  <si>
    <t>CL 9 5 14</t>
  </si>
  <si>
    <t>CR6 3 3 BELEN</t>
  </si>
  <si>
    <t>CR 24 15 20</t>
  </si>
  <si>
    <t>CRA 6 10 36</t>
  </si>
  <si>
    <t>CL 24 25 155</t>
  </si>
  <si>
    <t>CR 18 22 109</t>
  </si>
  <si>
    <t>AVENIDA AMERICAS CALLE 9 _36_6_8</t>
  </si>
  <si>
    <t>CR 5 10 15</t>
  </si>
  <si>
    <t>CR 7 25 36</t>
  </si>
  <si>
    <t>CL 7 A 2 58</t>
  </si>
  <si>
    <t>CL 11 7 85</t>
  </si>
  <si>
    <t>CLL 26 25 29</t>
  </si>
  <si>
    <t>CL 1 18 08</t>
  </si>
  <si>
    <t>TV 18 22 34</t>
  </si>
  <si>
    <t>CLL 6 5 47</t>
  </si>
  <si>
    <t>CL 9 N 6 27</t>
  </si>
  <si>
    <t>CL 7 7 08</t>
  </si>
  <si>
    <t>CL 7 7 83</t>
  </si>
  <si>
    <t>CR 34 A 20 A 23</t>
  </si>
  <si>
    <t>CL 14B 5C 119</t>
  </si>
  <si>
    <t>CLL10B 7A 43</t>
  </si>
  <si>
    <t>CR 23 23 20</t>
  </si>
  <si>
    <t>CARRERA 4 10 74 BELEN</t>
  </si>
  <si>
    <t>CRA 27 20 47</t>
  </si>
  <si>
    <t>VDR TUATE ALTO</t>
  </si>
  <si>
    <t>CR 8 6 30</t>
  </si>
  <si>
    <t>CR 23 22 23</t>
  </si>
  <si>
    <t>CLL 36 17 54</t>
  </si>
  <si>
    <t>CR 3B 4A 10</t>
  </si>
  <si>
    <t>CL 19 B 30 187</t>
  </si>
  <si>
    <t>CR 5 4 14</t>
  </si>
  <si>
    <t>TRANV 20 20 09</t>
  </si>
  <si>
    <t>DIVINO NIÑO</t>
  </si>
  <si>
    <t>CR 1 11 50</t>
  </si>
  <si>
    <t>CR 2DA 4 28</t>
  </si>
  <si>
    <t>CR 35 20 16</t>
  </si>
  <si>
    <t>VEREDA LA CHORRERA</t>
  </si>
  <si>
    <t>CR10 1 49</t>
  </si>
  <si>
    <t>CL 22B 40 37</t>
  </si>
  <si>
    <t>CRA 23 20 60</t>
  </si>
  <si>
    <t>DIAGONAL 18 21 46</t>
  </si>
  <si>
    <t>CRA19 N1973</t>
  </si>
  <si>
    <t>CRA 25 15 80</t>
  </si>
  <si>
    <t>DIG 23 23 61</t>
  </si>
  <si>
    <t>CR 34 19 135</t>
  </si>
  <si>
    <t>CR 4 12 93</t>
  </si>
  <si>
    <t>CLL 19 42 101</t>
  </si>
  <si>
    <t>CLL 22 N1 29</t>
  </si>
  <si>
    <t>CLL 2 7 34</t>
  </si>
  <si>
    <t>CLL 14N 21 48</t>
  </si>
  <si>
    <t>CR 5C N23 B 19</t>
  </si>
  <si>
    <t>CARRERA 40 N. 16-09</t>
  </si>
  <si>
    <t>CL 5A 45 46</t>
  </si>
  <si>
    <t>CR 8 C 9 A 19</t>
  </si>
  <si>
    <t>CL 19 A 22 20</t>
  </si>
  <si>
    <t>CR 40 22 A 83</t>
  </si>
  <si>
    <t>TV19 31 74</t>
  </si>
  <si>
    <t>AV 23 76 PISO 2</t>
  </si>
  <si>
    <t>CL 20 2 A 17</t>
  </si>
  <si>
    <t>CARRERA 35 20 11</t>
  </si>
  <si>
    <t>CL 7 12 17</t>
  </si>
  <si>
    <t>CR 8B9B 86</t>
  </si>
  <si>
    <t>VRDA PUENTE LA BALSA</t>
  </si>
  <si>
    <t>CLL 14 28 45</t>
  </si>
  <si>
    <t>CLL 12_11_60</t>
  </si>
  <si>
    <t>PADROS DE ALEJANDRIA</t>
  </si>
  <si>
    <t>AV 11 DE MAYO</t>
  </si>
  <si>
    <t>CL 22 24 76</t>
  </si>
  <si>
    <t>CRR 23 13 26</t>
  </si>
  <si>
    <t>TV 5 C 23 A 21</t>
  </si>
  <si>
    <t>CL 19 30 20</t>
  </si>
  <si>
    <t>CR 1A 17 A 26</t>
  </si>
  <si>
    <t>VRDA LA ESPERANZA</t>
  </si>
  <si>
    <t>CLL6 22 22</t>
  </si>
  <si>
    <t>CLL 21 27 34</t>
  </si>
  <si>
    <t>CL 21 34 04</t>
  </si>
  <si>
    <t>CR 6A N 3 09</t>
  </si>
  <si>
    <t>CL 11 A N 22 14</t>
  </si>
  <si>
    <t>CL 10A 7A 04</t>
  </si>
  <si>
    <t>CLL20 26 67</t>
  </si>
  <si>
    <t>CR 11 18 76</t>
  </si>
  <si>
    <t>BR JUAN GRANDE</t>
  </si>
  <si>
    <t>CR 17 N 35 A 206</t>
  </si>
  <si>
    <t>CRA 17 23 28</t>
  </si>
  <si>
    <t>CL 17 31 B 161</t>
  </si>
  <si>
    <t>CR 11 17 47</t>
  </si>
  <si>
    <t>CL 17 4 54</t>
  </si>
  <si>
    <t>CRA 17 16 61</t>
  </si>
  <si>
    <t>CL 23 B 5 A 13</t>
  </si>
  <si>
    <t>URB PATIVILCA</t>
  </si>
  <si>
    <t>CL 5 45 A 46</t>
  </si>
  <si>
    <t>CL 12 23 12</t>
  </si>
  <si>
    <t>CRA 28 12 08</t>
  </si>
  <si>
    <t>CRR 20 N 20 32</t>
  </si>
  <si>
    <t>CL 21 B 43 17</t>
  </si>
  <si>
    <t>DIAGONAL 11A  10A 48</t>
  </si>
  <si>
    <t>CL 3AW 33 50</t>
  </si>
  <si>
    <t>CL 28A 16 66</t>
  </si>
  <si>
    <t>MANZANAF CASA12 VILLA COLINA</t>
  </si>
  <si>
    <t>VDR QUEBRADA BECERRA</t>
  </si>
  <si>
    <t>CL 16 19 26</t>
  </si>
  <si>
    <t>CLL 23 26 59</t>
  </si>
  <si>
    <t>CL 25 4A 20</t>
  </si>
  <si>
    <t>BARRIO SAN LUIS</t>
  </si>
  <si>
    <t>CMARGO</t>
  </si>
  <si>
    <t>TV 18 A BIS 37 86</t>
  </si>
  <si>
    <t>CR 1 24 312</t>
  </si>
  <si>
    <t>TV 28 36 30</t>
  </si>
  <si>
    <t>CR 46 20 69</t>
  </si>
  <si>
    <t>CR 22 22 67</t>
  </si>
  <si>
    <t>CR 26 20 28</t>
  </si>
  <si>
    <t>CL261B95</t>
  </si>
  <si>
    <t>CR 32 19 163</t>
  </si>
  <si>
    <t>CONJUNTO RECERVAS DE LA MEDA</t>
  </si>
  <si>
    <t>CL 13 18 56</t>
  </si>
  <si>
    <t>CL 19 4 40</t>
  </si>
  <si>
    <t>CL 23C 4 128</t>
  </si>
  <si>
    <t>CR 14 B 161 54</t>
  </si>
  <si>
    <t>CRA 22 14 45</t>
  </si>
  <si>
    <t>CLL 3 17 36</t>
  </si>
  <si>
    <t>CLL 23 N 20 30</t>
  </si>
  <si>
    <t>DIAGONAL 18N21_56</t>
  </si>
  <si>
    <t>DG 11 9 13</t>
  </si>
  <si>
    <t>BRR BOYACA</t>
  </si>
  <si>
    <t>TRANSVERSAL 29 19 66</t>
  </si>
  <si>
    <t>CR 13 N 1 02</t>
  </si>
  <si>
    <t>CRA 26 N° 19 A  -83</t>
  </si>
  <si>
    <t>CR 23 21 3</t>
  </si>
  <si>
    <t>PUENTE DE LA BALZA</t>
  </si>
  <si>
    <t>CR 12 19 46</t>
  </si>
  <si>
    <t>CR 3 4 81</t>
  </si>
  <si>
    <t>DIAG 11 1352</t>
  </si>
  <si>
    <t>CR 23 4 25</t>
  </si>
  <si>
    <t>CL 24 8 68</t>
  </si>
  <si>
    <t>CL 21A 25 83</t>
  </si>
  <si>
    <t>CLL 20 2526</t>
  </si>
  <si>
    <t>CRA 1 A 26 01</t>
  </si>
  <si>
    <t>CL 23 A 27 37</t>
  </si>
  <si>
    <t>CLL 3A 9 64</t>
  </si>
  <si>
    <t>CR 16 32 59</t>
  </si>
  <si>
    <t>CL 16 11 32</t>
  </si>
  <si>
    <t>MZ J CASA 1 V KORINA</t>
  </si>
  <si>
    <t>CR 1B N 18 27</t>
  </si>
  <si>
    <t>VEREDA PEÑA NEGRA TIBASOSA</t>
  </si>
  <si>
    <t>CR 1E 15 103</t>
  </si>
  <si>
    <t>MNAZ G 12 CERRITO ENCANTADO</t>
  </si>
  <si>
    <t>CLL 176 54 15</t>
  </si>
  <si>
    <t>CR 13 A N 1 66</t>
  </si>
  <si>
    <t>CR 24 22 59</t>
  </si>
  <si>
    <t>CL 7 23 B 07</t>
  </si>
  <si>
    <t>CL 19A 26 15</t>
  </si>
  <si>
    <t>CR19 41</t>
  </si>
  <si>
    <t>CLL 12 37 A55</t>
  </si>
  <si>
    <t>CL 6 4 54</t>
  </si>
  <si>
    <t>CR 36 N 2OA 145</t>
  </si>
  <si>
    <t>CLL 1A 16 38</t>
  </si>
  <si>
    <t>CR 16C 2W 31</t>
  </si>
  <si>
    <t>CARRERA 29 N-20-51</t>
  </si>
  <si>
    <t>CL 15A 29A 46</t>
  </si>
  <si>
    <t>CL 3 522</t>
  </si>
  <si>
    <t>CR 3A 4 34</t>
  </si>
  <si>
    <t>CR 35 15 52</t>
  </si>
  <si>
    <t>CL 18 3 11 BRR LIBERTADOR</t>
  </si>
  <si>
    <t>CR 16 10 45</t>
  </si>
  <si>
    <t>CL 26 17 46</t>
  </si>
  <si>
    <t>CARRERA 39  21 33</t>
  </si>
  <si>
    <t>CL 300 22 156</t>
  </si>
  <si>
    <t>CL 4 8 53</t>
  </si>
  <si>
    <t>crr 21 23 22</t>
  </si>
  <si>
    <t>CASA3 MZ D BRR VILLA CORIN</t>
  </si>
  <si>
    <t>CL 18 19 77</t>
  </si>
  <si>
    <t>CLL 6 16 14</t>
  </si>
  <si>
    <t>CL 10 24 69</t>
  </si>
  <si>
    <t>CLL 11 16 27</t>
  </si>
  <si>
    <t>CRR 5 4 25</t>
  </si>
  <si>
    <t>CR 10 10 98</t>
  </si>
  <si>
    <t>CR 31 16 136</t>
  </si>
  <si>
    <t>VDR LAGUNA STA ROSA</t>
  </si>
  <si>
    <t>CR 22A 20 48</t>
  </si>
  <si>
    <t>CR 9 9B 41</t>
  </si>
  <si>
    <t>CLL 8 11 B 28</t>
  </si>
  <si>
    <t>CR 5 3A 05</t>
  </si>
  <si>
    <t>CR 14 8 30</t>
  </si>
  <si>
    <t>CARRERA 13 A N 4 45</t>
  </si>
  <si>
    <t>VR SAN LORENZO</t>
  </si>
  <si>
    <t>CR 20 3 13</t>
  </si>
  <si>
    <t>CRA11 5 40</t>
  </si>
  <si>
    <t>KR 21 2 12</t>
  </si>
  <si>
    <t>CRA43 21A 19</t>
  </si>
  <si>
    <t>LA FLORESTA</t>
  </si>
  <si>
    <t>CR 17 20 96</t>
  </si>
  <si>
    <t>CR 1 17 A 60</t>
  </si>
  <si>
    <t>CL 24 26 27</t>
  </si>
  <si>
    <t>CR 35 1 111</t>
  </si>
  <si>
    <t>CL 23C 598</t>
  </si>
  <si>
    <t>VRD QUEBRADA BECERRA</t>
  </si>
  <si>
    <t>CR 11 22 08</t>
  </si>
  <si>
    <t>CRA 40A 19 55</t>
  </si>
  <si>
    <t>MZD CASA 17</t>
  </si>
  <si>
    <t>ROBLEDALES 2 TR 37 AP 104</t>
  </si>
  <si>
    <t>CONJUNTO BUENA VISTA 129</t>
  </si>
  <si>
    <t>CRA 28B 703</t>
  </si>
  <si>
    <t>CLL 19 14 10</t>
  </si>
  <si>
    <t>CL 10 10A 17</t>
  </si>
  <si>
    <t>CRR 36 20A 69</t>
  </si>
  <si>
    <t>CLL 3 N 3-55</t>
  </si>
  <si>
    <t>CL 24 39B 148</t>
  </si>
  <si>
    <t>CR 3 NORTE 17 29</t>
  </si>
  <si>
    <t>RINCON FLORESTA</t>
  </si>
  <si>
    <t>CL 7 18 44</t>
  </si>
  <si>
    <t>CR 17B 24 32</t>
  </si>
  <si>
    <t>CR 16 N 28 56</t>
  </si>
  <si>
    <t>CR 25 20 45</t>
  </si>
  <si>
    <t>CL 10 11A 38</t>
  </si>
  <si>
    <t>BATICANO DUITAMA</t>
  </si>
  <si>
    <t>CR 32 16 23</t>
  </si>
  <si>
    <t>CL16 4 13</t>
  </si>
  <si>
    <t>CLL 24  24 74</t>
  </si>
  <si>
    <t>CL 33 16 07</t>
  </si>
  <si>
    <t>CL19 N 17 80</t>
  </si>
  <si>
    <t>TRAS 17A 21 40</t>
  </si>
  <si>
    <t>CR 4 E 18 42</t>
  </si>
  <si>
    <t>CRA 31 8 91</t>
  </si>
  <si>
    <t>CL 7 12 28</t>
  </si>
  <si>
    <t>CR 23 11 46</t>
  </si>
  <si>
    <t>CL 23C 5A 12</t>
  </si>
  <si>
    <t>BR LEON 13 CASA 9</t>
  </si>
  <si>
    <t>CR 3 A 15 B 56</t>
  </si>
  <si>
    <t>CR 25 19 13</t>
  </si>
  <si>
    <t>CLL 17 B 1D 23 25</t>
  </si>
  <si>
    <t>CL 19B 30 149</t>
  </si>
  <si>
    <t>CL 27 17 61</t>
  </si>
  <si>
    <t>CLL 19 25 31</t>
  </si>
  <si>
    <t>CR 23 2 21</t>
  </si>
  <si>
    <t>CRA 17B 22 114</t>
  </si>
  <si>
    <t>CR 13 9 06</t>
  </si>
  <si>
    <t>CLL 9A 14A 06</t>
  </si>
  <si>
    <t>TV 15 28 126</t>
  </si>
  <si>
    <t>CRA 35 4 08</t>
  </si>
  <si>
    <t>CLL 159 56 75</t>
  </si>
  <si>
    <t>CLL 10 24 48</t>
  </si>
  <si>
    <t>KLM 2 VIA PANTANO PAIPA</t>
  </si>
  <si>
    <t>CL 20 26A 98</t>
  </si>
  <si>
    <t>CR 24 23 27</t>
  </si>
  <si>
    <t>CLL 20 44 50</t>
  </si>
  <si>
    <t>CL 22 24 13</t>
  </si>
  <si>
    <t>CR 10A 22A 32</t>
  </si>
  <si>
    <t>CL 3 24 27</t>
  </si>
  <si>
    <t>CL 20 A 24 15</t>
  </si>
  <si>
    <t>CR 50 103B 75</t>
  </si>
  <si>
    <t>CL 14 5C 12</t>
  </si>
  <si>
    <t>cl 20 a 4 143</t>
  </si>
  <si>
    <t>VDRA LA FLORIDA</t>
  </si>
  <si>
    <t>CL 22 11A 27</t>
  </si>
  <si>
    <t>CL 12 6 79 PISO 2</t>
  </si>
  <si>
    <t>URB LEON 13 CA 30</t>
  </si>
  <si>
    <t>CR 19 13 64</t>
  </si>
  <si>
    <t>CL 19A 6 115</t>
  </si>
  <si>
    <t>CR 23A 2 25</t>
  </si>
  <si>
    <t>CR 17 10 80</t>
  </si>
  <si>
    <t>CR 14 9 10</t>
  </si>
  <si>
    <t>CL 22 37 45</t>
  </si>
  <si>
    <t>CL 17 42 B 18</t>
  </si>
  <si>
    <t>CR 23 5 72</t>
  </si>
  <si>
    <t>NO INFORMADO</t>
  </si>
  <si>
    <t>CR 8 11 50</t>
  </si>
  <si>
    <t>VRDA TOCOGUA</t>
  </si>
  <si>
    <t>CRA 7A 9D 14</t>
  </si>
  <si>
    <t>CL 20A 21 36</t>
  </si>
  <si>
    <t>CRR 30 14 54</t>
  </si>
  <si>
    <t>TRAS 5 22 56</t>
  </si>
  <si>
    <t>CR 7 1 A 14</t>
  </si>
  <si>
    <t>CL 14 32 18</t>
  </si>
  <si>
    <t>CL 26 N 17 19</t>
  </si>
  <si>
    <t>CR 15 16 18</t>
  </si>
  <si>
    <t>CR 31A 16 16</t>
  </si>
  <si>
    <t>CR 11 A 12 05</t>
  </si>
  <si>
    <t>SAN RAFAEL 2</t>
  </si>
  <si>
    <t>CALLE 6 A 10</t>
  </si>
  <si>
    <t>CALLE 23B 25 14</t>
  </si>
  <si>
    <t>URB PANORAMA</t>
  </si>
  <si>
    <t>CLL 22 37 40</t>
  </si>
  <si>
    <t>CLL 4 11 32</t>
  </si>
  <si>
    <t>CR 18 10 96</t>
  </si>
  <si>
    <t>CLL 2 28C 57</t>
  </si>
  <si>
    <t>VRA SUANEME</t>
  </si>
  <si>
    <t>VR LA LAGUNA</t>
  </si>
  <si>
    <t>ROBLEDALES II TO 13 APTO502</t>
  </si>
  <si>
    <t>CLL14 3275</t>
  </si>
  <si>
    <t>CLL 5 1 34</t>
  </si>
  <si>
    <t>CR 10 9 71</t>
  </si>
  <si>
    <t>CR 39 12 17</t>
  </si>
  <si>
    <t>CL 13 A 05 44</t>
  </si>
  <si>
    <t>CR  7 B N  10 77</t>
  </si>
  <si>
    <t>CR 34A 16 01</t>
  </si>
  <si>
    <t>CR 8 N 17B 20</t>
  </si>
  <si>
    <t>CL 4 W 34 23</t>
  </si>
  <si>
    <t>CR 6 9 27</t>
  </si>
  <si>
    <t>CL 9 13 99</t>
  </si>
  <si>
    <t>cll 17 n 34 59</t>
  </si>
  <si>
    <t>CRA 45 5A 0 90</t>
  </si>
  <si>
    <t>CRA 24A 2 20</t>
  </si>
  <si>
    <t>CR 11 17A 40</t>
  </si>
  <si>
    <t>CR 38 13 19</t>
  </si>
  <si>
    <t>CLL 2 1 D 51</t>
  </si>
  <si>
    <t>CL 16 N 9 04</t>
  </si>
  <si>
    <t>CR 38 15A 08</t>
  </si>
  <si>
    <t>CRA 17C 24 37</t>
  </si>
  <si>
    <t>CRA 23 5 17</t>
  </si>
  <si>
    <t>CL 15 30 16</t>
  </si>
  <si>
    <t>CR 26 N 25 05</t>
  </si>
  <si>
    <t>CR 1B 18 05</t>
  </si>
  <si>
    <t>CRR 5B N 13_ 24</t>
  </si>
  <si>
    <t>CR 11 2 36</t>
  </si>
  <si>
    <t>CR 16 20A 22</t>
  </si>
  <si>
    <t>CALLE 9C 7A 40</t>
  </si>
  <si>
    <t>CR 16 22 18</t>
  </si>
  <si>
    <t>CL 4W 14 51</t>
  </si>
  <si>
    <t>CL 13 19 52</t>
  </si>
  <si>
    <t>CRR 27 20 69</t>
  </si>
  <si>
    <t>CLL 19 26 63</t>
  </si>
  <si>
    <t>CRR 18 3 27</t>
  </si>
  <si>
    <t>CL 17 14 57</t>
  </si>
  <si>
    <t>CL 19A 26 55</t>
  </si>
  <si>
    <t>CL 9 31 80</t>
  </si>
  <si>
    <t>CL 6 17 81</t>
  </si>
  <si>
    <t>CR 30 19 110</t>
  </si>
  <si>
    <t>CRRA 42A 17A 04</t>
  </si>
  <si>
    <t>CLL13 32 75</t>
  </si>
  <si>
    <t>CONJUNTO ROBLEDALES</t>
  </si>
  <si>
    <t>CRA 35 1C OESTE 110</t>
  </si>
  <si>
    <t>CR 46 18 08</t>
  </si>
  <si>
    <t>CR 10 9 BS 53</t>
  </si>
  <si>
    <t>CL 26 B 17 80</t>
  </si>
  <si>
    <t>VRDA EL CHORRITO</t>
  </si>
  <si>
    <t>DIAGONAL 14 A N 27 A 23</t>
  </si>
  <si>
    <t>CRA 8VA N 9 45</t>
  </si>
  <si>
    <t>CL21B 37 24</t>
  </si>
  <si>
    <t>CR 45 4 95</t>
  </si>
  <si>
    <t>DG 18A  21 16</t>
  </si>
  <si>
    <t>CR 28 2 51</t>
  </si>
  <si>
    <t>CL 17 A 4 A 29</t>
  </si>
  <si>
    <t>CR38A N15 13</t>
  </si>
  <si>
    <t>CR 10 4 19</t>
  </si>
  <si>
    <t>CL 13 1 70</t>
  </si>
  <si>
    <t>KM 1 VIA TIBASOSA</t>
  </si>
  <si>
    <t>CRA 24A 11 11</t>
  </si>
  <si>
    <t>CRA 38 13 30</t>
  </si>
  <si>
    <t>CR 28 2 22</t>
  </si>
  <si>
    <t>CLL 2017 18</t>
  </si>
  <si>
    <t>TV 15 30 45</t>
  </si>
  <si>
    <t>CL 21B 40 49</t>
  </si>
  <si>
    <t>CR 18 18 31</t>
  </si>
  <si>
    <t>CL 14 05C 74</t>
  </si>
  <si>
    <t>CL 18 5A 70</t>
  </si>
  <si>
    <t>CRR 27 20 56</t>
  </si>
  <si>
    <t>CRA 16 5 110</t>
  </si>
  <si>
    <t>CR 43 19 25</t>
  </si>
  <si>
    <t>CLL6 16A14 APT 301</t>
  </si>
  <si>
    <t>CR 11B 8 34</t>
  </si>
  <si>
    <t>CALLE 10 N 32_97</t>
  </si>
  <si>
    <t>CL 21 23 A 31</t>
  </si>
  <si>
    <t>CRA 10A 10 67</t>
  </si>
  <si>
    <t>CLL 6 18 15</t>
  </si>
  <si>
    <t>CR 5 17A 23</t>
  </si>
  <si>
    <t>CLL 19A 30 84</t>
  </si>
  <si>
    <t>CR 31 21 20</t>
  </si>
  <si>
    <t>CR 19A 5 21</t>
  </si>
  <si>
    <t>CR 10 1 49</t>
  </si>
  <si>
    <t>CR24 N 2_2</t>
  </si>
  <si>
    <t>CLL 5 18 40</t>
  </si>
  <si>
    <t>CR 32 19 74</t>
  </si>
  <si>
    <t>CLL19A 30 84</t>
  </si>
  <si>
    <t>CR 26 19 17</t>
  </si>
  <si>
    <t>CL 11A N 23 85</t>
  </si>
  <si>
    <t>CR 16 1 24</t>
  </si>
  <si>
    <t>CL 9 8 12</t>
  </si>
  <si>
    <t>CRA 37 B 13 86</t>
  </si>
  <si>
    <t>CR 48 7B 18</t>
  </si>
  <si>
    <t>CR 26 A 3 11</t>
  </si>
  <si>
    <t>CL 17A 3A 06</t>
  </si>
  <si>
    <t>CL 3 6 05</t>
  </si>
  <si>
    <t>CR 19 N12 A 29</t>
  </si>
  <si>
    <t>CL 25 27 23</t>
  </si>
  <si>
    <t>CR 2 4 28</t>
  </si>
  <si>
    <t>CL 11A N 50 43</t>
  </si>
  <si>
    <t>CL 10 24 26</t>
  </si>
  <si>
    <t>CR 12 17 43</t>
  </si>
  <si>
    <t>VRDA UCUENGA</t>
  </si>
  <si>
    <t>CR 15 7 46</t>
  </si>
  <si>
    <t>CARR 16 21 02</t>
  </si>
  <si>
    <t>VDR PUENTE LA BALSA</t>
  </si>
  <si>
    <t>CL 24 27 126</t>
  </si>
  <si>
    <t>CR 5A 23 45</t>
  </si>
  <si>
    <t>CRR 22 20B 09</t>
  </si>
  <si>
    <t>CL 3 A 9 75</t>
  </si>
  <si>
    <t>TV 29 16 31</t>
  </si>
  <si>
    <t>CLL  5 N 18 12</t>
  </si>
  <si>
    <t>CL 23 N 27 41</t>
  </si>
  <si>
    <t>CR 9 12 72</t>
  </si>
  <si>
    <t>CL 22A 10A 07</t>
  </si>
  <si>
    <t>CR 16 16 07</t>
  </si>
  <si>
    <t>CLL 16 9 56</t>
  </si>
  <si>
    <t>CL 23 N 30 83</t>
  </si>
  <si>
    <t>CRA 13 2 52</t>
  </si>
  <si>
    <t>CR 13 4 25</t>
  </si>
  <si>
    <t>CL 19 A BIS 116 73</t>
  </si>
  <si>
    <t>CR 37 21 61</t>
  </si>
  <si>
    <t>CL 23 26 59</t>
  </si>
  <si>
    <t>CR 13 6 35</t>
  </si>
  <si>
    <t>CLLE18 20 86</t>
  </si>
  <si>
    <t>CR 8 16 27</t>
  </si>
  <si>
    <t>CR 53D 4A 80</t>
  </si>
  <si>
    <t>CLL 20 22 30</t>
  </si>
  <si>
    <t>CR 5 14 B 81</t>
  </si>
  <si>
    <t>CR 1A NORTE 18 23</t>
  </si>
  <si>
    <t>CR 11 22A 05</t>
  </si>
  <si>
    <t>CR 26C 21 60</t>
  </si>
  <si>
    <t>CR 11 N 22A 11</t>
  </si>
  <si>
    <t>CL 23 4 22</t>
  </si>
  <si>
    <t>CR 27 N 9A 03</t>
  </si>
  <si>
    <t>CRR 30 20 45</t>
  </si>
  <si>
    <t>CRA 26 20 36</t>
  </si>
  <si>
    <t>CALLE 10 24 73</t>
  </si>
  <si>
    <t>CRA 26 1025</t>
  </si>
  <si>
    <t>CL 9A 07A 20</t>
  </si>
  <si>
    <t>CL 16 30 30</t>
  </si>
  <si>
    <t>K103F N 139 65</t>
  </si>
  <si>
    <t>CR 5 3 51</t>
  </si>
  <si>
    <t>CKL 28 15 81</t>
  </si>
  <si>
    <t>CL 5 2 18</t>
  </si>
  <si>
    <t>CR 14 11 40</t>
  </si>
  <si>
    <t>CR 24 2 25</t>
  </si>
  <si>
    <t>TV 19 36 07</t>
  </si>
  <si>
    <t>CR 29 21A 16 APTO 203</t>
  </si>
  <si>
    <t>CR 1 B6 A03</t>
  </si>
  <si>
    <t>CR 5 19 25</t>
  </si>
  <si>
    <t>CLL 22 A 21 06</t>
  </si>
  <si>
    <t>CLL 13 35 12</t>
  </si>
  <si>
    <t>CR 6A 9A 57</t>
  </si>
  <si>
    <t>CL 24 N 27 47</t>
  </si>
  <si>
    <t>CL 17 31 161</t>
  </si>
  <si>
    <t>CR 26 N 21A 05</t>
  </si>
  <si>
    <t>CL 9C 7A 40</t>
  </si>
  <si>
    <t>CL 22 40A 141</t>
  </si>
  <si>
    <t>CL 8 11 56</t>
  </si>
  <si>
    <t>CR 6 19 A 47</t>
  </si>
  <si>
    <t>CLL 14 B N 37B 22</t>
  </si>
  <si>
    <t>CRA 10 N° 10A  - 16</t>
  </si>
  <si>
    <t>ALTOS DE MARANTA CASA 28 B</t>
  </si>
  <si>
    <t>CRA 26 N 23 83</t>
  </si>
  <si>
    <t>CR 5 B 14 92</t>
  </si>
  <si>
    <t>MZ E C 17</t>
  </si>
  <si>
    <t>CL 9 29 50</t>
  </si>
  <si>
    <t>CR 26 N 21 21</t>
  </si>
  <si>
    <t>MZ D CASA 1</t>
  </si>
  <si>
    <t>CALLE 25 N 4-36</t>
  </si>
  <si>
    <t>CL28 17 75</t>
  </si>
  <si>
    <t>CLL 5A  45 46</t>
  </si>
  <si>
    <t>CL 11 45 36</t>
  </si>
  <si>
    <t>CLL 15 10 18</t>
  </si>
  <si>
    <t>CL 20 1C 15</t>
  </si>
  <si>
    <t>TRV 15 31 79</t>
  </si>
  <si>
    <t>CR 43 A 16 05</t>
  </si>
  <si>
    <t>KM 6-5 VIA DUITAMA NOBSA</t>
  </si>
  <si>
    <t>CR 15 30 17</t>
  </si>
  <si>
    <t>CLL27 16 14</t>
  </si>
  <si>
    <t>CR 16 2 03</t>
  </si>
  <si>
    <t>CL 14 31D 07</t>
  </si>
  <si>
    <t>CR 11A 22 69</t>
  </si>
  <si>
    <t>C4 W 34 23</t>
  </si>
  <si>
    <t>CR 3 3 19</t>
  </si>
  <si>
    <t>CR 12 10 32</t>
  </si>
  <si>
    <t>CLL 9 37 53</t>
  </si>
  <si>
    <t>CLL16 4 82</t>
  </si>
  <si>
    <t>CR 16 A 1 05</t>
  </si>
  <si>
    <t>CL 08 23 32</t>
  </si>
  <si>
    <t>CL 21 9A 62</t>
  </si>
  <si>
    <t>COL NOR CS 30</t>
  </si>
  <si>
    <t>CR 23A 21 52</t>
  </si>
  <si>
    <t>CR 1 17 A 2</t>
  </si>
  <si>
    <t>CL 15 30 17 SAN RAFAEL 2 TO 8 AP 504</t>
  </si>
  <si>
    <t>cr 18 10 14</t>
  </si>
  <si>
    <t>cra 34 19 112</t>
  </si>
  <si>
    <t>CR 30 N 23 27</t>
  </si>
  <si>
    <t>CL 21 13 A 10</t>
  </si>
  <si>
    <t>CRA 17A 25 08</t>
  </si>
  <si>
    <t>CR 16 3 35</t>
  </si>
  <si>
    <t>CRR 31 22 47</t>
  </si>
  <si>
    <t>CL 21 26 A 16</t>
  </si>
  <si>
    <t>CARERA 7 A 11 17</t>
  </si>
  <si>
    <t>CL 11 17 28</t>
  </si>
  <si>
    <t>CL 20 A 24 34</t>
  </si>
  <si>
    <t>CLL 26A 17 A 29</t>
  </si>
  <si>
    <t>CR 3 1 22</t>
  </si>
  <si>
    <t>CR 9 17 47</t>
  </si>
  <si>
    <t>CR 26 18 38</t>
  </si>
  <si>
    <t>CRR 6 1 52</t>
  </si>
  <si>
    <t>CR 05 A 01 A 19</t>
  </si>
  <si>
    <t>CR 7 12 122</t>
  </si>
  <si>
    <t>CL 18B 4 55</t>
  </si>
  <si>
    <t>CR 17 26 38</t>
  </si>
  <si>
    <t>CR 3 23 16</t>
  </si>
  <si>
    <t>CR 9 18 36</t>
  </si>
  <si>
    <t>CL 8 11B 7</t>
  </si>
  <si>
    <t>CRR 42A 17 26 BRR JUAN GRANDE</t>
  </si>
  <si>
    <t>CR 10A 9A 91</t>
  </si>
  <si>
    <t>C 18 14 45</t>
  </si>
  <si>
    <t>VRD PRADERA</t>
  </si>
  <si>
    <t>CL 23 3A 55</t>
  </si>
  <si>
    <t>SANTA TERESA TIBASOSA</t>
  </si>
  <si>
    <t>CR 34 B6 05</t>
  </si>
  <si>
    <t>CRA 24 8 06</t>
  </si>
  <si>
    <t>CLL 6 36B</t>
  </si>
  <si>
    <t>CL 18 2 32</t>
  </si>
  <si>
    <t>CR 3N 17A 09</t>
  </si>
  <si>
    <t>CL 22 N 37 93</t>
  </si>
  <si>
    <t>CR 39 22 84</t>
  </si>
  <si>
    <t>CR 3 NORT N 17 29</t>
  </si>
  <si>
    <t>CL 19 26 45</t>
  </si>
  <si>
    <t>CRA25 N367</t>
  </si>
  <si>
    <t>CRA37B 1369</t>
  </si>
  <si>
    <t>AV CIRCUNVALAR 12 84</t>
  </si>
  <si>
    <t>CL  15 36 05</t>
  </si>
  <si>
    <t>CRR 24 20 55</t>
  </si>
  <si>
    <t>cr 26 19a 43</t>
  </si>
  <si>
    <t>CR 24A 11 52</t>
  </si>
  <si>
    <t>CR 6A 1 33</t>
  </si>
  <si>
    <t>VDR PUENTE LABALSA</t>
  </si>
  <si>
    <t>CRA 5 17 50</t>
  </si>
  <si>
    <t>KM 7VIA DUITAMA BELENCITO</t>
  </si>
  <si>
    <t>CRA 7 4 31</t>
  </si>
  <si>
    <t>CALLE 18 5A 40</t>
  </si>
  <si>
    <t>CLL 24 3 68</t>
  </si>
  <si>
    <t>CLL 23 28 72</t>
  </si>
  <si>
    <t>CR 76</t>
  </si>
  <si>
    <t>CLL 24 N27 116</t>
  </si>
  <si>
    <t>CR 38B 21 21</t>
  </si>
  <si>
    <t>CR 31 15 32</t>
  </si>
  <si>
    <t>CALLE 5 N 3A 08</t>
  </si>
  <si>
    <t>CR 8 17 29</t>
  </si>
  <si>
    <t>CL 14B 2 66</t>
  </si>
  <si>
    <t>CALLE 20B 30A 15</t>
  </si>
  <si>
    <t>CRA 04 13 74</t>
  </si>
  <si>
    <t>CRA 1E 17A 42</t>
  </si>
  <si>
    <t>CL 9A 14 29</t>
  </si>
  <si>
    <t>CL 9 ABIS 7 72</t>
  </si>
  <si>
    <t>CL 21A 40 07</t>
  </si>
  <si>
    <t>CR 38 A 14 105</t>
  </si>
  <si>
    <t>CR 29 17 59 MZ I CA 19</t>
  </si>
  <si>
    <t>CR 10A 9A 77 INTERIOR</t>
  </si>
  <si>
    <t>CLL 18 15 30</t>
  </si>
  <si>
    <t>CRA38 14B 20</t>
  </si>
  <si>
    <t>CL 3 N 5 50</t>
  </si>
  <si>
    <t>CL 2 W 8 45</t>
  </si>
  <si>
    <t>CR 16 6 57</t>
  </si>
  <si>
    <t>REFUGIO ALAMOS</t>
  </si>
  <si>
    <t>CR 4 19 11</t>
  </si>
  <si>
    <t>CL 4 3 50</t>
  </si>
  <si>
    <t>CL 25A 4B 44</t>
  </si>
  <si>
    <t>KRA 36A 22 26</t>
  </si>
  <si>
    <t>CRA 31 A 15 23</t>
  </si>
  <si>
    <t>CON MIRADOR DEL BOSQUE</t>
  </si>
  <si>
    <t>DIAG 18 N 21-56</t>
  </si>
  <si>
    <t>CR32 N 19 40</t>
  </si>
  <si>
    <t>CII 18 1323</t>
  </si>
  <si>
    <t>CRA 16 3202</t>
  </si>
  <si>
    <t>CR 5 20 39</t>
  </si>
  <si>
    <t>CR 7 4 33</t>
  </si>
  <si>
    <t>CR 21 N 16 36</t>
  </si>
  <si>
    <t>CR 41 N 10 15</t>
  </si>
  <si>
    <t>TRAV 15 29 50</t>
  </si>
  <si>
    <t>CR 5 15A 51</t>
  </si>
  <si>
    <t>CL 19 26 35</t>
  </si>
  <si>
    <t>CRRA 37 A 13 19</t>
  </si>
  <si>
    <t>CRA 25 3 67</t>
  </si>
  <si>
    <t>CRA 20 21 25</t>
  </si>
  <si>
    <t>CR 22 12 15</t>
  </si>
  <si>
    <t>CLL 23C 5A 12</t>
  </si>
  <si>
    <t>CL 20 16 84</t>
  </si>
  <si>
    <t>CR 43 N 19A 05 BRR JUAN GRANDE</t>
  </si>
  <si>
    <t>CL 23 C 4 76</t>
  </si>
  <si>
    <t>CL 14 4 30</t>
  </si>
  <si>
    <t>CR 10 9A 99 P2</t>
  </si>
  <si>
    <t>CR 8 9A 71</t>
  </si>
  <si>
    <t>CLL 15A 38 31</t>
  </si>
  <si>
    <t>CLL 48 08 46</t>
  </si>
  <si>
    <t>CLL 21A 3752</t>
  </si>
  <si>
    <t>CL 24 11 173</t>
  </si>
  <si>
    <t>CL 8 N 27 28</t>
  </si>
  <si>
    <t>CR 5 23 48</t>
  </si>
  <si>
    <t>CRA 18 4 23</t>
  </si>
  <si>
    <t>CR 32A 10 29</t>
  </si>
  <si>
    <t>CL 23 3071</t>
  </si>
  <si>
    <t>CR 16 A 9 43</t>
  </si>
  <si>
    <t>KR 45 22A 55</t>
  </si>
  <si>
    <t>CL 16 11 29</t>
  </si>
  <si>
    <t>4 ESQ SAN ANTONIO NORT</t>
  </si>
  <si>
    <t>CLL22 39 74</t>
  </si>
  <si>
    <t>CL 22 25 39</t>
  </si>
  <si>
    <t>CRA 40#22-31</t>
  </si>
  <si>
    <t>CR 34 112</t>
  </si>
  <si>
    <t>CRA17 2 110</t>
  </si>
  <si>
    <t>cll 20 n 46 75</t>
  </si>
  <si>
    <t>CALLE 20A N 1232</t>
  </si>
  <si>
    <t>CLL 23 16 56</t>
  </si>
  <si>
    <t>CR44 20 67</t>
  </si>
  <si>
    <t>CRA 36A#21-27</t>
  </si>
  <si>
    <t>TV 18 25 30</t>
  </si>
  <si>
    <t>CR 43 21 A 15</t>
  </si>
  <si>
    <t>CL 8 26 A 30</t>
  </si>
  <si>
    <t>CR 18 22 124</t>
  </si>
  <si>
    <t>CL 24 27 47</t>
  </si>
  <si>
    <t>CR 17 16 60</t>
  </si>
  <si>
    <t>CR 37 20 80</t>
  </si>
  <si>
    <t>CRR 34 20 26</t>
  </si>
  <si>
    <t>CR 1 E 17 A 37</t>
  </si>
  <si>
    <t>CR 16 4A W115</t>
  </si>
  <si>
    <t>KL 6 VIA DUITAMA NOBSA</t>
  </si>
  <si>
    <t>CR 6A 9 110</t>
  </si>
  <si>
    <t>CLL 19 19 16</t>
  </si>
  <si>
    <t>CRA 13 0880</t>
  </si>
  <si>
    <t>CR 9 2 80</t>
  </si>
  <si>
    <t>CR9 9B 51</t>
  </si>
  <si>
    <t>CL 14 04 26</t>
  </si>
  <si>
    <t>CLL 18 2086</t>
  </si>
  <si>
    <t>CLL 2 17 67</t>
  </si>
  <si>
    <t>CL 18 42 22</t>
  </si>
  <si>
    <t>CR 33 13 35</t>
  </si>
  <si>
    <t>CR31 21 49</t>
  </si>
  <si>
    <t>CR 7 9A 109</t>
  </si>
  <si>
    <t>TRASV 14 20 A34</t>
  </si>
  <si>
    <t>VDRA CHORRITO</t>
  </si>
  <si>
    <t>CR 2 7 11</t>
  </si>
  <si>
    <t>CL 32 12A 42 BRR VILLA JARDIN</t>
  </si>
  <si>
    <t>CRA 19 10 34</t>
  </si>
  <si>
    <t>CRA 30 2014</t>
  </si>
  <si>
    <t>CR 24 11 50</t>
  </si>
  <si>
    <t>FLORESTA CLUB APT 102</t>
  </si>
  <si>
    <t>CARRERA 32 19 40</t>
  </si>
  <si>
    <t>CL 15 29 18</t>
  </si>
  <si>
    <t>CL 14 40 22</t>
  </si>
  <si>
    <t>CR 35 15 46</t>
  </si>
  <si>
    <t>CL 13A 34 38</t>
  </si>
  <si>
    <t>MZ E CASA 1 BBR LOS ALAMOS</t>
  </si>
  <si>
    <t>TORRE DE LA ARBOLEDA</t>
  </si>
  <si>
    <t>CALLE 11 A 6 55</t>
  </si>
  <si>
    <t>CL1 25A 90</t>
  </si>
  <si>
    <t>CLL 14 5 C 06</t>
  </si>
  <si>
    <t>CR 21 20A 32</t>
  </si>
  <si>
    <t>CLL 25 26 48</t>
  </si>
  <si>
    <t>CR 21 20 B 15</t>
  </si>
  <si>
    <t>CLL 2A 6 37</t>
  </si>
  <si>
    <t>CL 20 N 21 18</t>
  </si>
  <si>
    <t>VEREDA ESPARTAL BAJO</t>
  </si>
  <si>
    <t>CLL 17A 2 35</t>
  </si>
  <si>
    <t>CR 40 14 10</t>
  </si>
  <si>
    <t>CALLE 23 3 33</t>
  </si>
  <si>
    <t>CL 28 A 16 25</t>
  </si>
  <si>
    <t>CL 16 7 38</t>
  </si>
  <si>
    <t>LA PERLA</t>
  </si>
  <si>
    <t>MZ B BL 2 ED 5 TIMONEL</t>
  </si>
  <si>
    <t>CLLE 19 25 31</t>
  </si>
  <si>
    <t>BRR SAN PEDRO</t>
  </si>
  <si>
    <t>CL 27 A 16 13</t>
  </si>
  <si>
    <t>CL 19A 4 55</t>
  </si>
  <si>
    <t>CR16 A 19 23</t>
  </si>
  <si>
    <t>CL 18 2 41</t>
  </si>
  <si>
    <t>CRA 4A Ñ1 53</t>
  </si>
  <si>
    <t>CR 32 16 51</t>
  </si>
  <si>
    <t>CR 16 A 09 40</t>
  </si>
  <si>
    <t>CALLE 11 23 40</t>
  </si>
  <si>
    <t>CARRERA 43 18 40</t>
  </si>
  <si>
    <t>CR 18 7 04</t>
  </si>
  <si>
    <t>CL 3A 13 38</t>
  </si>
  <si>
    <t>CRA 28 0224</t>
  </si>
  <si>
    <t>CLL 21 9 11</t>
  </si>
  <si>
    <t>CRA 30 12A 40</t>
  </si>
  <si>
    <t>barrio san luis</t>
  </si>
  <si>
    <t>CLL 2 16 21</t>
  </si>
  <si>
    <t>CR 47 12</t>
  </si>
  <si>
    <t>CR 43 N 15 84</t>
  </si>
  <si>
    <t>BRR SANTA LUCIA</t>
  </si>
  <si>
    <t>VDA EL SALITRE</t>
  </si>
  <si>
    <t>CL 12 9 ESTE 58</t>
  </si>
  <si>
    <t>CR 20 20 15</t>
  </si>
  <si>
    <t>CALLE 22 C 28 21</t>
  </si>
  <si>
    <t>KL6 VIA DUITAMA</t>
  </si>
  <si>
    <t>CR 10 A 9 A73</t>
  </si>
  <si>
    <t>CRA 8 9 130</t>
  </si>
  <si>
    <t>PUENTE LA BALZA</t>
  </si>
  <si>
    <t>CRA 29 24 36</t>
  </si>
  <si>
    <t>CL 10 8 56</t>
  </si>
  <si>
    <t>CL 14 38 05</t>
  </si>
  <si>
    <t>DIG 11 13 70</t>
  </si>
  <si>
    <t>CL 15A 37 29</t>
  </si>
  <si>
    <t>CARRERA 9 BIS 10 BIS 13</t>
  </si>
  <si>
    <t>CR 17 23 108</t>
  </si>
  <si>
    <t>TV 19 24 A 149</t>
  </si>
  <si>
    <t>CRA 07 17 10</t>
  </si>
  <si>
    <t>CR 11 06 31</t>
  </si>
  <si>
    <t>CL 3W N 17 19</t>
  </si>
  <si>
    <t>CR 21 23 80</t>
  </si>
  <si>
    <t>CR 22 15 60</t>
  </si>
  <si>
    <t>CRA 38B 14 25</t>
  </si>
  <si>
    <t>CR 24 11 36</t>
  </si>
  <si>
    <t>CR 21 A 25 27</t>
  </si>
  <si>
    <t>CR 12 01 65</t>
  </si>
  <si>
    <t>CRA 18 MANZANA F CASA 4</t>
  </si>
  <si>
    <t>CLL 6B 3623</t>
  </si>
  <si>
    <t>CR 26 16 79</t>
  </si>
  <si>
    <t>CL 15 31D 33</t>
  </si>
  <si>
    <t>NUEVA FRONTERA</t>
  </si>
  <si>
    <t>CR 10 1 41</t>
  </si>
  <si>
    <t>VDRA QUEBRDA BECERRAS</t>
  </si>
  <si>
    <t>CRA 1AE 11 38</t>
  </si>
  <si>
    <t>CL 9A 7 56</t>
  </si>
  <si>
    <t>TVS 19 29A 90</t>
  </si>
  <si>
    <t>CLL 17 17 54</t>
  </si>
  <si>
    <t>CR 19 A 31</t>
  </si>
  <si>
    <t>CR 36 9 30</t>
  </si>
  <si>
    <t>CR 24 20A 25</t>
  </si>
  <si>
    <t>CR 17 2 89</t>
  </si>
  <si>
    <t>CL 14B 34 50</t>
  </si>
  <si>
    <t>CL 22 16 41</t>
  </si>
  <si>
    <t>CL 21 20 55</t>
  </si>
  <si>
    <t>CL23 39 83</t>
  </si>
  <si>
    <t>CR 40A 22 B25</t>
  </si>
  <si>
    <t>CLL 7 9 34</t>
  </si>
  <si>
    <t>CR 22 17A 43</t>
  </si>
  <si>
    <t>CRA 6A 1 52</t>
  </si>
  <si>
    <t>TRV 15 32 04</t>
  </si>
  <si>
    <t>TRV 15 29 63</t>
  </si>
  <si>
    <t>CL 16 A 25 40</t>
  </si>
  <si>
    <t>VEREDA QUEBRADA DE BECERRAS</t>
  </si>
  <si>
    <t>CL 06 06 B 03</t>
  </si>
  <si>
    <t>CR 12 36 63</t>
  </si>
  <si>
    <t>CR 38B 21 61</t>
  </si>
  <si>
    <t>vdr la pradera</t>
  </si>
  <si>
    <t>CR  42 18 47</t>
  </si>
  <si>
    <t>CLL 14 10 43</t>
  </si>
  <si>
    <t>TRAVERSAL3</t>
  </si>
  <si>
    <t>K 9 DUITAMA BELENCITO</t>
  </si>
  <si>
    <t>CLL 11 38 52</t>
  </si>
  <si>
    <t>CL10 2736</t>
  </si>
  <si>
    <t>CL 9 8 A 75</t>
  </si>
  <si>
    <t>CL 16 30 A 44</t>
  </si>
  <si>
    <t>CL 22 1B 100</t>
  </si>
  <si>
    <t>CR 21 2 63</t>
  </si>
  <si>
    <t>TV 21 N 20 71</t>
  </si>
  <si>
    <t>VDR LA CHORRERA</t>
  </si>
  <si>
    <t>CR 18A 2A 64</t>
  </si>
  <si>
    <t>TR 19 31 16</t>
  </si>
  <si>
    <t>TV 10 12 56</t>
  </si>
  <si>
    <t>CRR 3 14 157</t>
  </si>
  <si>
    <t>CLL 2 A 18 19</t>
  </si>
  <si>
    <t>CL 23 26A 20</t>
  </si>
  <si>
    <t>CL 31 19 40</t>
  </si>
  <si>
    <t>CR 11 22A 60</t>
  </si>
  <si>
    <t>CALLE 10 10A 32</t>
  </si>
  <si>
    <t>CALLE 17 N 11 64</t>
  </si>
  <si>
    <t>CL 21 31 09</t>
  </si>
  <si>
    <t>MANZANA  E CASA 4</t>
  </si>
  <si>
    <t>CL 11 11A 25</t>
  </si>
  <si>
    <t>CARRERA 4 4B 37</t>
  </si>
  <si>
    <t>CR 15 14 46</t>
  </si>
  <si>
    <t>CL 23 16 52</t>
  </si>
  <si>
    <t>CL 20 22 22</t>
  </si>
  <si>
    <t>CLL 23 18 78</t>
  </si>
  <si>
    <t>CR  1A  24 196</t>
  </si>
  <si>
    <t>CL 14A 31B 20</t>
  </si>
  <si>
    <t>CR 25 23 104</t>
  </si>
  <si>
    <t>CL 14A 38B 53</t>
  </si>
  <si>
    <t>CR 23N 11 35</t>
  </si>
  <si>
    <t>CRR 5C  14 68</t>
  </si>
  <si>
    <t>CL 9BIS 10 110</t>
  </si>
  <si>
    <t>CR 10 A 06 70</t>
  </si>
  <si>
    <t>CRA 11B 9_131 DUITAMA</t>
  </si>
  <si>
    <t>CLL 16 25 14</t>
  </si>
  <si>
    <t>CL 17 N 16 44</t>
  </si>
  <si>
    <t>CRA5 20 67</t>
  </si>
  <si>
    <t>CR 11A 8 11</t>
  </si>
  <si>
    <t>CL 21A 37 56</t>
  </si>
  <si>
    <t>CL 18 10 40</t>
  </si>
  <si>
    <t>CR 31A 14A 69</t>
  </si>
  <si>
    <t>DG 11 13 93</t>
  </si>
  <si>
    <t>CR 33 16 30</t>
  </si>
  <si>
    <t>CLL 10 39 10</t>
  </si>
  <si>
    <t>CLL 13 6 45</t>
  </si>
  <si>
    <t>CRA 27 74 24</t>
  </si>
  <si>
    <t>CL 184 98</t>
  </si>
  <si>
    <t>CR 8 9 A 39</t>
  </si>
  <si>
    <t>CL 23 30 83</t>
  </si>
  <si>
    <t>CLL 20 2 73</t>
  </si>
  <si>
    <t>CR 11 17 58</t>
  </si>
  <si>
    <t>CL 17 2 96</t>
  </si>
  <si>
    <t>TRV 19 31 96</t>
  </si>
  <si>
    <t>CL 9C 7 41</t>
  </si>
  <si>
    <t>CRA 16 7A 47</t>
  </si>
  <si>
    <t>CRR 26 20 39</t>
  </si>
  <si>
    <t>CARREA 27 22 13</t>
  </si>
  <si>
    <t>CR 23 14 10</t>
  </si>
  <si>
    <t>CR23 5 22</t>
  </si>
  <si>
    <t>cr 31 14 12</t>
  </si>
  <si>
    <t>CL 21 43 08</t>
  </si>
  <si>
    <t>CL 13 7 63</t>
  </si>
  <si>
    <t>CR 39 14B 20</t>
  </si>
  <si>
    <t>CR 13 N 11A 13</t>
  </si>
  <si>
    <t>CR 24A 11 10</t>
  </si>
  <si>
    <t>CR 31 12 18</t>
  </si>
  <si>
    <t>CRA 21 10 65</t>
  </si>
  <si>
    <t>CLL 3 BIS 104 02</t>
  </si>
  <si>
    <t>CLL 3 18 84</t>
  </si>
  <si>
    <t>CL 7 7 6600</t>
  </si>
  <si>
    <t>CR 1 F 17 54</t>
  </si>
  <si>
    <t>CR 5 14 56</t>
  </si>
  <si>
    <t>CR 16 A 18 20</t>
  </si>
  <si>
    <t>CLL 16 A 38A 15</t>
  </si>
  <si>
    <t>CR 18 10 89</t>
  </si>
  <si>
    <t>CALLE 20 6 88</t>
  </si>
  <si>
    <t>CR 2 A 35 35</t>
  </si>
  <si>
    <t>CR 16 20 44</t>
  </si>
  <si>
    <t>CR 18 12 03</t>
  </si>
  <si>
    <t>CS 11 MZ E TUNDAMA</t>
  </si>
  <si>
    <t>DG 20 8 07</t>
  </si>
  <si>
    <t>CLL2B N 4A59</t>
  </si>
  <si>
    <t>cll 12 n 27 62</t>
  </si>
  <si>
    <t>CR 72 63 16</t>
  </si>
  <si>
    <t>CLL 17 38A 20</t>
  </si>
  <si>
    <t>CLL 27 19 147</t>
  </si>
  <si>
    <t>CL 17 11 23</t>
  </si>
  <si>
    <t>CR 42 17 60</t>
  </si>
  <si>
    <t>CR 46 20 06</t>
  </si>
  <si>
    <t>CL1A 8 60</t>
  </si>
  <si>
    <t>CR 16 14 13</t>
  </si>
  <si>
    <t>CLL 21 27 14</t>
  </si>
  <si>
    <t>CL 17 A 3 02</t>
  </si>
  <si>
    <t>CLL 12 7A 16</t>
  </si>
  <si>
    <t>CR 6 11A 05</t>
  </si>
  <si>
    <t>CONJUNTO MIRADOR LA ESPERANZA</t>
  </si>
  <si>
    <t>CR 30 B 21 16</t>
  </si>
  <si>
    <t>CRA 11 1W 15</t>
  </si>
  <si>
    <t>CL 1 23A 02</t>
  </si>
  <si>
    <t>VRDA LA CRECIENTE</t>
  </si>
  <si>
    <t>CALLE 01  N 6 06</t>
  </si>
  <si>
    <t>CR 6A 19A 43</t>
  </si>
  <si>
    <t>CR 9 23 30</t>
  </si>
  <si>
    <t>CL 17 15 44</t>
  </si>
  <si>
    <t>BRR SAN LUIS SECTOR ROSAL</t>
  </si>
  <si>
    <t>CRA 6 8 68</t>
  </si>
  <si>
    <t>CR 11A 4 28</t>
  </si>
  <si>
    <t>CR 26 2365</t>
  </si>
  <si>
    <t>CR 16 3 11</t>
  </si>
  <si>
    <t>CR 16 10 63</t>
  </si>
  <si>
    <t>CR 34 20 37</t>
  </si>
  <si>
    <t>VDRSAN LORENZO</t>
  </si>
  <si>
    <t>DIG 23 19 40</t>
  </si>
  <si>
    <t>CL 31 19 74</t>
  </si>
  <si>
    <t>CR 38C 13A 52</t>
  </si>
  <si>
    <t>cll 12 27 55</t>
  </si>
  <si>
    <t>CL 11 28 29</t>
  </si>
  <si>
    <t>CRA 17 N 1 21</t>
  </si>
  <si>
    <t>CR 11B 9 45</t>
  </si>
  <si>
    <t>CR 31 20 26</t>
  </si>
  <si>
    <t>CL 19 1E 16</t>
  </si>
  <si>
    <t>CL 23 27 115</t>
  </si>
  <si>
    <t>CR 30 19 60</t>
  </si>
  <si>
    <t>OTENGA</t>
  </si>
  <si>
    <t>CL 21 2503</t>
  </si>
  <si>
    <t>CLL 17 7 06</t>
  </si>
  <si>
    <t>CLL 1 11 91</t>
  </si>
  <si>
    <t>CRA 9A 15 12</t>
  </si>
  <si>
    <t>KLL 3A 14 33</t>
  </si>
  <si>
    <t>CARR 20 19 30</t>
  </si>
  <si>
    <t>CL12 30 28</t>
  </si>
  <si>
    <t>CR 4 14 168</t>
  </si>
  <si>
    <t>CL 24 23 41</t>
  </si>
  <si>
    <t>CR 17 16 36</t>
  </si>
  <si>
    <t>CALLE 21 27 27</t>
  </si>
  <si>
    <t>CL 23 5 43</t>
  </si>
  <si>
    <t>CR 4 21 09</t>
  </si>
  <si>
    <t>CRR 23 25 40</t>
  </si>
  <si>
    <t>CLL 12 1 56</t>
  </si>
  <si>
    <t>MIRADOR DE LA ESPERANZA MZ C CA 05</t>
  </si>
  <si>
    <t>MZ E CASA 1 BRR LOS ALAMOS</t>
  </si>
  <si>
    <t>CRA12A 1A 04</t>
  </si>
  <si>
    <t>CR 16B 2A 04</t>
  </si>
  <si>
    <t>CL 22A 1E 25</t>
  </si>
  <si>
    <t>CL 4W 15 41</t>
  </si>
  <si>
    <t>VR LA PRADERA</t>
  </si>
  <si>
    <t>CL 16 13 11</t>
  </si>
  <si>
    <t>CR 3A 18 03</t>
  </si>
  <si>
    <t>CR 18 MZ CS 2</t>
  </si>
  <si>
    <t>CL 7 A N 48 16</t>
  </si>
  <si>
    <t>CL 18 1 C 04</t>
  </si>
  <si>
    <t>CL 9 A 7 44</t>
  </si>
  <si>
    <t>CL 22A  30 20</t>
  </si>
  <si>
    <t>CL 9 37 53</t>
  </si>
  <si>
    <t>CL 10 N 5 86</t>
  </si>
  <si>
    <t>CL 4 18 27</t>
  </si>
  <si>
    <t>KL 26  16A 10</t>
  </si>
  <si>
    <t>CL 19 30 149</t>
  </si>
  <si>
    <t>CL 26 17 15</t>
  </si>
  <si>
    <t>CLL 21 41 11</t>
  </si>
  <si>
    <t>CLL 23A N 28_7_2</t>
  </si>
  <si>
    <t>CL 6A 35A 43</t>
  </si>
  <si>
    <t>CRA23 22A 43</t>
  </si>
  <si>
    <t>CL 9 7 17</t>
  </si>
  <si>
    <t>CL 21 16A 16</t>
  </si>
  <si>
    <t>PRIMERO DE MAYO</t>
  </si>
  <si>
    <t>CL 1 06 57</t>
  </si>
  <si>
    <t>CLLE18 20 50</t>
  </si>
  <si>
    <t>CL 3 A 9 13</t>
  </si>
  <si>
    <t>CRR 5 19 A61</t>
  </si>
  <si>
    <t>CRA 2 14 43</t>
  </si>
  <si>
    <t>CL 19A N 26 35</t>
  </si>
  <si>
    <t>KM 10 VIA DUITAMA BELENCITO</t>
  </si>
  <si>
    <t>CL 4 16 29</t>
  </si>
  <si>
    <t>CR 36 4 22</t>
  </si>
  <si>
    <t>CL 22 N 21 60</t>
  </si>
  <si>
    <t>CR 26C 21 35</t>
  </si>
  <si>
    <t>CR 29 A 2 24</t>
  </si>
  <si>
    <t>CLL 19 33 74</t>
  </si>
  <si>
    <t>CARRERA 16 28 44</t>
  </si>
  <si>
    <t>CR 15 11 36</t>
  </si>
  <si>
    <t>KR 4A 26 16</t>
  </si>
  <si>
    <t>CLL 13 35 41</t>
  </si>
  <si>
    <t>CL 64 4A 50</t>
  </si>
  <si>
    <t>CR 21 8 48</t>
  </si>
  <si>
    <t>CR 17 2 05</t>
  </si>
  <si>
    <t>CR 16 5 110</t>
  </si>
  <si>
    <t>CALLE 15A37 29</t>
  </si>
  <si>
    <t>CRA 36 15 13</t>
  </si>
  <si>
    <t>CRA 9 1 56</t>
  </si>
  <si>
    <t>cr27 7 25</t>
  </si>
  <si>
    <t>transv 19 km 5 via sta rosa</t>
  </si>
  <si>
    <t>KR 5C 17 50</t>
  </si>
  <si>
    <t>DIAGONAL 11# 10A - 86</t>
  </si>
  <si>
    <t>CR 31 A 21 14</t>
  </si>
  <si>
    <t>CLL 10 30 17</t>
  </si>
  <si>
    <t>CL 2AW 17 30</t>
  </si>
  <si>
    <t>CR 2 B 18 43</t>
  </si>
  <si>
    <t>KL 22 40 104</t>
  </si>
  <si>
    <t>CR 43 18 40</t>
  </si>
  <si>
    <t>CL 15 36 74</t>
  </si>
  <si>
    <t>CR 34 A 20 A 19</t>
  </si>
  <si>
    <t>CL 12 6A 06</t>
  </si>
  <si>
    <t>CLL 19 15 74</t>
  </si>
  <si>
    <t>KLM 6 VIA PANTANO VARGAS</t>
  </si>
  <si>
    <t>CL14A N 31 46</t>
  </si>
  <si>
    <t>CL 7 27 16</t>
  </si>
  <si>
    <t>CR 11 A 15 54</t>
  </si>
  <si>
    <t>RUTA DEL MUNDIAL</t>
  </si>
  <si>
    <t>CR 31 A 15 45</t>
  </si>
  <si>
    <t>CL 14A 5C 26</t>
  </si>
  <si>
    <t>LA COLINA SAN LUIS</t>
  </si>
  <si>
    <t>CL 16 34 14</t>
  </si>
  <si>
    <t>AV UNIVERSITARI 53 114</t>
  </si>
  <si>
    <t>CR 23A 2 07</t>
  </si>
  <si>
    <t>CLL7 46 19</t>
  </si>
  <si>
    <t>KM 5 VIA SILVA PLAZAS</t>
  </si>
  <si>
    <t>CR 7 18 17</t>
  </si>
  <si>
    <t>CLL.12 7V 30</t>
  </si>
  <si>
    <t>CLL 17 2 22</t>
  </si>
  <si>
    <t>CL 3 4 16</t>
  </si>
  <si>
    <t>ACACIAS</t>
  </si>
  <si>
    <t>ROBLEALE I</t>
  </si>
  <si>
    <t>CL 9 E 7 A 11</t>
  </si>
  <si>
    <t>CR 31A 14A 08</t>
  </si>
  <si>
    <t>CR 12 N 15 14</t>
  </si>
  <si>
    <t>CR 22 20 A 35</t>
  </si>
  <si>
    <t>CR 43A N 21A 15</t>
  </si>
  <si>
    <t>CR 10A 8A 180</t>
  </si>
  <si>
    <t>CRA 1B 18 25</t>
  </si>
  <si>
    <t>CR 12A 21 06</t>
  </si>
  <si>
    <t>CR 5 14 B 65</t>
  </si>
  <si>
    <t>CLL 13A 42 117</t>
  </si>
  <si>
    <t>CONJ ACACIAS  TV 37 16 180</t>
  </si>
  <si>
    <t>DIGONAL 182 _20 71</t>
  </si>
  <si>
    <t>CALLE 9 A 14 16</t>
  </si>
  <si>
    <t>MZ A CS1 SIMON BOLIVAR</t>
  </si>
  <si>
    <t>KL 4 VIA DUITAMA_ NOBSA</t>
  </si>
  <si>
    <t>CR 28A 3B 53</t>
  </si>
  <si>
    <t>CR 36 A N 6 26</t>
  </si>
  <si>
    <t>CL 19B 29 28</t>
  </si>
  <si>
    <t>CLL 27 17 67</t>
  </si>
  <si>
    <t>CLL 23B 5 A</t>
  </si>
  <si>
    <t>DG 22 37 26</t>
  </si>
  <si>
    <t>ROBLEDALES 2 TR 15 202</t>
  </si>
  <si>
    <t>CR 31 8 57</t>
  </si>
  <si>
    <t>TV 29 10 187</t>
  </si>
  <si>
    <t>CR 2 17 76</t>
  </si>
  <si>
    <t>VRD EL CAJON</t>
  </si>
  <si>
    <t>CR 39A 10 62</t>
  </si>
  <si>
    <t>CRA 11 23A86</t>
  </si>
  <si>
    <t>CLL 24 N 24 48</t>
  </si>
  <si>
    <t>CRA 31C 14A 42</t>
  </si>
  <si>
    <t>crr 35 20 57</t>
  </si>
  <si>
    <t>CR 32 22 28</t>
  </si>
  <si>
    <t>CL 9 N 3 04</t>
  </si>
  <si>
    <t>CONJ RANCHERIA</t>
  </si>
  <si>
    <t>CR 1 22 44</t>
  </si>
  <si>
    <t>CL 4 8 88</t>
  </si>
  <si>
    <t>CLL 24 N  25 57</t>
  </si>
  <si>
    <t>CR 18A 24 38</t>
  </si>
  <si>
    <t>CL5 451</t>
  </si>
  <si>
    <t>CR 18 N 2A 17 ALAMOS</t>
  </si>
  <si>
    <t>CLL 12 N 35 33</t>
  </si>
  <si>
    <t>KM 5 DUITAMA NOBSA</t>
  </si>
  <si>
    <t>cra 23  n°23-74</t>
  </si>
  <si>
    <t>CRA 12A 21 46</t>
  </si>
  <si>
    <t>CRA 10 BIS 10 69</t>
  </si>
  <si>
    <t>CR 3 23 04</t>
  </si>
  <si>
    <t>CLL 20 24 44</t>
  </si>
  <si>
    <t>CALLE 8 3 83</t>
  </si>
  <si>
    <t>BRRIO BOYAC MAN 4 CA</t>
  </si>
  <si>
    <t>TV 20 22 26</t>
  </si>
  <si>
    <t>CR 11A 4 42</t>
  </si>
  <si>
    <t>CR 17B 1 31</t>
  </si>
  <si>
    <t>CL22 2 120</t>
  </si>
  <si>
    <t>CRA 17 35A 266</t>
  </si>
  <si>
    <t>CR 15 N 17 28</t>
  </si>
  <si>
    <t>TRANS 19 28 02</t>
  </si>
  <si>
    <t>DG 26 20 20</t>
  </si>
  <si>
    <t>CR 18A 10 18</t>
  </si>
  <si>
    <t>C 24 39B 134 T4 APTO 404 CAMILO TORRES</t>
  </si>
  <si>
    <t>CRR 3A 22 A 09</t>
  </si>
  <si>
    <t>CRA 16 01 08</t>
  </si>
  <si>
    <t>CR 36 16 75</t>
  </si>
  <si>
    <t>CL 14 5C 74</t>
  </si>
  <si>
    <t>CR 45 1A 03</t>
  </si>
  <si>
    <t>CL 17 N 7 64</t>
  </si>
  <si>
    <t>CR 123 14 B70 BOGOTA</t>
  </si>
  <si>
    <t>CALLE 21 20 71</t>
  </si>
  <si>
    <t>CL 12 38 73</t>
  </si>
  <si>
    <t>CR 5 18 21</t>
  </si>
  <si>
    <t>CR 12A 21 52</t>
  </si>
  <si>
    <t>TRANS 19 21 52</t>
  </si>
  <si>
    <t>CR 26 A 22 18</t>
  </si>
  <si>
    <t>DG 182 20 71</t>
  </si>
  <si>
    <t>CR 35 13 21</t>
  </si>
  <si>
    <t>CL 19A 26 70</t>
  </si>
  <si>
    <t>CLL 17 N 38 26</t>
  </si>
  <si>
    <t>VDRA SUIESCUN</t>
  </si>
  <si>
    <t>sin direccion</t>
  </si>
  <si>
    <t>CR 35 2W 209</t>
  </si>
  <si>
    <t>CRR16 30A 213</t>
  </si>
  <si>
    <t>CRR 18 2 A 18</t>
  </si>
  <si>
    <t>CL 9A 7 32</t>
  </si>
  <si>
    <t>KM 27 VIA TUNJA PAIPA SEC SIDERURGICA</t>
  </si>
  <si>
    <t>CL 5 1 36</t>
  </si>
  <si>
    <t>CL 18 12 56</t>
  </si>
  <si>
    <t>CL 2AW 17 45</t>
  </si>
  <si>
    <t>CR 42 15 144</t>
  </si>
  <si>
    <t>CR 8 13 22</t>
  </si>
  <si>
    <t>CRA 24 21 57</t>
  </si>
  <si>
    <t>CR 9 2 11</t>
  </si>
  <si>
    <t>VEREDA E CHORRITO</t>
  </si>
  <si>
    <t>CR 25 N 11 31</t>
  </si>
  <si>
    <t>CL 1A 54 CA50 BRR LAS NIEVES</t>
  </si>
  <si>
    <t>ALAMOS MANZANA F CASA 10</t>
  </si>
  <si>
    <t>CR 33 N 20 43</t>
  </si>
  <si>
    <t>CL 22 N 40 08</t>
  </si>
  <si>
    <t>CR 20 20 23</t>
  </si>
  <si>
    <t>CLL 16  16 25</t>
  </si>
  <si>
    <t>CR 40 24 79</t>
  </si>
  <si>
    <t>CL 16 35 140</t>
  </si>
  <si>
    <t>CR 5 N 17A 23</t>
  </si>
  <si>
    <t>CLL 21 20 55</t>
  </si>
  <si>
    <t>CL 18 13 89</t>
  </si>
  <si>
    <t>CALLE 14 B 5 A 45</t>
  </si>
  <si>
    <t>VRD CHORRITO TIBASOSA</t>
  </si>
  <si>
    <t>CL 11 36 36</t>
  </si>
  <si>
    <t>CL 19 45 08</t>
  </si>
  <si>
    <t>VREDA TRINIDAD</t>
  </si>
  <si>
    <t>CL 19 B 26 81</t>
  </si>
  <si>
    <t>CR 16 18 11</t>
  </si>
  <si>
    <t>CLL 24 39B 86 TRRE 1 APT501</t>
  </si>
  <si>
    <t>CL 15A 25 70</t>
  </si>
  <si>
    <t>MAN 1VILLA KORINA</t>
  </si>
  <si>
    <t>CR 4 14 148</t>
  </si>
  <si>
    <t>CL 17 25 04</t>
  </si>
  <si>
    <t>CR 34 12 19</t>
  </si>
  <si>
    <t>CR 7 1A 04</t>
  </si>
  <si>
    <t>KLL 24 26 07</t>
  </si>
  <si>
    <t>CRA 3 20 31</t>
  </si>
  <si>
    <t>CL 16 7 45</t>
  </si>
  <si>
    <t>CUNDINAMARCA</t>
  </si>
  <si>
    <t>CRA 25 22 126</t>
  </si>
  <si>
    <t>CR 17 1 52</t>
  </si>
  <si>
    <t>CR 3 5 100</t>
  </si>
  <si>
    <t>CR 23A 21 63</t>
  </si>
  <si>
    <t>KM 2 VIA DUITAMA STA ROSA</t>
  </si>
  <si>
    <t>CL 17 11 32</t>
  </si>
  <si>
    <t>CLL 9 34 45</t>
  </si>
  <si>
    <t>CRA 18A 10 48</t>
  </si>
  <si>
    <t>VDR LA ESTACION</t>
  </si>
  <si>
    <t>CR 27 24 30 INT 1</t>
  </si>
  <si>
    <t>CL 15 30 59</t>
  </si>
  <si>
    <t>CRA 25 19 17</t>
  </si>
  <si>
    <t>CLL 19 22 27</t>
  </si>
  <si>
    <t>CL 22B 40 23</t>
  </si>
  <si>
    <t>VR ROSAL</t>
  </si>
  <si>
    <t>CR 2 16 05</t>
  </si>
  <si>
    <t>CL 16A 38 24</t>
  </si>
  <si>
    <t>CLL 3A 11 15</t>
  </si>
  <si>
    <t>CL 27 19 111</t>
  </si>
  <si>
    <t>CL 17 31 11</t>
  </si>
  <si>
    <t>CLL2W 17 81</t>
  </si>
  <si>
    <t>CR 12 N 19 34</t>
  </si>
  <si>
    <t>CR 8 13 79</t>
  </si>
  <si>
    <t>CR 5 19 33</t>
  </si>
  <si>
    <t>CL 3 W 15A 46</t>
  </si>
  <si>
    <t>CR 13 N 2 29</t>
  </si>
  <si>
    <t>CRA 11A 14 38</t>
  </si>
  <si>
    <t>CR 26 22 12</t>
  </si>
  <si>
    <t>MZ P CA 103 BRR LOS ALCAZARES</t>
  </si>
  <si>
    <t>vereda la trinidad</t>
  </si>
  <si>
    <t>CR 18 N 10 36</t>
  </si>
  <si>
    <t>CR 2 N 6 35</t>
  </si>
  <si>
    <t>CLL 2 17 A 29</t>
  </si>
  <si>
    <t>CR 26A 7 40</t>
  </si>
  <si>
    <t>KRA24 5 A30</t>
  </si>
  <si>
    <t>CL 21 40 44</t>
  </si>
  <si>
    <t>CR 3A 15 BIS BRR SAN DIEGO</t>
  </si>
  <si>
    <t>CR 27 N 11 12</t>
  </si>
  <si>
    <t>CRA 5 9 79</t>
  </si>
  <si>
    <t>CL 16 5 B 14</t>
  </si>
  <si>
    <t>CL 23 C 5 34</t>
  </si>
  <si>
    <t>DG 16 25 60</t>
  </si>
  <si>
    <t>CL 21 23A 21</t>
  </si>
  <si>
    <t>CL 19 30 111</t>
  </si>
  <si>
    <t>CL 3 1 71</t>
  </si>
  <si>
    <t>KLL 27 19 151</t>
  </si>
  <si>
    <t>CR 17 05 54</t>
  </si>
  <si>
    <t>CL5  43 49</t>
  </si>
  <si>
    <t>CL 6 6 39</t>
  </si>
  <si>
    <t>CL 2 13A 10</t>
  </si>
  <si>
    <t>VD QUEBRADA BECERRAS</t>
  </si>
  <si>
    <t>CR 3 14 19</t>
  </si>
  <si>
    <t>CL 20A 10 90</t>
  </si>
  <si>
    <t>CR 29 20 59</t>
  </si>
  <si>
    <t>CON SANTA LUCIA</t>
  </si>
  <si>
    <t>CR 42 N14 29</t>
  </si>
  <si>
    <t>CRR 19 9 81</t>
  </si>
  <si>
    <t>CR 4320 39</t>
  </si>
  <si>
    <t>CL 22 26 05</t>
  </si>
  <si>
    <t>VDR SANTA CLARA</t>
  </si>
  <si>
    <t>CLL 4 18 40</t>
  </si>
  <si>
    <t>CR 29 18 59</t>
  </si>
  <si>
    <t>VR AYALAS</t>
  </si>
  <si>
    <t>CR 25 20 53</t>
  </si>
  <si>
    <t>CL19B 26 37</t>
  </si>
  <si>
    <t>CL 21 23 15</t>
  </si>
  <si>
    <t>CL 28 16 61</t>
  </si>
  <si>
    <t>KM 5VIA DUITAMA NOBSA</t>
  </si>
  <si>
    <t>VEREDA QUEBRADA BECERRA</t>
  </si>
  <si>
    <t>MANZANA G CASA 1</t>
  </si>
  <si>
    <t>TRV 21 N 20 75</t>
  </si>
  <si>
    <t>TRANSVERSAL 47 7 39 10</t>
  </si>
  <si>
    <t>CRA 38A 14 56</t>
  </si>
  <si>
    <t>CR 9 N  10 15</t>
  </si>
  <si>
    <t>CL 2A 28 183</t>
  </si>
  <si>
    <t>CR 22 19A 20</t>
  </si>
  <si>
    <t>CLL 14 4 86</t>
  </si>
  <si>
    <t>CR 13A 1 10</t>
  </si>
  <si>
    <t>BARRIO BOYACA MAN CASA 1</t>
  </si>
  <si>
    <t>CR 23 31</t>
  </si>
  <si>
    <t>CL 3A 9 57</t>
  </si>
  <si>
    <t>CLL 15A 39 15</t>
  </si>
  <si>
    <t>CR 18 35 48</t>
  </si>
  <si>
    <t>CL 23 A 27 115</t>
  </si>
  <si>
    <t>CL 11A N 627</t>
  </si>
  <si>
    <t>CL 15  31</t>
  </si>
  <si>
    <t>BARRIO LEON 13  CASA 10</t>
  </si>
  <si>
    <t>CR 35 01 111</t>
  </si>
  <si>
    <t>CL 20 21 40</t>
  </si>
  <si>
    <t>CR 7C 6A 17</t>
  </si>
  <si>
    <t>CL 23 30 47</t>
  </si>
  <si>
    <t>CRR 26 # 23 83</t>
  </si>
  <si>
    <t>CL 10 10 26</t>
  </si>
  <si>
    <t>CL 16 N 2909</t>
  </si>
  <si>
    <t>CALLE 5 19 58</t>
  </si>
  <si>
    <t>CLL 9  7 78</t>
  </si>
  <si>
    <t>CR 23 21 44</t>
  </si>
  <si>
    <t>CRA 19 17 74</t>
  </si>
  <si>
    <t>CRR 9 A 15 12</t>
  </si>
  <si>
    <t>CL 9B 7A 76</t>
  </si>
  <si>
    <t>CALLE 18 N 20 36</t>
  </si>
  <si>
    <t>CR 7 N 1A 2</t>
  </si>
  <si>
    <t>K7A   N11   _35</t>
  </si>
  <si>
    <t>COMPRORIENTE PUESTO 225</t>
  </si>
  <si>
    <t>CR 5 14 122</t>
  </si>
  <si>
    <t>CL 21 28 22</t>
  </si>
  <si>
    <t>CR9A N 13_63</t>
  </si>
  <si>
    <t>CR 30 21 29</t>
  </si>
  <si>
    <t>CLL134A 55A 45</t>
  </si>
  <si>
    <t>CL 16 32 34</t>
  </si>
  <si>
    <t>MZ B CASA13 ALAMOS</t>
  </si>
  <si>
    <t>CR 26A 24 31</t>
  </si>
  <si>
    <t>TRN 15 20 93</t>
  </si>
  <si>
    <t>CR 38 13 111</t>
  </si>
  <si>
    <t>CL 3 17 102</t>
  </si>
  <si>
    <t>CANDIO QUINTERO</t>
  </si>
  <si>
    <t>CL 4A 3 11</t>
  </si>
  <si>
    <t>CARRERA 37 22 35</t>
  </si>
  <si>
    <t>CR 24 A 6 25</t>
  </si>
  <si>
    <t>CR 20 20 A29</t>
  </si>
  <si>
    <t>CR 35 20 57</t>
  </si>
  <si>
    <t>CL 3 116</t>
  </si>
  <si>
    <t>VR PRADERA</t>
  </si>
  <si>
    <t>KRA 6 19 70</t>
  </si>
  <si>
    <t>CL 11A 5D 94</t>
  </si>
  <si>
    <t>BARRIO BOYACA</t>
  </si>
  <si>
    <t>CLL 21 20 19</t>
  </si>
  <si>
    <t>KLL 2DA 14 13</t>
  </si>
  <si>
    <t>VDA CUCHE</t>
  </si>
  <si>
    <t>CL 73 2 28</t>
  </si>
  <si>
    <t>PASADENA</t>
  </si>
  <si>
    <t>CRR 19 25 40</t>
  </si>
  <si>
    <t>CALLE 5 A N.2 -76</t>
  </si>
  <si>
    <t>CL 23C 3 31</t>
  </si>
  <si>
    <t>CL 18 N 19 63</t>
  </si>
  <si>
    <t>VRD SANTA CLARA</t>
  </si>
  <si>
    <t>CL 18 14 35</t>
  </si>
  <si>
    <t>CRA 6A  1 33</t>
  </si>
  <si>
    <t>CR 27 46 60</t>
  </si>
  <si>
    <t>tv10 n 12 53</t>
  </si>
  <si>
    <t>CRA 31B 15 26</t>
  </si>
  <si>
    <t>CL 5 42 09</t>
  </si>
  <si>
    <t>CR 1 N 15 50</t>
  </si>
  <si>
    <t>CL 14 22 98</t>
  </si>
  <si>
    <t>CARRERA 21 N. 20A-43</t>
  </si>
  <si>
    <t>CR 1 3 24</t>
  </si>
  <si>
    <t>CL 15 25 101</t>
  </si>
  <si>
    <t>CLL 23 16 52</t>
  </si>
  <si>
    <t>CR 28 10 23</t>
  </si>
  <si>
    <t>CL 9A N 14 16</t>
  </si>
  <si>
    <t>CL 4 N 6 21</t>
  </si>
  <si>
    <t>CR 11 A 9 51</t>
  </si>
  <si>
    <t>11 DE MAYO DUITAMA</t>
  </si>
  <si>
    <t>CARRERA 17 C 24 37</t>
  </si>
  <si>
    <t>CRA 24 A 7 56</t>
  </si>
  <si>
    <t>CL 14 28 35</t>
  </si>
  <si>
    <t>CR 7 12 16</t>
  </si>
  <si>
    <t>CL 29 16 31</t>
  </si>
  <si>
    <t>CL 20 37 45</t>
  </si>
  <si>
    <t>CR 23 22A 35</t>
  </si>
  <si>
    <t>CL 10 36 84</t>
  </si>
  <si>
    <t>VD ROSAL</t>
  </si>
  <si>
    <t>TRV 19 36 07</t>
  </si>
  <si>
    <t>CR 22 08 30</t>
  </si>
  <si>
    <t>CL 15 A 3 20</t>
  </si>
  <si>
    <t>CL 5 22 16</t>
  </si>
  <si>
    <t>CR 16 7 105</t>
  </si>
  <si>
    <t>CR 7 9 85</t>
  </si>
  <si>
    <t>CR 6 9 A 38</t>
  </si>
  <si>
    <t>CLL 4 W 17 51</t>
  </si>
  <si>
    <t>VEREDA EL CHORRITO</t>
  </si>
  <si>
    <t>CRA 27 7 13</t>
  </si>
  <si>
    <t>CRA 5 20 12</t>
  </si>
  <si>
    <t>CR 5 15 63</t>
  </si>
  <si>
    <t>CR 9 9 B 01</t>
  </si>
  <si>
    <t>CRA3 0171</t>
  </si>
  <si>
    <t>CL 5 N 2 18</t>
  </si>
  <si>
    <t>CL 20 1A70</t>
  </si>
  <si>
    <t>CLL 9 36 29</t>
  </si>
  <si>
    <t>CL 15 31 D 33</t>
  </si>
  <si>
    <t>CL 36 N 17 200</t>
  </si>
  <si>
    <t>CL 16B N 10 34</t>
  </si>
  <si>
    <t>CLL24A 27 65</t>
  </si>
  <si>
    <t>CL 25 N 26 41</t>
  </si>
  <si>
    <t>CLL 3018 38</t>
  </si>
  <si>
    <t>CRA 17 11 33</t>
  </si>
  <si>
    <t>CL 20 26 92</t>
  </si>
  <si>
    <t>CL 4A 3 15</t>
  </si>
  <si>
    <t>CR 22 17A 92</t>
  </si>
  <si>
    <t>CR 7 18 06</t>
  </si>
  <si>
    <t>CL 3W 16 A 86</t>
  </si>
  <si>
    <t>CR 41 A 21B 25</t>
  </si>
  <si>
    <t>CR 7 11 60</t>
  </si>
  <si>
    <t>CR 32 9 27</t>
  </si>
  <si>
    <t>CR 45 19 51</t>
  </si>
  <si>
    <t>CL 1A 8 05</t>
  </si>
  <si>
    <t>CL 22 18 15</t>
  </si>
  <si>
    <t>CL 20 31 77</t>
  </si>
  <si>
    <t>CLL23A 25 40</t>
  </si>
  <si>
    <t>CLL3  A 1455</t>
  </si>
  <si>
    <t>CR 7B 10 81</t>
  </si>
  <si>
    <t>VRDA QUEBRADA DE BECERRAS</t>
  </si>
  <si>
    <t>CRA28 B 7 03</t>
  </si>
  <si>
    <t>CL 10 19A 17</t>
  </si>
  <si>
    <t>CR 38 N 9 24</t>
  </si>
  <si>
    <t>CR 01 A 17 A 52</t>
  </si>
  <si>
    <t>CL 19 42 93</t>
  </si>
  <si>
    <t>CR 23 21 42</t>
  </si>
  <si>
    <t>CL 24 15 38</t>
  </si>
  <si>
    <t>CR 7 N 12 134</t>
  </si>
  <si>
    <t>CR 33A N 14 04</t>
  </si>
  <si>
    <t>CRA 29B 3 68</t>
  </si>
  <si>
    <t>CL 6 22 42</t>
  </si>
  <si>
    <t>CR 3 N 17 50</t>
  </si>
  <si>
    <t>CR 4 9A 03</t>
  </si>
  <si>
    <t>CLL 11 23 40</t>
  </si>
  <si>
    <t>CR 40 A N 19 30</t>
  </si>
  <si>
    <t>CR 24A 11 16</t>
  </si>
  <si>
    <t>CLL 15 37 75</t>
  </si>
  <si>
    <t>CR 46 N 20 58</t>
  </si>
  <si>
    <t>CL 7A 48 17</t>
  </si>
  <si>
    <t>CR 25 N3 48</t>
  </si>
  <si>
    <t>CARRERA 12A 3 19</t>
  </si>
  <si>
    <t>BRR ALPES</t>
  </si>
  <si>
    <t>VEREDA EL ROSAL</t>
  </si>
  <si>
    <t>CR 21A 20A 36</t>
  </si>
  <si>
    <t>CL 21 43 10</t>
  </si>
  <si>
    <t>CLL 19A 30 152</t>
  </si>
  <si>
    <t>CRA 42A N 18 04</t>
  </si>
  <si>
    <t>CRA 4 4 CASA 4</t>
  </si>
  <si>
    <t>CL 26 1 BIS 106</t>
  </si>
  <si>
    <t>CR N 9B 55</t>
  </si>
  <si>
    <t>TV 19 31 20</t>
  </si>
  <si>
    <t>QUEBRADA BECERRAS</t>
  </si>
  <si>
    <t>CR 31B 16 28</t>
  </si>
  <si>
    <t>TV 10 12 53 LC101</t>
  </si>
  <si>
    <t>CLL 16 32 31</t>
  </si>
  <si>
    <t>CRR 44 19 14</t>
  </si>
  <si>
    <t>VDA CHORRITO</t>
  </si>
  <si>
    <t>CRA 17 35 A 280</t>
  </si>
  <si>
    <t>CL 23A 17A 24</t>
  </si>
  <si>
    <t>TRAV 35 18 35</t>
  </si>
  <si>
    <t>CR 41 10 37</t>
  </si>
  <si>
    <t>CARRERA 23 B N 5 55</t>
  </si>
  <si>
    <t>CR 22 17 59</t>
  </si>
  <si>
    <t>CR 17  N 28 31</t>
  </si>
  <si>
    <t>CL 20 26 128</t>
  </si>
  <si>
    <t>CL 25 17B 20</t>
  </si>
  <si>
    <t>CL1CR44 0305</t>
  </si>
  <si>
    <t>vereda rosal</t>
  </si>
  <si>
    <t>CLL 20 32 38</t>
  </si>
  <si>
    <t>CLL 2A 17A 50</t>
  </si>
  <si>
    <t>CR 16 2 05</t>
  </si>
  <si>
    <t>CR 23 4 39 SAN FERNANDO</t>
  </si>
  <si>
    <t>CR 42 A 19 37</t>
  </si>
  <si>
    <t>CL 21A 7 73</t>
  </si>
  <si>
    <t>CR 24 22 24</t>
  </si>
  <si>
    <t>CL 13A 42 82</t>
  </si>
  <si>
    <t>CR 16 13 39</t>
  </si>
  <si>
    <t>CR 29 21 02</t>
  </si>
  <si>
    <t>CR 31 N 15 32</t>
  </si>
  <si>
    <t>CR 8A 9 22</t>
  </si>
  <si>
    <t>CLL 3 N 9_21</t>
  </si>
  <si>
    <t>CR 22 20 36</t>
  </si>
  <si>
    <t>CR 24 N 5 68</t>
  </si>
  <si>
    <t>HIGUERAS CABAÑA VILLA LUZ</t>
  </si>
  <si>
    <t>CR 26 19 28</t>
  </si>
  <si>
    <t>CR 08 16 50</t>
  </si>
  <si>
    <t>MANZANA 6 CASA 14</t>
  </si>
  <si>
    <t>CL 9 A 20 12</t>
  </si>
  <si>
    <t>CRA 5A 23 62</t>
  </si>
  <si>
    <t>CR 34A 20A 45</t>
  </si>
  <si>
    <t>CR 5 14 100</t>
  </si>
  <si>
    <t>CR 17 CASA 14 CERRITO ENCANTADO</t>
  </si>
  <si>
    <t>CARRERA 11A N. 9-50</t>
  </si>
  <si>
    <t>CL 3 18 11</t>
  </si>
  <si>
    <t>CL 25 17C 23</t>
  </si>
  <si>
    <t>BARRIO LA PRADERA</t>
  </si>
  <si>
    <t>CR 18 21 19</t>
  </si>
  <si>
    <t>CL 22 41 10</t>
  </si>
  <si>
    <t>DG 10 10 03</t>
  </si>
  <si>
    <t>CRR 34 19 112</t>
  </si>
  <si>
    <t>CL 21 34 66</t>
  </si>
  <si>
    <t>CRA48 75 18</t>
  </si>
  <si>
    <t>CL 25 7 72</t>
  </si>
  <si>
    <t>CR 13 15 62</t>
  </si>
  <si>
    <t>CL 8 24 21</t>
  </si>
  <si>
    <t>CRR 24 3 80</t>
  </si>
  <si>
    <t>CRA 21 20 68</t>
  </si>
  <si>
    <t>CL 8 8 65 in 3</t>
  </si>
  <si>
    <t>CR 27 20 47</t>
  </si>
  <si>
    <t>CLL 21A 27 32</t>
  </si>
  <si>
    <t>CLL19 N 7 91</t>
  </si>
  <si>
    <t>CL201718</t>
  </si>
  <si>
    <t>DIAG 23 23 51</t>
  </si>
  <si>
    <t>CL 16 10 14</t>
  </si>
  <si>
    <t>BRR SAN JOSE ALTO</t>
  </si>
  <si>
    <t>cll 20 a 25 70</t>
  </si>
  <si>
    <t>CR 19 8 35</t>
  </si>
  <si>
    <t>AV AMERICAS 25 70</t>
  </si>
  <si>
    <t>CRA 10A 8 51</t>
  </si>
  <si>
    <t>TRANS 26 16A 61</t>
  </si>
  <si>
    <t>CLL 20  N 5  07</t>
  </si>
  <si>
    <t>CR 9 9 B  42</t>
  </si>
  <si>
    <t>CR 16 32 41</t>
  </si>
  <si>
    <t>CR 8 4 21</t>
  </si>
  <si>
    <t>CL 11 20 03</t>
  </si>
  <si>
    <t>calle,20 n 17 68</t>
  </si>
  <si>
    <t>CR 23 B 4 61</t>
  </si>
  <si>
    <t>CL16 5A 69</t>
  </si>
  <si>
    <t>CR 5 4 72</t>
  </si>
  <si>
    <t>CRA 5 N 23 38</t>
  </si>
  <si>
    <t>KM 5 VIA DUITAMA NOBSA</t>
  </si>
  <si>
    <t>CL 14 19 14</t>
  </si>
  <si>
    <t>CL 17 1 D 130</t>
  </si>
  <si>
    <t>CLL 14 13 13</t>
  </si>
  <si>
    <t>CL 3 N 5 40</t>
  </si>
  <si>
    <t>CL 12 36 42</t>
  </si>
  <si>
    <t>CRA4A 1 57</t>
  </si>
  <si>
    <t>SEMINARIO</t>
  </si>
  <si>
    <t>CR 29A 19B 32</t>
  </si>
  <si>
    <t>CALLE 19 41 28</t>
  </si>
  <si>
    <t>CL 25 N 17 27</t>
  </si>
  <si>
    <t>FCR 11 N 22 24</t>
  </si>
  <si>
    <t>CL 19 4 38</t>
  </si>
  <si>
    <t>TRANV 19 20 09</t>
  </si>
  <si>
    <t>CR 6 16 83</t>
  </si>
  <si>
    <t>CR 32 19 46</t>
  </si>
  <si>
    <t>LL 23 26 45</t>
  </si>
  <si>
    <t>CALLE 21B 40A-65</t>
  </si>
  <si>
    <t>CR 14 12 57</t>
  </si>
  <si>
    <t>CL 1A N 9 02</t>
  </si>
  <si>
    <t>CR 37 N 20 45</t>
  </si>
  <si>
    <t>CRA 11 15 84</t>
  </si>
  <si>
    <t>CRA 15 2A 30</t>
  </si>
  <si>
    <t>SECTOR HIGUERAS</t>
  </si>
  <si>
    <t>CR 17 1 11</t>
  </si>
  <si>
    <t>CRA34 19 102</t>
  </si>
  <si>
    <t>CLL 3 A 7 24</t>
  </si>
  <si>
    <t>CR 38 B N 21 61</t>
  </si>
  <si>
    <t>CRA 26 25 25</t>
  </si>
  <si>
    <t>CALLE 24 4 72</t>
  </si>
  <si>
    <t>CL 19 30 17</t>
  </si>
  <si>
    <t>CR 34 2 0A 30</t>
  </si>
  <si>
    <t>CL 27 N 17 76</t>
  </si>
  <si>
    <t>CL 28 N 15 71</t>
  </si>
  <si>
    <t>CL 29 19 26</t>
  </si>
  <si>
    <t>CR 3 N 17 24</t>
  </si>
  <si>
    <t>CR 19 30 052</t>
  </si>
  <si>
    <t>CRA 3 6 79</t>
  </si>
  <si>
    <t>VDA PUENTE LA BALZA</t>
  </si>
  <si>
    <t>CR 32 16 86</t>
  </si>
  <si>
    <t>CR 17A 18 37</t>
  </si>
  <si>
    <t>CLL 20 5 48</t>
  </si>
  <si>
    <t>CL 17 N 31B 33</t>
  </si>
  <si>
    <t>CLL. 9D N 7A 31</t>
  </si>
  <si>
    <t>cl 19a 25 08</t>
  </si>
  <si>
    <t>CR 2A 15 15</t>
  </si>
  <si>
    <t>CL 22 A 3 02</t>
  </si>
  <si>
    <t>CR 40 21 100</t>
  </si>
  <si>
    <t>CR 21 N 3 49</t>
  </si>
  <si>
    <t>CRA 18 N 9 72</t>
  </si>
  <si>
    <t>CR 9 9 71</t>
  </si>
  <si>
    <t>CRR 11 6 35</t>
  </si>
  <si>
    <t>CLL 18 1 194</t>
  </si>
  <si>
    <t>CLL 29 B16 81</t>
  </si>
  <si>
    <t>VRD SUESQUN</t>
  </si>
  <si>
    <t>CII 10 23 20</t>
  </si>
  <si>
    <t>CL 15 32 44</t>
  </si>
  <si>
    <t>CL17 N 31B 43</t>
  </si>
  <si>
    <t>CRA 23N23B 16</t>
  </si>
  <si>
    <t>CLL 6 37 05</t>
  </si>
  <si>
    <t>CRA 23 2 78</t>
  </si>
  <si>
    <t>CR 36 10 45</t>
  </si>
  <si>
    <t>CR 04 17 25</t>
  </si>
  <si>
    <t>CALLE 14 B 38B 17</t>
  </si>
  <si>
    <t>CALLE 5 5 07</t>
  </si>
  <si>
    <t>CR 26 21 60</t>
  </si>
  <si>
    <t>CR 9B 7 04</t>
  </si>
  <si>
    <t>CR 19A 26 72</t>
  </si>
  <si>
    <t>CLL20 32 260</t>
  </si>
  <si>
    <t>CR 7A 12 13</t>
  </si>
  <si>
    <t>CR 23 21 73</t>
  </si>
  <si>
    <t>CR 43 19 09</t>
  </si>
  <si>
    <t>CL 18 9 47</t>
  </si>
  <si>
    <t>CRA 22 N 17 A 65</t>
  </si>
  <si>
    <t>CL 2 14 23</t>
  </si>
  <si>
    <t>CRA 5 8 136</t>
  </si>
  <si>
    <t>CLL 14 17 14</t>
  </si>
  <si>
    <t>CRA 12 B N  53 35</t>
  </si>
  <si>
    <t>CR 33A 12 40</t>
  </si>
  <si>
    <t>CL 6 22 01</t>
  </si>
  <si>
    <t>crr 18 n 9 80</t>
  </si>
  <si>
    <t>CR 21A 19 06</t>
  </si>
  <si>
    <t>CR 6 1 20</t>
  </si>
  <si>
    <t>CR 5  6 51</t>
  </si>
  <si>
    <t>CARRERA 11 17 41</t>
  </si>
  <si>
    <t>CR 11 A 08 11</t>
  </si>
  <si>
    <t>CLL 5 23 B 67</t>
  </si>
  <si>
    <t>CL 24 4 A 20</t>
  </si>
  <si>
    <t>CR 23 N 23 126</t>
  </si>
  <si>
    <t>CR 16 A 26 A 86</t>
  </si>
  <si>
    <t>CR 03 01 71</t>
  </si>
  <si>
    <t>CLL 6 3725</t>
  </si>
  <si>
    <t>CR 5 4 75</t>
  </si>
  <si>
    <t>CL 21A 25 24</t>
  </si>
  <si>
    <t>VDA LA GERMANIA</t>
  </si>
  <si>
    <t>CR 2 8 15</t>
  </si>
  <si>
    <t>CL16 32 12</t>
  </si>
  <si>
    <t>CALLE 15 N 31C 14</t>
  </si>
  <si>
    <t>MZ L CASA 6 CERRITO ENCANTADO</t>
  </si>
  <si>
    <t>CL 19 N 35 04</t>
  </si>
  <si>
    <t>CLL 18 30 70</t>
  </si>
  <si>
    <t>cr 1a 24 180</t>
  </si>
  <si>
    <t>CR 31B 14a 30</t>
  </si>
  <si>
    <t>CARRERA 31 21 04 LAS LAJAS</t>
  </si>
  <si>
    <t>VRD LA GERMANIA</t>
  </si>
  <si>
    <t>CRA 34 19 102</t>
  </si>
  <si>
    <t>CLL 12 36 07</t>
  </si>
  <si>
    <t>CR  1 18 65</t>
  </si>
  <si>
    <t>CLL 13A 5 76</t>
  </si>
  <si>
    <t>CLL 10 10 66</t>
  </si>
  <si>
    <t>CL 29 A N 16 35</t>
  </si>
  <si>
    <t>TV 15 N 27 52</t>
  </si>
  <si>
    <t>CR 10 9 16</t>
  </si>
  <si>
    <t>CRA 23 11 43</t>
  </si>
  <si>
    <t>CR 17 23 98</t>
  </si>
  <si>
    <t>CL 17 07 A 19</t>
  </si>
  <si>
    <t>TRV 20 21 28</t>
  </si>
  <si>
    <t>CLL 16 13 52</t>
  </si>
  <si>
    <t>CR 42 22 18</t>
  </si>
  <si>
    <t>CR 16 19 90</t>
  </si>
  <si>
    <t>CR 6A 20</t>
  </si>
  <si>
    <t>CR28B 7_3</t>
  </si>
  <si>
    <t>CRA 13 08 63</t>
  </si>
  <si>
    <t>CR 35 17 15 LC 4</t>
  </si>
  <si>
    <t>CRA 4 3 40</t>
  </si>
  <si>
    <t>CR 1D 20 12</t>
  </si>
  <si>
    <t>CL 20 32  260</t>
  </si>
  <si>
    <t>CL 19 46 96</t>
  </si>
  <si>
    <t>TRANSVERSAL 19 34A 85</t>
  </si>
  <si>
    <t>KRA 42 14 72</t>
  </si>
  <si>
    <t>AV CIRCUNVALAR 20 68</t>
  </si>
  <si>
    <t>CL 17 N 34-29 T4 APT 303</t>
  </si>
  <si>
    <t>CR 14 17 57</t>
  </si>
  <si>
    <t>CLL 4A 3 42</t>
  </si>
  <si>
    <t>CL 7 N 18 56</t>
  </si>
  <si>
    <t>CLL 23C 4 120</t>
  </si>
  <si>
    <t>CR5 N 13 112</t>
  </si>
  <si>
    <t>CRA 19 09 14</t>
  </si>
  <si>
    <t>CR 33 10 28</t>
  </si>
  <si>
    <t>CL 5 18 39</t>
  </si>
  <si>
    <t>TRV 19 22A 113</t>
  </si>
  <si>
    <t>CARRERA 30 N 19-36</t>
  </si>
  <si>
    <t>CRA SEGUNDA 505</t>
  </si>
  <si>
    <t>CL 22 40 144</t>
  </si>
  <si>
    <t>CL 19 30 121</t>
  </si>
  <si>
    <t>CR 10A 9 77</t>
  </si>
  <si>
    <t>CLL 22A 20 56</t>
  </si>
  <si>
    <t>CR 31 14 12</t>
  </si>
  <si>
    <t>CL 18 34 69</t>
  </si>
  <si>
    <t>VEREDA LATRINIDAD</t>
  </si>
  <si>
    <t>CR 2 2B 05</t>
  </si>
  <si>
    <t>CL 17 10 34</t>
  </si>
  <si>
    <t>BARRIO LOS ALISOS</t>
  </si>
  <si>
    <t>CLL 19 26 16</t>
  </si>
  <si>
    <t>CLL 23 18 99</t>
  </si>
  <si>
    <t>CR 34A 20 35</t>
  </si>
  <si>
    <t>CL 19 26 15</t>
  </si>
  <si>
    <t>CL 24 26 36</t>
  </si>
  <si>
    <t>CR 31B 14A 08</t>
  </si>
  <si>
    <t>CLL 16 17 71</t>
  </si>
  <si>
    <t>CL 22 26 37</t>
  </si>
  <si>
    <t>CR 8 10 03</t>
  </si>
  <si>
    <t>CALLE 17A 55 48</t>
  </si>
  <si>
    <t>CR 7A 17B 09</t>
  </si>
  <si>
    <t>CR 8A 6 A 24</t>
  </si>
  <si>
    <t>CL 21A 43 26</t>
  </si>
  <si>
    <t>VRD ROSA BAJO</t>
  </si>
  <si>
    <t>CL 14 4 36</t>
  </si>
  <si>
    <t>CL 19 N 40 40 51</t>
  </si>
  <si>
    <t>CR 13 21 27</t>
  </si>
  <si>
    <t>K 14 3 14</t>
  </si>
  <si>
    <t>CL2044 15</t>
  </si>
  <si>
    <t>CR 49 N 7A 29</t>
  </si>
  <si>
    <t>CRA 11 12 08</t>
  </si>
  <si>
    <t>CLL 56 A 10 10</t>
  </si>
  <si>
    <t>VDR LA PARROQUIA</t>
  </si>
  <si>
    <t>CLL 24 1E 52</t>
  </si>
  <si>
    <t>CR 19 A 20 56</t>
  </si>
  <si>
    <t>CR 16 4 16</t>
  </si>
  <si>
    <t>CL 20 46 75</t>
  </si>
  <si>
    <t>CL 16 27 A 57</t>
  </si>
  <si>
    <t>CR 41 20 19</t>
  </si>
  <si>
    <t>CLL 24 40 54</t>
  </si>
  <si>
    <t>CARREA 27 22 27</t>
  </si>
  <si>
    <t>B.CAMILO TORRES</t>
  </si>
  <si>
    <t>CL 36 17 54</t>
  </si>
  <si>
    <t>PT LA BALSA</t>
  </si>
  <si>
    <t>CL 13 17 57</t>
  </si>
  <si>
    <t>CL 30 18 38</t>
  </si>
  <si>
    <t>CLL 24 18 29</t>
  </si>
  <si>
    <t>PAZ DELRIO</t>
  </si>
  <si>
    <t>AVENIDA CIRCU 21 52</t>
  </si>
  <si>
    <t>CL 17 21 41</t>
  </si>
  <si>
    <t>MAZ 2 C 6</t>
  </si>
  <si>
    <t>CR 22 17 A 24</t>
  </si>
  <si>
    <t>CR 16A 5 35</t>
  </si>
  <si>
    <t>CRA 23 21 11</t>
  </si>
  <si>
    <t>CLL 20 87 42</t>
  </si>
  <si>
    <t>CLL 17 6 26</t>
  </si>
  <si>
    <t>CRA17 5 93</t>
  </si>
  <si>
    <t>CL 9 A N 7 63</t>
  </si>
  <si>
    <t>BRR SAN ANTONIO NORTE</t>
  </si>
  <si>
    <t>CLL 13 17 48</t>
  </si>
  <si>
    <t>CR 27 25 78</t>
  </si>
  <si>
    <t>CR 09A 01 50</t>
  </si>
  <si>
    <t>CL 14A N 9A 10</t>
  </si>
  <si>
    <t>CR 42A 18 14</t>
  </si>
  <si>
    <t>CLL 14 38 37</t>
  </si>
  <si>
    <t>CR 24 1 18</t>
  </si>
  <si>
    <t>CR 17 10 73</t>
  </si>
  <si>
    <t>CR 1 15 25</t>
  </si>
  <si>
    <t>CRA 30 20 09</t>
  </si>
  <si>
    <t>CL 02 18 03</t>
  </si>
  <si>
    <t>CL 20 5 21</t>
  </si>
  <si>
    <t>CR 27 17A 45</t>
  </si>
  <si>
    <t>CL 21 28 26</t>
  </si>
  <si>
    <t>CRR8BIS 9 20</t>
  </si>
  <si>
    <t>CLL 23 B 22 48</t>
  </si>
  <si>
    <t>CL 3 5 38</t>
  </si>
  <si>
    <t>PANTANO DE VARGAS-FRENTE HOSTERIA BOLIVAR</t>
  </si>
  <si>
    <t>CL 25 26 40</t>
  </si>
  <si>
    <t>VDR SAN LORENZO ABAJO</t>
  </si>
  <si>
    <t>CL 21 27 33</t>
  </si>
  <si>
    <t>CR 11 N 17 35</t>
  </si>
  <si>
    <t>CRA 11 17 29</t>
  </si>
  <si>
    <t>CLL 17 BIS 5 C 49</t>
  </si>
  <si>
    <t>CL 14 31B 75</t>
  </si>
  <si>
    <t>.</t>
  </si>
  <si>
    <t>CL 23 C 5 80</t>
  </si>
  <si>
    <t>CL 21C 43 22</t>
  </si>
  <si>
    <t>CLL 19 16 21</t>
  </si>
  <si>
    <t>CRA 42 17 34</t>
  </si>
  <si>
    <t>CR 03 23A 09</t>
  </si>
  <si>
    <t>MZG CASA 7C</t>
  </si>
  <si>
    <t>CR 11 A 08 19</t>
  </si>
  <si>
    <t>CR 17 1 34</t>
  </si>
  <si>
    <t>DIAG 27 20 11</t>
  </si>
  <si>
    <t>CONJ MIRADOR DE LA ESPERANZA</t>
  </si>
  <si>
    <t>CALLE9A#20-12</t>
  </si>
  <si>
    <t>robleales 1</t>
  </si>
  <si>
    <t>VDR EL OLIVO</t>
  </si>
  <si>
    <t>CLL 1A 6 31 RINCON DEL CARGUA</t>
  </si>
  <si>
    <t>CL 21 31A 05</t>
  </si>
  <si>
    <t>CL 17 A 4 26</t>
  </si>
  <si>
    <t>CERRO PINO CONJUNTO RECIDENCIAL</t>
  </si>
  <si>
    <t>CR 31 21 49</t>
  </si>
  <si>
    <t>CR 5 19 61</t>
  </si>
  <si>
    <t>CL 9 N 10 48</t>
  </si>
  <si>
    <t>CL 2 13 44</t>
  </si>
  <si>
    <t>CL 23 26 41</t>
  </si>
  <si>
    <t>CR 16 9 19</t>
  </si>
  <si>
    <t>CR 36 2W 212 HIGUERAS</t>
  </si>
  <si>
    <t>CLL 5 18 39</t>
  </si>
  <si>
    <t>CL 4 N 7 23</t>
  </si>
  <si>
    <t>M2NJ CAJA6 CERRITO ENCANTADO</t>
  </si>
  <si>
    <t>CLL 21 N 27 53</t>
  </si>
  <si>
    <t>CR 34 20A 54</t>
  </si>
  <si>
    <t>CLL 13 16 59</t>
  </si>
  <si>
    <t>BARRIO JUAN GRANDE</t>
  </si>
  <si>
    <t>TRA 37 16 25</t>
  </si>
  <si>
    <t>CLL 1 A 9 07</t>
  </si>
  <si>
    <t>CLL 15 13 38</t>
  </si>
  <si>
    <t>PROGRESO</t>
  </si>
  <si>
    <t>CR 10 10 86</t>
  </si>
  <si>
    <t>CRA 8 10 50</t>
  </si>
  <si>
    <t>CRA 40 22 31</t>
  </si>
  <si>
    <t>C2 OESTE 17  72</t>
  </si>
  <si>
    <t>CR 31 21 71</t>
  </si>
  <si>
    <t>CL 20A 24 30</t>
  </si>
  <si>
    <t>CL 9 N 32 19</t>
  </si>
  <si>
    <t>CRA 38 14 13</t>
  </si>
  <si>
    <t>cra 40 22 116</t>
  </si>
  <si>
    <t>CL 2A 4A 02</t>
  </si>
  <si>
    <t>CR 30 19 10</t>
  </si>
  <si>
    <t>CL 22 42 37</t>
  </si>
  <si>
    <t>CLL 9 10 A 28</t>
  </si>
  <si>
    <t>CRA 26C 21 60</t>
  </si>
  <si>
    <t>CL 17</t>
  </si>
  <si>
    <t>CL 21 30 23</t>
  </si>
  <si>
    <t>CRA 44 21B 14</t>
  </si>
  <si>
    <t>CLL 16 5 33</t>
  </si>
  <si>
    <t>TRNV  37 16 25</t>
  </si>
  <si>
    <t>VDA EL TOBAL</t>
  </si>
  <si>
    <t>CR 5 1 20</t>
  </si>
  <si>
    <t>CL 4 34 62</t>
  </si>
  <si>
    <t>CR 25 19 91</t>
  </si>
  <si>
    <t>CL 14 37 27</t>
  </si>
  <si>
    <t>DG 11 A 13 62</t>
  </si>
  <si>
    <t>CRA 20 8 50</t>
  </si>
  <si>
    <t>CL 04 W 17 55</t>
  </si>
  <si>
    <t>CLL 14 A 31 B 20</t>
  </si>
  <si>
    <t>CRA 25 20 53</t>
  </si>
  <si>
    <t>CL 20 41A 96</t>
  </si>
  <si>
    <t>TV 21 20 71</t>
  </si>
  <si>
    <t>CR 40 N 24 146</t>
  </si>
  <si>
    <t>CR 26 21A 05</t>
  </si>
  <si>
    <t>CARRERA 8 9 105</t>
  </si>
  <si>
    <t>AV C 21 40</t>
  </si>
  <si>
    <t>CR 1B 18 65</t>
  </si>
  <si>
    <t>CR 22 13 18</t>
  </si>
  <si>
    <t>CR 24 1_60</t>
  </si>
  <si>
    <t>CR 1 24 302</t>
  </si>
  <si>
    <t>CLL 20 42 59</t>
  </si>
  <si>
    <t>CR 28 A 10 17</t>
  </si>
  <si>
    <t>CL 17A 4 40</t>
  </si>
  <si>
    <t>CR 42 18 31</t>
  </si>
  <si>
    <t>CR 27 20 09</t>
  </si>
  <si>
    <t>CR 38C 14 A 10</t>
  </si>
  <si>
    <t>CL 19 41 28</t>
  </si>
  <si>
    <t>CRA 11A 9 128</t>
  </si>
  <si>
    <t>CR 6 16 13</t>
  </si>
  <si>
    <t>CL 21 30A 52</t>
  </si>
  <si>
    <t>CR 16 1 05</t>
  </si>
  <si>
    <t>CLL 8 17 66</t>
  </si>
  <si>
    <t>CR 35 4A 41W</t>
  </si>
  <si>
    <t>CR 43 18 33</t>
  </si>
  <si>
    <t>CRR 7B11 21</t>
  </si>
  <si>
    <t>CR 7 2 20</t>
  </si>
  <si>
    <t>KL 5 VIA PAIPA DUITAMA</t>
  </si>
  <si>
    <t>CR 1 B 17A 20</t>
  </si>
  <si>
    <t>CALLE 3 NO 8-03</t>
  </si>
  <si>
    <t>CL 25A 26 50</t>
  </si>
  <si>
    <t>VRD GERMANIA</t>
  </si>
  <si>
    <t>crr 32 22 66</t>
  </si>
  <si>
    <t>CL 4 21 50</t>
  </si>
  <si>
    <t>CLL 17 1 34</t>
  </si>
  <si>
    <t>CR 14 08 33</t>
  </si>
  <si>
    <t>BEREDA CUCHE</t>
  </si>
  <si>
    <t>CLL 33 16 30</t>
  </si>
  <si>
    <t>CL 24 29 29</t>
  </si>
  <si>
    <t>BR COLONIAL</t>
  </si>
  <si>
    <t>CL 32 N 19 40</t>
  </si>
  <si>
    <t>CLL 21 27 27</t>
  </si>
  <si>
    <t>TR 19 36 09</t>
  </si>
  <si>
    <t>CALLE 1 24 A 11</t>
  </si>
  <si>
    <t>CALLE 20A 5 12</t>
  </si>
  <si>
    <t>crr 5 n 19 a 09</t>
  </si>
  <si>
    <t>CR 23 21 14</t>
  </si>
  <si>
    <t>CL 21C 43 08</t>
  </si>
  <si>
    <t>SAN ROSA</t>
  </si>
  <si>
    <t>CR 38 C 14 A 25</t>
  </si>
  <si>
    <t>CR 28 19 A 13</t>
  </si>
  <si>
    <t>CR 39 22 128</t>
  </si>
  <si>
    <t>CR 31 21 05</t>
  </si>
  <si>
    <t>CAMILO TORRE 22 37 50</t>
  </si>
  <si>
    <t>CL 22 37 69</t>
  </si>
  <si>
    <t>CL 22 37 43</t>
  </si>
  <si>
    <t>CL 21 N 27 07</t>
  </si>
  <si>
    <t>TRASV 14 8 18</t>
  </si>
  <si>
    <t>CRA 11 6 31</t>
  </si>
  <si>
    <t>GUICAN</t>
  </si>
  <si>
    <t>CL 1 A 8 13</t>
  </si>
  <si>
    <t>CL 5 18 95 CANDIDO QUINTERO</t>
  </si>
  <si>
    <t>CALLE 15_30_17</t>
  </si>
  <si>
    <t>TV 14 20 22</t>
  </si>
  <si>
    <t>CLL 27 27 21</t>
  </si>
  <si>
    <t>CR 21 17 182</t>
  </si>
  <si>
    <t>CLL 3 18 _ 11</t>
  </si>
  <si>
    <t>CLL 1 N1 60_6</t>
  </si>
  <si>
    <t>TV 15 31 73</t>
  </si>
  <si>
    <t>CR 9A_2_32</t>
  </si>
  <si>
    <t>CL 22 40 A 141</t>
  </si>
  <si>
    <t>CR 2L 22 04</t>
  </si>
  <si>
    <t>DGNAL 39 20 07</t>
  </si>
  <si>
    <t>CL 23 3 33</t>
  </si>
  <si>
    <t>CRR 10 A N 8 A 180</t>
  </si>
  <si>
    <t>CL 9 C 34 48</t>
  </si>
  <si>
    <t>CR 33 16 02</t>
  </si>
  <si>
    <t>CRA 28 11 03</t>
  </si>
  <si>
    <t>CR 3 N 8 37</t>
  </si>
  <si>
    <t>CR 17 A 2 10</t>
  </si>
  <si>
    <t>CR 27 2B  22</t>
  </si>
  <si>
    <t>CL 21 09 31</t>
  </si>
  <si>
    <t>VD BUJIO</t>
  </si>
  <si>
    <t>CRA 4 111</t>
  </si>
  <si>
    <t>CLL 10 25 56</t>
  </si>
  <si>
    <t>CR 13 17 A 27</t>
  </si>
  <si>
    <t>CR 03 A 14 157</t>
  </si>
  <si>
    <t>CR  17 16 39</t>
  </si>
  <si>
    <t>CR 8 6A 44</t>
  </si>
  <si>
    <t>K 5 N 20 26</t>
  </si>
  <si>
    <t>CR23 21 _50</t>
  </si>
  <si>
    <t>CR 16 A N 26 131</t>
  </si>
  <si>
    <t>CR 9 1 47</t>
  </si>
  <si>
    <t>CR 7 1 85</t>
  </si>
  <si>
    <t>DG 11 A 13 62 BOSQUE</t>
  </si>
  <si>
    <t>CALLE 30 N 16 27 ALTOS DE MARANTA</t>
  </si>
  <si>
    <t>CR 7B 17B_60</t>
  </si>
  <si>
    <t>CL 26 1 VS 124</t>
  </si>
  <si>
    <t>CR 9 1 24</t>
  </si>
  <si>
    <t>CR 36A 21 73</t>
  </si>
  <si>
    <t>VDR TOCOGUA SECTOR EL HOGAR</t>
  </si>
  <si>
    <t>CRA 10B 9 BIS 105</t>
  </si>
  <si>
    <t>CL 4W 33 05</t>
  </si>
  <si>
    <t>CRA 5 18 04 ESQUINA</t>
  </si>
  <si>
    <t>CRR 24 N 20 46</t>
  </si>
  <si>
    <t>KLL 14 5 69</t>
  </si>
  <si>
    <t>CR 26 19A 02</t>
  </si>
  <si>
    <t>CRA3 N 5 47</t>
  </si>
  <si>
    <t>TRANS 4 4 196</t>
  </si>
  <si>
    <t>CL 7 5D 55</t>
  </si>
  <si>
    <t>VEREDAUSAMENA IZA</t>
  </si>
  <si>
    <t>CARRERA 6A 10 46</t>
  </si>
  <si>
    <t>CR 45 02</t>
  </si>
  <si>
    <t>vereda ucuenga</t>
  </si>
  <si>
    <t>KL 8 VIA DUITAMA NOBSA</t>
  </si>
  <si>
    <t>CR 42 15 67</t>
  </si>
  <si>
    <t>KM 15 VIA NOBSA</t>
  </si>
  <si>
    <t>CL 7 10 47</t>
  </si>
  <si>
    <t>CLL 20 A20 57</t>
  </si>
  <si>
    <t>TRAS 1B 4A 05</t>
  </si>
  <si>
    <t>CR 17 10 41</t>
  </si>
  <si>
    <t>CL 7 17 38</t>
  </si>
  <si>
    <t>CL 2B 10B 23</t>
  </si>
  <si>
    <t>DG 66 10 72</t>
  </si>
  <si>
    <t>KM 6 VIA NOBSA DUITAMA</t>
  </si>
  <si>
    <t>CLL 28 A 16 43</t>
  </si>
  <si>
    <t>CR 3 3 54 SEC CHAMEZA MAYOR</t>
  </si>
  <si>
    <t>PUNTA LARGA NOBSA</t>
  </si>
  <si>
    <t>CLL 7 4 10 NOBSA</t>
  </si>
  <si>
    <t>CALLE 14 N 38-07</t>
  </si>
  <si>
    <t>CR 9 7 21</t>
  </si>
  <si>
    <t>KM 7 VIA DTMA NOBSA</t>
  </si>
  <si>
    <t>CL 26 2 82</t>
  </si>
  <si>
    <t>CL 3 10 58</t>
  </si>
  <si>
    <t>VRD</t>
  </si>
  <si>
    <t>CR 32 5A 22</t>
  </si>
  <si>
    <t>TRANS 14 10 49</t>
  </si>
  <si>
    <t>CLL 17A 02 15</t>
  </si>
  <si>
    <t>CRR 3N9 33</t>
  </si>
  <si>
    <t>CLL13 3A 22</t>
  </si>
  <si>
    <t>CL 4 6A 8</t>
  </si>
  <si>
    <t>ROBLEALES</t>
  </si>
  <si>
    <t>KM 5 DTMA NOBSA</t>
  </si>
  <si>
    <t>VEREDA SAN MARTIN NOBSA</t>
  </si>
  <si>
    <t>KM 7VIA DUITAMA</t>
  </si>
  <si>
    <t>KM 6 DUITAMA BELENCITO</t>
  </si>
  <si>
    <t>VRD LAS CALERAS</t>
  </si>
  <si>
    <t>CR 35 20 62</t>
  </si>
  <si>
    <t>CR 3 6 44</t>
  </si>
  <si>
    <t>CR 11 9 18</t>
  </si>
  <si>
    <t>CLL 20 17 101</t>
  </si>
  <si>
    <t>CALLE 28 15 81</t>
  </si>
  <si>
    <t>CALLE 10B 2B 35</t>
  </si>
  <si>
    <t>CR 10 8 78</t>
  </si>
  <si>
    <t>CL 9 8 59</t>
  </si>
  <si>
    <t>VEREDA CHAMEZA</t>
  </si>
  <si>
    <t>CLL 19 4324</t>
  </si>
  <si>
    <t>DG 41 41 141</t>
  </si>
  <si>
    <t>CRA 17 26 23</t>
  </si>
  <si>
    <t>CR 29 21A 14</t>
  </si>
  <si>
    <t>CL 19 20 47</t>
  </si>
  <si>
    <t>CL 19 17B 08MZ C LC 1</t>
  </si>
  <si>
    <t>MIRADOR EL BOSQUE</t>
  </si>
  <si>
    <t>CR 18 23 A 10</t>
  </si>
  <si>
    <t>CR 23A 21 75</t>
  </si>
  <si>
    <t>CL 2418 42</t>
  </si>
  <si>
    <t>CR 30 CON 23</t>
  </si>
  <si>
    <t>TV 2214 26</t>
  </si>
  <si>
    <t>CR 17 19 32</t>
  </si>
  <si>
    <t>CL 5 42 19</t>
  </si>
  <si>
    <t>CL 30 15 31</t>
  </si>
  <si>
    <t>CL 24 27 123</t>
  </si>
  <si>
    <t>CR 11 17A 39</t>
  </si>
  <si>
    <t>VDA LA NUEVA FRONTERA</t>
  </si>
  <si>
    <t>VRD CARREÑO</t>
  </si>
  <si>
    <t>CL 23 27 41</t>
  </si>
  <si>
    <t>CR 25 20 25</t>
  </si>
  <si>
    <t>CR 16 5 55</t>
  </si>
  <si>
    <t>CLL 11 15 14</t>
  </si>
  <si>
    <t>cl 21 b 9 36</t>
  </si>
  <si>
    <t>TRAN 29 10 48</t>
  </si>
  <si>
    <t>CALLE 29 16 19</t>
  </si>
  <si>
    <t>CL 10 37 06</t>
  </si>
  <si>
    <t>CR 25 19 83</t>
  </si>
  <si>
    <t>CRA 30B 21B 04</t>
  </si>
  <si>
    <t>CL 24 24 70</t>
  </si>
  <si>
    <t>VEREDA CAÑOS PAIPA</t>
  </si>
  <si>
    <t>CLL 10 B SUR 50 C 80</t>
  </si>
  <si>
    <t>CLL 1 09 04</t>
  </si>
  <si>
    <t>CL 17 1D 34 APTO601 TORRE1</t>
  </si>
  <si>
    <t>CR 14 A 37 26</t>
  </si>
  <si>
    <t>CL 14 8 25</t>
  </si>
  <si>
    <t>CALLE 21 28-22</t>
  </si>
  <si>
    <t>CR 16A 26 60</t>
  </si>
  <si>
    <t>CR 34 9 56</t>
  </si>
  <si>
    <t>CL 24 21 9</t>
  </si>
  <si>
    <t>CL 3 2 50</t>
  </si>
  <si>
    <t>cr 5 49</t>
  </si>
  <si>
    <t>PAIPA VRD TEJAR</t>
  </si>
  <si>
    <t>BRR LA ESTACION</t>
  </si>
  <si>
    <t>CR 27 N 26 22</t>
  </si>
  <si>
    <t>CR 15 B 29 46</t>
  </si>
  <si>
    <t>CALLE 11 29 86</t>
  </si>
  <si>
    <t>KM 5 V SOGAMOSO BELENCITO</t>
  </si>
  <si>
    <t>CLL 21 40 46</t>
  </si>
  <si>
    <t>CR 26 25 28</t>
  </si>
  <si>
    <t>CARRERA 14B#30-20</t>
  </si>
  <si>
    <t>AV LIBERTADORES 23B 35</t>
  </si>
  <si>
    <t>CL 26  25 29</t>
  </si>
  <si>
    <t>CL 17 4 39</t>
  </si>
  <si>
    <t>VILLA COLINA</t>
  </si>
  <si>
    <t>TRAN 10 12 53</t>
  </si>
  <si>
    <t>CR 11 A 3 A 13</t>
  </si>
  <si>
    <t>CR 1AW 23 43</t>
  </si>
  <si>
    <t>CL 9 21 72</t>
  </si>
  <si>
    <t>VEREDA HACIENDA</t>
  </si>
  <si>
    <t>ROBLEDALES I</t>
  </si>
  <si>
    <t>CRA 13 9 60</t>
  </si>
  <si>
    <t>CRA 3 3 84</t>
  </si>
  <si>
    <t>AV CIRCUNVALAR 10 18</t>
  </si>
  <si>
    <t>KM 3 SAN LORENZO PAIPA</t>
  </si>
  <si>
    <t>CL 11 19 34</t>
  </si>
  <si>
    <t>CL 15 29 50</t>
  </si>
  <si>
    <t>CRA 23 22b 16</t>
  </si>
  <si>
    <t>CL 28A N 30 48</t>
  </si>
  <si>
    <t>CL 3A 26B 80</t>
  </si>
  <si>
    <t>CLL9 22 119</t>
  </si>
  <si>
    <t>CL 17 15 29</t>
  </si>
  <si>
    <t>CR 5A 20A 38</t>
  </si>
  <si>
    <t>CR 16A 19 35</t>
  </si>
  <si>
    <t>CRA 28B 7003</t>
  </si>
  <si>
    <t>CL 3 N 17 19</t>
  </si>
  <si>
    <t>CRR 10 9 76</t>
  </si>
  <si>
    <t>CRA 2 14A 29</t>
  </si>
  <si>
    <t>CALLE 19 22 17 PAIPA</t>
  </si>
  <si>
    <t>CLL 14B 5C 71</t>
  </si>
  <si>
    <t>CL 29 1619</t>
  </si>
  <si>
    <t>CL24 24 48</t>
  </si>
  <si>
    <t>CL 17 N 38 14</t>
  </si>
  <si>
    <t>CL 9 37 61</t>
  </si>
  <si>
    <t>VDR CHITAL</t>
  </si>
  <si>
    <t>VEREDA ROMITA</t>
  </si>
  <si>
    <t>AMERICAS</t>
  </si>
  <si>
    <t>CR 16 13 50 ESTACION ALEJANDRIA</t>
  </si>
  <si>
    <t>CR 17 10 84</t>
  </si>
  <si>
    <t>CR 34 21 62</t>
  </si>
  <si>
    <t>CL 20 34 44</t>
  </si>
  <si>
    <t>CL 18 46 24</t>
  </si>
  <si>
    <t>CR 2 8 90</t>
  </si>
  <si>
    <t>CL 22 N 24 28</t>
  </si>
  <si>
    <t>CR 24 10 462</t>
  </si>
  <si>
    <t>CL 23A 27 36</t>
  </si>
  <si>
    <t>CL 10 04 15</t>
  </si>
  <si>
    <t>CR 6 12A 36</t>
  </si>
  <si>
    <t>CR 24 2 5 33</t>
  </si>
  <si>
    <t>CR 5 1A 13</t>
  </si>
  <si>
    <t>CR 5 N7 54</t>
  </si>
  <si>
    <t>BARRIO PROGRESO PAZ DEL RIO</t>
  </si>
  <si>
    <t>CL 22 22 38</t>
  </si>
  <si>
    <t>CLL 24 N 27 56</t>
  </si>
  <si>
    <t>BARRIO LIBERTADOR</t>
  </si>
  <si>
    <t>CLL 22 22 51</t>
  </si>
  <si>
    <t>CR 3 N 3 40</t>
  </si>
  <si>
    <t>CR 6 11 63 BRR PROGRESO</t>
  </si>
  <si>
    <t>CR 28 10 19</t>
  </si>
  <si>
    <t>KM 18500 VIA BELEN</t>
  </si>
  <si>
    <t>CL 11A 28 49</t>
  </si>
  <si>
    <t>CALLE 11 A 4 33</t>
  </si>
  <si>
    <t>km 4 via DUITAMA PAIPA</t>
  </si>
  <si>
    <t>CR 03 01 55 BRR GAITAN</t>
  </si>
  <si>
    <t>cll 9 a n10 a 22</t>
  </si>
  <si>
    <t>CR 2 4 18</t>
  </si>
  <si>
    <t>BRR METROPOLIS</t>
  </si>
  <si>
    <t>CR 31 21 63</t>
  </si>
  <si>
    <t>VDA SOCHA VIEJO SITIO HISTORICO</t>
  </si>
  <si>
    <t>CR 2 4 62</t>
  </si>
  <si>
    <t>CR 8 7 42</t>
  </si>
  <si>
    <t>CR 2 6 58</t>
  </si>
  <si>
    <t>CL 23A N 27 28</t>
  </si>
  <si>
    <t>CLL 24 0248</t>
  </si>
  <si>
    <t>CL 7A BISC 80A 29</t>
  </si>
  <si>
    <t>CR3 N 711</t>
  </si>
  <si>
    <t>CR06 01 A 36</t>
  </si>
  <si>
    <t>CR 2 1 85</t>
  </si>
  <si>
    <t>CL 11 3 25</t>
  </si>
  <si>
    <t>CR 26 24 42</t>
  </si>
  <si>
    <t>JERICO CENTRO</t>
  </si>
  <si>
    <t>VR CHILCAL</t>
  </si>
  <si>
    <t>JERICO</t>
  </si>
  <si>
    <t>CLL 25 26 37</t>
  </si>
  <si>
    <t>CRR 8 6 19</t>
  </si>
  <si>
    <t>CL 22 26 20</t>
  </si>
  <si>
    <t>VIA PANTANO</t>
  </si>
  <si>
    <t>CL 15 12 76</t>
  </si>
  <si>
    <t>CRA 73 BIS 4840 APT 301</t>
  </si>
  <si>
    <t>CR 15 46A 28</t>
  </si>
  <si>
    <t>CRA 18 19 38</t>
  </si>
  <si>
    <t>CR 3 N 5 81</t>
  </si>
  <si>
    <t>CLL 2 N1 73</t>
  </si>
  <si>
    <t>CRR 8 N 13 22</t>
  </si>
  <si>
    <t>CALL 20 22 44</t>
  </si>
  <si>
    <t>SALECIANO</t>
  </si>
  <si>
    <t>CR 22 14 34</t>
  </si>
  <si>
    <t>CR 8BIS 9 93</t>
  </si>
  <si>
    <t>CL 23 18 48</t>
  </si>
  <si>
    <t>CL 27 16 19</t>
  </si>
  <si>
    <t>CR 17 2 110 TORRE 4</t>
  </si>
  <si>
    <t>CLLE 11 36 19</t>
  </si>
  <si>
    <t>CR 38 13 16</t>
  </si>
  <si>
    <t>CL 29 19 83</t>
  </si>
  <si>
    <t>AV CIRCUNVALAR 20 23</t>
  </si>
  <si>
    <t>CR 11 5 60</t>
  </si>
  <si>
    <t>DG 9 5 B 17</t>
  </si>
  <si>
    <t>CR 17 20A 41</t>
  </si>
  <si>
    <t>CL 3 4 35</t>
  </si>
  <si>
    <t>CL 10 4 27</t>
  </si>
  <si>
    <t>Carrera 43 a 17-21</t>
  </si>
  <si>
    <t>VRD CEBADERO</t>
  </si>
  <si>
    <t>CR 35 9 56</t>
  </si>
  <si>
    <t>VRD EL CEBADERO</t>
  </si>
  <si>
    <t>BATICANO</t>
  </si>
  <si>
    <t>BARRIO RINCON DEL CARGUA</t>
  </si>
  <si>
    <t>CR 513 B 66</t>
  </si>
  <si>
    <t>CARRERA 1A 6B 27</t>
  </si>
  <si>
    <t>CLL 19 27 07</t>
  </si>
  <si>
    <t>CR 03 12 54</t>
  </si>
  <si>
    <t>CLL 9 52 25</t>
  </si>
  <si>
    <t>VRD CUCUBO</t>
  </si>
  <si>
    <t>CL 21 27 15</t>
  </si>
  <si>
    <t>CR 18 A 32 112</t>
  </si>
  <si>
    <t>CLL 34 16 44</t>
  </si>
  <si>
    <t>TRAVS 19 44A 147</t>
  </si>
  <si>
    <t>VRD CUCHE</t>
  </si>
  <si>
    <t>CR 1 A 7 33</t>
  </si>
  <si>
    <t>calle 9 n 5-64</t>
  </si>
  <si>
    <t>CLL 14 9 04</t>
  </si>
  <si>
    <t>CL 8 14 56</t>
  </si>
  <si>
    <t>CL 02 A 04 A 75</t>
  </si>
  <si>
    <t>TRV 10 N 12 53</t>
  </si>
  <si>
    <t>CLL 21 24 14</t>
  </si>
  <si>
    <t>CLL 2A 1 99 BRR SAN ANTONIO</t>
  </si>
  <si>
    <t>CL 4 1 39</t>
  </si>
  <si>
    <t>CL 11 5 42</t>
  </si>
  <si>
    <t>CR 3 13A 106</t>
  </si>
  <si>
    <t>CR 04 11 11</t>
  </si>
  <si>
    <t>CR 35 N 1CW 111</t>
  </si>
  <si>
    <t>CL 3 7 30</t>
  </si>
  <si>
    <t>CRA 15 14 24</t>
  </si>
  <si>
    <t>CRA 8 13A 03</t>
  </si>
  <si>
    <t>VRD DEL COCUO</t>
  </si>
  <si>
    <t>CR 37 20A 81</t>
  </si>
  <si>
    <t>CR 10 A 9 A 77 IN</t>
  </si>
  <si>
    <t>CRA 26 21 25</t>
  </si>
  <si>
    <t>CRA 6 7 26</t>
  </si>
  <si>
    <t>VDA QUEBRADA ARRIBA</t>
  </si>
  <si>
    <t>CALLE 14 4 11</t>
  </si>
  <si>
    <t>VRDA EL CUCUBO</t>
  </si>
  <si>
    <t>CR 2A 11 47</t>
  </si>
  <si>
    <t>CR 1 B 763</t>
  </si>
  <si>
    <t>CLL 8 675</t>
  </si>
  <si>
    <t>CII 7 6 83</t>
  </si>
  <si>
    <t>CR 19 8 05</t>
  </si>
  <si>
    <t>PUEBLITO BOYACENSE 6 16</t>
  </si>
  <si>
    <t>SANTA ROSA VRD EGIPTO</t>
  </si>
  <si>
    <t>CL 12 2 A 21</t>
  </si>
  <si>
    <t>cl 8 8 63</t>
  </si>
  <si>
    <t>CRA 6 12 19</t>
  </si>
  <si>
    <t>CL 7C</t>
  </si>
  <si>
    <t>AVENIDA KR8 13 74</t>
  </si>
  <si>
    <t>CLL9564</t>
  </si>
  <si>
    <t>CR 31A 14A 53</t>
  </si>
  <si>
    <t>CL 1 A 6 42</t>
  </si>
  <si>
    <t>CR 03 05 102</t>
  </si>
  <si>
    <t>URB SANTA HELENA</t>
  </si>
  <si>
    <t>CL 1 1 34 ESTE</t>
  </si>
  <si>
    <t>DG 21 24 25</t>
  </si>
  <si>
    <t>CLL21 34 04</t>
  </si>
  <si>
    <t>CR 6 2 57</t>
  </si>
  <si>
    <t>CL 38A 10A 64</t>
  </si>
  <si>
    <t>CLL1 3 91</t>
  </si>
  <si>
    <t>CARRERA 37 B N 14-35</t>
  </si>
  <si>
    <t>CL 3 6 46</t>
  </si>
  <si>
    <t>CLL 3 A1 60</t>
  </si>
  <si>
    <t>CAL 14 9 93</t>
  </si>
  <si>
    <t>CR 2A 5A 07</t>
  </si>
  <si>
    <t>CL 1 4A 22</t>
  </si>
  <si>
    <t>CR 1A 02 58</t>
  </si>
  <si>
    <t>VEREDEA EL ESTERILLAL</t>
  </si>
  <si>
    <t>CR 2A 5A 22</t>
  </si>
  <si>
    <t>CL 21 32 60</t>
  </si>
  <si>
    <t>CRA 11 20 42</t>
  </si>
  <si>
    <t>CL 5 6 12</t>
  </si>
  <si>
    <t>CR 08 05 39</t>
  </si>
  <si>
    <t>CLL 2 A 17  A 45</t>
  </si>
  <si>
    <t>CL 1 BIS 4A 36</t>
  </si>
  <si>
    <t>CR 40 22 52</t>
  </si>
  <si>
    <t>CR 5 3 45</t>
  </si>
  <si>
    <t>CL 1 6 42 TIBASOSA</t>
  </si>
  <si>
    <t>CR 16 20 63</t>
  </si>
  <si>
    <t>CARRERA 34 N 21-51</t>
  </si>
  <si>
    <t>CL 21 33 49</t>
  </si>
  <si>
    <t>CL 1 SUR 8 41</t>
  </si>
  <si>
    <t>CLL 5 2 50</t>
  </si>
  <si>
    <t>CLL 3 6 50</t>
  </si>
  <si>
    <t>CR3E 2 114</t>
  </si>
  <si>
    <t>CR 22 N 12 25</t>
  </si>
  <si>
    <t>CL 15 16 43</t>
  </si>
  <si>
    <t>CL 2 3 91</t>
  </si>
  <si>
    <t>CRA 20 A 03 52</t>
  </si>
  <si>
    <t>CALLE 5 A 2A07</t>
  </si>
  <si>
    <t>CL 11 38 31</t>
  </si>
  <si>
    <t>CL 16A 25 75</t>
  </si>
  <si>
    <t>AV  11 MAYO</t>
  </si>
  <si>
    <t>CR 43 20 55</t>
  </si>
  <si>
    <t>VDA UCUENGA</t>
  </si>
  <si>
    <t>URBANISACION VILLA ROSITA</t>
  </si>
  <si>
    <t>CR 30 N 16 39</t>
  </si>
  <si>
    <t>CL5 A 2 65</t>
  </si>
  <si>
    <t>VDR AYALAS</t>
  </si>
  <si>
    <t>VDA SUESCUN</t>
  </si>
  <si>
    <t>CR 2C 5 64</t>
  </si>
  <si>
    <t>CR 8</t>
  </si>
  <si>
    <t>CR 16 9 36</t>
  </si>
  <si>
    <t>KM 8 DUITAMA NOBSA</t>
  </si>
  <si>
    <t>CR 2 1 66</t>
  </si>
  <si>
    <t>DG 11A 10 66</t>
  </si>
  <si>
    <t>CR 01 03 24</t>
  </si>
  <si>
    <t>PUEBLITO</t>
  </si>
  <si>
    <t>CR 27 24 78</t>
  </si>
  <si>
    <t>CR 42A 18 45</t>
  </si>
  <si>
    <t>CLL 26 N 25   29</t>
  </si>
  <si>
    <t>CLL20 31A119</t>
  </si>
  <si>
    <t>DGL 2 1 45</t>
  </si>
  <si>
    <t>CL 3 6 62</t>
  </si>
  <si>
    <t>VDR PUNTA LARGA NOBSA</t>
  </si>
  <si>
    <t>CL 5 4 11</t>
  </si>
  <si>
    <t>CL 5 7 51</t>
  </si>
  <si>
    <t>CR 2A 5 A 22</t>
  </si>
  <si>
    <t>CL 20 17 110</t>
  </si>
  <si>
    <t>CRA 2 01 66 E</t>
  </si>
  <si>
    <t>CR 29 20 64</t>
  </si>
  <si>
    <t>VDA SUESCAN</t>
  </si>
  <si>
    <t>CRA 9B 2 18</t>
  </si>
  <si>
    <t>CLL 20 2A 17</t>
  </si>
  <si>
    <t>CR 9 N 9A 71</t>
  </si>
  <si>
    <t>cr 28 b 7 03</t>
  </si>
  <si>
    <t>RESERVA CAMILO TORRES</t>
  </si>
  <si>
    <t>CR 38C 14 19</t>
  </si>
  <si>
    <t>CR 24 2 133</t>
  </si>
  <si>
    <t>CR 1 A 15 115</t>
  </si>
  <si>
    <t>CLL 4 16 57</t>
  </si>
  <si>
    <t>VRDA SAN ANTONIO NORTE</t>
  </si>
  <si>
    <t>CERRITO ENCANTADO MANZANA H CASA 3</t>
  </si>
  <si>
    <t>CLL 20 14 68</t>
  </si>
  <si>
    <t>ALTOS DE VILLA SUIZA</t>
  </si>
  <si>
    <t>CRA 34 12 50</t>
  </si>
  <si>
    <t>BRR VATICANO</t>
  </si>
  <si>
    <t>CR 17 09 35</t>
  </si>
  <si>
    <t>CRRA 26 20 44</t>
  </si>
  <si>
    <t>CR 16 N 6 57</t>
  </si>
  <si>
    <t>LA LAJAS</t>
  </si>
  <si>
    <t>CL 16 15 43 OF 401</t>
  </si>
  <si>
    <t>CLL 63 A 8  16</t>
  </si>
  <si>
    <t>CLL 23 2050</t>
  </si>
  <si>
    <t>cl 34 b 1a w 18</t>
  </si>
  <si>
    <t>CR 27 3W88</t>
  </si>
  <si>
    <t>CLL 19 42 101 BRR JUAN GRANDE</t>
  </si>
  <si>
    <t>VRD SAGRA ABAJO</t>
  </si>
  <si>
    <t>BR LIBERTADORES</t>
  </si>
  <si>
    <t>CR 26 N 20 39</t>
  </si>
  <si>
    <t>CR 35 N 19 111</t>
  </si>
  <si>
    <t>CR 37 6 41</t>
  </si>
  <si>
    <t>CL 06 18 109</t>
  </si>
  <si>
    <t>VD SORAQUI</t>
  </si>
  <si>
    <t>CRA 10 3 51</t>
  </si>
  <si>
    <t>AV CIRCUNVALAR 21 52 INT 4</t>
  </si>
  <si>
    <t>CL 16A 25 12</t>
  </si>
  <si>
    <t>CL 8 7 12</t>
  </si>
  <si>
    <t>CALLE 19A 22 42</t>
  </si>
  <si>
    <t>CR 6 10 36</t>
  </si>
  <si>
    <t>CLL 17 18 46</t>
  </si>
  <si>
    <t>CALLE 24A 27 48</t>
  </si>
  <si>
    <t>CR 2E 1A 33</t>
  </si>
  <si>
    <t>CR 9A 10 55</t>
  </si>
  <si>
    <t>VDA ANARAY</t>
  </si>
  <si>
    <t>TRV 37 16180</t>
  </si>
  <si>
    <t>CL 3 10 50</t>
  </si>
  <si>
    <t>CR 7 5 38</t>
  </si>
  <si>
    <t>CL 7 10 50</t>
  </si>
  <si>
    <t>CR 9 10 56</t>
  </si>
  <si>
    <t>CR 9 2 52</t>
  </si>
  <si>
    <t>CLLE 19 21 05</t>
  </si>
  <si>
    <t>CLL 01 11 35</t>
  </si>
  <si>
    <t>CR 8 N 7 58</t>
  </si>
  <si>
    <t>CRA6 0218</t>
  </si>
  <si>
    <t>CLL 20 45 45</t>
  </si>
  <si>
    <t>CLL 4 3 40</t>
  </si>
  <si>
    <t>VDR SOCHA VIEJO</t>
  </si>
  <si>
    <t>CL 4 7 25</t>
  </si>
  <si>
    <t>TRV 17 A 21 20</t>
  </si>
  <si>
    <t>CR 34 18 112</t>
  </si>
  <si>
    <t>CLL 23B 22 22</t>
  </si>
  <si>
    <t>CL 3 N 4 48</t>
  </si>
  <si>
    <t>CL 1C 7 31</t>
  </si>
  <si>
    <t>BEREDA BOSIGAS N SOTAQUIRA</t>
  </si>
  <si>
    <t>CR 1A 17A 26</t>
  </si>
  <si>
    <t>CL 8 8 04</t>
  </si>
  <si>
    <t>CL 7 7 28 LC 2</t>
  </si>
  <si>
    <t>CRA 22 22 21</t>
  </si>
  <si>
    <t>CR 20 18 27</t>
  </si>
  <si>
    <t>CR 28 B 07 03</t>
  </si>
  <si>
    <t>CR 9B 8 22</t>
  </si>
  <si>
    <t>CR 31 2028</t>
  </si>
  <si>
    <t>cr 19 n42 92</t>
  </si>
  <si>
    <t>CRA 10C 59_35</t>
  </si>
  <si>
    <t>CL  12 29 20</t>
  </si>
  <si>
    <t>CRA2 4 20</t>
  </si>
  <si>
    <t>CR 38  C  13 19</t>
  </si>
  <si>
    <t>CL 12 29 20</t>
  </si>
  <si>
    <t>CR 04 10 54</t>
  </si>
  <si>
    <t>CR 27 21 57</t>
  </si>
  <si>
    <t>DIAGONAL 65 A 2 53</t>
  </si>
  <si>
    <t>CR 36A 21 28</t>
  </si>
  <si>
    <t>CL 16 2543</t>
  </si>
  <si>
    <t>CR 12 1 46</t>
  </si>
  <si>
    <t>CRR 29 19A 40</t>
  </si>
  <si>
    <t>CL 45 4 79</t>
  </si>
  <si>
    <t>COBAGOTE</t>
  </si>
  <si>
    <t>CR 3 4 67</t>
  </si>
  <si>
    <t>chizca</t>
  </si>
  <si>
    <t>TOCA BOYACA</t>
  </si>
  <si>
    <t>CR 36 N 28 32</t>
  </si>
  <si>
    <t>CR 29 19 A 68</t>
  </si>
  <si>
    <t>CL 3A 7 16</t>
  </si>
  <si>
    <t>CR 37B 17 47</t>
  </si>
  <si>
    <t>CL 11 21 60</t>
  </si>
  <si>
    <t>VRDA ESTACION</t>
  </si>
  <si>
    <t>TRS 37 16 180</t>
  </si>
  <si>
    <t>CR 30 10 59</t>
  </si>
  <si>
    <t>CL 9 B 11 A 35</t>
  </si>
  <si>
    <t>CLL 21 24 05</t>
  </si>
  <si>
    <t>CLL 21 N 1 126 SANTANA  BOY</t>
  </si>
  <si>
    <t>VILLA INES</t>
  </si>
  <si>
    <t>CR 33B 16 08</t>
  </si>
  <si>
    <t>CLL 19 21 34</t>
  </si>
  <si>
    <t>CR 26 19A 01</t>
  </si>
  <si>
    <t>CR 30 19 20</t>
  </si>
  <si>
    <t>CL 12 2 24</t>
  </si>
  <si>
    <t>CLL 22 25 49</t>
  </si>
  <si>
    <t>TRANS 20 22 22</t>
  </si>
  <si>
    <t>CR 44 19 31</t>
  </si>
  <si>
    <t>KM 07 VIA IZA</t>
  </si>
  <si>
    <t>CRR 18 2 SUR49</t>
  </si>
  <si>
    <t>CL 3 1 89</t>
  </si>
  <si>
    <t>CL 15 17 35</t>
  </si>
  <si>
    <t>CL 57 11 101</t>
  </si>
  <si>
    <t>CLL 19B N 26 89</t>
  </si>
  <si>
    <t>CL13 13 27</t>
  </si>
  <si>
    <t>CRA 8 N 9 07</t>
  </si>
  <si>
    <t>CL 9 34 31</t>
  </si>
  <si>
    <t>CL 20 20A 73</t>
  </si>
  <si>
    <t>CR 34 19 12</t>
  </si>
  <si>
    <t>CLLE 25 26 60</t>
  </si>
  <si>
    <t>KM 0 VI TIBASOSA</t>
  </si>
  <si>
    <t>ROBLEDALES1 AP 504 TO 25</t>
  </si>
  <si>
    <t>CRA 24 24 21</t>
  </si>
  <si>
    <t>CALLE 2 N 8 66</t>
  </si>
  <si>
    <t>CRA 6 20 76</t>
  </si>
  <si>
    <t>TRAV 3 2 96</t>
  </si>
  <si>
    <t>AVENIDA SANROQUE</t>
  </si>
  <si>
    <t>CR 10 39 58</t>
  </si>
  <si>
    <t>CLL 1 6 31</t>
  </si>
  <si>
    <t>CR 4 N 11 19</t>
  </si>
  <si>
    <t>CLL 21 A 40 0 7</t>
  </si>
  <si>
    <t>CL 17 5 104</t>
  </si>
  <si>
    <t>crr 12 b 46 c 22</t>
  </si>
  <si>
    <t>CL 11 14 82 LC 2</t>
  </si>
  <si>
    <t>CLL 4 7 08</t>
  </si>
  <si>
    <t>CR 14 2 29</t>
  </si>
  <si>
    <t>CRA 17 11 27</t>
  </si>
  <si>
    <t>CRA 4 9 3</t>
  </si>
  <si>
    <t>CR 9 27 35</t>
  </si>
  <si>
    <t>CL 7 46 63</t>
  </si>
  <si>
    <t>CL 19 22 46</t>
  </si>
  <si>
    <t>CR 8 A 13 A 75</t>
  </si>
  <si>
    <t>CR 5 1 54</t>
  </si>
  <si>
    <t>CR 36 20 01</t>
  </si>
  <si>
    <t>CLL 7 A 4 98 TRANS 7</t>
  </si>
  <si>
    <t>CL 20 43 72</t>
  </si>
  <si>
    <t>CLL 9ABIS 10 110</t>
  </si>
  <si>
    <t>CL 5 A 45 A 46</t>
  </si>
  <si>
    <t>CRA15 2A 23</t>
  </si>
  <si>
    <t>CR 1116 21 SUR</t>
  </si>
  <si>
    <t>CRR 20 22 41</t>
  </si>
  <si>
    <t>CALLE 21A N 25 27</t>
  </si>
  <si>
    <t>CR 11 A 57 71</t>
  </si>
  <si>
    <t>VRD LA LAGUNA</t>
  </si>
  <si>
    <t>CRA 10 2 45</t>
  </si>
  <si>
    <t>CR 25 21 47 APT 202</t>
  </si>
  <si>
    <t>CLL 18 42 30</t>
  </si>
  <si>
    <t>CL 6 9 04</t>
  </si>
  <si>
    <t>CL 13 23 10</t>
  </si>
  <si>
    <t>CLL 18 20 50</t>
  </si>
  <si>
    <t>CL 3 VIS 10A 02</t>
  </si>
  <si>
    <t>CL 13 42 116</t>
  </si>
  <si>
    <t>CL 17 17 10</t>
  </si>
  <si>
    <t>CL 35 N 10C 22</t>
  </si>
  <si>
    <t>CL 47 10A 189</t>
  </si>
  <si>
    <t>CRR 10B 40 45</t>
  </si>
  <si>
    <t>CL 02 F 22 05</t>
  </si>
  <si>
    <t>CLL 2 25 33</t>
  </si>
  <si>
    <t>CRA 20 22 41</t>
  </si>
  <si>
    <t>CR 9 N 10 150</t>
  </si>
  <si>
    <t>CL 14 12 50</t>
  </si>
  <si>
    <t>VD PUNTA LARGA</t>
  </si>
  <si>
    <t>KLL 14 38A 24</t>
  </si>
  <si>
    <t>CR 2 A 6_27 NOBSA</t>
  </si>
  <si>
    <t>CLL17 25 09</t>
  </si>
  <si>
    <t>CRA 18 8 18</t>
  </si>
  <si>
    <t>CR 16 A 9 61</t>
  </si>
  <si>
    <t>CL 14 B 5 C 111</t>
  </si>
  <si>
    <t>CL 43 N 10A 24</t>
  </si>
  <si>
    <t>TRR INOVO</t>
  </si>
  <si>
    <t>VDA GERMANIA</t>
  </si>
  <si>
    <t>CLL 22 38 42</t>
  </si>
  <si>
    <t>CR 17 11B 21</t>
  </si>
  <si>
    <t>CLL 3 21A 19</t>
  </si>
  <si>
    <t>CRA 14 5 40</t>
  </si>
  <si>
    <t>CR 102b 151 15</t>
  </si>
  <si>
    <t>CR 23A 23 41</t>
  </si>
  <si>
    <t>VR RESGUARDO</t>
  </si>
  <si>
    <t>CR 17 N 15 36</t>
  </si>
  <si>
    <t>CR 11 20 19 SUR</t>
  </si>
  <si>
    <t>TV 15 29 50</t>
  </si>
  <si>
    <t>CL 24 14 51</t>
  </si>
  <si>
    <t>CLL 55 11C 63</t>
  </si>
  <si>
    <t>CR 12 57 128</t>
  </si>
  <si>
    <t>CRA 40A 22 67</t>
  </si>
  <si>
    <t>CR 30 A 2 62</t>
  </si>
  <si>
    <t>DUITMA</t>
  </si>
  <si>
    <t>CL 3 24B 80</t>
  </si>
  <si>
    <t>CL 14 18 30</t>
  </si>
  <si>
    <t>AV CIRCUNVALAR 21 20</t>
  </si>
  <si>
    <t>CALLE 18 N 5 23</t>
  </si>
  <si>
    <t>CR 25 19 10</t>
  </si>
  <si>
    <t>cr 44 n 18 35</t>
  </si>
  <si>
    <t>TV 26 N 26 57</t>
  </si>
  <si>
    <t>CL 30 N 11 A 129</t>
  </si>
  <si>
    <t>CRA 23 A 23 55</t>
  </si>
  <si>
    <t>CR 2 5 30</t>
  </si>
  <si>
    <t>CR 26 21 A 05</t>
  </si>
  <si>
    <t>CL 5 34 BARRIO LAS DELICIAS</t>
  </si>
  <si>
    <t>CARRERA 30 14 117</t>
  </si>
  <si>
    <t>CLL 10 25 21</t>
  </si>
  <si>
    <t>CL 10 10A 27</t>
  </si>
  <si>
    <t>CL 18 10 42</t>
  </si>
  <si>
    <t>CONJ VILLAS DEL MUNDIAL</t>
  </si>
  <si>
    <t>CRA 6 17 A 82</t>
  </si>
  <si>
    <t>CL 25 17 B 20</t>
  </si>
  <si>
    <t>CRA 17 21 53</t>
  </si>
  <si>
    <t>CRA28 7 0 3</t>
  </si>
  <si>
    <t>CR 11 20 27 SUR</t>
  </si>
  <si>
    <t>CR 16C 20A 13</t>
  </si>
  <si>
    <t>CLL 25 A 36 26</t>
  </si>
  <si>
    <t>CLL 24 47 A 137</t>
  </si>
  <si>
    <t>CL 17 A 02 15</t>
  </si>
  <si>
    <t>CR 22 7 30</t>
  </si>
  <si>
    <t>CL 3 5 56</t>
  </si>
  <si>
    <t>CL 5 2 66</t>
  </si>
  <si>
    <t>CL 14 42 143</t>
  </si>
  <si>
    <t>CL 1218 68</t>
  </si>
  <si>
    <t>CR 3 3 23</t>
  </si>
  <si>
    <t>DG 59 11C 49</t>
  </si>
  <si>
    <t>CRA 22 17 92</t>
  </si>
  <si>
    <t>CR 12 51 22</t>
  </si>
  <si>
    <t>CR 11 N 20 38 SUR</t>
  </si>
  <si>
    <t>CRA 2 1 82</t>
  </si>
  <si>
    <t>CR 4 2 65</t>
  </si>
  <si>
    <t>CRR 19 7B 26</t>
  </si>
  <si>
    <t>CR 12 52B 24</t>
  </si>
  <si>
    <t>CLLE 7 24 32</t>
  </si>
  <si>
    <t>CL 13 17 09</t>
  </si>
  <si>
    <t>CLL 38 10 A136</t>
  </si>
  <si>
    <t>CLL 24 10 33</t>
  </si>
  <si>
    <t>CR 1 18 91</t>
  </si>
  <si>
    <t>CL 11 SUR 15A 57</t>
  </si>
  <si>
    <t>CRA 10B N 36 09</t>
  </si>
  <si>
    <t>CR16 4 52</t>
  </si>
  <si>
    <t>CR 26 28 21</t>
  </si>
  <si>
    <t>CL 08 29 60</t>
  </si>
  <si>
    <t>CRA 23 23A31</t>
  </si>
  <si>
    <t>CR 23 13 05</t>
  </si>
  <si>
    <t>CLL 13 14</t>
  </si>
  <si>
    <t>CALLE 16 35 30</t>
  </si>
  <si>
    <t>CR 28B N 7 03</t>
  </si>
  <si>
    <t>CRA 19 27 70</t>
  </si>
  <si>
    <t>CRA 21A 20A 79</t>
  </si>
  <si>
    <t>VDR LA TRINIDIDAD</t>
  </si>
  <si>
    <t>CLL 3 N 4 55</t>
  </si>
  <si>
    <t>TRA 15 29 50</t>
  </si>
  <si>
    <t>CRA 23 2335</t>
  </si>
  <si>
    <t>CR 26C 21 41</t>
  </si>
  <si>
    <t>VDA PORTACHUELO</t>
  </si>
  <si>
    <t>CL 5 4 33</t>
  </si>
  <si>
    <t>CR 26C 21 55</t>
  </si>
  <si>
    <t>CON CHITICUY BLOQUE 23</t>
  </si>
  <si>
    <t>CRA 6 9 37</t>
  </si>
  <si>
    <t>CL 1A 6 83</t>
  </si>
  <si>
    <t>CRA 6 9A 90</t>
  </si>
  <si>
    <t>CRA 19 A 20 61</t>
  </si>
  <si>
    <t>CRA 33 15 16</t>
  </si>
  <si>
    <t>CR 3344 N 30A 20</t>
  </si>
  <si>
    <t>KILOMETRO 3</t>
  </si>
  <si>
    <t>SANTA BARBARA 2</t>
  </si>
  <si>
    <t>CLL 5TA 1 34</t>
  </si>
  <si>
    <t>CL 18 2 A 28</t>
  </si>
  <si>
    <t>CR 16 25 04</t>
  </si>
  <si>
    <t>cll 36 n15 79</t>
  </si>
  <si>
    <t>CL 17 31 A 06</t>
  </si>
  <si>
    <t>CR 28 12A 18</t>
  </si>
  <si>
    <t>CLL 3 2 50</t>
  </si>
  <si>
    <t>KILOMETRO 3.5 VIA CERINZA</t>
  </si>
  <si>
    <t>CON ROBLEALES 2</t>
  </si>
  <si>
    <t>CRA 5 20 26</t>
  </si>
  <si>
    <t>CL 1 W 17 C 03</t>
  </si>
  <si>
    <t>CRA 26 22 06</t>
  </si>
  <si>
    <t>CRRA 17 13 35</t>
  </si>
  <si>
    <t>CLL 12 N1A 30</t>
  </si>
  <si>
    <t>CR 18 N32 112</t>
  </si>
  <si>
    <t>CLL 24 38B 39</t>
  </si>
  <si>
    <t>CL 5 3 78</t>
  </si>
  <si>
    <t>CL 15 N 38A 82</t>
  </si>
  <si>
    <t>CRR 1A 18 15</t>
  </si>
  <si>
    <t>CR 3A 14 157</t>
  </si>
  <si>
    <t>CRR 3_11_60</t>
  </si>
  <si>
    <t>MADRID CUNDINAMARCA</t>
  </si>
  <si>
    <t>CR 08 01 20</t>
  </si>
  <si>
    <t>TV 19 34 A 203</t>
  </si>
  <si>
    <t>VEREDA SUESCUN SECTOR SALITRICO</t>
  </si>
  <si>
    <t>CARRERA 42 B19</t>
  </si>
  <si>
    <t>CLL 18 19 42</t>
  </si>
  <si>
    <t>CR 30 19 25</t>
  </si>
  <si>
    <t>CL 12 7A 02</t>
  </si>
  <si>
    <t>CR 5 13 2 11</t>
  </si>
  <si>
    <t>CL 24 22 63</t>
  </si>
  <si>
    <t>TV 14 23 34</t>
  </si>
  <si>
    <t>CL 17 15 42 OF 710</t>
  </si>
  <si>
    <t>CRA 11 19 71</t>
  </si>
  <si>
    <t>CLL 6 A 36 35</t>
  </si>
  <si>
    <t>CRA 6 1 A 34</t>
  </si>
  <si>
    <t>CL 19 30 50</t>
  </si>
  <si>
    <t>CLL 19 50 32</t>
  </si>
  <si>
    <t>CR 5B 14 60</t>
  </si>
  <si>
    <t>AV NORTE 54 82</t>
  </si>
  <si>
    <t>TR 20 22 105</t>
  </si>
  <si>
    <t>VRD VICHO</t>
  </si>
  <si>
    <t>CR 8 N 9A 39</t>
  </si>
  <si>
    <t>CL 9 N 31 22</t>
  </si>
  <si>
    <t>CL 3 VIS 3 A 02</t>
  </si>
  <si>
    <t>CARRERA 23C 4 38</t>
  </si>
  <si>
    <t>CLL17 1D 34</t>
  </si>
  <si>
    <t>CL 17A 1C 15</t>
  </si>
  <si>
    <t>CRA decima 02 16</t>
  </si>
  <si>
    <t>CRA 11 15 24</t>
  </si>
  <si>
    <t>CUCUTA</t>
  </si>
  <si>
    <t>AV NORTE  N 78  32</t>
  </si>
  <si>
    <t>CR 5 14 92</t>
  </si>
  <si>
    <t>CONJ SAN RAFAEL 2</t>
  </si>
  <si>
    <t>CALLE 36 17-80 B SAN LUIS</t>
  </si>
  <si>
    <t>CRA 39 1021</t>
  </si>
  <si>
    <t>CR 8 N 16 39</t>
  </si>
  <si>
    <t>CL 8 21 01</t>
  </si>
  <si>
    <t>BARRIO VILLA MARIA</t>
  </si>
  <si>
    <t>CRA 25 20 90</t>
  </si>
  <si>
    <t>CL 10 25</t>
  </si>
  <si>
    <t>CRA 38 13 69</t>
  </si>
  <si>
    <t>CLL 14 30 14</t>
  </si>
  <si>
    <t>CL 20</t>
  </si>
  <si>
    <t>CRR 35 18 13</t>
  </si>
  <si>
    <t>CLL 23C 85 A 25</t>
  </si>
  <si>
    <t>CL 17 01 D 34</t>
  </si>
  <si>
    <t>TRV 29 N  78</t>
  </si>
  <si>
    <t>CR 43 A 15 50</t>
  </si>
  <si>
    <t>MZ 2A CASA 7</t>
  </si>
  <si>
    <t>CR 32 VDA CHAMEZA MAYOR</t>
  </si>
  <si>
    <t>TRV 20 21A 42</t>
  </si>
  <si>
    <t>CR 42 13 35</t>
  </si>
  <si>
    <t>CRR 38  13  69</t>
  </si>
  <si>
    <t>CR 26 25 04</t>
  </si>
  <si>
    <t>DG 16  6A 90</t>
  </si>
  <si>
    <t>CR 3B 4 19</t>
  </si>
  <si>
    <t>CLL 19 46 26</t>
  </si>
  <si>
    <t>CR 35 N 14 A 49</t>
  </si>
  <si>
    <t>CL 8 2 21</t>
  </si>
  <si>
    <t>CR5 N 26NORTE 02</t>
  </si>
  <si>
    <t>CR 19 N 15 13</t>
  </si>
  <si>
    <t>CL 31 16 91</t>
  </si>
  <si>
    <t>CL 2 13 17</t>
  </si>
  <si>
    <t>CLL 19A 26 76</t>
  </si>
  <si>
    <t>CR 5C 17 76</t>
  </si>
  <si>
    <t>CARRERA 81B 19B 50</t>
  </si>
  <si>
    <t>CLL 29 N 16 44</t>
  </si>
  <si>
    <t>CR 10A 11 121</t>
  </si>
  <si>
    <t>CL 19 30 27</t>
  </si>
  <si>
    <t>SAN JORGE</t>
  </si>
  <si>
    <t>CL 13 7 45</t>
  </si>
  <si>
    <t>CR 35 1C 118</t>
  </si>
  <si>
    <t>CL 19 N 9A 36</t>
  </si>
  <si>
    <t>CLL 15 A 4 53</t>
  </si>
  <si>
    <t>CR 32 17 45</t>
  </si>
  <si>
    <t>CARRERA 33 11A 09</t>
  </si>
  <si>
    <t>CLL 14 16 65</t>
  </si>
  <si>
    <t>CL 29 B N 16 69</t>
  </si>
  <si>
    <t>CLL 1 B 44 B 12</t>
  </si>
  <si>
    <t>CRA18 21 18</t>
  </si>
  <si>
    <t>CRA 7 4 69</t>
  </si>
  <si>
    <t>CR 3 B 4 26</t>
  </si>
  <si>
    <t>CR 35 11 25</t>
  </si>
  <si>
    <t>CR 7B 13 20</t>
  </si>
  <si>
    <t>CL 21 21 23</t>
  </si>
  <si>
    <t>VEGA DE SAN ROQUE PIEDECUESTA SANTADER</t>
  </si>
  <si>
    <t>CR 6 4 46</t>
  </si>
  <si>
    <t>CRA 21 40 42</t>
  </si>
  <si>
    <t>CLL 20 30 31</t>
  </si>
  <si>
    <t>CARRERA 18 3 27</t>
  </si>
  <si>
    <t>CR 18 16 17</t>
  </si>
  <si>
    <t>CR 23A 21 35</t>
  </si>
  <si>
    <t>CALLE 27 17 36</t>
  </si>
  <si>
    <t>CR 8 15 52</t>
  </si>
  <si>
    <t>CARRER 8 8 48</t>
  </si>
  <si>
    <t>CR 26 24 32</t>
  </si>
  <si>
    <t>CR 11  22 83</t>
  </si>
  <si>
    <t>CLL 12 38 36</t>
  </si>
  <si>
    <t>CR 4 7 11</t>
  </si>
  <si>
    <t>CL 21 TV 20 05</t>
  </si>
  <si>
    <t>CL 22 17A 08</t>
  </si>
  <si>
    <t>CL 8 28 10</t>
  </si>
  <si>
    <t>TR 29 12 200</t>
  </si>
  <si>
    <t>cl 5 16 51</t>
  </si>
  <si>
    <t>TRA 20 21 04</t>
  </si>
  <si>
    <t>CLL 5 3 20</t>
  </si>
  <si>
    <t>CLL 1 7 36</t>
  </si>
  <si>
    <t>CL 23 23 43</t>
  </si>
  <si>
    <t>CL 10 7 17</t>
  </si>
  <si>
    <t>CR 13 17 29</t>
  </si>
  <si>
    <t>CR 29 A 19 B 32</t>
  </si>
  <si>
    <t>CR 38 14 18</t>
  </si>
  <si>
    <t>CL 21 25 11</t>
  </si>
  <si>
    <t>CL 19B 26 37</t>
  </si>
  <si>
    <t>CR 14   1-26   SUR</t>
  </si>
  <si>
    <t>CL 34 N 16 20</t>
  </si>
  <si>
    <t>CR 36A 21 31</t>
  </si>
  <si>
    <t>CALLE 22 24 17 SAN JUAN BOSCO</t>
  </si>
  <si>
    <t>CL 9A 11B 2</t>
  </si>
  <si>
    <t>CALLE 19 26 50</t>
  </si>
  <si>
    <t>VEREDA SOCHA</t>
  </si>
  <si>
    <t>BRR PROGRESO</t>
  </si>
  <si>
    <t>VRDLA TRINIDAD</t>
  </si>
  <si>
    <t>CRRA 30B 21 36</t>
  </si>
  <si>
    <t>CL 20 26 100</t>
  </si>
  <si>
    <t>CL 15 17 36 INT 228</t>
  </si>
  <si>
    <t>CL 21 23 28</t>
  </si>
  <si>
    <t>CL 21 29 40</t>
  </si>
  <si>
    <t>BEREDA EL CARMEN</t>
  </si>
  <si>
    <t>CR 3A 16 41</t>
  </si>
  <si>
    <t>CR 26 24 33</t>
  </si>
  <si>
    <t>CLL 17 6 24 PT 402</t>
  </si>
  <si>
    <t>CLL 5 43 47</t>
  </si>
  <si>
    <t>CR 7A N 3 31</t>
  </si>
  <si>
    <t>CRA 1 C 18 37</t>
  </si>
  <si>
    <t>CL 14 42 169</t>
  </si>
  <si>
    <t>CLL 24 27 60</t>
  </si>
  <si>
    <t>CL19 B 29 17 LOS ALPES</t>
  </si>
  <si>
    <t>CL 1 N 44 69</t>
  </si>
  <si>
    <t>CR 5 N 23 68</t>
  </si>
  <si>
    <t>CR 27 25 00</t>
  </si>
  <si>
    <t>CR 11 06 35</t>
  </si>
  <si>
    <t>CR 32 N 1940</t>
  </si>
  <si>
    <t>CLL 24 39 130</t>
  </si>
  <si>
    <t>CL 18 13 51</t>
  </si>
  <si>
    <t>CLL 13A 16A 64</t>
  </si>
  <si>
    <t>CL 19 VIS 30 18</t>
  </si>
  <si>
    <t>CRA 26 12A 49</t>
  </si>
  <si>
    <t>CRR 17 N 21 49</t>
  </si>
  <si>
    <t>CR 17 2A 05 CASA 3</t>
  </si>
  <si>
    <t>cr 28 7 03</t>
  </si>
  <si>
    <t>CLL 20 22 56</t>
  </si>
  <si>
    <t>CR 17 1 4</t>
  </si>
  <si>
    <t>CLL 3 18 74</t>
  </si>
  <si>
    <t>CL 1A 6 51</t>
  </si>
  <si>
    <t>CR 15 10 68</t>
  </si>
  <si>
    <t>KM 4 TIBASOSA</t>
  </si>
  <si>
    <t>CR 17 C 24 56</t>
  </si>
  <si>
    <t>CR 17 1 04</t>
  </si>
  <si>
    <t>CRA 27A 20A 14</t>
  </si>
  <si>
    <t>CR 3 11 08</t>
  </si>
  <si>
    <t>CL 7A 15 12</t>
  </si>
  <si>
    <t>CL 16A 37 59</t>
  </si>
  <si>
    <t>CR 6 16 33</t>
  </si>
  <si>
    <t>CL 20 24 41</t>
  </si>
  <si>
    <t>CL 14 38 19</t>
  </si>
  <si>
    <t>VDA ELCOCUBO</t>
  </si>
  <si>
    <t>CALLE 24 11A 75</t>
  </si>
  <si>
    <t>CR 36 21 24 SUR</t>
  </si>
  <si>
    <t>CALLE 15 12 06</t>
  </si>
  <si>
    <t>ROBLEDALES 2 TO 23 APTO 404</t>
  </si>
  <si>
    <t>CRA 11 23 86</t>
  </si>
  <si>
    <t>CR 25 13 67</t>
  </si>
  <si>
    <t>cra 10 1 60</t>
  </si>
  <si>
    <t>CL 20 22 50</t>
  </si>
  <si>
    <t>VRD EL POSO</t>
  </si>
  <si>
    <t>CL 4 25 02</t>
  </si>
  <si>
    <t>CLL 19 N 26 16</t>
  </si>
  <si>
    <t>CR 31 21 57</t>
  </si>
  <si>
    <t>CR 16 16 A 07</t>
  </si>
  <si>
    <t>CL12 19 7</t>
  </si>
  <si>
    <t>CLL 23 22  46</t>
  </si>
  <si>
    <t>CALLE 29 26_75 CASA 7_14</t>
  </si>
  <si>
    <t>CR 5 16 111</t>
  </si>
  <si>
    <t>CR 17 2 45</t>
  </si>
  <si>
    <t>CR 4 4 91</t>
  </si>
  <si>
    <t>CLL 18 14 44</t>
  </si>
  <si>
    <t>CRA 8 16 39</t>
  </si>
  <si>
    <t>CLL 18 13 89</t>
  </si>
  <si>
    <t>CL 1 N 8 22</t>
  </si>
  <si>
    <t>CL 22 3A 49</t>
  </si>
  <si>
    <t>CRA 7C 6A 17</t>
  </si>
  <si>
    <t>CLL 40 10BIS 34 SOGAMOSO</t>
  </si>
  <si>
    <t>CL 19B 26 89</t>
  </si>
  <si>
    <t>CLL 20 42 81</t>
  </si>
  <si>
    <t>TV 29 09 78</t>
  </si>
  <si>
    <t>CL 19 17 30</t>
  </si>
  <si>
    <t>SAN JOSE</t>
  </si>
  <si>
    <t>CL 9 24 25</t>
  </si>
  <si>
    <t>KM 3 VIA PAIPA DUITAMA</t>
  </si>
  <si>
    <t>CLL 37 45 36</t>
  </si>
  <si>
    <t>CENTRO POBLADO LLANO DE ALARCON</t>
  </si>
  <si>
    <t>CL 5A 22 10</t>
  </si>
  <si>
    <t>CL 21 A 30 A 16</t>
  </si>
  <si>
    <t>CR 13 8 21</t>
  </si>
  <si>
    <t>CRA 9A 8 63</t>
  </si>
  <si>
    <t>CL 25 4A 93</t>
  </si>
  <si>
    <t>CR 35 1 CW 111</t>
  </si>
  <si>
    <t>CR 3 N 3 94</t>
  </si>
  <si>
    <t>CR 16 32 22</t>
  </si>
  <si>
    <t>CR 7 16 18</t>
  </si>
  <si>
    <t>CL 3A N 14 53</t>
  </si>
  <si>
    <t>CR 8 9A 50</t>
  </si>
  <si>
    <t>CRA 36 16 49</t>
  </si>
  <si>
    <t>CR 16 N 34 80</t>
  </si>
  <si>
    <t>CL 24 906</t>
  </si>
  <si>
    <t>CRR 37B NR13 06</t>
  </si>
  <si>
    <t>CLL 9 21 67</t>
  </si>
  <si>
    <t>CALLE 19 N 14 10</t>
  </si>
  <si>
    <t>CLL15 5 34</t>
  </si>
  <si>
    <t>CR 37 12 22</t>
  </si>
  <si>
    <t>CR 14 18 57</t>
  </si>
  <si>
    <t>TRAN 19 23 141</t>
  </si>
  <si>
    <t>CLL 17 11 33</t>
  </si>
  <si>
    <t>CLL 17 42 09</t>
  </si>
  <si>
    <t>CLL 146 7 64 OF 707 ED MALLKI</t>
  </si>
  <si>
    <t>CLL 22 40 30</t>
  </si>
  <si>
    <t>CLL 24 N 27123</t>
  </si>
  <si>
    <t>CL 19 B 26 100</t>
  </si>
  <si>
    <t>PAIPA VIA PANTANO</t>
  </si>
  <si>
    <t>AV UNIVERSITARIA 29 92 TUNJA</t>
  </si>
  <si>
    <t>CLLE 20 21 00</t>
  </si>
  <si>
    <t>CLL 16 14 09</t>
  </si>
  <si>
    <t>K12 N57 140</t>
  </si>
  <si>
    <t>CL 09C 32 80</t>
  </si>
  <si>
    <t>CR 29 19 A 40</t>
  </si>
  <si>
    <t>CLL 6 22 02</t>
  </si>
  <si>
    <t>CR 5 17 72</t>
  </si>
  <si>
    <t>CR 10 9 63</t>
  </si>
  <si>
    <t>CR 10 14 91</t>
  </si>
  <si>
    <t>CLL 20 25 41</t>
  </si>
  <si>
    <t>238</t>
  </si>
  <si>
    <t>759</t>
  </si>
  <si>
    <t>092</t>
  </si>
  <si>
    <t>820</t>
  </si>
  <si>
    <t>136</t>
  </si>
  <si>
    <t>491</t>
  </si>
  <si>
    <t>757</t>
  </si>
  <si>
    <t>022</t>
  </si>
  <si>
    <t>806</t>
  </si>
  <si>
    <t/>
  </si>
  <si>
    <t>183</t>
  </si>
  <si>
    <t>001</t>
  </si>
  <si>
    <t>516</t>
  </si>
  <si>
    <t>087</t>
  </si>
  <si>
    <t>293</t>
  </si>
  <si>
    <t>097</t>
  </si>
  <si>
    <t>464</t>
  </si>
  <si>
    <t>162</t>
  </si>
  <si>
    <t>215</t>
  </si>
  <si>
    <t>537</t>
  </si>
  <si>
    <t>368</t>
  </si>
  <si>
    <t>126</t>
  </si>
  <si>
    <t>693</t>
  </si>
  <si>
    <t>296</t>
  </si>
  <si>
    <t>723</t>
  </si>
  <si>
    <t>047</t>
  </si>
  <si>
    <t>753</t>
  </si>
  <si>
    <t>755</t>
  </si>
  <si>
    <t>763</t>
  </si>
  <si>
    <t>790</t>
  </si>
  <si>
    <t>861</t>
  </si>
  <si>
    <t>822</t>
  </si>
  <si>
    <t>502</t>
  </si>
  <si>
    <t>837</t>
  </si>
  <si>
    <t>204</t>
  </si>
  <si>
    <t>250</t>
  </si>
  <si>
    <t>218</t>
  </si>
  <si>
    <t>272</t>
  </si>
  <si>
    <t>360</t>
  </si>
  <si>
    <t>276</t>
  </si>
  <si>
    <t>466</t>
  </si>
  <si>
    <t>794</t>
  </si>
  <si>
    <t>362</t>
  </si>
  <si>
    <t>542</t>
  </si>
  <si>
    <t>664</t>
  </si>
  <si>
    <t>248</t>
  </si>
  <si>
    <t>226</t>
  </si>
  <si>
    <t>550</t>
  </si>
  <si>
    <t>175</t>
  </si>
  <si>
    <t>774</t>
  </si>
  <si>
    <t>599</t>
  </si>
  <si>
    <t>377</t>
  </si>
  <si>
    <t>286</t>
  </si>
  <si>
    <t>696</t>
  </si>
  <si>
    <t>473</t>
  </si>
  <si>
    <t>081</t>
  </si>
  <si>
    <t>568</t>
  </si>
  <si>
    <t>899</t>
  </si>
  <si>
    <t>684</t>
  </si>
  <si>
    <t>432</t>
  </si>
  <si>
    <t>403</t>
  </si>
  <si>
    <t>BOGOTÁ</t>
  </si>
  <si>
    <t>214</t>
  </si>
  <si>
    <t>799</t>
  </si>
  <si>
    <t>834</t>
  </si>
  <si>
    <t>892</t>
  </si>
  <si>
    <t>520</t>
  </si>
  <si>
    <t>646</t>
  </si>
  <si>
    <t>814</t>
  </si>
  <si>
    <t>006</t>
  </si>
  <si>
    <t>500</t>
  </si>
  <si>
    <t>099</t>
  </si>
  <si>
    <t>356</t>
  </si>
  <si>
    <t>010</t>
  </si>
  <si>
    <t>518</t>
  </si>
  <si>
    <t>754</t>
  </si>
  <si>
    <t>161</t>
  </si>
  <si>
    <t>430</t>
  </si>
  <si>
    <t>266</t>
  </si>
  <si>
    <t>317</t>
  </si>
  <si>
    <t>897</t>
  </si>
  <si>
    <t>104</t>
  </si>
  <si>
    <t>839</t>
  </si>
  <si>
    <t>690</t>
  </si>
  <si>
    <t>720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</si>
</sst>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_-* #,##0_-;\-* #,##0_-;_-* &quot;-&quot;??_-;_-@_-"/>
  </numFmts>
  <fonts count="1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Aptos Narrow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  <scheme val="major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sz val="10"/>
      <color rgb="FF000000"/>
      <name val="Arial"/>
    </font>
    <font>
      <sz val="10"/>
      <name val="Roboto Light"/>
    </font>
    <font>
      <sz val="10"/>
      <color rgb="FF000000"/>
      <name val="Arial"/>
      <family val="2"/>
    </font>
    <font>
      <sz val="9"/>
      <color rgb="FF454545"/>
      <name val="Arial"/>
      <family val="2"/>
    </font>
    <font>
      <sz val="11"/>
      <name val="Calibri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5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43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7" fillId="6" borderId="0" xfId="0" applyFont="1" applyFill="1"/>
    <xf numFmtId="0" fontId="9" fillId="0" borderId="0" xfId="0" applyFont="1"/>
    <xf numFmtId="1" fontId="8" fillId="5" borderId="3" xfId="0" applyNumberFormat="1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  <xf numFmtId="0" fontId="14" fillId="0" borderId="7" xfId="0" applyNumberFormat="1" applyFont="1" applyFill="1" applyBorder="1" applyAlignment="1" applyProtection="1">
      <alignment vertical="top" wrapText="1" readingOrder="1"/>
    </xf>
    <xf numFmtId="0" fontId="15" fillId="0" borderId="7" xfId="0" applyNumberFormat="1" applyFont="1" applyFill="1" applyBorder="1" applyAlignment="1" applyProtection="1">
      <alignment horizontal="right" vertical="top" wrapText="1"/>
    </xf>
    <xf numFmtId="0" fontId="14" fillId="0" borderId="8" xfId="0" applyNumberFormat="1" applyFont="1" applyFill="1" applyBorder="1" applyAlignment="1" applyProtection="1">
      <alignment vertical="top" wrapText="1" readingOrder="1"/>
    </xf>
    <xf numFmtId="0" fontId="14" fillId="0" borderId="7" xfId="0" applyFont="1" applyFill="1" applyBorder="1" applyAlignment="1" applyProtection="1">
      <alignment vertical="top" wrapText="1" readingOrder="1"/>
    </xf>
    <xf numFmtId="0" fontId="16" fillId="0" borderId="7" xfId="0" applyFont="1" applyFill="1" applyBorder="1" applyAlignment="1" applyProtection="1">
      <alignment vertical="top" wrapText="1" readingOrder="1"/>
    </xf>
    <xf numFmtId="0" fontId="17" fillId="0" borderId="7" xfId="0" applyFont="1" applyFill="1" applyBorder="1" applyProtection="1"/>
    <xf numFmtId="0" fontId="18" fillId="0" borderId="7" xfId="0" applyFont="1" applyFill="1" applyBorder="1" applyProtection="1"/>
    <xf numFmtId="0" fontId="14" fillId="0" borderId="0" xfId="0" applyFont="1" applyFill="1" applyBorder="1" applyAlignment="1" applyProtection="1">
      <alignment vertical="top" wrapText="1" readingOrder="1"/>
    </xf>
    <xf numFmtId="0" fontId="14" fillId="0" borderId="0" xfId="0" applyNumberFormat="1" applyFont="1" applyFill="1" applyBorder="1" applyAlignment="1" applyProtection="1">
      <alignment vertical="top" wrapText="1" readingOrder="1"/>
    </xf>
    <xf numFmtId="0" fontId="5" fillId="0" borderId="7" xfId="2" applyFill="1" applyBorder="1" applyProtection="1"/>
    <xf numFmtId="0" fontId="14" fillId="0" borderId="7" xfId="0" applyFont="1" applyFill="1" applyBorder="1" applyAlignment="1" applyProtection="1">
      <alignment horizontal="center" vertical="top" wrapText="1" readingOrder="1"/>
    </xf>
    <xf numFmtId="0" fontId="14" fillId="0" borderId="7" xfId="0" applyNumberFormat="1" applyFont="1" applyFill="1" applyBorder="1" applyAlignment="1" applyProtection="1">
      <alignment horizontal="center" vertical="top" wrapText="1" readingOrder="1"/>
    </xf>
    <xf numFmtId="0" fontId="14" fillId="0" borderId="7" xfId="0" applyNumberFormat="1" applyFont="1" applyFill="1" applyBorder="1" applyAlignment="1" applyProtection="1">
      <alignment horizontal="center" vertical="center" wrapText="1" readingOrder="1"/>
    </xf>
    <xf numFmtId="164" fontId="14" fillId="0" borderId="7" xfId="3" applyNumberFormat="1" applyFont="1" applyFill="1" applyBorder="1" applyAlignment="1" applyProtection="1">
      <alignment horizontal="right" vertical="top" wrapText="1" readingOrder="1"/>
    </xf>
    <xf numFmtId="164" fontId="16" fillId="0" borderId="7" xfId="3" applyNumberFormat="1" applyFont="1" applyFill="1" applyBorder="1" applyAlignment="1" applyProtection="1">
      <alignment horizontal="right" vertical="top" wrapText="1" readingOrder="1"/>
    </xf>
    <xf numFmtId="164" fontId="14" fillId="0" borderId="7" xfId="3" applyNumberFormat="1" applyFont="1" applyFill="1" applyBorder="1" applyAlignment="1" applyProtection="1">
      <alignment vertical="top" wrapText="1" readingOrder="1"/>
    </xf>
    <xf numFmtId="0" fontId="14" fillId="0" borderId="7" xfId="0" applyFont="1" applyFill="1" applyBorder="1" applyAlignment="1" applyProtection="1">
      <alignment horizontal="right" vertical="top" wrapText="1" readingOrder="1"/>
    </xf>
  </cellXfs>
  <cellStyles count="4">
    <cellStyle name="20% - Énfasis1" xfId="1" builtinId="30"/>
    <cellStyle name="Hipervínculo" xfId="2" builtinId="8"/>
    <cellStyle name="Millares" xfId="3" builtinId="3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mailto:josemarioesca@hotmail.com" TargetMode="External"/><Relationship Id="rId1" Type="http://schemas.openxmlformats.org/officeDocument/2006/relationships/hyperlink" Target="mailto:josemarioesca@hotmail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15004"/>
  <sheetViews>
    <sheetView tabSelected="1" workbookViewId="0">
      <selection activeCell="G13" sqref="G13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4" customWidth="1"/>
    <col min="7" max="7" width="18.5" customWidth="1"/>
    <col min="8" max="8" width="21.375" customWidth="1"/>
  </cols>
  <sheetData>
    <row r="1" spans="1:8" ht="133.15" customHeight="1">
      <c r="A1" s="17"/>
      <c r="B1" s="18"/>
      <c r="C1" s="18"/>
      <c r="D1" s="18"/>
      <c r="E1" s="18"/>
      <c r="F1" s="18"/>
      <c r="G1" s="18"/>
      <c r="H1" s="18"/>
    </row>
    <row r="2" spans="1:8">
      <c r="A2" s="19" t="s">
        <v>0</v>
      </c>
      <c r="B2" s="19"/>
      <c r="C2" s="22">
        <v>7213708</v>
      </c>
      <c r="D2" s="22"/>
      <c r="E2" s="23"/>
      <c r="F2" s="13"/>
      <c r="G2" s="2" t="s">
        <v>1</v>
      </c>
      <c r="H2" s="3" t="s">
        <v>2</v>
      </c>
    </row>
    <row r="3" spans="1:8">
      <c r="A3" s="20" t="s">
        <v>3</v>
      </c>
      <c r="B3" s="20"/>
      <c r="C3" s="17" t="s">
        <v>2251</v>
      </c>
      <c r="D3" s="17"/>
      <c r="E3" s="21"/>
      <c r="F3" s="13"/>
      <c r="G3" s="1"/>
      <c r="H3" s="1"/>
    </row>
    <row r="4" spans="1:8">
      <c r="A4" s="19" t="s">
        <v>4</v>
      </c>
      <c r="B4" s="19"/>
      <c r="C4" s="22">
        <v>2025</v>
      </c>
      <c r="D4" s="22"/>
      <c r="E4" s="23"/>
      <c r="F4" s="13"/>
      <c r="G4" s="1"/>
      <c r="H4" s="1"/>
    </row>
    <row r="5" spans="1:8">
      <c r="A5" s="16" t="s">
        <v>5</v>
      </c>
      <c r="B5" s="16"/>
      <c r="C5" s="24">
        <v>46200</v>
      </c>
      <c r="D5" s="24"/>
      <c r="E5" s="25"/>
      <c r="F5" s="13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5" t="s">
        <v>2250</v>
      </c>
      <c r="G6" s="4" t="s">
        <v>6</v>
      </c>
      <c r="H6" s="4" t="s">
        <v>2244</v>
      </c>
    </row>
    <row r="7" spans="1:8" ht="25.5">
      <c r="A7" s="26">
        <v>328451</v>
      </c>
      <c r="B7" s="29" t="s">
        <v>2252</v>
      </c>
      <c r="C7" s="29" t="s">
        <v>17202</v>
      </c>
      <c r="D7" s="29" t="s">
        <v>30343</v>
      </c>
      <c r="E7" s="29" t="s">
        <v>43924</v>
      </c>
      <c r="F7" s="36" t="s">
        <v>54401</v>
      </c>
      <c r="G7" s="39">
        <v>407354.23</v>
      </c>
      <c r="H7" s="42">
        <v>211</v>
      </c>
    </row>
    <row r="8" spans="1:8" ht="25.5">
      <c r="A8" s="26">
        <v>368634</v>
      </c>
      <c r="B8" s="29" t="s">
        <v>2253</v>
      </c>
      <c r="C8" s="29" t="s">
        <v>17203</v>
      </c>
      <c r="D8" s="29" t="s">
        <v>30344</v>
      </c>
      <c r="E8" s="29" t="s">
        <v>43925</v>
      </c>
      <c r="F8" s="36" t="s">
        <v>54401</v>
      </c>
      <c r="G8" s="39">
        <v>1057774.1200000001</v>
      </c>
      <c r="H8" s="42">
        <v>211</v>
      </c>
    </row>
    <row r="9" spans="1:8" ht="14.25">
      <c r="A9" s="26">
        <v>455254</v>
      </c>
      <c r="B9" s="29" t="s">
        <v>2254</v>
      </c>
      <c r="C9" s="29" t="s">
        <v>17204</v>
      </c>
      <c r="D9" s="29" t="s">
        <v>30345</v>
      </c>
      <c r="E9" s="29" t="s">
        <v>43926</v>
      </c>
      <c r="F9" s="36" t="s">
        <v>54401</v>
      </c>
      <c r="G9" s="39">
        <v>93532.01</v>
      </c>
      <c r="H9" s="42">
        <v>211</v>
      </c>
    </row>
    <row r="10" spans="1:8" ht="25.5">
      <c r="A10" s="26">
        <v>523837</v>
      </c>
      <c r="B10" s="29" t="s">
        <v>2255</v>
      </c>
      <c r="C10" s="29" t="s">
        <v>17205</v>
      </c>
      <c r="D10" s="29" t="s">
        <v>30346</v>
      </c>
      <c r="E10" s="29" t="s">
        <v>43927</v>
      </c>
      <c r="F10" s="36" t="s">
        <v>54401</v>
      </c>
      <c r="G10" s="39">
        <v>1859746.31</v>
      </c>
      <c r="H10" s="42">
        <v>211</v>
      </c>
    </row>
    <row r="11" spans="1:8" ht="14.25">
      <c r="A11" s="26">
        <v>652593</v>
      </c>
      <c r="B11" s="29" t="s">
        <v>2256</v>
      </c>
      <c r="C11" s="29" t="s">
        <v>17206</v>
      </c>
      <c r="D11" s="29" t="s">
        <v>30347</v>
      </c>
      <c r="E11" s="29" t="s">
        <v>43928</v>
      </c>
      <c r="F11" s="36" t="s">
        <v>54401</v>
      </c>
      <c r="G11" s="39">
        <v>80468.86</v>
      </c>
      <c r="H11" s="42">
        <v>211</v>
      </c>
    </row>
    <row r="12" spans="1:8" ht="25.5">
      <c r="A12" s="26">
        <v>716672</v>
      </c>
      <c r="B12" s="29" t="s">
        <v>2257</v>
      </c>
      <c r="C12" s="29" t="s">
        <v>17207</v>
      </c>
      <c r="D12" s="29" t="s">
        <v>30348</v>
      </c>
      <c r="E12" s="29" t="s">
        <v>43929</v>
      </c>
      <c r="F12" s="36" t="s">
        <v>54401</v>
      </c>
      <c r="G12" s="39">
        <v>1649452.69</v>
      </c>
      <c r="H12" s="42">
        <v>211</v>
      </c>
    </row>
    <row r="13" spans="1:8" ht="25.5">
      <c r="A13" s="26">
        <v>722932</v>
      </c>
      <c r="B13" s="30" t="s">
        <v>2258</v>
      </c>
      <c r="C13" s="29" t="s">
        <v>17204</v>
      </c>
      <c r="D13" s="29" t="s">
        <v>30349</v>
      </c>
      <c r="E13" s="29" t="s">
        <v>43926</v>
      </c>
      <c r="F13" s="36" t="s">
        <v>54401</v>
      </c>
      <c r="G13" s="39">
        <v>559201.32999999996</v>
      </c>
      <c r="H13" s="42">
        <v>211</v>
      </c>
    </row>
    <row r="14" spans="1:8" ht="38.25">
      <c r="A14" s="26">
        <v>750135</v>
      </c>
      <c r="B14" s="30" t="s">
        <v>2259</v>
      </c>
      <c r="C14" s="29" t="s">
        <v>17208</v>
      </c>
      <c r="D14" s="29" t="s">
        <v>30350</v>
      </c>
      <c r="E14" s="29" t="s">
        <v>43926</v>
      </c>
      <c r="F14" s="36" t="s">
        <v>54401</v>
      </c>
      <c r="G14" s="39">
        <v>430441.1</v>
      </c>
      <c r="H14" s="42">
        <v>211</v>
      </c>
    </row>
    <row r="15" spans="1:8" ht="25.5">
      <c r="A15" s="26">
        <v>901116</v>
      </c>
      <c r="B15" s="30" t="s">
        <v>2260</v>
      </c>
      <c r="C15" s="29" t="s">
        <v>17209</v>
      </c>
      <c r="D15" s="29" t="s">
        <v>30351</v>
      </c>
      <c r="E15" s="29" t="s">
        <v>43930</v>
      </c>
      <c r="F15" s="36" t="s">
        <v>54401</v>
      </c>
      <c r="G15" s="39">
        <v>45826.06</v>
      </c>
      <c r="H15" s="42">
        <v>211</v>
      </c>
    </row>
    <row r="16" spans="1:8" ht="25.5">
      <c r="A16" s="26">
        <v>1004328</v>
      </c>
      <c r="B16" s="29" t="s">
        <v>2261</v>
      </c>
      <c r="C16" s="29" t="s">
        <v>17210</v>
      </c>
      <c r="D16" s="29" t="s">
        <v>30352</v>
      </c>
      <c r="E16" s="29" t="s">
        <v>43931</v>
      </c>
      <c r="F16" s="36" t="s">
        <v>54401</v>
      </c>
      <c r="G16" s="39">
        <v>672279.41</v>
      </c>
      <c r="H16" s="42">
        <v>211</v>
      </c>
    </row>
    <row r="17" spans="1:8" ht="25.5">
      <c r="A17" s="26">
        <v>1004337</v>
      </c>
      <c r="B17" s="29" t="s">
        <v>2262</v>
      </c>
      <c r="C17" s="29" t="s">
        <v>17211</v>
      </c>
      <c r="D17" s="29" t="s">
        <v>30353</v>
      </c>
      <c r="E17" s="29" t="s">
        <v>43932</v>
      </c>
      <c r="F17" s="36" t="s">
        <v>54401</v>
      </c>
      <c r="G17" s="39">
        <v>3756294.01</v>
      </c>
      <c r="H17" s="42">
        <v>211</v>
      </c>
    </row>
    <row r="18" spans="1:8" ht="25.5">
      <c r="A18" s="26">
        <v>1004418</v>
      </c>
      <c r="B18" s="29" t="s">
        <v>2263</v>
      </c>
      <c r="C18" s="29" t="s">
        <v>17212</v>
      </c>
      <c r="D18" s="29" t="s">
        <v>30354</v>
      </c>
      <c r="E18" s="29" t="s">
        <v>43933</v>
      </c>
      <c r="F18" s="36" t="s">
        <v>54402</v>
      </c>
      <c r="G18" s="39">
        <v>92890</v>
      </c>
      <c r="H18" s="42">
        <v>211</v>
      </c>
    </row>
    <row r="19" spans="1:8" ht="25.5">
      <c r="A19" s="26">
        <v>1004446</v>
      </c>
      <c r="B19" s="29" t="s">
        <v>2264</v>
      </c>
      <c r="C19" s="29" t="s">
        <v>17213</v>
      </c>
      <c r="D19" s="29" t="s">
        <v>30355</v>
      </c>
      <c r="E19" s="29" t="s">
        <v>43934</v>
      </c>
      <c r="F19" s="36" t="s">
        <v>54401</v>
      </c>
      <c r="G19" s="39">
        <v>6164461.6500000004</v>
      </c>
      <c r="H19" s="42">
        <v>211</v>
      </c>
    </row>
    <row r="20" spans="1:8" ht="25.5">
      <c r="A20" s="26">
        <v>1004476</v>
      </c>
      <c r="B20" s="29" t="s">
        <v>2265</v>
      </c>
      <c r="C20" s="29" t="s">
        <v>17214</v>
      </c>
      <c r="D20" s="29" t="s">
        <v>30356</v>
      </c>
      <c r="E20" s="29" t="s">
        <v>43935</v>
      </c>
      <c r="F20" s="36" t="s">
        <v>54401</v>
      </c>
      <c r="G20" s="39">
        <v>5776154.3099999996</v>
      </c>
      <c r="H20" s="42">
        <v>211</v>
      </c>
    </row>
    <row r="21" spans="1:8" ht="15.75" customHeight="1">
      <c r="A21" s="26">
        <v>1004522</v>
      </c>
      <c r="B21" s="29" t="s">
        <v>2266</v>
      </c>
      <c r="C21" s="29" t="s">
        <v>17215</v>
      </c>
      <c r="D21" s="29" t="s">
        <v>30357</v>
      </c>
      <c r="E21" s="29" t="s">
        <v>43936</v>
      </c>
      <c r="F21" s="36" t="s">
        <v>54401</v>
      </c>
      <c r="G21" s="39">
        <v>77747.899999999994</v>
      </c>
      <c r="H21" s="42">
        <v>211</v>
      </c>
    </row>
    <row r="22" spans="1:8" ht="15.75" customHeight="1">
      <c r="A22" s="26">
        <v>1004534</v>
      </c>
      <c r="B22" s="29" t="s">
        <v>2267</v>
      </c>
      <c r="C22" s="29" t="s">
        <v>17216</v>
      </c>
      <c r="D22" s="29" t="s">
        <v>30358</v>
      </c>
      <c r="E22" s="29" t="s">
        <v>43937</v>
      </c>
      <c r="F22" s="36" t="s">
        <v>54401</v>
      </c>
      <c r="G22" s="39">
        <v>791201.12</v>
      </c>
      <c r="H22" s="42">
        <v>211</v>
      </c>
    </row>
    <row r="23" spans="1:8" ht="15.75" customHeight="1">
      <c r="A23" s="26">
        <v>1004535</v>
      </c>
      <c r="B23" s="29" t="s">
        <v>2268</v>
      </c>
      <c r="C23" s="29" t="s">
        <v>17217</v>
      </c>
      <c r="D23" s="29" t="s">
        <v>30359</v>
      </c>
      <c r="E23" s="29" t="s">
        <v>43938</v>
      </c>
      <c r="F23" s="36" t="s">
        <v>54401</v>
      </c>
      <c r="G23" s="39">
        <v>2608458.61</v>
      </c>
      <c r="H23" s="42">
        <v>211</v>
      </c>
    </row>
    <row r="24" spans="1:8" ht="15.75" customHeight="1">
      <c r="A24" s="26">
        <v>1004552</v>
      </c>
      <c r="B24" s="29" t="s">
        <v>2269</v>
      </c>
      <c r="C24" s="29" t="s">
        <v>17218</v>
      </c>
      <c r="D24" s="29" t="s">
        <v>30360</v>
      </c>
      <c r="E24" s="29" t="s">
        <v>43939</v>
      </c>
      <c r="F24" s="36" t="s">
        <v>54403</v>
      </c>
      <c r="G24" s="39">
        <v>1034915.37</v>
      </c>
      <c r="H24" s="42">
        <v>211</v>
      </c>
    </row>
    <row r="25" spans="1:8" ht="15.75" customHeight="1">
      <c r="A25" s="26">
        <v>1004561</v>
      </c>
      <c r="B25" s="29" t="s">
        <v>2270</v>
      </c>
      <c r="C25" s="29" t="s">
        <v>17219</v>
      </c>
      <c r="D25" s="29" t="s">
        <v>30361</v>
      </c>
      <c r="E25" s="29" t="s">
        <v>43935</v>
      </c>
      <c r="F25" s="36" t="s">
        <v>54401</v>
      </c>
      <c r="G25" s="39">
        <v>1377610.21</v>
      </c>
      <c r="H25" s="42">
        <v>211</v>
      </c>
    </row>
    <row r="26" spans="1:8" ht="15.75" customHeight="1">
      <c r="A26" s="26">
        <v>1004600</v>
      </c>
      <c r="B26" s="29" t="s">
        <v>2271</v>
      </c>
      <c r="C26" s="29" t="s">
        <v>17220</v>
      </c>
      <c r="D26" s="29" t="s">
        <v>30362</v>
      </c>
      <c r="E26" s="29" t="s">
        <v>43940</v>
      </c>
      <c r="F26" s="36" t="s">
        <v>54401</v>
      </c>
      <c r="G26" s="39">
        <v>185454.98</v>
      </c>
      <c r="H26" s="42">
        <v>211</v>
      </c>
    </row>
    <row r="27" spans="1:8" ht="15.75" customHeight="1">
      <c r="A27" s="26">
        <v>1004607</v>
      </c>
      <c r="B27" s="29" t="s">
        <v>2272</v>
      </c>
      <c r="C27" s="29" t="s">
        <v>17221</v>
      </c>
      <c r="D27" s="29" t="s">
        <v>30363</v>
      </c>
      <c r="E27" s="29" t="s">
        <v>43941</v>
      </c>
      <c r="F27" s="36" t="s">
        <v>54401</v>
      </c>
      <c r="G27" s="39">
        <v>721593.17</v>
      </c>
      <c r="H27" s="42">
        <v>211</v>
      </c>
    </row>
    <row r="28" spans="1:8" ht="15.75" customHeight="1">
      <c r="A28" s="26">
        <v>1004623</v>
      </c>
      <c r="B28" s="29" t="s">
        <v>2273</v>
      </c>
      <c r="C28" s="29" t="s">
        <v>17222</v>
      </c>
      <c r="D28" s="29" t="s">
        <v>30364</v>
      </c>
      <c r="E28" s="29" t="s">
        <v>43942</v>
      </c>
      <c r="F28" s="36" t="s">
        <v>54401</v>
      </c>
      <c r="G28" s="39">
        <v>2120304.29</v>
      </c>
      <c r="H28" s="42">
        <v>211</v>
      </c>
    </row>
    <row r="29" spans="1:8" ht="15.75" customHeight="1">
      <c r="A29" s="26">
        <v>1004646</v>
      </c>
      <c r="B29" s="29" t="s">
        <v>2274</v>
      </c>
      <c r="C29" s="29" t="s">
        <v>17223</v>
      </c>
      <c r="D29" s="29" t="s">
        <v>30365</v>
      </c>
      <c r="E29" s="29" t="s">
        <v>43943</v>
      </c>
      <c r="F29" s="36" t="s">
        <v>54401</v>
      </c>
      <c r="G29" s="39">
        <v>4517351.75</v>
      </c>
      <c r="H29" s="42">
        <v>211</v>
      </c>
    </row>
    <row r="30" spans="1:8" ht="15.75" customHeight="1">
      <c r="A30" s="26">
        <v>1011153</v>
      </c>
      <c r="B30" s="29" t="s">
        <v>2275</v>
      </c>
      <c r="C30" s="29" t="s">
        <v>17224</v>
      </c>
      <c r="D30" s="29" t="s">
        <v>30366</v>
      </c>
      <c r="E30" s="29" t="s">
        <v>43944</v>
      </c>
      <c r="F30" s="36" t="s">
        <v>54401</v>
      </c>
      <c r="G30" s="39">
        <v>2335109.52</v>
      </c>
      <c r="H30" s="42">
        <v>211</v>
      </c>
    </row>
    <row r="31" spans="1:8" ht="15.75" customHeight="1">
      <c r="A31" s="26">
        <v>1037484</v>
      </c>
      <c r="B31" s="29" t="s">
        <v>2276</v>
      </c>
      <c r="C31" s="29" t="s">
        <v>17204</v>
      </c>
      <c r="D31" s="29" t="s">
        <v>30349</v>
      </c>
      <c r="E31" s="29" t="s">
        <v>43926</v>
      </c>
      <c r="F31" s="36" t="s">
        <v>54401</v>
      </c>
      <c r="G31" s="39">
        <v>325292.69</v>
      </c>
      <c r="H31" s="42">
        <v>211</v>
      </c>
    </row>
    <row r="32" spans="1:8" ht="15.75" customHeight="1">
      <c r="A32" s="26">
        <v>1045522</v>
      </c>
      <c r="B32" s="29" t="s">
        <v>2277</v>
      </c>
      <c r="C32" s="29" t="s">
        <v>17225</v>
      </c>
      <c r="D32" s="29" t="s">
        <v>30367</v>
      </c>
      <c r="E32" s="29" t="s">
        <v>43945</v>
      </c>
      <c r="F32" s="36" t="s">
        <v>54401</v>
      </c>
      <c r="G32" s="39">
        <v>482097.45</v>
      </c>
      <c r="H32" s="42">
        <v>211</v>
      </c>
    </row>
    <row r="33" spans="1:8" ht="15.75" customHeight="1">
      <c r="A33" s="26">
        <v>1046182</v>
      </c>
      <c r="B33" s="29" t="s">
        <v>2278</v>
      </c>
      <c r="C33" s="29" t="s">
        <v>17226</v>
      </c>
      <c r="D33" s="29" t="s">
        <v>30368</v>
      </c>
      <c r="E33" s="29" t="s">
        <v>43946</v>
      </c>
      <c r="F33" s="36" t="s">
        <v>54401</v>
      </c>
      <c r="G33" s="39">
        <v>4566106.46</v>
      </c>
      <c r="H33" s="42">
        <v>211</v>
      </c>
    </row>
    <row r="34" spans="1:8" ht="15.75" customHeight="1">
      <c r="A34" s="26">
        <v>1047632</v>
      </c>
      <c r="B34" s="29" t="s">
        <v>2279</v>
      </c>
      <c r="C34" s="29" t="s">
        <v>17227</v>
      </c>
      <c r="D34" s="29" t="s">
        <v>30369</v>
      </c>
      <c r="E34" s="29" t="s">
        <v>43947</v>
      </c>
      <c r="F34" s="36" t="s">
        <v>54404</v>
      </c>
      <c r="G34" s="39">
        <v>2726944.43</v>
      </c>
      <c r="H34" s="42">
        <v>211</v>
      </c>
    </row>
    <row r="35" spans="1:8" ht="15.75" customHeight="1">
      <c r="A35" s="26">
        <v>1048446</v>
      </c>
      <c r="B35" s="29" t="s">
        <v>2280</v>
      </c>
      <c r="C35" s="29" t="s">
        <v>17228</v>
      </c>
      <c r="D35" s="29" t="s">
        <v>30370</v>
      </c>
      <c r="E35" s="29" t="s">
        <v>43948</v>
      </c>
      <c r="F35" s="36" t="s">
        <v>54401</v>
      </c>
      <c r="G35" s="39">
        <v>99274.27</v>
      </c>
      <c r="H35" s="42">
        <v>211</v>
      </c>
    </row>
    <row r="36" spans="1:8" ht="15.75" customHeight="1">
      <c r="A36" s="26">
        <v>1061468</v>
      </c>
      <c r="B36" s="29" t="s">
        <v>2281</v>
      </c>
      <c r="C36" s="29" t="s">
        <v>17229</v>
      </c>
      <c r="D36" s="29" t="s">
        <v>30371</v>
      </c>
      <c r="E36" s="29" t="s">
        <v>43949</v>
      </c>
      <c r="F36" s="36" t="s">
        <v>54401</v>
      </c>
      <c r="G36" s="39">
        <v>3886258.53</v>
      </c>
      <c r="H36" s="42">
        <v>211</v>
      </c>
    </row>
    <row r="37" spans="1:8" ht="15.75" customHeight="1">
      <c r="A37" s="26">
        <v>1061826</v>
      </c>
      <c r="B37" s="29" t="s">
        <v>2282</v>
      </c>
      <c r="C37" s="26" t="s">
        <v>17230</v>
      </c>
      <c r="D37" s="26" t="s">
        <v>30372</v>
      </c>
      <c r="E37" s="26" t="s">
        <v>43950</v>
      </c>
      <c r="F37" s="37" t="s">
        <v>54401</v>
      </c>
      <c r="G37" s="39">
        <v>32713.9</v>
      </c>
      <c r="H37" s="42">
        <v>211</v>
      </c>
    </row>
    <row r="38" spans="1:8" ht="15.75" customHeight="1">
      <c r="A38" s="26">
        <v>1071358</v>
      </c>
      <c r="B38" s="29" t="s">
        <v>2283</v>
      </c>
      <c r="C38" s="29" t="s">
        <v>17231</v>
      </c>
      <c r="D38" s="29" t="s">
        <v>30373</v>
      </c>
      <c r="E38" s="29" t="s">
        <v>43951</v>
      </c>
      <c r="F38" s="36" t="s">
        <v>54401</v>
      </c>
      <c r="G38" s="39">
        <f>492271.87+49898</f>
        <v>542169.87</v>
      </c>
      <c r="H38" s="42">
        <v>211</v>
      </c>
    </row>
    <row r="39" spans="1:8" ht="15.75" customHeight="1">
      <c r="A39" s="26">
        <v>1073010</v>
      </c>
      <c r="B39" s="29" t="s">
        <v>2284</v>
      </c>
      <c r="C39" s="29" t="s">
        <v>17232</v>
      </c>
      <c r="D39" s="29" t="s">
        <v>30374</v>
      </c>
      <c r="E39" s="29" t="s">
        <v>43952</v>
      </c>
      <c r="F39" s="36" t="s">
        <v>54401</v>
      </c>
      <c r="G39" s="39">
        <f>2536908.98+384471</f>
        <v>2921379.98</v>
      </c>
      <c r="H39" s="42">
        <v>211</v>
      </c>
    </row>
    <row r="40" spans="1:8" ht="15.75" customHeight="1">
      <c r="A40" s="26">
        <v>1075340</v>
      </c>
      <c r="B40" s="29" t="s">
        <v>2285</v>
      </c>
      <c r="C40" s="29" t="s">
        <v>17233</v>
      </c>
      <c r="D40" s="29" t="s">
        <v>30375</v>
      </c>
      <c r="E40" s="29" t="s">
        <v>43953</v>
      </c>
      <c r="F40" s="36" t="s">
        <v>54405</v>
      </c>
      <c r="G40" s="39">
        <v>4178705.5</v>
      </c>
      <c r="H40" s="42">
        <v>211</v>
      </c>
    </row>
    <row r="41" spans="1:8" ht="15.75" customHeight="1">
      <c r="A41" s="26">
        <v>1087171</v>
      </c>
      <c r="B41" s="29" t="s">
        <v>2286</v>
      </c>
      <c r="C41" s="29" t="s">
        <v>17234</v>
      </c>
      <c r="D41" s="29" t="s">
        <v>30376</v>
      </c>
      <c r="E41" s="29" t="s">
        <v>43954</v>
      </c>
      <c r="F41" s="36" t="s">
        <v>54401</v>
      </c>
      <c r="G41" s="39">
        <v>98076.78</v>
      </c>
      <c r="H41" s="42">
        <v>211</v>
      </c>
    </row>
    <row r="42" spans="1:8" ht="15.75" customHeight="1">
      <c r="A42" s="26">
        <v>1087755</v>
      </c>
      <c r="B42" s="29" t="s">
        <v>2287</v>
      </c>
      <c r="C42" s="29" t="s">
        <v>17235</v>
      </c>
      <c r="D42" s="29" t="s">
        <v>30377</v>
      </c>
      <c r="E42" s="29" t="s">
        <v>43955</v>
      </c>
      <c r="F42" s="36" t="s">
        <v>54401</v>
      </c>
      <c r="G42" s="39">
        <v>486898.17</v>
      </c>
      <c r="H42" s="42">
        <v>211</v>
      </c>
    </row>
    <row r="43" spans="1:8" ht="15.75" customHeight="1">
      <c r="A43" s="26">
        <v>1098246</v>
      </c>
      <c r="B43" s="29" t="s">
        <v>2288</v>
      </c>
      <c r="C43" s="26" t="s">
        <v>17204</v>
      </c>
      <c r="D43" s="26" t="s">
        <v>30349</v>
      </c>
      <c r="E43" s="26" t="s">
        <v>43926</v>
      </c>
      <c r="F43" s="37" t="s">
        <v>54401</v>
      </c>
      <c r="G43" s="39">
        <v>52726.95</v>
      </c>
      <c r="H43" s="42">
        <v>211</v>
      </c>
    </row>
    <row r="44" spans="1:8" ht="15" customHeight="1">
      <c r="A44" s="26">
        <v>1098291</v>
      </c>
      <c r="B44" s="29" t="s">
        <v>2289</v>
      </c>
      <c r="C44" s="29" t="s">
        <v>17236</v>
      </c>
      <c r="D44" s="29" t="s">
        <v>30378</v>
      </c>
      <c r="E44" s="29" t="s">
        <v>43956</v>
      </c>
      <c r="F44" s="36" t="s">
        <v>54401</v>
      </c>
      <c r="G44" s="39">
        <v>87932.77</v>
      </c>
      <c r="H44" s="42">
        <v>211</v>
      </c>
    </row>
    <row r="45" spans="1:8" ht="15" customHeight="1">
      <c r="A45" s="26">
        <v>1098437</v>
      </c>
      <c r="B45" s="29" t="s">
        <v>2290</v>
      </c>
      <c r="C45" s="29" t="s">
        <v>17237</v>
      </c>
      <c r="D45" s="29" t="s">
        <v>30379</v>
      </c>
      <c r="E45" s="29" t="s">
        <v>43957</v>
      </c>
      <c r="F45" s="36" t="s">
        <v>54406</v>
      </c>
      <c r="G45" s="39">
        <v>1314863.8500000001</v>
      </c>
      <c r="H45" s="42">
        <v>211</v>
      </c>
    </row>
    <row r="46" spans="1:8" ht="15" customHeight="1">
      <c r="A46" s="26">
        <v>1098446</v>
      </c>
      <c r="B46" s="29" t="s">
        <v>2280</v>
      </c>
      <c r="C46" s="29" t="s">
        <v>17228</v>
      </c>
      <c r="D46" s="29" t="s">
        <v>30370</v>
      </c>
      <c r="E46" s="29" t="s">
        <v>43958</v>
      </c>
      <c r="F46" s="36" t="s">
        <v>54401</v>
      </c>
      <c r="G46" s="39">
        <f>890951.05+214978+35582+1159513</f>
        <v>2301024.0499999998</v>
      </c>
      <c r="H46" s="42">
        <v>211</v>
      </c>
    </row>
    <row r="47" spans="1:8" ht="15" customHeight="1">
      <c r="A47" s="26">
        <v>1100468</v>
      </c>
      <c r="B47" s="29" t="s">
        <v>2291</v>
      </c>
      <c r="C47" s="29" t="s">
        <v>17238</v>
      </c>
      <c r="D47" s="29" t="s">
        <v>30380</v>
      </c>
      <c r="E47" s="29" t="s">
        <v>43959</v>
      </c>
      <c r="F47" s="36" t="s">
        <v>54401</v>
      </c>
      <c r="G47" s="40">
        <f>1394806.72+116376+1+21544</f>
        <v>1532727.72</v>
      </c>
      <c r="H47" s="42">
        <v>211</v>
      </c>
    </row>
    <row r="48" spans="1:8" ht="15" customHeight="1">
      <c r="A48" s="26">
        <v>1100516</v>
      </c>
      <c r="B48" s="29" t="s">
        <v>2292</v>
      </c>
      <c r="C48" s="29" t="s">
        <v>17239</v>
      </c>
      <c r="D48" s="29" t="s">
        <v>30381</v>
      </c>
      <c r="E48" s="29" t="s">
        <v>43960</v>
      </c>
      <c r="F48" s="36" t="s">
        <v>54401</v>
      </c>
      <c r="G48" s="39">
        <v>2962004.49</v>
      </c>
      <c r="H48" s="42">
        <v>211</v>
      </c>
    </row>
    <row r="49" spans="1:8" ht="15" customHeight="1">
      <c r="A49" s="26">
        <v>1107531</v>
      </c>
      <c r="B49" s="29" t="s">
        <v>2293</v>
      </c>
      <c r="C49" s="26" t="s">
        <v>17240</v>
      </c>
      <c r="D49" s="26" t="s">
        <v>30382</v>
      </c>
      <c r="E49" s="26" t="s">
        <v>43961</v>
      </c>
      <c r="F49" s="37" t="s">
        <v>54401</v>
      </c>
      <c r="G49" s="39">
        <f>1265129.19+405487</f>
        <v>1670616.19</v>
      </c>
      <c r="H49" s="42">
        <v>211</v>
      </c>
    </row>
    <row r="50" spans="1:8" ht="15" customHeight="1">
      <c r="A50" s="26">
        <v>1113887</v>
      </c>
      <c r="B50" s="29" t="s">
        <v>2294</v>
      </c>
      <c r="C50" s="29" t="s">
        <v>17241</v>
      </c>
      <c r="D50" s="29" t="s">
        <v>30383</v>
      </c>
      <c r="E50" s="29" t="s">
        <v>43926</v>
      </c>
      <c r="F50" s="36" t="s">
        <v>54401</v>
      </c>
      <c r="G50" s="39">
        <v>14630</v>
      </c>
      <c r="H50" s="42">
        <v>211</v>
      </c>
    </row>
    <row r="51" spans="1:8" ht="15" customHeight="1">
      <c r="A51" s="26">
        <v>1113968</v>
      </c>
      <c r="B51" s="29" t="s">
        <v>2295</v>
      </c>
      <c r="C51" s="29" t="s">
        <v>17242</v>
      </c>
      <c r="D51" s="29" t="s">
        <v>30384</v>
      </c>
      <c r="E51" s="29" t="s">
        <v>43962</v>
      </c>
      <c r="F51" s="36" t="s">
        <v>54401</v>
      </c>
      <c r="G51" s="39">
        <v>67505.039999999994</v>
      </c>
      <c r="H51" s="42">
        <v>211</v>
      </c>
    </row>
    <row r="52" spans="1:8" ht="15" customHeight="1">
      <c r="A52" s="26">
        <v>1113973</v>
      </c>
      <c r="B52" s="29" t="s">
        <v>2296</v>
      </c>
      <c r="C52" s="29" t="s">
        <v>17243</v>
      </c>
      <c r="D52" s="29" t="s">
        <v>30376</v>
      </c>
      <c r="E52" s="29" t="s">
        <v>43963</v>
      </c>
      <c r="F52" s="36" t="s">
        <v>54401</v>
      </c>
      <c r="G52" s="39">
        <v>7970834.3700000001</v>
      </c>
      <c r="H52" s="42">
        <v>211</v>
      </c>
    </row>
    <row r="53" spans="1:8" ht="15" customHeight="1">
      <c r="A53" s="26">
        <v>1114049</v>
      </c>
      <c r="B53" s="29" t="s">
        <v>2297</v>
      </c>
      <c r="C53" s="29" t="s">
        <v>17244</v>
      </c>
      <c r="D53" s="29" t="s">
        <v>30385</v>
      </c>
      <c r="E53" s="29" t="s">
        <v>43964</v>
      </c>
      <c r="F53" s="36" t="s">
        <v>54401</v>
      </c>
      <c r="G53" s="39">
        <v>3001787.1</v>
      </c>
      <c r="H53" s="42">
        <v>211</v>
      </c>
    </row>
    <row r="54" spans="1:8" ht="15" customHeight="1">
      <c r="A54" s="26">
        <v>1114096</v>
      </c>
      <c r="B54" s="29" t="s">
        <v>2298</v>
      </c>
      <c r="C54" s="29" t="s">
        <v>17245</v>
      </c>
      <c r="D54" s="29" t="s">
        <v>30386</v>
      </c>
      <c r="E54" s="29" t="s">
        <v>43965</v>
      </c>
      <c r="F54" s="36" t="s">
        <v>54407</v>
      </c>
      <c r="G54" s="39">
        <v>1680849.65</v>
      </c>
      <c r="H54" s="42">
        <v>211</v>
      </c>
    </row>
    <row r="55" spans="1:8" ht="15" customHeight="1">
      <c r="A55" s="26">
        <v>1114097</v>
      </c>
      <c r="B55" s="29" t="s">
        <v>2299</v>
      </c>
      <c r="C55" s="29" t="s">
        <v>17246</v>
      </c>
      <c r="D55" s="29" t="s">
        <v>30387</v>
      </c>
      <c r="E55" s="29" t="s">
        <v>43966</v>
      </c>
      <c r="F55" s="36" t="s">
        <v>54408</v>
      </c>
      <c r="G55" s="39">
        <v>2703721.45</v>
      </c>
      <c r="H55" s="42">
        <v>211</v>
      </c>
    </row>
    <row r="56" spans="1:8" ht="15" customHeight="1">
      <c r="A56" s="26">
        <v>1114208</v>
      </c>
      <c r="B56" s="29" t="s">
        <v>2300</v>
      </c>
      <c r="C56" s="29" t="s">
        <v>17247</v>
      </c>
      <c r="D56" s="29" t="s">
        <v>30388</v>
      </c>
      <c r="E56" s="29" t="s">
        <v>43967</v>
      </c>
      <c r="F56" s="36" t="s">
        <v>54401</v>
      </c>
      <c r="G56" s="39">
        <v>746396.47</v>
      </c>
      <c r="H56" s="42">
        <v>211</v>
      </c>
    </row>
    <row r="57" spans="1:8" ht="15" customHeight="1">
      <c r="A57" s="26">
        <v>1114214</v>
      </c>
      <c r="B57" s="29" t="s">
        <v>2301</v>
      </c>
      <c r="C57" s="29" t="s">
        <v>17204</v>
      </c>
      <c r="D57" s="29" t="s">
        <v>30389</v>
      </c>
      <c r="E57" s="29" t="s">
        <v>43968</v>
      </c>
      <c r="F57" s="36" t="s">
        <v>54401</v>
      </c>
      <c r="G57" s="39">
        <v>711643.11</v>
      </c>
      <c r="H57" s="42">
        <v>211</v>
      </c>
    </row>
    <row r="58" spans="1:8" ht="15" customHeight="1">
      <c r="A58" s="26">
        <v>1114216</v>
      </c>
      <c r="B58" s="29" t="s">
        <v>2302</v>
      </c>
      <c r="C58" s="29" t="s">
        <v>17248</v>
      </c>
      <c r="D58" s="29" t="s">
        <v>30390</v>
      </c>
      <c r="E58" s="29" t="s">
        <v>43926</v>
      </c>
      <c r="F58" s="36" t="s">
        <v>54401</v>
      </c>
      <c r="G58" s="39">
        <v>1058254.3999999999</v>
      </c>
      <c r="H58" s="42">
        <v>211</v>
      </c>
    </row>
    <row r="59" spans="1:8" ht="15" customHeight="1">
      <c r="A59" s="26">
        <v>1114236</v>
      </c>
      <c r="B59" s="29" t="s">
        <v>2303</v>
      </c>
      <c r="C59" s="29" t="s">
        <v>17204</v>
      </c>
      <c r="D59" s="29" t="s">
        <v>30391</v>
      </c>
      <c r="E59" s="29" t="s">
        <v>43926</v>
      </c>
      <c r="F59" s="36" t="s">
        <v>54401</v>
      </c>
      <c r="G59" s="39">
        <v>247069.75</v>
      </c>
      <c r="H59" s="42">
        <v>211</v>
      </c>
    </row>
    <row r="60" spans="1:8" ht="15" customHeight="1">
      <c r="A60" s="26">
        <v>1114245</v>
      </c>
      <c r="B60" s="29" t="s">
        <v>2304</v>
      </c>
      <c r="C60" s="29" t="s">
        <v>17249</v>
      </c>
      <c r="D60" s="29" t="s">
        <v>30392</v>
      </c>
      <c r="E60" s="29" t="s">
        <v>43969</v>
      </c>
      <c r="F60" s="36" t="s">
        <v>54401</v>
      </c>
      <c r="G60" s="39">
        <v>188892.41</v>
      </c>
      <c r="H60" s="42">
        <v>211</v>
      </c>
    </row>
    <row r="61" spans="1:8" ht="15" customHeight="1">
      <c r="A61" s="26">
        <v>1114251</v>
      </c>
      <c r="B61" s="29" t="s">
        <v>2305</v>
      </c>
      <c r="C61" s="29" t="s">
        <v>17250</v>
      </c>
      <c r="D61" s="29" t="s">
        <v>30393</v>
      </c>
      <c r="E61" s="29" t="s">
        <v>43970</v>
      </c>
      <c r="F61" s="36" t="s">
        <v>54401</v>
      </c>
      <c r="G61" s="39">
        <v>321463.82</v>
      </c>
      <c r="H61" s="42">
        <v>211</v>
      </c>
    </row>
    <row r="62" spans="1:8" ht="15" customHeight="1">
      <c r="A62" s="26">
        <v>1114290</v>
      </c>
      <c r="B62" s="29" t="s">
        <v>2306</v>
      </c>
      <c r="C62" s="29" t="s">
        <v>17204</v>
      </c>
      <c r="D62" s="29" t="s">
        <v>30349</v>
      </c>
      <c r="E62" s="29" t="s">
        <v>43926</v>
      </c>
      <c r="F62" s="36" t="s">
        <v>54401</v>
      </c>
      <c r="G62" s="39">
        <v>2364591.29</v>
      </c>
      <c r="H62" s="42">
        <v>211</v>
      </c>
    </row>
    <row r="63" spans="1:8" ht="15" customHeight="1">
      <c r="A63" s="26">
        <v>1114494</v>
      </c>
      <c r="B63" s="29" t="s">
        <v>2307</v>
      </c>
      <c r="C63" s="29" t="s">
        <v>17251</v>
      </c>
      <c r="D63" s="29" t="s">
        <v>30394</v>
      </c>
      <c r="E63" s="29" t="s">
        <v>43926</v>
      </c>
      <c r="F63" s="36" t="s">
        <v>54401</v>
      </c>
      <c r="G63" s="39">
        <v>603325.93999999994</v>
      </c>
      <c r="H63" s="42">
        <v>211</v>
      </c>
    </row>
    <row r="64" spans="1:8" ht="15" customHeight="1">
      <c r="A64" s="26">
        <v>1135896</v>
      </c>
      <c r="B64" s="29" t="s">
        <v>2308</v>
      </c>
      <c r="C64" s="26" t="s">
        <v>17252</v>
      </c>
      <c r="D64" s="26" t="s">
        <v>30395</v>
      </c>
      <c r="E64" s="26" t="s">
        <v>43926</v>
      </c>
      <c r="F64" s="37" t="s">
        <v>54401</v>
      </c>
      <c r="G64" s="39">
        <v>32746.560000000001</v>
      </c>
      <c r="H64" s="42">
        <v>211</v>
      </c>
    </row>
    <row r="65" spans="1:8" ht="15" customHeight="1">
      <c r="A65" s="26">
        <v>1140075</v>
      </c>
      <c r="B65" s="29" t="s">
        <v>2309</v>
      </c>
      <c r="C65" s="29" t="s">
        <v>17253</v>
      </c>
      <c r="D65" s="29" t="s">
        <v>30396</v>
      </c>
      <c r="E65" s="29" t="s">
        <v>43971</v>
      </c>
      <c r="F65" s="36" t="s">
        <v>54401</v>
      </c>
      <c r="G65" s="39">
        <f>1955275.21+83525+34438</f>
        <v>2073238.21</v>
      </c>
      <c r="H65" s="42">
        <v>211</v>
      </c>
    </row>
    <row r="66" spans="1:8" ht="15" customHeight="1">
      <c r="A66" s="26">
        <v>1141795</v>
      </c>
      <c r="B66" s="29" t="s">
        <v>2310</v>
      </c>
      <c r="C66" s="29" t="s">
        <v>17254</v>
      </c>
      <c r="D66" s="29" t="s">
        <v>30397</v>
      </c>
      <c r="E66" s="29" t="s">
        <v>43972</v>
      </c>
      <c r="F66" s="36" t="s">
        <v>54401</v>
      </c>
      <c r="G66" s="39">
        <v>1950000</v>
      </c>
      <c r="H66" s="42">
        <v>211</v>
      </c>
    </row>
    <row r="67" spans="1:8" ht="15" customHeight="1">
      <c r="A67" s="26">
        <v>1156752</v>
      </c>
      <c r="B67" s="29" t="s">
        <v>2311</v>
      </c>
      <c r="C67" s="29" t="s">
        <v>17255</v>
      </c>
      <c r="D67" s="29" t="s">
        <v>30398</v>
      </c>
      <c r="E67" s="29" t="s">
        <v>43973</v>
      </c>
      <c r="F67" s="36" t="s">
        <v>54401</v>
      </c>
      <c r="G67" s="39">
        <v>585442.56999999995</v>
      </c>
      <c r="H67" s="42">
        <v>211</v>
      </c>
    </row>
    <row r="68" spans="1:8" ht="15" customHeight="1">
      <c r="A68" s="26">
        <v>1160487</v>
      </c>
      <c r="B68" s="29" t="s">
        <v>2312</v>
      </c>
      <c r="C68" s="26" t="s">
        <v>17256</v>
      </c>
      <c r="D68" s="26" t="s">
        <v>30399</v>
      </c>
      <c r="E68" s="26" t="s">
        <v>43974</v>
      </c>
      <c r="F68" s="37" t="s">
        <v>54409</v>
      </c>
      <c r="G68" s="39">
        <v>1475465.75</v>
      </c>
      <c r="H68" s="42">
        <v>211</v>
      </c>
    </row>
    <row r="69" spans="1:8" ht="15" customHeight="1">
      <c r="A69" s="26">
        <v>1177602</v>
      </c>
      <c r="B69" s="29" t="s">
        <v>2313</v>
      </c>
      <c r="C69" s="29" t="s">
        <v>17257</v>
      </c>
      <c r="D69" s="29" t="s">
        <v>30400</v>
      </c>
      <c r="E69" s="29" t="s">
        <v>43975</v>
      </c>
      <c r="F69" s="36" t="s">
        <v>54401</v>
      </c>
      <c r="G69" s="39">
        <v>101845.97</v>
      </c>
      <c r="H69" s="42">
        <v>211</v>
      </c>
    </row>
    <row r="70" spans="1:8" ht="15" customHeight="1">
      <c r="A70" s="26">
        <v>1177633</v>
      </c>
      <c r="B70" s="29" t="s">
        <v>2314</v>
      </c>
      <c r="C70" s="29" t="s">
        <v>17258</v>
      </c>
      <c r="D70" s="29" t="s">
        <v>30401</v>
      </c>
      <c r="E70" s="29" t="s">
        <v>43976</v>
      </c>
      <c r="F70" s="36" t="s">
        <v>54406</v>
      </c>
      <c r="G70" s="39">
        <v>52246.48</v>
      </c>
      <c r="H70" s="42">
        <v>211</v>
      </c>
    </row>
    <row r="71" spans="1:8" ht="15" customHeight="1">
      <c r="A71" s="26">
        <v>1187972</v>
      </c>
      <c r="B71" s="29" t="s">
        <v>2315</v>
      </c>
      <c r="C71" s="29" t="s">
        <v>17204</v>
      </c>
      <c r="D71" s="29" t="s">
        <v>30349</v>
      </c>
      <c r="E71" s="29" t="s">
        <v>43926</v>
      </c>
      <c r="F71" s="36" t="s">
        <v>54401</v>
      </c>
      <c r="G71" s="39">
        <v>96141.65</v>
      </c>
      <c r="H71" s="42">
        <v>211</v>
      </c>
    </row>
    <row r="72" spans="1:8" ht="15" customHeight="1">
      <c r="A72" s="26">
        <v>1333061</v>
      </c>
      <c r="B72" s="29" t="s">
        <v>2316</v>
      </c>
      <c r="C72" s="26" t="s">
        <v>17259</v>
      </c>
      <c r="D72" s="26" t="s">
        <v>30402</v>
      </c>
      <c r="E72" s="26" t="s">
        <v>43977</v>
      </c>
      <c r="F72" s="37" t="s">
        <v>54401</v>
      </c>
      <c r="G72" s="39">
        <f>290021.44+141758</f>
        <v>431779.44</v>
      </c>
      <c r="H72" s="42">
        <v>211</v>
      </c>
    </row>
    <row r="73" spans="1:8" ht="15" customHeight="1">
      <c r="A73" s="26">
        <v>1342216</v>
      </c>
      <c r="B73" s="29" t="s">
        <v>2317</v>
      </c>
      <c r="C73" s="29" t="s">
        <v>17260</v>
      </c>
      <c r="D73" s="29" t="s">
        <v>30403</v>
      </c>
      <c r="E73" s="29" t="s">
        <v>43978</v>
      </c>
      <c r="F73" s="36" t="s">
        <v>54401</v>
      </c>
      <c r="G73" s="39">
        <f>610959.23+234223</f>
        <v>845182.23</v>
      </c>
      <c r="H73" s="42">
        <v>211</v>
      </c>
    </row>
    <row r="74" spans="1:8" ht="15" customHeight="1">
      <c r="A74" s="26">
        <v>1352721</v>
      </c>
      <c r="B74" s="30" t="s">
        <v>2318</v>
      </c>
      <c r="C74" s="26"/>
      <c r="D74" s="26"/>
      <c r="E74" s="26"/>
      <c r="F74" s="37" t="s">
        <v>54410</v>
      </c>
      <c r="G74" s="39">
        <v>147968.57999999999</v>
      </c>
      <c r="H74" s="42">
        <v>211</v>
      </c>
    </row>
    <row r="75" spans="1:8" ht="15" customHeight="1">
      <c r="A75" s="26">
        <v>1625400</v>
      </c>
      <c r="B75" s="29" t="s">
        <v>2319</v>
      </c>
      <c r="C75" s="29" t="s">
        <v>17261</v>
      </c>
      <c r="D75" s="29" t="s">
        <v>30404</v>
      </c>
      <c r="E75" s="29" t="s">
        <v>43979</v>
      </c>
      <c r="F75" s="36" t="s">
        <v>54401</v>
      </c>
      <c r="G75" s="39">
        <v>80104.91</v>
      </c>
      <c r="H75" s="42">
        <v>211</v>
      </c>
    </row>
    <row r="76" spans="1:8" ht="15" customHeight="1">
      <c r="A76" s="26">
        <v>2095185</v>
      </c>
      <c r="B76" s="29" t="s">
        <v>2320</v>
      </c>
      <c r="C76" s="29" t="s">
        <v>17262</v>
      </c>
      <c r="D76" s="29" t="s">
        <v>30405</v>
      </c>
      <c r="E76" s="29" t="s">
        <v>43980</v>
      </c>
      <c r="F76" s="36" t="s">
        <v>54401</v>
      </c>
      <c r="G76" s="39">
        <v>160000</v>
      </c>
      <c r="H76" s="42">
        <v>211</v>
      </c>
    </row>
    <row r="77" spans="1:8" ht="15" customHeight="1">
      <c r="A77" s="26">
        <v>2103868</v>
      </c>
      <c r="B77" s="29" t="s">
        <v>2321</v>
      </c>
      <c r="C77" s="29" t="s">
        <v>17263</v>
      </c>
      <c r="D77" s="29" t="s">
        <v>30406</v>
      </c>
      <c r="E77" s="29" t="s">
        <v>43981</v>
      </c>
      <c r="F77" s="36" t="s">
        <v>54401</v>
      </c>
      <c r="G77" s="39">
        <v>54334.99</v>
      </c>
      <c r="H77" s="42">
        <v>211</v>
      </c>
    </row>
    <row r="78" spans="1:8" ht="15" customHeight="1">
      <c r="A78" s="26">
        <v>2909753</v>
      </c>
      <c r="B78" s="29" t="s">
        <v>2322</v>
      </c>
      <c r="C78" s="29" t="s">
        <v>17264</v>
      </c>
      <c r="D78" s="29" t="s">
        <v>30407</v>
      </c>
      <c r="E78" s="29" t="s">
        <v>43982</v>
      </c>
      <c r="F78" s="36" t="s">
        <v>54401</v>
      </c>
      <c r="G78" s="39">
        <v>704454.59</v>
      </c>
      <c r="H78" s="42">
        <v>211</v>
      </c>
    </row>
    <row r="79" spans="1:8" ht="15" customHeight="1">
      <c r="A79" s="26">
        <v>2968513</v>
      </c>
      <c r="B79" s="29" t="s">
        <v>2323</v>
      </c>
      <c r="C79" s="29" t="s">
        <v>17265</v>
      </c>
      <c r="D79" s="29" t="s">
        <v>30408</v>
      </c>
      <c r="E79" s="29" t="s">
        <v>43983</v>
      </c>
      <c r="F79" s="36" t="s">
        <v>54402</v>
      </c>
      <c r="G79" s="39">
        <v>100482.41</v>
      </c>
      <c r="H79" s="42">
        <v>211</v>
      </c>
    </row>
    <row r="80" spans="1:8" ht="15" customHeight="1">
      <c r="A80" s="26">
        <v>2971949</v>
      </c>
      <c r="B80" s="29" t="s">
        <v>2324</v>
      </c>
      <c r="C80" s="29" t="s">
        <v>17266</v>
      </c>
      <c r="D80" s="29" t="s">
        <v>30409</v>
      </c>
      <c r="E80" s="29" t="s">
        <v>43984</v>
      </c>
      <c r="F80" s="36" t="s">
        <v>54401</v>
      </c>
      <c r="G80" s="39">
        <v>19338.400000000001</v>
      </c>
      <c r="H80" s="42">
        <v>211</v>
      </c>
    </row>
    <row r="81" spans="1:8" ht="15" customHeight="1">
      <c r="A81" s="26">
        <v>2976481</v>
      </c>
      <c r="B81" s="29" t="s">
        <v>2325</v>
      </c>
      <c r="C81" s="29" t="s">
        <v>17267</v>
      </c>
      <c r="D81" s="29" t="s">
        <v>30410</v>
      </c>
      <c r="E81" s="29" t="s">
        <v>43985</v>
      </c>
      <c r="F81" s="36" t="s">
        <v>54411</v>
      </c>
      <c r="G81" s="39">
        <v>508571.43</v>
      </c>
      <c r="H81" s="42">
        <v>211</v>
      </c>
    </row>
    <row r="82" spans="1:8" ht="15" customHeight="1">
      <c r="A82" s="26">
        <v>3009942</v>
      </c>
      <c r="B82" s="29" t="s">
        <v>2326</v>
      </c>
      <c r="C82" s="29" t="s">
        <v>17268</v>
      </c>
      <c r="D82" s="29" t="s">
        <v>30411</v>
      </c>
      <c r="E82" s="29" t="s">
        <v>43986</v>
      </c>
      <c r="F82" s="36" t="s">
        <v>54401</v>
      </c>
      <c r="G82" s="39">
        <v>348813.19</v>
      </c>
      <c r="H82" s="42">
        <v>211</v>
      </c>
    </row>
    <row r="83" spans="1:8" ht="15" customHeight="1">
      <c r="A83" s="26">
        <v>3016425</v>
      </c>
      <c r="B83" s="29" t="s">
        <v>2327</v>
      </c>
      <c r="C83" s="26" t="s">
        <v>17269</v>
      </c>
      <c r="D83" s="26" t="s">
        <v>30412</v>
      </c>
      <c r="E83" s="26" t="s">
        <v>43987</v>
      </c>
      <c r="F83" s="37" t="s">
        <v>54412</v>
      </c>
      <c r="G83" s="39">
        <v>911389.38</v>
      </c>
      <c r="H83" s="42">
        <v>211</v>
      </c>
    </row>
    <row r="84" spans="1:8" ht="15" customHeight="1">
      <c r="A84" s="26">
        <v>3041295</v>
      </c>
      <c r="B84" s="29" t="s">
        <v>2328</v>
      </c>
      <c r="C84" s="29" t="s">
        <v>17270</v>
      </c>
      <c r="D84" s="29" t="s">
        <v>30376</v>
      </c>
      <c r="E84" s="29" t="s">
        <v>43988</v>
      </c>
      <c r="F84" s="36" t="s">
        <v>54401</v>
      </c>
      <c r="G84" s="39">
        <v>18942.86</v>
      </c>
      <c r="H84" s="42">
        <v>211</v>
      </c>
    </row>
    <row r="85" spans="1:8" ht="15" customHeight="1">
      <c r="A85" s="26">
        <v>3055989</v>
      </c>
      <c r="B85" s="29" t="s">
        <v>2329</v>
      </c>
      <c r="C85" s="29" t="s">
        <v>17271</v>
      </c>
      <c r="D85" s="29" t="s">
        <v>30413</v>
      </c>
      <c r="E85" s="29" t="s">
        <v>43989</v>
      </c>
      <c r="F85" s="36" t="s">
        <v>54401</v>
      </c>
      <c r="G85" s="39">
        <f>2208927.66+121465+3410021</f>
        <v>5740413.6600000001</v>
      </c>
      <c r="H85" s="42">
        <v>211</v>
      </c>
    </row>
    <row r="86" spans="1:8" ht="15" customHeight="1">
      <c r="A86" s="26">
        <v>3087436</v>
      </c>
      <c r="B86" s="29" t="s">
        <v>2330</v>
      </c>
      <c r="C86" s="29" t="s">
        <v>17272</v>
      </c>
      <c r="D86" s="29" t="s">
        <v>30414</v>
      </c>
      <c r="E86" s="29" t="s">
        <v>43990</v>
      </c>
      <c r="F86" s="36" t="s">
        <v>54401</v>
      </c>
      <c r="G86" s="39">
        <v>861715.89</v>
      </c>
      <c r="H86" s="42">
        <v>211</v>
      </c>
    </row>
    <row r="87" spans="1:8" ht="15" customHeight="1">
      <c r="A87" s="26">
        <v>3104246</v>
      </c>
      <c r="B87" s="29" t="s">
        <v>2331</v>
      </c>
      <c r="C87" s="29" t="s">
        <v>17273</v>
      </c>
      <c r="D87" s="29" t="s">
        <v>30415</v>
      </c>
      <c r="E87" s="29" t="s">
        <v>43991</v>
      </c>
      <c r="F87" s="36" t="s">
        <v>54401</v>
      </c>
      <c r="G87" s="39">
        <v>3242008.69</v>
      </c>
      <c r="H87" s="42">
        <v>211</v>
      </c>
    </row>
    <row r="88" spans="1:8" ht="15" customHeight="1">
      <c r="A88" s="26">
        <v>3174146</v>
      </c>
      <c r="B88" s="29" t="s">
        <v>2332</v>
      </c>
      <c r="C88" s="29" t="s">
        <v>17274</v>
      </c>
      <c r="D88" s="29" t="s">
        <v>30416</v>
      </c>
      <c r="E88" s="29" t="s">
        <v>43992</v>
      </c>
      <c r="F88" s="36" t="s">
        <v>54401</v>
      </c>
      <c r="G88" s="39">
        <f>1278462.57-4142</f>
        <v>1274320.57</v>
      </c>
      <c r="H88" s="42">
        <v>211</v>
      </c>
    </row>
    <row r="89" spans="1:8" ht="15" customHeight="1">
      <c r="A89" s="26">
        <v>3180924</v>
      </c>
      <c r="B89" s="29" t="s">
        <v>2333</v>
      </c>
      <c r="C89" s="29" t="s">
        <v>17275</v>
      </c>
      <c r="D89" s="29" t="s">
        <v>30417</v>
      </c>
      <c r="E89" s="29" t="s">
        <v>43993</v>
      </c>
      <c r="F89" s="36" t="s">
        <v>54401</v>
      </c>
      <c r="G89" s="39">
        <v>243369.38</v>
      </c>
      <c r="H89" s="42">
        <v>211</v>
      </c>
    </row>
    <row r="90" spans="1:8" ht="15" customHeight="1">
      <c r="A90" s="26">
        <v>3186387</v>
      </c>
      <c r="B90" s="29" t="s">
        <v>2334</v>
      </c>
      <c r="C90" s="29" t="s">
        <v>17276</v>
      </c>
      <c r="D90" s="29" t="s">
        <v>30418</v>
      </c>
      <c r="E90" s="29" t="s">
        <v>43994</v>
      </c>
      <c r="F90" s="36" t="s">
        <v>54401</v>
      </c>
      <c r="G90" s="39">
        <f>284710.27+65752</f>
        <v>350462.27</v>
      </c>
      <c r="H90" s="42">
        <v>211</v>
      </c>
    </row>
    <row r="91" spans="1:8" ht="15" customHeight="1">
      <c r="A91" s="26">
        <v>3198663</v>
      </c>
      <c r="B91" s="29" t="s">
        <v>2335</v>
      </c>
      <c r="C91" s="29" t="s">
        <v>17277</v>
      </c>
      <c r="D91" s="29" t="s">
        <v>30419</v>
      </c>
      <c r="E91" s="29" t="s">
        <v>43995</v>
      </c>
      <c r="F91" s="36" t="s">
        <v>54401</v>
      </c>
      <c r="G91" s="39">
        <f>331243.4-6016</f>
        <v>325227.40000000002</v>
      </c>
      <c r="H91" s="42">
        <v>211</v>
      </c>
    </row>
    <row r="92" spans="1:8" ht="15" customHeight="1">
      <c r="A92" s="26">
        <v>3202585</v>
      </c>
      <c r="B92" s="29" t="s">
        <v>2336</v>
      </c>
      <c r="C92" s="29" t="s">
        <v>17278</v>
      </c>
      <c r="D92" s="29" t="s">
        <v>30420</v>
      </c>
      <c r="E92" s="29" t="s">
        <v>43996</v>
      </c>
      <c r="F92" s="36" t="s">
        <v>54412</v>
      </c>
      <c r="G92" s="39">
        <v>63035.29</v>
      </c>
      <c r="H92" s="42">
        <v>211</v>
      </c>
    </row>
    <row r="93" spans="1:8" ht="15" customHeight="1">
      <c r="A93" s="26">
        <v>3210755</v>
      </c>
      <c r="B93" s="29" t="s">
        <v>2337</v>
      </c>
      <c r="C93" s="26" t="s">
        <v>17204</v>
      </c>
      <c r="D93" s="26" t="s">
        <v>30349</v>
      </c>
      <c r="E93" s="26" t="s">
        <v>43926</v>
      </c>
      <c r="F93" s="37" t="s">
        <v>54401</v>
      </c>
      <c r="G93" s="39">
        <v>69881.59</v>
      </c>
      <c r="H93" s="42">
        <v>211</v>
      </c>
    </row>
    <row r="94" spans="1:8" ht="15" customHeight="1">
      <c r="A94" s="26">
        <v>3215909</v>
      </c>
      <c r="B94" s="29" t="s">
        <v>2338</v>
      </c>
      <c r="C94" s="29" t="s">
        <v>17279</v>
      </c>
      <c r="D94" s="29" t="s">
        <v>30421</v>
      </c>
      <c r="E94" s="29" t="s">
        <v>43997</v>
      </c>
      <c r="F94" s="36" t="s">
        <v>54401</v>
      </c>
      <c r="G94" s="39">
        <v>4596216.6500000004</v>
      </c>
      <c r="H94" s="42">
        <v>211</v>
      </c>
    </row>
    <row r="95" spans="1:8" ht="15" customHeight="1">
      <c r="A95" s="26">
        <v>3217323</v>
      </c>
      <c r="B95" s="29" t="s">
        <v>2339</v>
      </c>
      <c r="C95" s="29" t="s">
        <v>17280</v>
      </c>
      <c r="D95" s="29" t="s">
        <v>30422</v>
      </c>
      <c r="E95" s="29" t="s">
        <v>43998</v>
      </c>
      <c r="F95" s="36" t="s">
        <v>54401</v>
      </c>
      <c r="G95" s="39">
        <f>16374002.12-84114</f>
        <v>16289888.119999999</v>
      </c>
      <c r="H95" s="42">
        <v>211</v>
      </c>
    </row>
    <row r="96" spans="1:8" ht="15" customHeight="1">
      <c r="A96" s="26">
        <v>3250452</v>
      </c>
      <c r="B96" s="29" t="s">
        <v>2340</v>
      </c>
      <c r="C96" s="29" t="s">
        <v>17281</v>
      </c>
      <c r="D96" s="29" t="s">
        <v>30423</v>
      </c>
      <c r="E96" s="29" t="s">
        <v>43999</v>
      </c>
      <c r="F96" s="36" t="s">
        <v>54413</v>
      </c>
      <c r="G96" s="39">
        <v>307919.27</v>
      </c>
      <c r="H96" s="42">
        <v>211</v>
      </c>
    </row>
    <row r="97" spans="1:8" ht="15" customHeight="1">
      <c r="A97" s="26">
        <v>3911399</v>
      </c>
      <c r="B97" s="29" t="s">
        <v>2341</v>
      </c>
      <c r="C97" s="29" t="s">
        <v>17282</v>
      </c>
      <c r="D97" s="29" t="s">
        <v>30424</v>
      </c>
      <c r="E97" s="29" t="s">
        <v>44000</v>
      </c>
      <c r="F97" s="36" t="s">
        <v>54401</v>
      </c>
      <c r="G97" s="39">
        <v>129270.52</v>
      </c>
      <c r="H97" s="42">
        <v>211</v>
      </c>
    </row>
    <row r="98" spans="1:8" ht="15" customHeight="1">
      <c r="A98" s="26">
        <v>4041340</v>
      </c>
      <c r="B98" s="29" t="s">
        <v>2342</v>
      </c>
      <c r="C98" s="26" t="s">
        <v>17283</v>
      </c>
      <c r="D98" s="26" t="s">
        <v>30425</v>
      </c>
      <c r="E98" s="26" t="s">
        <v>44001</v>
      </c>
      <c r="F98" s="37" t="s">
        <v>54401</v>
      </c>
      <c r="G98" s="39">
        <v>360882.04</v>
      </c>
      <c r="H98" s="42">
        <v>211</v>
      </c>
    </row>
    <row r="99" spans="1:8" ht="15" customHeight="1">
      <c r="A99" s="26">
        <v>4043480</v>
      </c>
      <c r="B99" s="29" t="s">
        <v>2343</v>
      </c>
      <c r="C99" s="26" t="s">
        <v>17284</v>
      </c>
      <c r="D99" s="26" t="s">
        <v>30426</v>
      </c>
      <c r="E99" s="26" t="s">
        <v>43926</v>
      </c>
      <c r="F99" s="37" t="s">
        <v>54401</v>
      </c>
      <c r="G99" s="39">
        <v>967770.71</v>
      </c>
      <c r="H99" s="42">
        <v>211</v>
      </c>
    </row>
    <row r="100" spans="1:8" ht="15" customHeight="1">
      <c r="A100" s="26">
        <v>4045143</v>
      </c>
      <c r="B100" s="29" t="s">
        <v>2344</v>
      </c>
      <c r="C100" s="26" t="s">
        <v>17285</v>
      </c>
      <c r="D100" s="26" t="s">
        <v>30427</v>
      </c>
      <c r="E100" s="26" t="s">
        <v>44002</v>
      </c>
      <c r="F100" s="37" t="s">
        <v>54409</v>
      </c>
      <c r="G100" s="39">
        <v>2581693.52</v>
      </c>
      <c r="H100" s="42">
        <v>211</v>
      </c>
    </row>
    <row r="101" spans="1:8" ht="15" customHeight="1">
      <c r="A101" s="26">
        <v>4045168</v>
      </c>
      <c r="B101" s="29" t="s">
        <v>2345</v>
      </c>
      <c r="C101" s="26" t="s">
        <v>17286</v>
      </c>
      <c r="D101" s="26" t="s">
        <v>30428</v>
      </c>
      <c r="E101" s="26" t="s">
        <v>44003</v>
      </c>
      <c r="F101" s="37" t="s">
        <v>54409</v>
      </c>
      <c r="G101" s="39">
        <v>4711379.21</v>
      </c>
      <c r="H101" s="42">
        <v>211</v>
      </c>
    </row>
    <row r="102" spans="1:8" ht="15" customHeight="1">
      <c r="A102" s="26">
        <v>4052450</v>
      </c>
      <c r="B102" s="29" t="s">
        <v>2346</v>
      </c>
      <c r="C102" s="29" t="s">
        <v>17287</v>
      </c>
      <c r="D102" s="29" t="s">
        <v>30429</v>
      </c>
      <c r="E102" s="29" t="s">
        <v>44004</v>
      </c>
      <c r="F102" s="36" t="s">
        <v>54401</v>
      </c>
      <c r="G102" s="39">
        <f>1055394.9-4075</f>
        <v>1051319.8999999999</v>
      </c>
      <c r="H102" s="42">
        <v>211</v>
      </c>
    </row>
    <row r="103" spans="1:8" ht="15" customHeight="1">
      <c r="A103" s="26">
        <v>4052504</v>
      </c>
      <c r="B103" s="29" t="s">
        <v>2347</v>
      </c>
      <c r="C103" s="29" t="s">
        <v>17288</v>
      </c>
      <c r="D103" s="29" t="s">
        <v>30430</v>
      </c>
      <c r="E103" s="29" t="s">
        <v>44005</v>
      </c>
      <c r="F103" s="36" t="s">
        <v>54401</v>
      </c>
      <c r="G103" s="39">
        <v>971005.63</v>
      </c>
      <c r="H103" s="42">
        <v>211</v>
      </c>
    </row>
    <row r="104" spans="1:8" ht="15" customHeight="1">
      <c r="A104" s="26">
        <v>4052730</v>
      </c>
      <c r="B104" s="29" t="s">
        <v>2348</v>
      </c>
      <c r="C104" s="29" t="s">
        <v>17289</v>
      </c>
      <c r="D104" s="29" t="s">
        <v>30431</v>
      </c>
      <c r="E104" s="29" t="s">
        <v>44006</v>
      </c>
      <c r="F104" s="36" t="s">
        <v>54401</v>
      </c>
      <c r="G104" s="39">
        <v>2333065.1800000002</v>
      </c>
      <c r="H104" s="42">
        <v>211</v>
      </c>
    </row>
    <row r="105" spans="1:8" ht="15" customHeight="1">
      <c r="A105" s="26">
        <v>4052805</v>
      </c>
      <c r="B105" s="29" t="s">
        <v>2349</v>
      </c>
      <c r="C105" s="29" t="s">
        <v>17204</v>
      </c>
      <c r="D105" s="29" t="s">
        <v>30349</v>
      </c>
      <c r="E105" s="29" t="s">
        <v>43926</v>
      </c>
      <c r="F105" s="36" t="s">
        <v>54401</v>
      </c>
      <c r="G105" s="39">
        <v>2986023.81</v>
      </c>
      <c r="H105" s="42">
        <v>211</v>
      </c>
    </row>
    <row r="106" spans="1:8" ht="15" customHeight="1">
      <c r="A106" s="26">
        <v>4052816</v>
      </c>
      <c r="B106" s="29" t="s">
        <v>2350</v>
      </c>
      <c r="C106" s="29" t="s">
        <v>17290</v>
      </c>
      <c r="D106" s="29" t="s">
        <v>30432</v>
      </c>
      <c r="E106" s="29" t="s">
        <v>44007</v>
      </c>
      <c r="F106" s="36" t="s">
        <v>54414</v>
      </c>
      <c r="G106" s="39">
        <f>17216828.32-183579+2461222-2172117</f>
        <v>17322354.32</v>
      </c>
      <c r="H106" s="42">
        <v>211</v>
      </c>
    </row>
    <row r="107" spans="1:8" ht="15" customHeight="1">
      <c r="A107" s="26">
        <v>4052900</v>
      </c>
      <c r="B107" s="29" t="s">
        <v>2351</v>
      </c>
      <c r="C107" s="29" t="s">
        <v>17291</v>
      </c>
      <c r="D107" s="29" t="s">
        <v>30433</v>
      </c>
      <c r="E107" s="29" t="s">
        <v>44008</v>
      </c>
      <c r="F107" s="36" t="s">
        <v>54401</v>
      </c>
      <c r="G107" s="39">
        <f>4449597.84+436527</f>
        <v>4886124.84</v>
      </c>
      <c r="H107" s="42">
        <v>211</v>
      </c>
    </row>
    <row r="108" spans="1:8" ht="15" customHeight="1">
      <c r="A108" s="26">
        <v>4053009</v>
      </c>
      <c r="B108" s="29" t="s">
        <v>2352</v>
      </c>
      <c r="C108" s="29" t="s">
        <v>17292</v>
      </c>
      <c r="D108" s="29" t="s">
        <v>30434</v>
      </c>
      <c r="E108" s="29" t="s">
        <v>44009</v>
      </c>
      <c r="F108" s="36" t="s">
        <v>54414</v>
      </c>
      <c r="G108" s="39">
        <f>9616937.69-141907</f>
        <v>9475030.6899999995</v>
      </c>
      <c r="H108" s="42">
        <v>211</v>
      </c>
    </row>
    <row r="109" spans="1:8" ht="15" customHeight="1">
      <c r="A109" s="26">
        <v>4053068</v>
      </c>
      <c r="B109" s="29" t="s">
        <v>2353</v>
      </c>
      <c r="C109" s="29" t="s">
        <v>17293</v>
      </c>
      <c r="D109" s="29" t="s">
        <v>30435</v>
      </c>
      <c r="E109" s="29" t="s">
        <v>44010</v>
      </c>
      <c r="F109" s="36" t="s">
        <v>54401</v>
      </c>
      <c r="G109" s="39">
        <f>2039293.29+925917</f>
        <v>2965210.29</v>
      </c>
      <c r="H109" s="42">
        <v>211</v>
      </c>
    </row>
    <row r="110" spans="1:8" ht="15" customHeight="1">
      <c r="A110" s="26">
        <v>4053091</v>
      </c>
      <c r="B110" s="29" t="s">
        <v>2354</v>
      </c>
      <c r="C110" s="29" t="s">
        <v>17294</v>
      </c>
      <c r="D110" s="29" t="s">
        <v>30436</v>
      </c>
      <c r="E110" s="29" t="s">
        <v>44011</v>
      </c>
      <c r="F110" s="36" t="s">
        <v>54401</v>
      </c>
      <c r="G110" s="39">
        <f>3686853.6+518244</f>
        <v>4205097.5999999996</v>
      </c>
      <c r="H110" s="42">
        <v>211</v>
      </c>
    </row>
    <row r="111" spans="1:8" ht="15" customHeight="1">
      <c r="A111" s="26">
        <v>4053096</v>
      </c>
      <c r="B111" s="29" t="s">
        <v>2355</v>
      </c>
      <c r="C111" s="29" t="s">
        <v>17204</v>
      </c>
      <c r="D111" s="29" t="s">
        <v>30437</v>
      </c>
      <c r="E111" s="29" t="s">
        <v>43926</v>
      </c>
      <c r="F111" s="36" t="s">
        <v>54401</v>
      </c>
      <c r="G111" s="39">
        <v>400106.82</v>
      </c>
      <c r="H111" s="42">
        <v>211</v>
      </c>
    </row>
    <row r="112" spans="1:8" ht="15" customHeight="1">
      <c r="A112" s="26">
        <v>4053137</v>
      </c>
      <c r="B112" s="29" t="s">
        <v>2356</v>
      </c>
      <c r="C112" s="26" t="s">
        <v>17295</v>
      </c>
      <c r="D112" s="26" t="s">
        <v>30438</v>
      </c>
      <c r="E112" s="26" t="s">
        <v>44012</v>
      </c>
      <c r="F112" s="37" t="s">
        <v>54401</v>
      </c>
      <c r="G112" s="39">
        <v>2213232.5299999998</v>
      </c>
      <c r="H112" s="42">
        <v>211</v>
      </c>
    </row>
    <row r="113" spans="1:8" ht="15" customHeight="1">
      <c r="A113" s="26">
        <v>4053306</v>
      </c>
      <c r="B113" s="29" t="s">
        <v>2357</v>
      </c>
      <c r="C113" s="29" t="s">
        <v>17296</v>
      </c>
      <c r="D113" s="29" t="s">
        <v>30439</v>
      </c>
      <c r="E113" s="29" t="s">
        <v>44013</v>
      </c>
      <c r="F113" s="36" t="s">
        <v>54401</v>
      </c>
      <c r="G113" s="39">
        <v>2513580.65</v>
      </c>
      <c r="H113" s="42">
        <v>211</v>
      </c>
    </row>
    <row r="114" spans="1:8" ht="15" customHeight="1">
      <c r="A114" s="26">
        <v>4053308</v>
      </c>
      <c r="B114" s="29" t="s">
        <v>2358</v>
      </c>
      <c r="C114" s="26" t="s">
        <v>17204</v>
      </c>
      <c r="D114" s="26" t="s">
        <v>30349</v>
      </c>
      <c r="E114" s="26" t="s">
        <v>43926</v>
      </c>
      <c r="F114" s="37" t="s">
        <v>54401</v>
      </c>
      <c r="G114" s="39">
        <v>60886.75</v>
      </c>
      <c r="H114" s="42">
        <v>211</v>
      </c>
    </row>
    <row r="115" spans="1:8" ht="15" customHeight="1">
      <c r="A115" s="26">
        <v>4053337</v>
      </c>
      <c r="B115" s="29" t="s">
        <v>2359</v>
      </c>
      <c r="C115" s="29" t="s">
        <v>17297</v>
      </c>
      <c r="D115" s="29" t="s">
        <v>30440</v>
      </c>
      <c r="E115" s="29" t="s">
        <v>44014</v>
      </c>
      <c r="F115" s="36" t="s">
        <v>54401</v>
      </c>
      <c r="G115" s="39">
        <v>109467.78</v>
      </c>
      <c r="H115" s="42">
        <v>211</v>
      </c>
    </row>
    <row r="116" spans="1:8" ht="15" customHeight="1">
      <c r="A116" s="26">
        <v>4053339</v>
      </c>
      <c r="B116" s="29" t="s">
        <v>2360</v>
      </c>
      <c r="C116" s="29" t="s">
        <v>17298</v>
      </c>
      <c r="D116" s="29" t="s">
        <v>30441</v>
      </c>
      <c r="E116" s="29" t="s">
        <v>44015</v>
      </c>
      <c r="F116" s="36" t="s">
        <v>54415</v>
      </c>
      <c r="G116" s="39">
        <f>4801296.88+154219</f>
        <v>4955515.88</v>
      </c>
      <c r="H116" s="42">
        <v>211</v>
      </c>
    </row>
    <row r="117" spans="1:8" ht="15" customHeight="1">
      <c r="A117" s="26">
        <v>4053340</v>
      </c>
      <c r="B117" s="29" t="s">
        <v>2361</v>
      </c>
      <c r="C117" s="29" t="s">
        <v>17299</v>
      </c>
      <c r="D117" s="29" t="s">
        <v>30442</v>
      </c>
      <c r="E117" s="29" t="s">
        <v>43926</v>
      </c>
      <c r="F117" s="36" t="s">
        <v>54401</v>
      </c>
      <c r="G117" s="39">
        <f>349305.43+472912</f>
        <v>822217.42999999993</v>
      </c>
      <c r="H117" s="42">
        <v>211</v>
      </c>
    </row>
    <row r="118" spans="1:8" ht="15" customHeight="1">
      <c r="A118" s="26">
        <v>4053392</v>
      </c>
      <c r="B118" s="29" t="s">
        <v>2362</v>
      </c>
      <c r="C118" s="26" t="s">
        <v>17300</v>
      </c>
      <c r="D118" s="26" t="s">
        <v>30443</v>
      </c>
      <c r="E118" s="26" t="s">
        <v>731</v>
      </c>
      <c r="F118" s="37" t="s">
        <v>54401</v>
      </c>
      <c r="G118" s="39">
        <v>108771.03</v>
      </c>
      <c r="H118" s="42">
        <v>211</v>
      </c>
    </row>
    <row r="119" spans="1:8" ht="15" customHeight="1">
      <c r="A119" s="26">
        <v>4053395</v>
      </c>
      <c r="B119" s="29" t="s">
        <v>2363</v>
      </c>
      <c r="C119" s="29" t="s">
        <v>17204</v>
      </c>
      <c r="D119" s="29" t="s">
        <v>30444</v>
      </c>
      <c r="E119" s="29" t="s">
        <v>43926</v>
      </c>
      <c r="F119" s="36" t="s">
        <v>54401</v>
      </c>
      <c r="G119" s="39">
        <v>10489.41</v>
      </c>
      <c r="H119" s="42">
        <v>211</v>
      </c>
    </row>
    <row r="120" spans="1:8" ht="15" customHeight="1">
      <c r="A120" s="26">
        <v>4053416</v>
      </c>
      <c r="B120" s="29" t="s">
        <v>2364</v>
      </c>
      <c r="C120" s="26" t="s">
        <v>17301</v>
      </c>
      <c r="D120" s="26" t="s">
        <v>30445</v>
      </c>
      <c r="E120" s="26" t="s">
        <v>43926</v>
      </c>
      <c r="F120" s="37" t="s">
        <v>54401</v>
      </c>
      <c r="G120" s="39">
        <v>395499.28</v>
      </c>
      <c r="H120" s="42">
        <v>211</v>
      </c>
    </row>
    <row r="121" spans="1:8" ht="15" customHeight="1">
      <c r="A121" s="26">
        <v>4053440</v>
      </c>
      <c r="B121" s="29" t="s">
        <v>2365</v>
      </c>
      <c r="C121" s="29" t="s">
        <v>17302</v>
      </c>
      <c r="D121" s="29" t="s">
        <v>30446</v>
      </c>
      <c r="E121" s="29" t="s">
        <v>1643</v>
      </c>
      <c r="F121" s="36" t="s">
        <v>54401</v>
      </c>
      <c r="G121" s="39">
        <v>440204</v>
      </c>
      <c r="H121" s="42">
        <v>211</v>
      </c>
    </row>
    <row r="122" spans="1:8" ht="15" customHeight="1">
      <c r="A122" s="26">
        <v>4053449</v>
      </c>
      <c r="B122" s="29" t="s">
        <v>2366</v>
      </c>
      <c r="C122" s="29" t="s">
        <v>17303</v>
      </c>
      <c r="D122" s="29" t="s">
        <v>30447</v>
      </c>
      <c r="E122" s="29" t="s">
        <v>1643</v>
      </c>
      <c r="F122" s="36" t="s">
        <v>54401</v>
      </c>
      <c r="G122" s="39">
        <v>3639960.09</v>
      </c>
      <c r="H122" s="42">
        <v>211</v>
      </c>
    </row>
    <row r="123" spans="1:8" ht="15" customHeight="1">
      <c r="A123" s="26">
        <v>4053458</v>
      </c>
      <c r="B123" s="29" t="s">
        <v>2367</v>
      </c>
      <c r="C123" s="29" t="s">
        <v>17304</v>
      </c>
      <c r="D123" s="29" t="s">
        <v>30448</v>
      </c>
      <c r="E123" s="29" t="s">
        <v>44016</v>
      </c>
      <c r="F123" s="36" t="s">
        <v>54401</v>
      </c>
      <c r="G123" s="39">
        <f>3893733.54+596284</f>
        <v>4490017.54</v>
      </c>
      <c r="H123" s="42">
        <v>211</v>
      </c>
    </row>
    <row r="124" spans="1:8" ht="15" customHeight="1">
      <c r="A124" s="26">
        <v>4053646</v>
      </c>
      <c r="B124" s="29" t="s">
        <v>2368</v>
      </c>
      <c r="C124" s="29" t="s">
        <v>17305</v>
      </c>
      <c r="D124" s="29" t="s">
        <v>30449</v>
      </c>
      <c r="E124" s="29" t="s">
        <v>44017</v>
      </c>
      <c r="F124" s="36" t="s">
        <v>54401</v>
      </c>
      <c r="G124" s="39">
        <v>2194705.38</v>
      </c>
      <c r="H124" s="42">
        <v>211</v>
      </c>
    </row>
    <row r="125" spans="1:8" ht="15" customHeight="1">
      <c r="A125" s="26">
        <v>4058510</v>
      </c>
      <c r="B125" s="29" t="s">
        <v>2369</v>
      </c>
      <c r="C125" s="29" t="s">
        <v>17306</v>
      </c>
      <c r="D125" s="29" t="s">
        <v>30450</v>
      </c>
      <c r="E125" s="29" t="s">
        <v>44018</v>
      </c>
      <c r="F125" s="36" t="s">
        <v>54414</v>
      </c>
      <c r="G125" s="39">
        <f>3584218.45-78826</f>
        <v>3505392.45</v>
      </c>
      <c r="H125" s="42">
        <v>211</v>
      </c>
    </row>
    <row r="126" spans="1:8" ht="15" customHeight="1">
      <c r="A126" s="26">
        <v>4059517</v>
      </c>
      <c r="B126" s="29" t="s">
        <v>2370</v>
      </c>
      <c r="C126" s="29" t="s">
        <v>17307</v>
      </c>
      <c r="D126" s="29" t="s">
        <v>30451</v>
      </c>
      <c r="E126" s="29" t="s">
        <v>44019</v>
      </c>
      <c r="F126" s="36" t="s">
        <v>54401</v>
      </c>
      <c r="G126" s="39">
        <f>181126.25+528119+84879</f>
        <v>794124.25</v>
      </c>
      <c r="H126" s="42">
        <v>211</v>
      </c>
    </row>
    <row r="127" spans="1:8" ht="15" customHeight="1">
      <c r="A127" s="26">
        <v>4059604</v>
      </c>
      <c r="B127" s="29" t="s">
        <v>2371</v>
      </c>
      <c r="C127" s="29" t="s">
        <v>17308</v>
      </c>
      <c r="D127" s="29" t="s">
        <v>30452</v>
      </c>
      <c r="E127" s="29" t="s">
        <v>43926</v>
      </c>
      <c r="F127" s="36" t="s">
        <v>54401</v>
      </c>
      <c r="G127" s="39">
        <v>207648.75</v>
      </c>
      <c r="H127" s="42">
        <v>211</v>
      </c>
    </row>
    <row r="128" spans="1:8" ht="15" customHeight="1">
      <c r="A128" s="26">
        <v>4059948</v>
      </c>
      <c r="B128" s="29" t="s">
        <v>2372</v>
      </c>
      <c r="C128" s="29" t="s">
        <v>17309</v>
      </c>
      <c r="D128" s="29" t="s">
        <v>30453</v>
      </c>
      <c r="E128" s="29" t="s">
        <v>44020</v>
      </c>
      <c r="F128" s="36" t="s">
        <v>54401</v>
      </c>
      <c r="G128" s="39">
        <f>14630+190820</f>
        <v>205450</v>
      </c>
      <c r="H128" s="42">
        <v>211</v>
      </c>
    </row>
    <row r="129" spans="1:8" ht="15" customHeight="1">
      <c r="A129" s="26">
        <v>4060016</v>
      </c>
      <c r="B129" s="29" t="s">
        <v>2373</v>
      </c>
      <c r="C129" s="29" t="s">
        <v>17310</v>
      </c>
      <c r="D129" s="29" t="s">
        <v>30454</v>
      </c>
      <c r="E129" s="29" t="s">
        <v>44021</v>
      </c>
      <c r="F129" s="36" t="s">
        <v>54401</v>
      </c>
      <c r="G129" s="39">
        <v>137031.13</v>
      </c>
      <c r="H129" s="42">
        <v>211</v>
      </c>
    </row>
    <row r="130" spans="1:8" ht="15" customHeight="1">
      <c r="A130" s="26">
        <v>4060374</v>
      </c>
      <c r="B130" s="29" t="s">
        <v>2374</v>
      </c>
      <c r="C130" s="29" t="s">
        <v>17311</v>
      </c>
      <c r="D130" s="29" t="s">
        <v>30455</v>
      </c>
      <c r="E130" s="29" t="s">
        <v>44022</v>
      </c>
      <c r="F130" s="36" t="s">
        <v>54401</v>
      </c>
      <c r="G130" s="39">
        <v>27184.87</v>
      </c>
      <c r="H130" s="42">
        <v>211</v>
      </c>
    </row>
    <row r="131" spans="1:8" ht="15" customHeight="1">
      <c r="A131" s="26">
        <v>4060380</v>
      </c>
      <c r="B131" s="29" t="s">
        <v>2375</v>
      </c>
      <c r="C131" s="29" t="s">
        <v>17312</v>
      </c>
      <c r="D131" s="29" t="s">
        <v>30456</v>
      </c>
      <c r="E131" s="29" t="s">
        <v>44023</v>
      </c>
      <c r="F131" s="36" t="s">
        <v>54401</v>
      </c>
      <c r="G131" s="39">
        <f>3682309.28+94592</f>
        <v>3776901.28</v>
      </c>
      <c r="H131" s="42">
        <v>211</v>
      </c>
    </row>
    <row r="132" spans="1:8" ht="15" customHeight="1">
      <c r="A132" s="26">
        <v>4060488</v>
      </c>
      <c r="B132" s="29" t="s">
        <v>2376</v>
      </c>
      <c r="C132" s="29" t="s">
        <v>17204</v>
      </c>
      <c r="D132" s="29" t="s">
        <v>30457</v>
      </c>
      <c r="E132" s="29" t="s">
        <v>43926</v>
      </c>
      <c r="F132" s="36" t="s">
        <v>54401</v>
      </c>
      <c r="G132" s="39">
        <v>498124.08</v>
      </c>
      <c r="H132" s="42">
        <v>211</v>
      </c>
    </row>
    <row r="133" spans="1:8" ht="15" customHeight="1">
      <c r="A133" s="26">
        <v>4060794</v>
      </c>
      <c r="B133" s="29" t="s">
        <v>2377</v>
      </c>
      <c r="C133" s="29" t="s">
        <v>17313</v>
      </c>
      <c r="D133" s="29" t="s">
        <v>30458</v>
      </c>
      <c r="E133" s="29" t="s">
        <v>44024</v>
      </c>
      <c r="F133" s="36" t="s">
        <v>54401</v>
      </c>
      <c r="G133" s="39">
        <v>185297.58</v>
      </c>
      <c r="H133" s="42">
        <v>211</v>
      </c>
    </row>
    <row r="134" spans="1:8" ht="15" customHeight="1">
      <c r="A134" s="26">
        <v>4060878</v>
      </c>
      <c r="B134" s="29" t="s">
        <v>2378</v>
      </c>
      <c r="C134" s="29" t="s">
        <v>17314</v>
      </c>
      <c r="D134" s="29" t="s">
        <v>30459</v>
      </c>
      <c r="E134" s="29" t="s">
        <v>44025</v>
      </c>
      <c r="F134" s="36" t="s">
        <v>54401</v>
      </c>
      <c r="G134" s="39">
        <v>390672.6</v>
      </c>
      <c r="H134" s="42">
        <v>211</v>
      </c>
    </row>
    <row r="135" spans="1:8" ht="15" customHeight="1">
      <c r="A135" s="26">
        <v>4060924</v>
      </c>
      <c r="B135" s="29" t="s">
        <v>2379</v>
      </c>
      <c r="C135" s="29" t="s">
        <v>17204</v>
      </c>
      <c r="D135" s="29" t="s">
        <v>30460</v>
      </c>
      <c r="E135" s="29" t="s">
        <v>44026</v>
      </c>
      <c r="F135" s="36" t="s">
        <v>54401</v>
      </c>
      <c r="G135" s="39">
        <v>745188.98</v>
      </c>
      <c r="H135" s="42">
        <v>211</v>
      </c>
    </row>
    <row r="136" spans="1:8" ht="15" customHeight="1">
      <c r="A136" s="26">
        <v>4060945</v>
      </c>
      <c r="B136" s="29" t="s">
        <v>2380</v>
      </c>
      <c r="C136" s="29" t="s">
        <v>17315</v>
      </c>
      <c r="D136" s="29" t="s">
        <v>30461</v>
      </c>
      <c r="E136" s="29" t="s">
        <v>44027</v>
      </c>
      <c r="F136" s="36" t="s">
        <v>54401</v>
      </c>
      <c r="G136" s="39">
        <v>3290918.93</v>
      </c>
      <c r="H136" s="42">
        <v>211</v>
      </c>
    </row>
    <row r="137" spans="1:8" ht="15" customHeight="1">
      <c r="A137" s="26">
        <v>4061034</v>
      </c>
      <c r="B137" s="29" t="s">
        <v>2381</v>
      </c>
      <c r="C137" s="29" t="s">
        <v>17316</v>
      </c>
      <c r="D137" s="29" t="s">
        <v>30462</v>
      </c>
      <c r="E137" s="29" t="s">
        <v>44028</v>
      </c>
      <c r="F137" s="36" t="s">
        <v>54401</v>
      </c>
      <c r="G137" s="39">
        <v>6831253.6900000004</v>
      </c>
      <c r="H137" s="42">
        <v>211</v>
      </c>
    </row>
    <row r="138" spans="1:8" ht="15" customHeight="1">
      <c r="A138" s="26">
        <v>4061117</v>
      </c>
      <c r="B138" s="29" t="s">
        <v>2382</v>
      </c>
      <c r="C138" s="29" t="s">
        <v>17204</v>
      </c>
      <c r="D138" s="29" t="s">
        <v>30463</v>
      </c>
      <c r="E138" s="29" t="s">
        <v>44029</v>
      </c>
      <c r="F138" s="36" t="s">
        <v>54416</v>
      </c>
      <c r="G138" s="39">
        <v>65252.1</v>
      </c>
      <c r="H138" s="42">
        <v>211</v>
      </c>
    </row>
    <row r="139" spans="1:8" ht="15" customHeight="1">
      <c r="A139" s="26">
        <v>4061241</v>
      </c>
      <c r="B139" s="29" t="s">
        <v>2383</v>
      </c>
      <c r="C139" s="29" t="s">
        <v>17317</v>
      </c>
      <c r="D139" s="29" t="s">
        <v>30464</v>
      </c>
      <c r="E139" s="29" t="s">
        <v>44030</v>
      </c>
      <c r="F139" s="36" t="s">
        <v>54401</v>
      </c>
      <c r="G139" s="39">
        <f>3825699.62+136259</f>
        <v>3961958.62</v>
      </c>
      <c r="H139" s="42">
        <v>211</v>
      </c>
    </row>
    <row r="140" spans="1:8" ht="15" customHeight="1">
      <c r="A140" s="26">
        <v>4061422</v>
      </c>
      <c r="B140" s="29" t="s">
        <v>2384</v>
      </c>
      <c r="C140" s="29" t="s">
        <v>17318</v>
      </c>
      <c r="D140" s="29" t="s">
        <v>30465</v>
      </c>
      <c r="E140" s="29" t="s">
        <v>44031</v>
      </c>
      <c r="F140" s="36" t="s">
        <v>54401</v>
      </c>
      <c r="G140" s="39">
        <f>57209.08+217338-108338</f>
        <v>166209.08000000002</v>
      </c>
      <c r="H140" s="42">
        <v>211</v>
      </c>
    </row>
    <row r="141" spans="1:8" ht="15" customHeight="1">
      <c r="A141" s="26">
        <v>4065079</v>
      </c>
      <c r="B141" s="29" t="s">
        <v>2385</v>
      </c>
      <c r="C141" s="29" t="s">
        <v>17319</v>
      </c>
      <c r="D141" s="29" t="s">
        <v>30466</v>
      </c>
      <c r="E141" s="29" t="s">
        <v>44032</v>
      </c>
      <c r="F141" s="36" t="s">
        <v>54417</v>
      </c>
      <c r="G141" s="39">
        <f>1901952.94-111574</f>
        <v>1790378.94</v>
      </c>
      <c r="H141" s="42">
        <v>211</v>
      </c>
    </row>
    <row r="142" spans="1:8" ht="15" customHeight="1">
      <c r="A142" s="26">
        <v>4068049</v>
      </c>
      <c r="B142" s="29" t="s">
        <v>2386</v>
      </c>
      <c r="C142" s="26" t="s">
        <v>17320</v>
      </c>
      <c r="D142" s="26" t="s">
        <v>30467</v>
      </c>
      <c r="E142" s="26" t="s">
        <v>43926</v>
      </c>
      <c r="F142" s="37" t="s">
        <v>54401</v>
      </c>
      <c r="G142" s="39">
        <v>704393.65</v>
      </c>
      <c r="H142" s="42">
        <v>211</v>
      </c>
    </row>
    <row r="143" spans="1:8" ht="15" customHeight="1">
      <c r="A143" s="26">
        <v>4068130</v>
      </c>
      <c r="B143" s="29" t="s">
        <v>2387</v>
      </c>
      <c r="C143" s="29" t="s">
        <v>17321</v>
      </c>
      <c r="D143" s="29" t="s">
        <v>30468</v>
      </c>
      <c r="E143" s="29" t="s">
        <v>44033</v>
      </c>
      <c r="F143" s="36" t="s">
        <v>54401</v>
      </c>
      <c r="G143" s="39">
        <f>383774.56+2532303</f>
        <v>2916077.56</v>
      </c>
      <c r="H143" s="42">
        <v>211</v>
      </c>
    </row>
    <row r="144" spans="1:8" ht="15" customHeight="1">
      <c r="A144" s="26">
        <v>4078743</v>
      </c>
      <c r="B144" s="29" t="s">
        <v>2388</v>
      </c>
      <c r="C144" s="29" t="s">
        <v>17204</v>
      </c>
      <c r="D144" s="29" t="s">
        <v>30469</v>
      </c>
      <c r="E144" s="29" t="s">
        <v>43926</v>
      </c>
      <c r="F144" s="36" t="s">
        <v>54401</v>
      </c>
      <c r="G144" s="39">
        <v>794430.49</v>
      </c>
      <c r="H144" s="42">
        <v>211</v>
      </c>
    </row>
    <row r="145" spans="1:8" ht="15" customHeight="1">
      <c r="A145" s="26">
        <v>4078769</v>
      </c>
      <c r="B145" s="29" t="s">
        <v>2389</v>
      </c>
      <c r="C145" s="29" t="s">
        <v>17322</v>
      </c>
      <c r="D145" s="29" t="s">
        <v>30470</v>
      </c>
      <c r="E145" s="29" t="s">
        <v>44034</v>
      </c>
      <c r="F145" s="36" t="s">
        <v>54418</v>
      </c>
      <c r="G145" s="39">
        <f>53204058.72-306497</f>
        <v>52897561.719999999</v>
      </c>
      <c r="H145" s="42">
        <v>211</v>
      </c>
    </row>
    <row r="146" spans="1:8" ht="15" customHeight="1">
      <c r="A146" s="26">
        <v>4078814</v>
      </c>
      <c r="B146" s="29" t="s">
        <v>2390</v>
      </c>
      <c r="C146" s="29" t="s">
        <v>17323</v>
      </c>
      <c r="D146" s="29" t="s">
        <v>30471</v>
      </c>
      <c r="E146" s="29" t="s">
        <v>44035</v>
      </c>
      <c r="F146" s="36" t="s">
        <v>54401</v>
      </c>
      <c r="G146" s="39">
        <f>1900381.27+742441+14700</f>
        <v>2657522.27</v>
      </c>
      <c r="H146" s="42">
        <v>211</v>
      </c>
    </row>
    <row r="147" spans="1:8" ht="15" customHeight="1">
      <c r="A147" s="26">
        <v>4078993</v>
      </c>
      <c r="B147" s="29" t="s">
        <v>2391</v>
      </c>
      <c r="C147" s="29" t="s">
        <v>17324</v>
      </c>
      <c r="D147" s="29" t="s">
        <v>30472</v>
      </c>
      <c r="E147" s="29" t="s">
        <v>44036</v>
      </c>
      <c r="F147" s="36" t="s">
        <v>54401</v>
      </c>
      <c r="G147" s="39">
        <v>3754104.09</v>
      </c>
      <c r="H147" s="42">
        <v>211</v>
      </c>
    </row>
    <row r="148" spans="1:8" ht="15" customHeight="1">
      <c r="A148" s="26">
        <v>4079029</v>
      </c>
      <c r="B148" s="29" t="s">
        <v>2392</v>
      </c>
      <c r="C148" s="29" t="s">
        <v>17204</v>
      </c>
      <c r="D148" s="29" t="s">
        <v>30349</v>
      </c>
      <c r="E148" s="29" t="s">
        <v>43926</v>
      </c>
      <c r="F148" s="36" t="s">
        <v>54401</v>
      </c>
      <c r="G148" s="39">
        <v>5579987.9100000001</v>
      </c>
      <c r="H148" s="42">
        <v>211</v>
      </c>
    </row>
    <row r="149" spans="1:8" ht="15" customHeight="1">
      <c r="A149" s="26">
        <v>4079038</v>
      </c>
      <c r="B149" s="29" t="s">
        <v>2393</v>
      </c>
      <c r="C149" s="29" t="s">
        <v>17325</v>
      </c>
      <c r="D149" s="29" t="s">
        <v>30473</v>
      </c>
      <c r="E149" s="29" t="s">
        <v>44037</v>
      </c>
      <c r="F149" s="36" t="s">
        <v>54401</v>
      </c>
      <c r="G149" s="39">
        <v>310299.53999999998</v>
      </c>
      <c r="H149" s="42">
        <v>211</v>
      </c>
    </row>
    <row r="150" spans="1:8" ht="15" customHeight="1">
      <c r="A150" s="26">
        <v>4079098</v>
      </c>
      <c r="B150" s="29" t="s">
        <v>2394</v>
      </c>
      <c r="C150" s="29" t="s">
        <v>17326</v>
      </c>
      <c r="D150" s="29" t="s">
        <v>30474</v>
      </c>
      <c r="E150" s="29" t="s">
        <v>44038</v>
      </c>
      <c r="F150" s="36" t="s">
        <v>54401</v>
      </c>
      <c r="G150" s="39">
        <v>772201.2</v>
      </c>
      <c r="H150" s="42">
        <v>211</v>
      </c>
    </row>
    <row r="151" spans="1:8" ht="15" customHeight="1">
      <c r="A151" s="26">
        <v>4079164</v>
      </c>
      <c r="B151" s="29" t="s">
        <v>2395</v>
      </c>
      <c r="C151" s="29" t="s">
        <v>17327</v>
      </c>
      <c r="D151" s="29" t="s">
        <v>30475</v>
      </c>
      <c r="E151" s="29" t="s">
        <v>44039</v>
      </c>
      <c r="F151" s="36" t="s">
        <v>54401</v>
      </c>
      <c r="G151" s="39">
        <v>908366.41</v>
      </c>
      <c r="H151" s="42">
        <v>211</v>
      </c>
    </row>
    <row r="152" spans="1:8" ht="15" customHeight="1">
      <c r="A152" s="26">
        <v>4079188</v>
      </c>
      <c r="B152" s="29" t="s">
        <v>2396</v>
      </c>
      <c r="C152" s="29" t="s">
        <v>17328</v>
      </c>
      <c r="D152" s="29" t="s">
        <v>30476</v>
      </c>
      <c r="E152" s="29" t="s">
        <v>44040</v>
      </c>
      <c r="F152" s="36" t="s">
        <v>54401</v>
      </c>
      <c r="G152" s="39">
        <f>233403.61+2278053</f>
        <v>2511456.61</v>
      </c>
      <c r="H152" s="42">
        <v>211</v>
      </c>
    </row>
    <row r="153" spans="1:8" ht="15" customHeight="1">
      <c r="A153" s="26">
        <v>4079212</v>
      </c>
      <c r="B153" s="29" t="s">
        <v>2397</v>
      </c>
      <c r="C153" s="29" t="s">
        <v>17329</v>
      </c>
      <c r="D153" s="29" t="s">
        <v>30477</v>
      </c>
      <c r="E153" s="29" t="s">
        <v>44041</v>
      </c>
      <c r="F153" s="36" t="s">
        <v>54418</v>
      </c>
      <c r="G153" s="39">
        <v>16124682.65</v>
      </c>
      <c r="H153" s="42">
        <v>211</v>
      </c>
    </row>
    <row r="154" spans="1:8" ht="15" customHeight="1">
      <c r="A154" s="26">
        <v>4079277</v>
      </c>
      <c r="B154" s="29" t="s">
        <v>2398</v>
      </c>
      <c r="C154" s="29" t="s">
        <v>17204</v>
      </c>
      <c r="D154" s="29" t="s">
        <v>30478</v>
      </c>
      <c r="E154" s="29" t="s">
        <v>43926</v>
      </c>
      <c r="F154" s="36" t="s">
        <v>54401</v>
      </c>
      <c r="G154" s="39">
        <v>41816.29</v>
      </c>
      <c r="H154" s="42">
        <v>211</v>
      </c>
    </row>
    <row r="155" spans="1:8" ht="15" customHeight="1">
      <c r="A155" s="26">
        <v>4079305</v>
      </c>
      <c r="B155" s="29" t="s">
        <v>2399</v>
      </c>
      <c r="C155" s="29" t="s">
        <v>17330</v>
      </c>
      <c r="D155" s="29" t="s">
        <v>30479</v>
      </c>
      <c r="E155" s="29" t="s">
        <v>44042</v>
      </c>
      <c r="F155" s="36" t="s">
        <v>54401</v>
      </c>
      <c r="G155" s="39">
        <v>1418770.34</v>
      </c>
      <c r="H155" s="42">
        <v>211</v>
      </c>
    </row>
    <row r="156" spans="1:8" ht="15" customHeight="1">
      <c r="A156" s="26">
        <v>4079314</v>
      </c>
      <c r="B156" s="29" t="s">
        <v>2400</v>
      </c>
      <c r="C156" s="29" t="s">
        <v>17331</v>
      </c>
      <c r="D156" s="29" t="s">
        <v>30480</v>
      </c>
      <c r="E156" s="29" t="s">
        <v>44043</v>
      </c>
      <c r="F156" s="36" t="s">
        <v>54401</v>
      </c>
      <c r="G156" s="39">
        <v>1678942.1</v>
      </c>
      <c r="H156" s="42">
        <v>211</v>
      </c>
    </row>
    <row r="157" spans="1:8" ht="15" customHeight="1">
      <c r="A157" s="26">
        <v>4079319</v>
      </c>
      <c r="B157" s="29" t="s">
        <v>2401</v>
      </c>
      <c r="C157" s="29" t="s">
        <v>17332</v>
      </c>
      <c r="D157" s="29" t="s">
        <v>30481</v>
      </c>
      <c r="E157" s="29" t="s">
        <v>44044</v>
      </c>
      <c r="F157" s="36" t="s">
        <v>54401</v>
      </c>
      <c r="G157" s="39">
        <v>136807.43</v>
      </c>
      <c r="H157" s="42">
        <v>211</v>
      </c>
    </row>
    <row r="158" spans="1:8" ht="15" customHeight="1">
      <c r="A158" s="26">
        <v>4079329</v>
      </c>
      <c r="B158" s="29" t="s">
        <v>2402</v>
      </c>
      <c r="C158" s="29" t="s">
        <v>17333</v>
      </c>
      <c r="D158" s="29" t="s">
        <v>30482</v>
      </c>
      <c r="E158" s="29" t="s">
        <v>44045</v>
      </c>
      <c r="F158" s="36" t="s">
        <v>54401</v>
      </c>
      <c r="G158" s="39">
        <v>1151412.01</v>
      </c>
      <c r="H158" s="42">
        <v>211</v>
      </c>
    </row>
    <row r="159" spans="1:8" ht="15" customHeight="1">
      <c r="A159" s="26">
        <v>4079334</v>
      </c>
      <c r="B159" s="29" t="s">
        <v>2403</v>
      </c>
      <c r="C159" s="29" t="s">
        <v>17334</v>
      </c>
      <c r="D159" s="29" t="s">
        <v>30483</v>
      </c>
      <c r="E159" s="29" t="s">
        <v>44046</v>
      </c>
      <c r="F159" s="36" t="s">
        <v>54401</v>
      </c>
      <c r="G159" s="39">
        <f>636784.2+202071</f>
        <v>838855.2</v>
      </c>
      <c r="H159" s="42">
        <v>211</v>
      </c>
    </row>
    <row r="160" spans="1:8" ht="15" customHeight="1">
      <c r="A160" s="26">
        <v>4079450</v>
      </c>
      <c r="B160" s="29" t="s">
        <v>2404</v>
      </c>
      <c r="C160" s="29" t="s">
        <v>17335</v>
      </c>
      <c r="D160" s="29" t="s">
        <v>30484</v>
      </c>
      <c r="E160" s="29" t="s">
        <v>44047</v>
      </c>
      <c r="F160" s="36" t="s">
        <v>54401</v>
      </c>
      <c r="G160" s="39">
        <v>625113.67000000004</v>
      </c>
      <c r="H160" s="42">
        <v>211</v>
      </c>
    </row>
    <row r="161" spans="1:8" ht="15" customHeight="1">
      <c r="A161" s="26">
        <v>4079469</v>
      </c>
      <c r="B161" s="29" t="s">
        <v>2405</v>
      </c>
      <c r="C161" s="26" t="s">
        <v>17336</v>
      </c>
      <c r="D161" s="26" t="s">
        <v>30485</v>
      </c>
      <c r="E161" s="26" t="s">
        <v>44048</v>
      </c>
      <c r="F161" s="37" t="s">
        <v>54401</v>
      </c>
      <c r="G161" s="39">
        <v>557608.04</v>
      </c>
      <c r="H161" s="42">
        <v>211</v>
      </c>
    </row>
    <row r="162" spans="1:8" ht="15" customHeight="1">
      <c r="A162" s="26">
        <v>4079479</v>
      </c>
      <c r="B162" s="29" t="s">
        <v>2406</v>
      </c>
      <c r="C162" s="29" t="s">
        <v>17337</v>
      </c>
      <c r="D162" s="29" t="s">
        <v>30486</v>
      </c>
      <c r="E162" s="29" t="s">
        <v>43926</v>
      </c>
      <c r="F162" s="36" t="s">
        <v>54401</v>
      </c>
      <c r="G162" s="39">
        <f>490144.41+234006</f>
        <v>724150.40999999992</v>
      </c>
      <c r="H162" s="42">
        <v>211</v>
      </c>
    </row>
    <row r="163" spans="1:8" ht="15" customHeight="1">
      <c r="A163" s="26">
        <v>4079483</v>
      </c>
      <c r="B163" s="29" t="s">
        <v>2407</v>
      </c>
      <c r="C163" s="29" t="s">
        <v>17338</v>
      </c>
      <c r="D163" s="29" t="s">
        <v>30487</v>
      </c>
      <c r="E163" s="29" t="s">
        <v>44049</v>
      </c>
      <c r="F163" s="36" t="s">
        <v>54401</v>
      </c>
      <c r="G163" s="39">
        <f>4584860.1-318288</f>
        <v>4266572.0999999996</v>
      </c>
      <c r="H163" s="42">
        <v>211</v>
      </c>
    </row>
    <row r="164" spans="1:8" ht="15" customHeight="1">
      <c r="A164" s="26">
        <v>4079548</v>
      </c>
      <c r="B164" s="29" t="s">
        <v>2408</v>
      </c>
      <c r="C164" s="29" t="s">
        <v>17339</v>
      </c>
      <c r="D164" s="29" t="s">
        <v>30488</v>
      </c>
      <c r="E164" s="29" t="s">
        <v>44050</v>
      </c>
      <c r="F164" s="36" t="s">
        <v>54401</v>
      </c>
      <c r="G164" s="39">
        <v>344466.26</v>
      </c>
      <c r="H164" s="42">
        <v>211</v>
      </c>
    </row>
    <row r="165" spans="1:8" ht="15" customHeight="1">
      <c r="A165" s="26">
        <v>4081241</v>
      </c>
      <c r="B165" s="29" t="s">
        <v>2409</v>
      </c>
      <c r="C165" s="29" t="s">
        <v>17340</v>
      </c>
      <c r="D165" s="29" t="s">
        <v>30489</v>
      </c>
      <c r="E165" s="29" t="s">
        <v>44051</v>
      </c>
      <c r="F165" s="36" t="s">
        <v>54401</v>
      </c>
      <c r="G165" s="39">
        <v>63559.32</v>
      </c>
      <c r="H165" s="42">
        <v>211</v>
      </c>
    </row>
    <row r="166" spans="1:8" ht="15" customHeight="1">
      <c r="A166" s="26">
        <v>4081668</v>
      </c>
      <c r="B166" s="29" t="s">
        <v>2410</v>
      </c>
      <c r="C166" s="29" t="s">
        <v>17341</v>
      </c>
      <c r="D166" s="29" t="s">
        <v>30490</v>
      </c>
      <c r="E166" s="29" t="s">
        <v>43926</v>
      </c>
      <c r="F166" s="36" t="s">
        <v>54401</v>
      </c>
      <c r="G166" s="39">
        <v>1113788.72</v>
      </c>
      <c r="H166" s="42">
        <v>211</v>
      </c>
    </row>
    <row r="167" spans="1:8" ht="15" customHeight="1">
      <c r="A167" s="26">
        <v>4081856</v>
      </c>
      <c r="B167" s="29" t="s">
        <v>2411</v>
      </c>
      <c r="C167" s="29" t="s">
        <v>17342</v>
      </c>
      <c r="D167" s="29" t="s">
        <v>30491</v>
      </c>
      <c r="E167" s="29" t="s">
        <v>44052</v>
      </c>
      <c r="F167" s="36" t="s">
        <v>54401</v>
      </c>
      <c r="G167" s="39">
        <f>1736385.82+422211</f>
        <v>2158596.8200000003</v>
      </c>
      <c r="H167" s="42">
        <v>211</v>
      </c>
    </row>
    <row r="168" spans="1:8" ht="15" customHeight="1">
      <c r="A168" s="26">
        <v>4083610</v>
      </c>
      <c r="B168" s="29" t="s">
        <v>2412</v>
      </c>
      <c r="C168" s="29" t="s">
        <v>17343</v>
      </c>
      <c r="D168" s="29" t="s">
        <v>30376</v>
      </c>
      <c r="E168" s="29" t="s">
        <v>44053</v>
      </c>
      <c r="F168" s="36" t="s">
        <v>54401</v>
      </c>
      <c r="G168" s="39">
        <v>5235279.0599999996</v>
      </c>
      <c r="H168" s="42">
        <v>211</v>
      </c>
    </row>
    <row r="169" spans="1:8" ht="15" customHeight="1">
      <c r="A169" s="26">
        <v>4083619</v>
      </c>
      <c r="B169" s="29" t="s">
        <v>2413</v>
      </c>
      <c r="C169" s="29" t="s">
        <v>17344</v>
      </c>
      <c r="D169" s="29" t="s">
        <v>30492</v>
      </c>
      <c r="E169" s="29" t="s">
        <v>44054</v>
      </c>
      <c r="F169" s="36" t="s">
        <v>54401</v>
      </c>
      <c r="G169" s="39">
        <v>2356004.0699999998</v>
      </c>
      <c r="H169" s="42">
        <v>211</v>
      </c>
    </row>
    <row r="170" spans="1:8" ht="15" customHeight="1">
      <c r="A170" s="26">
        <v>4083683</v>
      </c>
      <c r="B170" s="29" t="s">
        <v>2414</v>
      </c>
      <c r="C170" s="29" t="s">
        <v>17345</v>
      </c>
      <c r="D170" s="29" t="s">
        <v>30493</v>
      </c>
      <c r="E170" s="29" t="s">
        <v>44055</v>
      </c>
      <c r="F170" s="36" t="s">
        <v>54401</v>
      </c>
      <c r="G170" s="39">
        <v>125087.98</v>
      </c>
      <c r="H170" s="42">
        <v>211</v>
      </c>
    </row>
    <row r="171" spans="1:8" ht="15" customHeight="1">
      <c r="A171" s="26">
        <v>4083692</v>
      </c>
      <c r="B171" s="29" t="s">
        <v>2415</v>
      </c>
      <c r="C171" s="29" t="s">
        <v>17346</v>
      </c>
      <c r="D171" s="29" t="s">
        <v>30494</v>
      </c>
      <c r="E171" s="29" t="s">
        <v>44056</v>
      </c>
      <c r="F171" s="36" t="s">
        <v>54419</v>
      </c>
      <c r="G171" s="39">
        <v>123255.24</v>
      </c>
      <c r="H171" s="42">
        <v>211</v>
      </c>
    </row>
    <row r="172" spans="1:8" ht="15" customHeight="1">
      <c r="A172" s="26">
        <v>4083961</v>
      </c>
      <c r="B172" s="29" t="s">
        <v>2416</v>
      </c>
      <c r="C172" s="26" t="s">
        <v>17347</v>
      </c>
      <c r="D172" s="26" t="s">
        <v>30495</v>
      </c>
      <c r="E172" s="26" t="s">
        <v>44057</v>
      </c>
      <c r="F172" s="37" t="s">
        <v>54401</v>
      </c>
      <c r="G172" s="39">
        <v>629235.64</v>
      </c>
      <c r="H172" s="42">
        <v>211</v>
      </c>
    </row>
    <row r="173" spans="1:8" ht="15" customHeight="1">
      <c r="A173" s="26">
        <v>4083963</v>
      </c>
      <c r="B173" s="29" t="s">
        <v>2417</v>
      </c>
      <c r="C173" s="29" t="s">
        <v>17348</v>
      </c>
      <c r="D173" s="29" t="s">
        <v>30376</v>
      </c>
      <c r="E173" s="29" t="s">
        <v>44058</v>
      </c>
      <c r="F173" s="36" t="s">
        <v>54401</v>
      </c>
      <c r="G173" s="39">
        <v>6499269.5999999996</v>
      </c>
      <c r="H173" s="42">
        <v>211</v>
      </c>
    </row>
    <row r="174" spans="1:8" ht="15" customHeight="1">
      <c r="A174" s="26">
        <v>4083980</v>
      </c>
      <c r="B174" s="29" t="s">
        <v>2418</v>
      </c>
      <c r="C174" s="29" t="s">
        <v>17349</v>
      </c>
      <c r="D174" s="29" t="s">
        <v>30496</v>
      </c>
      <c r="E174" s="29" t="s">
        <v>44059</v>
      </c>
      <c r="F174" s="36" t="s">
        <v>54401</v>
      </c>
      <c r="G174" s="39">
        <f>3436285.01+350119</f>
        <v>3786404.01</v>
      </c>
      <c r="H174" s="42">
        <v>211</v>
      </c>
    </row>
    <row r="175" spans="1:8" ht="15" customHeight="1">
      <c r="A175" s="26">
        <v>4084000</v>
      </c>
      <c r="B175" s="29" t="s">
        <v>2419</v>
      </c>
      <c r="C175" s="29" t="s">
        <v>17350</v>
      </c>
      <c r="D175" s="29" t="s">
        <v>30497</v>
      </c>
      <c r="E175" s="29" t="s">
        <v>44060</v>
      </c>
      <c r="F175" s="36" t="s">
        <v>54401</v>
      </c>
      <c r="G175" s="39">
        <f>2668094.14+809150</f>
        <v>3477244.14</v>
      </c>
      <c r="H175" s="42">
        <v>211</v>
      </c>
    </row>
    <row r="176" spans="1:8" ht="15" customHeight="1">
      <c r="A176" s="26">
        <v>4084033</v>
      </c>
      <c r="B176" s="29" t="s">
        <v>2420</v>
      </c>
      <c r="C176" s="26" t="s">
        <v>17351</v>
      </c>
      <c r="D176" s="26" t="s">
        <v>30498</v>
      </c>
      <c r="E176" s="26" t="s">
        <v>44061</v>
      </c>
      <c r="F176" s="37" t="s">
        <v>54401</v>
      </c>
      <c r="G176" s="39">
        <f>339655.64+495767</f>
        <v>835422.64</v>
      </c>
      <c r="H176" s="42">
        <v>211</v>
      </c>
    </row>
    <row r="177" spans="1:8" ht="15" customHeight="1">
      <c r="A177" s="26">
        <v>4084067</v>
      </c>
      <c r="B177" s="29" t="s">
        <v>2421</v>
      </c>
      <c r="C177" s="29" t="s">
        <v>17352</v>
      </c>
      <c r="D177" s="29" t="s">
        <v>30499</v>
      </c>
      <c r="E177" s="29" t="s">
        <v>44062</v>
      </c>
      <c r="F177" s="36" t="s">
        <v>54401</v>
      </c>
      <c r="G177" s="39">
        <v>781914.83</v>
      </c>
      <c r="H177" s="42">
        <v>211</v>
      </c>
    </row>
    <row r="178" spans="1:8" ht="15" customHeight="1">
      <c r="A178" s="26">
        <v>4084120</v>
      </c>
      <c r="B178" s="29" t="s">
        <v>2422</v>
      </c>
      <c r="C178" s="29" t="s">
        <v>17353</v>
      </c>
      <c r="D178" s="29" t="s">
        <v>30500</v>
      </c>
      <c r="E178" s="29" t="s">
        <v>44063</v>
      </c>
      <c r="F178" s="36" t="s">
        <v>54419</v>
      </c>
      <c r="G178" s="39">
        <f>7058376.72-78100</f>
        <v>6980276.7199999997</v>
      </c>
      <c r="H178" s="42">
        <v>211</v>
      </c>
    </row>
    <row r="179" spans="1:8" ht="15" customHeight="1">
      <c r="A179" s="26">
        <v>4085914</v>
      </c>
      <c r="B179" s="29" t="s">
        <v>2423</v>
      </c>
      <c r="C179" s="29" t="s">
        <v>17354</v>
      </c>
      <c r="D179" s="29" t="s">
        <v>30501</v>
      </c>
      <c r="E179" s="29" t="s">
        <v>44064</v>
      </c>
      <c r="F179" s="36" t="s">
        <v>54401</v>
      </c>
      <c r="G179" s="39">
        <v>2009274.73</v>
      </c>
      <c r="H179" s="42">
        <v>211</v>
      </c>
    </row>
    <row r="180" spans="1:8" ht="15" customHeight="1">
      <c r="A180" s="26">
        <v>4087236</v>
      </c>
      <c r="B180" s="29" t="s">
        <v>2424</v>
      </c>
      <c r="C180" s="29" t="s">
        <v>17355</v>
      </c>
      <c r="D180" s="29" t="s">
        <v>30502</v>
      </c>
      <c r="E180" s="29" t="s">
        <v>44065</v>
      </c>
      <c r="F180" s="36" t="s">
        <v>54420</v>
      </c>
      <c r="G180" s="39">
        <v>4043020.39</v>
      </c>
      <c r="H180" s="42">
        <v>211</v>
      </c>
    </row>
    <row r="181" spans="1:8" ht="15" customHeight="1">
      <c r="A181" s="26">
        <v>4090080</v>
      </c>
      <c r="B181" s="29" t="s">
        <v>2425</v>
      </c>
      <c r="C181" s="29" t="s">
        <v>17356</v>
      </c>
      <c r="D181" s="29" t="s">
        <v>30503</v>
      </c>
      <c r="E181" s="29" t="s">
        <v>44066</v>
      </c>
      <c r="F181" s="36" t="s">
        <v>54401</v>
      </c>
      <c r="G181" s="39">
        <v>718795.08</v>
      </c>
      <c r="H181" s="42">
        <v>211</v>
      </c>
    </row>
    <row r="182" spans="1:8" ht="15" customHeight="1">
      <c r="A182" s="26">
        <v>4102907</v>
      </c>
      <c r="B182" s="29" t="s">
        <v>2426</v>
      </c>
      <c r="C182" s="29" t="s">
        <v>17357</v>
      </c>
      <c r="D182" s="29" t="s">
        <v>30504</v>
      </c>
      <c r="E182" s="29" t="s">
        <v>44067</v>
      </c>
      <c r="F182" s="36" t="s">
        <v>54401</v>
      </c>
      <c r="G182" s="39">
        <f>2399358-214920</f>
        <v>2184438</v>
      </c>
      <c r="H182" s="42">
        <v>211</v>
      </c>
    </row>
    <row r="183" spans="1:8" ht="15" customHeight="1">
      <c r="A183" s="26">
        <v>4103584</v>
      </c>
      <c r="B183" s="29" t="s">
        <v>2427</v>
      </c>
      <c r="C183" s="29" t="s">
        <v>17358</v>
      </c>
      <c r="D183" s="29" t="s">
        <v>30505</v>
      </c>
      <c r="E183" s="29" t="s">
        <v>44068</v>
      </c>
      <c r="F183" s="36" t="s">
        <v>54401</v>
      </c>
      <c r="G183" s="39">
        <v>240709.48</v>
      </c>
      <c r="H183" s="42">
        <v>211</v>
      </c>
    </row>
    <row r="184" spans="1:8" ht="15" customHeight="1">
      <c r="A184" s="26">
        <v>4103962</v>
      </c>
      <c r="B184" s="29" t="s">
        <v>2428</v>
      </c>
      <c r="C184" s="29" t="s">
        <v>17359</v>
      </c>
      <c r="D184" s="29" t="s">
        <v>30506</v>
      </c>
      <c r="E184" s="29" t="s">
        <v>44069</v>
      </c>
      <c r="F184" s="36" t="s">
        <v>54401</v>
      </c>
      <c r="G184" s="39">
        <v>621374.18999999994</v>
      </c>
      <c r="H184" s="42">
        <v>211</v>
      </c>
    </row>
    <row r="185" spans="1:8" ht="15" customHeight="1">
      <c r="A185" s="26">
        <v>4104087</v>
      </c>
      <c r="B185" s="29" t="s">
        <v>2429</v>
      </c>
      <c r="C185" s="29" t="s">
        <v>17360</v>
      </c>
      <c r="D185" s="29" t="s">
        <v>30507</v>
      </c>
      <c r="E185" s="29" t="s">
        <v>44070</v>
      </c>
      <c r="F185" s="36" t="s">
        <v>54421</v>
      </c>
      <c r="G185" s="39">
        <v>1998198.12</v>
      </c>
      <c r="H185" s="42">
        <v>211</v>
      </c>
    </row>
    <row r="186" spans="1:8" ht="15" customHeight="1">
      <c r="A186" s="26">
        <v>4104237</v>
      </c>
      <c r="B186" s="29" t="s">
        <v>2430</v>
      </c>
      <c r="C186" s="29" t="s">
        <v>17361</v>
      </c>
      <c r="D186" s="29" t="s">
        <v>30508</v>
      </c>
      <c r="E186" s="29" t="s">
        <v>44071</v>
      </c>
      <c r="F186" s="36" t="s">
        <v>54401</v>
      </c>
      <c r="G186" s="39">
        <v>115594.31</v>
      </c>
      <c r="H186" s="42">
        <v>211</v>
      </c>
    </row>
    <row r="187" spans="1:8" ht="15" customHeight="1">
      <c r="A187" s="26">
        <v>4104414</v>
      </c>
      <c r="B187" s="29" t="s">
        <v>2431</v>
      </c>
      <c r="C187" s="29" t="s">
        <v>17362</v>
      </c>
      <c r="D187" s="29" t="s">
        <v>30509</v>
      </c>
      <c r="E187" s="29" t="s">
        <v>44072</v>
      </c>
      <c r="F187" s="36" t="s">
        <v>54401</v>
      </c>
      <c r="G187" s="39">
        <v>3360835.09</v>
      </c>
      <c r="H187" s="42">
        <v>211</v>
      </c>
    </row>
    <row r="188" spans="1:8" ht="15" customHeight="1">
      <c r="A188" s="26">
        <v>4107626</v>
      </c>
      <c r="B188" s="29" t="s">
        <v>2432</v>
      </c>
      <c r="C188" s="29" t="s">
        <v>17363</v>
      </c>
      <c r="D188" s="29" t="s">
        <v>30510</v>
      </c>
      <c r="E188" s="29" t="s">
        <v>44073</v>
      </c>
      <c r="F188" s="36" t="s">
        <v>54401</v>
      </c>
      <c r="G188" s="39">
        <f>29929205.2-262027</f>
        <v>29667178.199999999</v>
      </c>
      <c r="H188" s="42">
        <v>211</v>
      </c>
    </row>
    <row r="189" spans="1:8" ht="15" customHeight="1">
      <c r="A189" s="26">
        <v>4107692</v>
      </c>
      <c r="B189" s="29" t="s">
        <v>2433</v>
      </c>
      <c r="C189" s="29" t="s">
        <v>17204</v>
      </c>
      <c r="D189" s="29" t="s">
        <v>30511</v>
      </c>
      <c r="E189" s="29" t="s">
        <v>43926</v>
      </c>
      <c r="F189" s="36" t="s">
        <v>54401</v>
      </c>
      <c r="G189" s="39">
        <v>56650</v>
      </c>
      <c r="H189" s="42">
        <v>211</v>
      </c>
    </row>
    <row r="190" spans="1:8" ht="15" customHeight="1">
      <c r="A190" s="26">
        <v>4108945</v>
      </c>
      <c r="B190" s="29" t="s">
        <v>2434</v>
      </c>
      <c r="C190" s="29" t="s">
        <v>17364</v>
      </c>
      <c r="D190" s="29" t="s">
        <v>30512</v>
      </c>
      <c r="E190" s="29" t="s">
        <v>44074</v>
      </c>
      <c r="F190" s="36" t="s">
        <v>54401</v>
      </c>
      <c r="G190" s="39">
        <f>2782554.29+102145</f>
        <v>2884699.29</v>
      </c>
      <c r="H190" s="42">
        <v>211</v>
      </c>
    </row>
    <row r="191" spans="1:8" ht="15" customHeight="1">
      <c r="A191" s="26">
        <v>4109346</v>
      </c>
      <c r="B191" s="29" t="s">
        <v>2435</v>
      </c>
      <c r="C191" s="29" t="s">
        <v>17365</v>
      </c>
      <c r="D191" s="29" t="s">
        <v>30513</v>
      </c>
      <c r="E191" s="29" t="s">
        <v>44075</v>
      </c>
      <c r="F191" s="36" t="s">
        <v>54401</v>
      </c>
      <c r="G191" s="39">
        <v>19600</v>
      </c>
      <c r="H191" s="42">
        <v>211</v>
      </c>
    </row>
    <row r="192" spans="1:8" ht="15" customHeight="1">
      <c r="A192" s="26">
        <v>4109727</v>
      </c>
      <c r="B192" s="29" t="s">
        <v>2436</v>
      </c>
      <c r="C192" s="29" t="s">
        <v>17366</v>
      </c>
      <c r="D192" s="29" t="s">
        <v>30514</v>
      </c>
      <c r="E192" s="29" t="s">
        <v>44076</v>
      </c>
      <c r="F192" s="36" t="s">
        <v>54414</v>
      </c>
      <c r="G192" s="39">
        <f>1302991.56+64088777-243882</f>
        <v>65147886.560000002</v>
      </c>
      <c r="H192" s="42">
        <v>211</v>
      </c>
    </row>
    <row r="193" spans="1:8" ht="15" customHeight="1">
      <c r="A193" s="26">
        <v>4110236</v>
      </c>
      <c r="B193" s="29" t="s">
        <v>2437</v>
      </c>
      <c r="C193" s="29" t="s">
        <v>17367</v>
      </c>
      <c r="D193" s="29" t="s">
        <v>30515</v>
      </c>
      <c r="E193" s="29" t="s">
        <v>43926</v>
      </c>
      <c r="F193" s="36" t="s">
        <v>54401</v>
      </c>
      <c r="G193" s="39">
        <v>687120.79</v>
      </c>
      <c r="H193" s="42">
        <v>211</v>
      </c>
    </row>
    <row r="194" spans="1:8" ht="15" customHeight="1">
      <c r="A194" s="26">
        <v>4110316</v>
      </c>
      <c r="B194" s="29" t="s">
        <v>2438</v>
      </c>
      <c r="C194" s="29" t="s">
        <v>17368</v>
      </c>
      <c r="D194" s="29" t="s">
        <v>30376</v>
      </c>
      <c r="E194" s="29" t="s">
        <v>44077</v>
      </c>
      <c r="F194" s="36" t="s">
        <v>54401</v>
      </c>
      <c r="G194" s="39">
        <v>59639.92</v>
      </c>
      <c r="H194" s="42">
        <v>211</v>
      </c>
    </row>
    <row r="195" spans="1:8" ht="15" customHeight="1">
      <c r="A195" s="26">
        <v>4110358</v>
      </c>
      <c r="B195" s="29" t="s">
        <v>2439</v>
      </c>
      <c r="C195" s="29" t="s">
        <v>17369</v>
      </c>
      <c r="D195" s="29" t="s">
        <v>30516</v>
      </c>
      <c r="E195" s="29" t="s">
        <v>44078</v>
      </c>
      <c r="F195" s="36" t="s">
        <v>54401</v>
      </c>
      <c r="G195" s="39">
        <v>1185257.1499999999</v>
      </c>
      <c r="H195" s="42">
        <v>211</v>
      </c>
    </row>
    <row r="196" spans="1:8" ht="15" customHeight="1">
      <c r="A196" s="26">
        <v>4110615</v>
      </c>
      <c r="B196" s="29" t="s">
        <v>2440</v>
      </c>
      <c r="C196" s="29" t="s">
        <v>17370</v>
      </c>
      <c r="D196" s="29" t="s">
        <v>30517</v>
      </c>
      <c r="E196" s="29" t="s">
        <v>44079</v>
      </c>
      <c r="F196" s="36" t="s">
        <v>54401</v>
      </c>
      <c r="G196" s="39">
        <v>421646.39</v>
      </c>
      <c r="H196" s="42">
        <v>211</v>
      </c>
    </row>
    <row r="197" spans="1:8" ht="15" customHeight="1">
      <c r="A197" s="26">
        <v>4110699</v>
      </c>
      <c r="B197" s="29" t="s">
        <v>2441</v>
      </c>
      <c r="C197" s="29" t="s">
        <v>17204</v>
      </c>
      <c r="D197" s="29" t="s">
        <v>30518</v>
      </c>
      <c r="E197" s="29" t="s">
        <v>43926</v>
      </c>
      <c r="F197" s="36" t="s">
        <v>54401</v>
      </c>
      <c r="G197" s="39">
        <v>367160.06</v>
      </c>
      <c r="H197" s="42">
        <v>211</v>
      </c>
    </row>
    <row r="198" spans="1:8" ht="15" customHeight="1">
      <c r="A198" s="26">
        <v>4111191</v>
      </c>
      <c r="B198" s="29" t="s">
        <v>2442</v>
      </c>
      <c r="C198" s="29" t="s">
        <v>17371</v>
      </c>
      <c r="D198" s="29" t="s">
        <v>30519</v>
      </c>
      <c r="E198" s="29" t="s">
        <v>44080</v>
      </c>
      <c r="F198" s="36" t="s">
        <v>54401</v>
      </c>
      <c r="G198" s="39">
        <v>295840.57</v>
      </c>
      <c r="H198" s="42">
        <v>211</v>
      </c>
    </row>
    <row r="199" spans="1:8" ht="15" customHeight="1">
      <c r="A199" s="26">
        <v>4111661</v>
      </c>
      <c r="B199" s="29" t="s">
        <v>2443</v>
      </c>
      <c r="C199" s="29" t="s">
        <v>17372</v>
      </c>
      <c r="D199" s="29" t="s">
        <v>30520</v>
      </c>
      <c r="E199" s="29" t="s">
        <v>44081</v>
      </c>
      <c r="F199" s="36" t="s">
        <v>54401</v>
      </c>
      <c r="G199" s="39">
        <f>121653.16+266612</f>
        <v>388265.16000000003</v>
      </c>
      <c r="H199" s="42">
        <v>211</v>
      </c>
    </row>
    <row r="200" spans="1:8" ht="15" customHeight="1">
      <c r="A200" s="26">
        <v>4111809</v>
      </c>
      <c r="B200" s="29" t="s">
        <v>2444</v>
      </c>
      <c r="C200" s="29" t="s">
        <v>17373</v>
      </c>
      <c r="D200" s="29" t="s">
        <v>30521</v>
      </c>
      <c r="E200" s="29" t="s">
        <v>44082</v>
      </c>
      <c r="F200" s="36" t="s">
        <v>54401</v>
      </c>
      <c r="G200" s="39">
        <v>814238.31</v>
      </c>
      <c r="H200" s="42">
        <v>211</v>
      </c>
    </row>
    <row r="201" spans="1:8" ht="15" customHeight="1">
      <c r="A201" s="26">
        <v>4111846</v>
      </c>
      <c r="B201" s="29" t="s">
        <v>2445</v>
      </c>
      <c r="C201" s="29" t="s">
        <v>17374</v>
      </c>
      <c r="D201" s="29" t="s">
        <v>30522</v>
      </c>
      <c r="E201" s="29" t="s">
        <v>44002</v>
      </c>
      <c r="F201" s="36" t="s">
        <v>54409</v>
      </c>
      <c r="G201" s="39">
        <f>614070.33+1372957</f>
        <v>1987027.33</v>
      </c>
      <c r="H201" s="42">
        <v>211</v>
      </c>
    </row>
    <row r="202" spans="1:8" ht="15" customHeight="1">
      <c r="A202" s="26">
        <v>4112003</v>
      </c>
      <c r="B202" s="29" t="s">
        <v>2446</v>
      </c>
      <c r="C202" s="26" t="s">
        <v>17375</v>
      </c>
      <c r="D202" s="26" t="s">
        <v>30523</v>
      </c>
      <c r="E202" s="26" t="s">
        <v>44083</v>
      </c>
      <c r="F202" s="37" t="s">
        <v>54401</v>
      </c>
      <c r="G202" s="39">
        <v>202390.55</v>
      </c>
      <c r="H202" s="42">
        <v>211</v>
      </c>
    </row>
    <row r="203" spans="1:8" ht="15" customHeight="1">
      <c r="A203" s="26">
        <v>4112005</v>
      </c>
      <c r="B203" s="29" t="s">
        <v>2447</v>
      </c>
      <c r="C203" s="29" t="s">
        <v>17376</v>
      </c>
      <c r="D203" s="29" t="s">
        <v>30524</v>
      </c>
      <c r="E203" s="29" t="s">
        <v>44084</v>
      </c>
      <c r="F203" s="36" t="s">
        <v>54413</v>
      </c>
      <c r="G203" s="39">
        <f>6404258-455351</f>
        <v>5948907</v>
      </c>
      <c r="H203" s="42">
        <v>211</v>
      </c>
    </row>
    <row r="204" spans="1:8" ht="15" customHeight="1">
      <c r="A204" s="26">
        <v>4112024</v>
      </c>
      <c r="B204" s="29" t="s">
        <v>2448</v>
      </c>
      <c r="C204" s="29" t="s">
        <v>17204</v>
      </c>
      <c r="D204" s="29" t="s">
        <v>30525</v>
      </c>
      <c r="E204" s="29" t="s">
        <v>43926</v>
      </c>
      <c r="F204" s="36" t="s">
        <v>54401</v>
      </c>
      <c r="G204" s="39">
        <v>81711.240000000005</v>
      </c>
      <c r="H204" s="42">
        <v>211</v>
      </c>
    </row>
    <row r="205" spans="1:8" ht="15" customHeight="1">
      <c r="A205" s="26">
        <v>4113116</v>
      </c>
      <c r="B205" s="29" t="s">
        <v>2449</v>
      </c>
      <c r="C205" s="29" t="s">
        <v>17377</v>
      </c>
      <c r="D205" s="29" t="s">
        <v>30526</v>
      </c>
      <c r="E205" s="29" t="s">
        <v>542</v>
      </c>
      <c r="F205" s="36" t="s">
        <v>54401</v>
      </c>
      <c r="G205" s="39">
        <v>147728.12</v>
      </c>
      <c r="H205" s="42">
        <v>211</v>
      </c>
    </row>
    <row r="206" spans="1:8" ht="15" customHeight="1">
      <c r="A206" s="26">
        <v>4113646</v>
      </c>
      <c r="B206" s="29" t="s">
        <v>2450</v>
      </c>
      <c r="C206" s="29" t="s">
        <v>17378</v>
      </c>
      <c r="D206" s="29" t="s">
        <v>30527</v>
      </c>
      <c r="E206" s="29" t="s">
        <v>44085</v>
      </c>
      <c r="F206" s="36" t="s">
        <v>54401</v>
      </c>
      <c r="G206" s="39">
        <v>6696140.3700000001</v>
      </c>
      <c r="H206" s="42">
        <v>211</v>
      </c>
    </row>
    <row r="207" spans="1:8" ht="15" customHeight="1">
      <c r="A207" s="26">
        <v>4114293</v>
      </c>
      <c r="B207" s="29" t="s">
        <v>2451</v>
      </c>
      <c r="C207" s="29" t="s">
        <v>17379</v>
      </c>
      <c r="D207" s="29" t="s">
        <v>30528</v>
      </c>
      <c r="E207" s="29" t="s">
        <v>44086</v>
      </c>
      <c r="F207" s="36" t="s">
        <v>54401</v>
      </c>
      <c r="G207" s="39">
        <v>1085322.72</v>
      </c>
      <c r="H207" s="42">
        <v>211</v>
      </c>
    </row>
    <row r="208" spans="1:8" ht="15" customHeight="1">
      <c r="A208" s="26">
        <v>4116515</v>
      </c>
      <c r="B208" s="29" t="s">
        <v>2452</v>
      </c>
      <c r="C208" s="29" t="s">
        <v>17380</v>
      </c>
      <c r="D208" s="29" t="s">
        <v>30529</v>
      </c>
      <c r="E208" s="29" t="s">
        <v>44087</v>
      </c>
      <c r="F208" s="36" t="s">
        <v>54401</v>
      </c>
      <c r="G208" s="39">
        <f>10738447.35+194474+460569</f>
        <v>11393490.35</v>
      </c>
      <c r="H208" s="42">
        <v>211</v>
      </c>
    </row>
    <row r="209" spans="1:8" ht="15" customHeight="1">
      <c r="A209" s="26">
        <v>4116995</v>
      </c>
      <c r="B209" s="29" t="s">
        <v>2453</v>
      </c>
      <c r="C209" s="29" t="s">
        <v>17381</v>
      </c>
      <c r="D209" s="29" t="s">
        <v>30530</v>
      </c>
      <c r="E209" s="29" t="s">
        <v>44088</v>
      </c>
      <c r="F209" s="36" t="s">
        <v>54401</v>
      </c>
      <c r="G209" s="39">
        <v>4486004.09</v>
      </c>
      <c r="H209" s="42">
        <v>211</v>
      </c>
    </row>
    <row r="210" spans="1:8" ht="15" customHeight="1">
      <c r="A210" s="26">
        <v>4117006</v>
      </c>
      <c r="B210" s="29" t="s">
        <v>2454</v>
      </c>
      <c r="C210" s="29" t="s">
        <v>17382</v>
      </c>
      <c r="D210" s="29" t="s">
        <v>30531</v>
      </c>
      <c r="E210" s="29" t="s">
        <v>44089</v>
      </c>
      <c r="F210" s="36" t="s">
        <v>54401</v>
      </c>
      <c r="G210" s="39">
        <f>2992340.53+66422</f>
        <v>3058762.53</v>
      </c>
      <c r="H210" s="42">
        <v>211</v>
      </c>
    </row>
    <row r="211" spans="1:8" ht="15" customHeight="1">
      <c r="A211" s="26">
        <v>4117082</v>
      </c>
      <c r="B211" s="29" t="s">
        <v>2455</v>
      </c>
      <c r="C211" s="29" t="s">
        <v>17383</v>
      </c>
      <c r="D211" s="29" t="s">
        <v>30532</v>
      </c>
      <c r="E211" s="29" t="s">
        <v>44090</v>
      </c>
      <c r="F211" s="36" t="s">
        <v>54401</v>
      </c>
      <c r="G211" s="39">
        <f>5818241.11+90750-11628</f>
        <v>5897363.1100000003</v>
      </c>
      <c r="H211" s="42">
        <v>211</v>
      </c>
    </row>
    <row r="212" spans="1:8" ht="15" customHeight="1">
      <c r="A212" s="26">
        <v>4118997</v>
      </c>
      <c r="B212" s="29" t="s">
        <v>2456</v>
      </c>
      <c r="C212" s="29" t="s">
        <v>17384</v>
      </c>
      <c r="D212" s="29" t="s">
        <v>30533</v>
      </c>
      <c r="E212" s="29" t="s">
        <v>44091</v>
      </c>
      <c r="F212" s="36" t="s">
        <v>54401</v>
      </c>
      <c r="G212" s="39">
        <v>2647270.52</v>
      </c>
      <c r="H212" s="42">
        <v>211</v>
      </c>
    </row>
    <row r="213" spans="1:8" ht="15" customHeight="1">
      <c r="A213" s="26">
        <v>4119021</v>
      </c>
      <c r="B213" s="29" t="s">
        <v>2457</v>
      </c>
      <c r="C213" s="29" t="s">
        <v>17385</v>
      </c>
      <c r="D213" s="29" t="s">
        <v>30534</v>
      </c>
      <c r="E213" s="29" t="s">
        <v>43926</v>
      </c>
      <c r="F213" s="36" t="s">
        <v>54401</v>
      </c>
      <c r="G213" s="39">
        <f>2797681.48+621340</f>
        <v>3419021.48</v>
      </c>
      <c r="H213" s="42">
        <v>211</v>
      </c>
    </row>
    <row r="214" spans="1:8" ht="15" customHeight="1">
      <c r="A214" s="26">
        <v>4119044</v>
      </c>
      <c r="B214" s="29" t="s">
        <v>2458</v>
      </c>
      <c r="C214" s="29" t="s">
        <v>17386</v>
      </c>
      <c r="D214" s="29" t="s">
        <v>30535</v>
      </c>
      <c r="E214" s="29" t="s">
        <v>44092</v>
      </c>
      <c r="F214" s="36" t="s">
        <v>54401</v>
      </c>
      <c r="G214" s="39">
        <f>2370876.18+937885</f>
        <v>3308761.18</v>
      </c>
      <c r="H214" s="42">
        <v>211</v>
      </c>
    </row>
    <row r="215" spans="1:8" ht="15" customHeight="1">
      <c r="A215" s="26">
        <v>4119168</v>
      </c>
      <c r="B215" s="29" t="s">
        <v>2459</v>
      </c>
      <c r="C215" s="29" t="s">
        <v>17387</v>
      </c>
      <c r="D215" s="29" t="s">
        <v>30536</v>
      </c>
      <c r="E215" s="29" t="s">
        <v>44093</v>
      </c>
      <c r="F215" s="36" t="s">
        <v>54401</v>
      </c>
      <c r="G215" s="39">
        <v>196154.43</v>
      </c>
      <c r="H215" s="42">
        <v>211</v>
      </c>
    </row>
    <row r="216" spans="1:8" ht="15" customHeight="1">
      <c r="A216" s="26">
        <v>4119250</v>
      </c>
      <c r="B216" s="29" t="s">
        <v>2460</v>
      </c>
      <c r="C216" s="29" t="s">
        <v>17388</v>
      </c>
      <c r="D216" s="29" t="s">
        <v>30537</v>
      </c>
      <c r="E216" s="29" t="s">
        <v>44094</v>
      </c>
      <c r="F216" s="36" t="s">
        <v>54401</v>
      </c>
      <c r="G216" s="39">
        <f>1143385.19+455001</f>
        <v>1598386.19</v>
      </c>
      <c r="H216" s="42">
        <v>211</v>
      </c>
    </row>
    <row r="217" spans="1:8" ht="15" customHeight="1">
      <c r="A217" s="26">
        <v>4119390</v>
      </c>
      <c r="B217" s="29" t="s">
        <v>2461</v>
      </c>
      <c r="C217" s="29" t="s">
        <v>17204</v>
      </c>
      <c r="D217" s="29" t="s">
        <v>30538</v>
      </c>
      <c r="E217" s="29" t="s">
        <v>44095</v>
      </c>
      <c r="F217" s="36" t="s">
        <v>54401</v>
      </c>
      <c r="G217" s="39">
        <v>543722.57999999996</v>
      </c>
      <c r="H217" s="42">
        <v>211</v>
      </c>
    </row>
    <row r="218" spans="1:8" ht="15" customHeight="1">
      <c r="A218" s="26">
        <v>4119456</v>
      </c>
      <c r="B218" s="29" t="s">
        <v>2462</v>
      </c>
      <c r="C218" s="29" t="s">
        <v>17389</v>
      </c>
      <c r="D218" s="29" t="s">
        <v>30539</v>
      </c>
      <c r="E218" s="29" t="s">
        <v>44096</v>
      </c>
      <c r="F218" s="36" t="s">
        <v>54401</v>
      </c>
      <c r="G218" s="39">
        <f>275990.41+146339</f>
        <v>422329.41</v>
      </c>
      <c r="H218" s="42">
        <v>211</v>
      </c>
    </row>
    <row r="219" spans="1:8" ht="15" customHeight="1">
      <c r="A219" s="26">
        <v>4119591</v>
      </c>
      <c r="B219" s="29" t="s">
        <v>2463</v>
      </c>
      <c r="C219" s="26" t="s">
        <v>17390</v>
      </c>
      <c r="D219" s="26" t="s">
        <v>30540</v>
      </c>
      <c r="E219" s="26" t="s">
        <v>44097</v>
      </c>
      <c r="F219" s="37" t="s">
        <v>54412</v>
      </c>
      <c r="G219" s="39">
        <f>69884.9+337362</f>
        <v>407246.9</v>
      </c>
      <c r="H219" s="42">
        <v>211</v>
      </c>
    </row>
    <row r="220" spans="1:8" ht="15" customHeight="1">
      <c r="A220" s="26">
        <v>4119736</v>
      </c>
      <c r="B220" s="29" t="s">
        <v>2464</v>
      </c>
      <c r="C220" s="29" t="s">
        <v>17391</v>
      </c>
      <c r="D220" s="29" t="s">
        <v>30541</v>
      </c>
      <c r="E220" s="29" t="s">
        <v>44098</v>
      </c>
      <c r="F220" s="36" t="s">
        <v>54401</v>
      </c>
      <c r="G220" s="39">
        <v>373819.41</v>
      </c>
      <c r="H220" s="42">
        <v>211</v>
      </c>
    </row>
    <row r="221" spans="1:8" ht="15" customHeight="1">
      <c r="A221" s="26">
        <v>4119848</v>
      </c>
      <c r="B221" s="29" t="s">
        <v>2465</v>
      </c>
      <c r="C221" s="29" t="s">
        <v>17392</v>
      </c>
      <c r="D221" s="29" t="s">
        <v>30542</v>
      </c>
      <c r="E221" s="29" t="s">
        <v>43926</v>
      </c>
      <c r="F221" s="36" t="s">
        <v>54401</v>
      </c>
      <c r="G221" s="39">
        <v>229471.7</v>
      </c>
      <c r="H221" s="42">
        <v>211</v>
      </c>
    </row>
    <row r="222" spans="1:8" ht="15" customHeight="1">
      <c r="A222" s="26">
        <v>4119923</v>
      </c>
      <c r="B222" s="29" t="s">
        <v>2466</v>
      </c>
      <c r="C222" s="29" t="s">
        <v>17393</v>
      </c>
      <c r="D222" s="29" t="s">
        <v>30543</v>
      </c>
      <c r="E222" s="29" t="s">
        <v>44099</v>
      </c>
      <c r="F222" s="36" t="s">
        <v>54401</v>
      </c>
      <c r="G222" s="39">
        <v>136816.41</v>
      </c>
      <c r="H222" s="42">
        <v>211</v>
      </c>
    </row>
    <row r="223" spans="1:8" ht="15" customHeight="1">
      <c r="A223" s="26">
        <v>4119939</v>
      </c>
      <c r="B223" s="29" t="s">
        <v>2467</v>
      </c>
      <c r="C223" s="29" t="s">
        <v>17394</v>
      </c>
      <c r="D223" s="29" t="s">
        <v>30544</v>
      </c>
      <c r="E223" s="29" t="s">
        <v>44100</v>
      </c>
      <c r="F223" s="36" t="s">
        <v>54401</v>
      </c>
      <c r="G223" s="39">
        <v>5545465</v>
      </c>
      <c r="H223" s="42">
        <v>211</v>
      </c>
    </row>
    <row r="224" spans="1:8" ht="15" customHeight="1">
      <c r="A224" s="26">
        <v>4119957</v>
      </c>
      <c r="B224" s="29" t="s">
        <v>2468</v>
      </c>
      <c r="C224" s="29" t="s">
        <v>17395</v>
      </c>
      <c r="D224" s="29" t="s">
        <v>30545</v>
      </c>
      <c r="E224" s="29" t="s">
        <v>44101</v>
      </c>
      <c r="F224" s="36" t="s">
        <v>54401</v>
      </c>
      <c r="G224" s="39">
        <v>405607.08</v>
      </c>
      <c r="H224" s="42">
        <v>211</v>
      </c>
    </row>
    <row r="225" spans="1:8" ht="15" customHeight="1">
      <c r="A225" s="26">
        <v>4120372</v>
      </c>
      <c r="B225" s="29" t="s">
        <v>2469</v>
      </c>
      <c r="C225" s="29" t="s">
        <v>17396</v>
      </c>
      <c r="D225" s="29" t="s">
        <v>30546</v>
      </c>
      <c r="E225" s="29" t="s">
        <v>44102</v>
      </c>
      <c r="F225" s="36" t="s">
        <v>54422</v>
      </c>
      <c r="G225" s="39">
        <f>645951.8+59204+150676</f>
        <v>855831.8</v>
      </c>
      <c r="H225" s="42">
        <v>211</v>
      </c>
    </row>
    <row r="226" spans="1:8" ht="15" customHeight="1">
      <c r="A226" s="26">
        <v>4120450</v>
      </c>
      <c r="B226" s="29" t="s">
        <v>2470</v>
      </c>
      <c r="C226" s="26" t="s">
        <v>17397</v>
      </c>
      <c r="D226" s="26" t="s">
        <v>30547</v>
      </c>
      <c r="E226" s="26" t="s">
        <v>44103</v>
      </c>
      <c r="F226" s="37" t="s">
        <v>54401</v>
      </c>
      <c r="G226" s="39">
        <v>298154.83</v>
      </c>
      <c r="H226" s="42">
        <v>211</v>
      </c>
    </row>
    <row r="227" spans="1:8" ht="15" customHeight="1">
      <c r="A227" s="26">
        <v>4120538</v>
      </c>
      <c r="B227" s="29" t="s">
        <v>2471</v>
      </c>
      <c r="C227" s="29" t="s">
        <v>17398</v>
      </c>
      <c r="D227" s="29" t="s">
        <v>30548</v>
      </c>
      <c r="E227" s="29" t="s">
        <v>44104</v>
      </c>
      <c r="F227" s="36" t="s">
        <v>54423</v>
      </c>
      <c r="G227" s="39">
        <f>7587754.2-119397</f>
        <v>7468357.2000000002</v>
      </c>
      <c r="H227" s="42">
        <v>211</v>
      </c>
    </row>
    <row r="228" spans="1:8" ht="15" customHeight="1">
      <c r="A228" s="26">
        <v>4120555</v>
      </c>
      <c r="B228" s="29" t="s">
        <v>2472</v>
      </c>
      <c r="C228" s="29" t="s">
        <v>17399</v>
      </c>
      <c r="D228" s="29" t="s">
        <v>30549</v>
      </c>
      <c r="E228" s="29" t="s">
        <v>44105</v>
      </c>
      <c r="F228" s="36" t="s">
        <v>54401</v>
      </c>
      <c r="G228" s="39">
        <v>5303706.26</v>
      </c>
      <c r="H228" s="42">
        <v>211</v>
      </c>
    </row>
    <row r="229" spans="1:8" ht="15" customHeight="1">
      <c r="A229" s="26">
        <v>4120665</v>
      </c>
      <c r="B229" s="29" t="s">
        <v>2473</v>
      </c>
      <c r="C229" s="29" t="s">
        <v>17400</v>
      </c>
      <c r="D229" s="29" t="s">
        <v>30550</v>
      </c>
      <c r="E229" s="29" t="s">
        <v>44106</v>
      </c>
      <c r="F229" s="36" t="s">
        <v>54401</v>
      </c>
      <c r="G229" s="39">
        <f>20416+1922385</f>
        <v>1942801</v>
      </c>
      <c r="H229" s="42">
        <v>211</v>
      </c>
    </row>
    <row r="230" spans="1:8" ht="15" customHeight="1">
      <c r="A230" s="26">
        <v>4120723</v>
      </c>
      <c r="B230" s="29" t="s">
        <v>2474</v>
      </c>
      <c r="C230" s="26" t="s">
        <v>17401</v>
      </c>
      <c r="D230" s="26" t="s">
        <v>30551</v>
      </c>
      <c r="E230" s="26" t="s">
        <v>44107</v>
      </c>
      <c r="F230" s="37" t="s">
        <v>54401</v>
      </c>
      <c r="G230" s="39">
        <v>2324785.5</v>
      </c>
      <c r="H230" s="42">
        <v>211</v>
      </c>
    </row>
    <row r="231" spans="1:8" ht="15" customHeight="1">
      <c r="A231" s="26">
        <v>4120737</v>
      </c>
      <c r="B231" s="29" t="s">
        <v>2475</v>
      </c>
      <c r="C231" s="29" t="s">
        <v>17402</v>
      </c>
      <c r="D231" s="29" t="s">
        <v>30376</v>
      </c>
      <c r="E231" s="29" t="s">
        <v>44108</v>
      </c>
      <c r="F231" s="36" t="s">
        <v>54406</v>
      </c>
      <c r="G231" s="39">
        <v>842292.96</v>
      </c>
      <c r="H231" s="42">
        <v>211</v>
      </c>
    </row>
    <row r="232" spans="1:8" ht="15" customHeight="1">
      <c r="A232" s="26">
        <v>4120787</v>
      </c>
      <c r="B232" s="29" t="s">
        <v>2476</v>
      </c>
      <c r="C232" s="29" t="s">
        <v>17403</v>
      </c>
      <c r="D232" s="29" t="s">
        <v>30552</v>
      </c>
      <c r="E232" s="29" t="s">
        <v>44109</v>
      </c>
      <c r="F232" s="36" t="s">
        <v>54401</v>
      </c>
      <c r="G232" s="39">
        <v>4215601.3600000003</v>
      </c>
      <c r="H232" s="42">
        <v>211</v>
      </c>
    </row>
    <row r="233" spans="1:8" ht="15" customHeight="1">
      <c r="A233" s="26">
        <v>4120799</v>
      </c>
      <c r="B233" s="29" t="s">
        <v>2477</v>
      </c>
      <c r="C233" s="29" t="s">
        <v>17404</v>
      </c>
      <c r="D233" s="29" t="s">
        <v>30553</v>
      </c>
      <c r="E233" s="29" t="s">
        <v>43926</v>
      </c>
      <c r="F233" s="36" t="s">
        <v>54401</v>
      </c>
      <c r="G233" s="39">
        <v>103257.59</v>
      </c>
      <c r="H233" s="42">
        <v>211</v>
      </c>
    </row>
    <row r="234" spans="1:8" ht="15" customHeight="1">
      <c r="A234" s="26">
        <v>4121062</v>
      </c>
      <c r="B234" s="29" t="s">
        <v>2478</v>
      </c>
      <c r="C234" s="29" t="s">
        <v>17405</v>
      </c>
      <c r="D234" s="29" t="s">
        <v>30554</v>
      </c>
      <c r="E234" s="29" t="s">
        <v>44110</v>
      </c>
      <c r="F234" s="36" t="s">
        <v>54401</v>
      </c>
      <c r="G234" s="39">
        <v>1228318.25</v>
      </c>
      <c r="H234" s="42">
        <v>211</v>
      </c>
    </row>
    <row r="235" spans="1:8" ht="15" customHeight="1">
      <c r="A235" s="26">
        <v>4122213</v>
      </c>
      <c r="B235" s="29" t="s">
        <v>2479</v>
      </c>
      <c r="C235" s="29" t="s">
        <v>17406</v>
      </c>
      <c r="D235" s="29" t="s">
        <v>30555</v>
      </c>
      <c r="E235" s="29" t="s">
        <v>44111</v>
      </c>
      <c r="F235" s="36" t="s">
        <v>54401</v>
      </c>
      <c r="G235" s="39">
        <v>511191.48</v>
      </c>
      <c r="H235" s="42">
        <v>211</v>
      </c>
    </row>
    <row r="236" spans="1:8" ht="15" customHeight="1">
      <c r="A236" s="26">
        <v>4122316</v>
      </c>
      <c r="B236" s="29" t="s">
        <v>2480</v>
      </c>
      <c r="C236" s="29" t="s">
        <v>17407</v>
      </c>
      <c r="D236" s="29" t="s">
        <v>30556</v>
      </c>
      <c r="E236" s="29" t="s">
        <v>44112</v>
      </c>
      <c r="F236" s="36" t="s">
        <v>54409</v>
      </c>
      <c r="G236" s="39">
        <v>306995.34000000003</v>
      </c>
      <c r="H236" s="42">
        <v>211</v>
      </c>
    </row>
    <row r="237" spans="1:8" ht="15" customHeight="1">
      <c r="A237" s="26">
        <v>4122567</v>
      </c>
      <c r="B237" s="29" t="s">
        <v>2481</v>
      </c>
      <c r="C237" s="26" t="s">
        <v>17408</v>
      </c>
      <c r="D237" s="26" t="s">
        <v>30557</v>
      </c>
      <c r="E237" s="26" t="s">
        <v>715</v>
      </c>
      <c r="F237" s="37" t="s">
        <v>54401</v>
      </c>
      <c r="G237" s="39">
        <f>175338.06+232429</f>
        <v>407767.06</v>
      </c>
      <c r="H237" s="42">
        <v>211</v>
      </c>
    </row>
    <row r="238" spans="1:8" ht="15" customHeight="1">
      <c r="A238" s="26">
        <v>4122691</v>
      </c>
      <c r="B238" s="29" t="s">
        <v>2482</v>
      </c>
      <c r="C238" s="29" t="s">
        <v>17204</v>
      </c>
      <c r="D238" s="29" t="s">
        <v>30558</v>
      </c>
      <c r="E238" s="29" t="s">
        <v>43926</v>
      </c>
      <c r="F238" s="36" t="s">
        <v>54401</v>
      </c>
      <c r="G238" s="39">
        <v>854736.35</v>
      </c>
      <c r="H238" s="42">
        <v>211</v>
      </c>
    </row>
    <row r="239" spans="1:8" ht="15" customHeight="1">
      <c r="A239" s="26">
        <v>4122696</v>
      </c>
      <c r="B239" s="29" t="s">
        <v>2483</v>
      </c>
      <c r="C239" s="29" t="s">
        <v>17409</v>
      </c>
      <c r="D239" s="29" t="s">
        <v>30559</v>
      </c>
      <c r="E239" s="29" t="s">
        <v>44113</v>
      </c>
      <c r="F239" s="36" t="s">
        <v>54401</v>
      </c>
      <c r="G239" s="39">
        <v>722083.66</v>
      </c>
      <c r="H239" s="42">
        <v>211</v>
      </c>
    </row>
    <row r="240" spans="1:8" ht="15" customHeight="1">
      <c r="A240" s="26">
        <v>4122886</v>
      </c>
      <c r="B240" s="29" t="s">
        <v>2484</v>
      </c>
      <c r="C240" s="29" t="s">
        <v>17410</v>
      </c>
      <c r="D240" s="29" t="s">
        <v>30560</v>
      </c>
      <c r="E240" s="29" t="s">
        <v>44114</v>
      </c>
      <c r="F240" s="36" t="s">
        <v>54401</v>
      </c>
      <c r="G240" s="39">
        <v>271958.09000000003</v>
      </c>
      <c r="H240" s="42">
        <v>211</v>
      </c>
    </row>
    <row r="241" spans="1:8" ht="15" customHeight="1">
      <c r="A241" s="26">
        <v>4122927</v>
      </c>
      <c r="B241" s="29" t="s">
        <v>2485</v>
      </c>
      <c r="C241" s="29" t="s">
        <v>17411</v>
      </c>
      <c r="D241" s="29" t="s">
        <v>30561</v>
      </c>
      <c r="E241" s="29" t="s">
        <v>44115</v>
      </c>
      <c r="F241" s="36" t="s">
        <v>54401</v>
      </c>
      <c r="G241" s="39">
        <v>3067722.01</v>
      </c>
      <c r="H241" s="42">
        <v>211</v>
      </c>
    </row>
    <row r="242" spans="1:8" ht="15" customHeight="1">
      <c r="A242" s="26">
        <v>4122945</v>
      </c>
      <c r="B242" s="29" t="s">
        <v>2486</v>
      </c>
      <c r="C242" s="29" t="s">
        <v>17412</v>
      </c>
      <c r="D242" s="29" t="s">
        <v>30562</v>
      </c>
      <c r="E242" s="29" t="s">
        <v>44116</v>
      </c>
      <c r="F242" s="36" t="s">
        <v>54401</v>
      </c>
      <c r="G242" s="39">
        <v>4767772.9800000004</v>
      </c>
      <c r="H242" s="42">
        <v>211</v>
      </c>
    </row>
    <row r="243" spans="1:8" ht="15" customHeight="1">
      <c r="A243" s="26">
        <v>4123035</v>
      </c>
      <c r="B243" s="29" t="s">
        <v>2487</v>
      </c>
      <c r="C243" s="29" t="s">
        <v>17413</v>
      </c>
      <c r="D243" s="29" t="s">
        <v>30563</v>
      </c>
      <c r="E243" s="29" t="s">
        <v>44117</v>
      </c>
      <c r="F243" s="36" t="s">
        <v>54401</v>
      </c>
      <c r="G243" s="39">
        <v>4687374.63</v>
      </c>
      <c r="H243" s="42">
        <v>211</v>
      </c>
    </row>
    <row r="244" spans="1:8" ht="15" customHeight="1">
      <c r="A244" s="26">
        <v>4123083</v>
      </c>
      <c r="B244" s="29" t="s">
        <v>2488</v>
      </c>
      <c r="C244" s="29" t="s">
        <v>17414</v>
      </c>
      <c r="D244" s="29" t="s">
        <v>30564</v>
      </c>
      <c r="E244" s="29" t="s">
        <v>44118</v>
      </c>
      <c r="F244" s="36" t="s">
        <v>54401</v>
      </c>
      <c r="G244" s="39">
        <v>558396.23</v>
      </c>
      <c r="H244" s="42">
        <v>211</v>
      </c>
    </row>
    <row r="245" spans="1:8" ht="15" customHeight="1">
      <c r="A245" s="26">
        <v>4123191</v>
      </c>
      <c r="B245" s="29" t="s">
        <v>2489</v>
      </c>
      <c r="C245" s="29" t="s">
        <v>17415</v>
      </c>
      <c r="D245" s="29" t="s">
        <v>30565</v>
      </c>
      <c r="E245" s="29" t="s">
        <v>44119</v>
      </c>
      <c r="F245" s="36" t="s">
        <v>54401</v>
      </c>
      <c r="G245" s="39">
        <f>2009115.57+170922</f>
        <v>2180037.5700000003</v>
      </c>
      <c r="H245" s="42">
        <v>211</v>
      </c>
    </row>
    <row r="246" spans="1:8" ht="15" customHeight="1">
      <c r="A246" s="26">
        <v>4123196</v>
      </c>
      <c r="B246" s="29" t="s">
        <v>2490</v>
      </c>
      <c r="C246" s="29" t="s">
        <v>17416</v>
      </c>
      <c r="D246" s="29" t="s">
        <v>30566</v>
      </c>
      <c r="E246" s="29" t="s">
        <v>44120</v>
      </c>
      <c r="F246" s="36" t="s">
        <v>54401</v>
      </c>
      <c r="G246" s="39">
        <f>10996882.02-7941+423570</f>
        <v>11412511.02</v>
      </c>
      <c r="H246" s="42">
        <v>211</v>
      </c>
    </row>
    <row r="247" spans="1:8" ht="15" customHeight="1">
      <c r="A247" s="26">
        <v>4123202</v>
      </c>
      <c r="B247" s="29" t="s">
        <v>2491</v>
      </c>
      <c r="C247" s="29" t="s">
        <v>17417</v>
      </c>
      <c r="D247" s="29" t="s">
        <v>30376</v>
      </c>
      <c r="E247" s="29" t="s">
        <v>44121</v>
      </c>
      <c r="F247" s="36" t="s">
        <v>54424</v>
      </c>
      <c r="G247" s="39">
        <f>526586.37+2915144</f>
        <v>3441730.37</v>
      </c>
      <c r="H247" s="42">
        <v>211</v>
      </c>
    </row>
    <row r="248" spans="1:8" ht="15" customHeight="1">
      <c r="A248" s="26">
        <v>4123205</v>
      </c>
      <c r="B248" s="29" t="s">
        <v>2492</v>
      </c>
      <c r="C248" s="29" t="s">
        <v>17412</v>
      </c>
      <c r="D248" s="29" t="s">
        <v>30562</v>
      </c>
      <c r="E248" s="29" t="s">
        <v>44122</v>
      </c>
      <c r="F248" s="36" t="s">
        <v>54401</v>
      </c>
      <c r="G248" s="39">
        <v>2968764.27</v>
      </c>
      <c r="H248" s="42">
        <v>211</v>
      </c>
    </row>
    <row r="249" spans="1:8" ht="15" customHeight="1">
      <c r="A249" s="26">
        <v>4129800</v>
      </c>
      <c r="B249" s="29" t="s">
        <v>2493</v>
      </c>
      <c r="C249" s="29" t="s">
        <v>17204</v>
      </c>
      <c r="D249" s="29" t="s">
        <v>30567</v>
      </c>
      <c r="E249" s="29" t="s">
        <v>44123</v>
      </c>
      <c r="F249" s="36" t="s">
        <v>54401</v>
      </c>
      <c r="G249" s="39">
        <v>221384.08</v>
      </c>
      <c r="H249" s="42">
        <v>211</v>
      </c>
    </row>
    <row r="250" spans="1:8" ht="15" customHeight="1">
      <c r="A250" s="26">
        <v>4133718</v>
      </c>
      <c r="B250" s="29" t="s">
        <v>2494</v>
      </c>
      <c r="C250" s="29" t="s">
        <v>17418</v>
      </c>
      <c r="D250" s="29" t="s">
        <v>30376</v>
      </c>
      <c r="E250" s="29" t="s">
        <v>44124</v>
      </c>
      <c r="F250" s="36" t="s">
        <v>54401</v>
      </c>
      <c r="G250" s="39">
        <v>517016.07</v>
      </c>
      <c r="H250" s="42">
        <v>211</v>
      </c>
    </row>
    <row r="251" spans="1:8" ht="15" customHeight="1">
      <c r="A251" s="26">
        <v>4134246</v>
      </c>
      <c r="B251" s="29" t="s">
        <v>2495</v>
      </c>
      <c r="C251" s="29" t="s">
        <v>17419</v>
      </c>
      <c r="D251" s="29" t="s">
        <v>30568</v>
      </c>
      <c r="E251" s="29" t="s">
        <v>44125</v>
      </c>
      <c r="F251" s="36" t="s">
        <v>54401</v>
      </c>
      <c r="G251" s="39">
        <v>149564.46</v>
      </c>
      <c r="H251" s="42">
        <v>211</v>
      </c>
    </row>
    <row r="252" spans="1:8" ht="15" customHeight="1">
      <c r="A252" s="26">
        <v>4134419</v>
      </c>
      <c r="B252" s="29" t="s">
        <v>2496</v>
      </c>
      <c r="C252" s="29" t="s">
        <v>17420</v>
      </c>
      <c r="D252" s="29" t="s">
        <v>30569</v>
      </c>
      <c r="E252" s="29" t="s">
        <v>44126</v>
      </c>
      <c r="F252" s="36" t="s">
        <v>54401</v>
      </c>
      <c r="G252" s="39">
        <v>921568.56</v>
      </c>
      <c r="H252" s="42">
        <v>211</v>
      </c>
    </row>
    <row r="253" spans="1:8" ht="15" customHeight="1">
      <c r="A253" s="26">
        <v>4136074</v>
      </c>
      <c r="B253" s="29" t="s">
        <v>2497</v>
      </c>
      <c r="C253" s="29" t="s">
        <v>17421</v>
      </c>
      <c r="D253" s="29" t="s">
        <v>30570</v>
      </c>
      <c r="E253" s="29" t="s">
        <v>44127</v>
      </c>
      <c r="F253" s="36" t="s">
        <v>54401</v>
      </c>
      <c r="G253" s="39">
        <v>79798.31</v>
      </c>
      <c r="H253" s="42">
        <v>211</v>
      </c>
    </row>
    <row r="254" spans="1:8" ht="15" customHeight="1">
      <c r="A254" s="26">
        <v>4136367</v>
      </c>
      <c r="B254" s="29" t="s">
        <v>2498</v>
      </c>
      <c r="C254" s="26" t="s">
        <v>17422</v>
      </c>
      <c r="D254" s="26" t="s">
        <v>30571</v>
      </c>
      <c r="E254" s="26" t="s">
        <v>44128</v>
      </c>
      <c r="F254" s="37" t="s">
        <v>54401</v>
      </c>
      <c r="G254" s="39">
        <v>3032675.39</v>
      </c>
      <c r="H254" s="42">
        <v>211</v>
      </c>
    </row>
    <row r="255" spans="1:8" ht="15" customHeight="1">
      <c r="A255" s="26">
        <v>4136446</v>
      </c>
      <c r="B255" s="29" t="s">
        <v>2499</v>
      </c>
      <c r="C255" s="29" t="s">
        <v>17423</v>
      </c>
      <c r="D255" s="29" t="s">
        <v>30572</v>
      </c>
      <c r="E255" s="29" t="s">
        <v>44129</v>
      </c>
      <c r="F255" s="36" t="s">
        <v>54406</v>
      </c>
      <c r="G255" s="39">
        <v>3594732.98</v>
      </c>
      <c r="H255" s="42">
        <v>211</v>
      </c>
    </row>
    <row r="256" spans="1:8" ht="15" customHeight="1">
      <c r="A256" s="26">
        <v>4136510</v>
      </c>
      <c r="B256" s="29" t="s">
        <v>2500</v>
      </c>
      <c r="C256" s="29" t="s">
        <v>17424</v>
      </c>
      <c r="D256" s="29" t="s">
        <v>30573</v>
      </c>
      <c r="E256" s="29" t="s">
        <v>44023</v>
      </c>
      <c r="F256" s="36" t="s">
        <v>54401</v>
      </c>
      <c r="G256" s="39">
        <f>2529375.55+47449</f>
        <v>2576824.5499999998</v>
      </c>
      <c r="H256" s="42">
        <v>211</v>
      </c>
    </row>
    <row r="257" spans="1:8" ht="15" customHeight="1">
      <c r="A257" s="26">
        <v>4136545</v>
      </c>
      <c r="B257" s="29" t="s">
        <v>2501</v>
      </c>
      <c r="C257" s="29" t="s">
        <v>17425</v>
      </c>
      <c r="D257" s="29" t="s">
        <v>30574</v>
      </c>
      <c r="E257" s="29" t="s">
        <v>44130</v>
      </c>
      <c r="F257" s="36" t="s">
        <v>54401</v>
      </c>
      <c r="G257" s="39">
        <f>5072270.21+49092</f>
        <v>5121362.21</v>
      </c>
      <c r="H257" s="42">
        <v>211</v>
      </c>
    </row>
    <row r="258" spans="1:8" ht="15" customHeight="1">
      <c r="A258" s="26">
        <v>4136662</v>
      </c>
      <c r="B258" s="29" t="s">
        <v>2502</v>
      </c>
      <c r="C258" s="26" t="s">
        <v>17204</v>
      </c>
      <c r="D258" s="26" t="s">
        <v>30575</v>
      </c>
      <c r="E258" s="26" t="s">
        <v>44131</v>
      </c>
      <c r="F258" s="37" t="s">
        <v>54401</v>
      </c>
      <c r="G258" s="39">
        <v>635162.31999999995</v>
      </c>
      <c r="H258" s="42">
        <v>211</v>
      </c>
    </row>
    <row r="259" spans="1:8" ht="15" customHeight="1">
      <c r="A259" s="26">
        <v>4136745</v>
      </c>
      <c r="B259" s="29" t="s">
        <v>2503</v>
      </c>
      <c r="C259" s="29" t="s">
        <v>17426</v>
      </c>
      <c r="D259" s="29" t="s">
        <v>30576</v>
      </c>
      <c r="E259" s="29" t="s">
        <v>44132</v>
      </c>
      <c r="F259" s="36" t="s">
        <v>54401</v>
      </c>
      <c r="G259" s="39">
        <v>3526817.75</v>
      </c>
      <c r="H259" s="42">
        <v>211</v>
      </c>
    </row>
    <row r="260" spans="1:8" ht="15" customHeight="1">
      <c r="A260" s="26">
        <v>4136780</v>
      </c>
      <c r="B260" s="29" t="s">
        <v>2504</v>
      </c>
      <c r="C260" s="29" t="s">
        <v>17427</v>
      </c>
      <c r="D260" s="29" t="s">
        <v>30577</v>
      </c>
      <c r="E260" s="29" t="s">
        <v>43926</v>
      </c>
      <c r="F260" s="36" t="s">
        <v>54401</v>
      </c>
      <c r="G260" s="39">
        <v>15778.74</v>
      </c>
      <c r="H260" s="42">
        <v>211</v>
      </c>
    </row>
    <row r="261" spans="1:8" ht="15" customHeight="1">
      <c r="A261" s="26">
        <v>4136802</v>
      </c>
      <c r="B261" s="29" t="s">
        <v>2505</v>
      </c>
      <c r="C261" s="29" t="s">
        <v>17204</v>
      </c>
      <c r="D261" s="29" t="s">
        <v>30578</v>
      </c>
      <c r="E261" s="29" t="s">
        <v>43926</v>
      </c>
      <c r="F261" s="36" t="s">
        <v>54401</v>
      </c>
      <c r="G261" s="39">
        <f>1595114.71+232218</f>
        <v>1827332.71</v>
      </c>
      <c r="H261" s="42">
        <v>211</v>
      </c>
    </row>
    <row r="262" spans="1:8" ht="15" customHeight="1">
      <c r="A262" s="26">
        <v>4136815</v>
      </c>
      <c r="B262" s="29" t="s">
        <v>2506</v>
      </c>
      <c r="C262" s="29" t="s">
        <v>17428</v>
      </c>
      <c r="D262" s="29" t="s">
        <v>30579</v>
      </c>
      <c r="E262" s="29" t="s">
        <v>44133</v>
      </c>
      <c r="F262" s="36" t="s">
        <v>54409</v>
      </c>
      <c r="G262" s="39">
        <f>1538003.07+1355537</f>
        <v>2893540.0700000003</v>
      </c>
      <c r="H262" s="42">
        <v>211</v>
      </c>
    </row>
    <row r="263" spans="1:8" ht="15" customHeight="1">
      <c r="A263" s="26">
        <v>4136880</v>
      </c>
      <c r="B263" s="29" t="s">
        <v>2507</v>
      </c>
      <c r="C263" s="29" t="s">
        <v>17204</v>
      </c>
      <c r="D263" s="29" t="s">
        <v>30580</v>
      </c>
      <c r="E263" s="29" t="s">
        <v>44134</v>
      </c>
      <c r="F263" s="36" t="s">
        <v>54406</v>
      </c>
      <c r="G263" s="39">
        <v>59671.1</v>
      </c>
      <c r="H263" s="42">
        <v>211</v>
      </c>
    </row>
    <row r="264" spans="1:8" ht="15" customHeight="1">
      <c r="A264" s="26">
        <v>4137551</v>
      </c>
      <c r="B264" s="29" t="s">
        <v>2508</v>
      </c>
      <c r="C264" s="29" t="s">
        <v>17429</v>
      </c>
      <c r="D264" s="29" t="s">
        <v>30581</v>
      </c>
      <c r="E264" s="29" t="s">
        <v>44135</v>
      </c>
      <c r="F264" s="36" t="s">
        <v>54401</v>
      </c>
      <c r="G264" s="39">
        <v>433778.78</v>
      </c>
      <c r="H264" s="42">
        <v>211</v>
      </c>
    </row>
    <row r="265" spans="1:8" ht="15" customHeight="1">
      <c r="A265" s="26">
        <v>4139035</v>
      </c>
      <c r="B265" s="29" t="s">
        <v>2509</v>
      </c>
      <c r="C265" s="29" t="s">
        <v>17430</v>
      </c>
      <c r="D265" s="29" t="s">
        <v>30582</v>
      </c>
      <c r="E265" s="29" t="s">
        <v>44136</v>
      </c>
      <c r="F265" s="36" t="s">
        <v>54401</v>
      </c>
      <c r="G265" s="39">
        <v>2455805.85</v>
      </c>
      <c r="H265" s="42">
        <v>211</v>
      </c>
    </row>
    <row r="266" spans="1:8" ht="15" customHeight="1">
      <c r="A266" s="26">
        <v>4139103</v>
      </c>
      <c r="B266" s="29" t="s">
        <v>2510</v>
      </c>
      <c r="C266" s="29" t="s">
        <v>17431</v>
      </c>
      <c r="D266" s="29" t="s">
        <v>30583</v>
      </c>
      <c r="E266" s="29" t="s">
        <v>44137</v>
      </c>
      <c r="F266" s="36" t="s">
        <v>54401</v>
      </c>
      <c r="G266" s="39">
        <v>997681.64</v>
      </c>
      <c r="H266" s="42">
        <v>211</v>
      </c>
    </row>
    <row r="267" spans="1:8" ht="15" customHeight="1">
      <c r="A267" s="26">
        <v>4139387</v>
      </c>
      <c r="B267" s="29" t="s">
        <v>2511</v>
      </c>
      <c r="C267" s="29" t="s">
        <v>17432</v>
      </c>
      <c r="D267" s="29" t="s">
        <v>30376</v>
      </c>
      <c r="E267" s="29" t="s">
        <v>44138</v>
      </c>
      <c r="F267" s="36" t="s">
        <v>54401</v>
      </c>
      <c r="G267" s="39">
        <f>2109425.58+58648</f>
        <v>2168073.58</v>
      </c>
      <c r="H267" s="42">
        <v>211</v>
      </c>
    </row>
    <row r="268" spans="1:8" ht="15" customHeight="1">
      <c r="A268" s="26">
        <v>4139844</v>
      </c>
      <c r="B268" s="29" t="s">
        <v>2512</v>
      </c>
      <c r="C268" s="29" t="s">
        <v>17433</v>
      </c>
      <c r="D268" s="29" t="s">
        <v>30584</v>
      </c>
      <c r="E268" s="29" t="s">
        <v>44139</v>
      </c>
      <c r="F268" s="36" t="s">
        <v>54401</v>
      </c>
      <c r="G268" s="39">
        <v>1490312.87</v>
      </c>
      <c r="H268" s="42">
        <v>211</v>
      </c>
    </row>
    <row r="269" spans="1:8" ht="15" customHeight="1">
      <c r="A269" s="26">
        <v>4139942</v>
      </c>
      <c r="B269" s="29" t="s">
        <v>2513</v>
      </c>
      <c r="C269" s="29" t="s">
        <v>17434</v>
      </c>
      <c r="D269" s="29" t="s">
        <v>30585</v>
      </c>
      <c r="E269" s="29" t="s">
        <v>44140</v>
      </c>
      <c r="F269" s="36" t="s">
        <v>54401</v>
      </c>
      <c r="G269" s="39">
        <v>271368.98</v>
      </c>
      <c r="H269" s="42">
        <v>211</v>
      </c>
    </row>
    <row r="270" spans="1:8" ht="15" customHeight="1">
      <c r="A270" s="26">
        <v>4139996</v>
      </c>
      <c r="B270" s="29" t="s">
        <v>2514</v>
      </c>
      <c r="C270" s="29" t="s">
        <v>17435</v>
      </c>
      <c r="D270" s="29" t="s">
        <v>30586</v>
      </c>
      <c r="E270" s="29" t="s">
        <v>44141</v>
      </c>
      <c r="F270" s="36" t="s">
        <v>54401</v>
      </c>
      <c r="G270" s="39">
        <v>1120767.8</v>
      </c>
      <c r="H270" s="42">
        <v>211</v>
      </c>
    </row>
    <row r="271" spans="1:8" ht="15" customHeight="1">
      <c r="A271" s="26">
        <v>4140035</v>
      </c>
      <c r="B271" s="29" t="s">
        <v>2515</v>
      </c>
      <c r="C271" s="29" t="s">
        <v>17436</v>
      </c>
      <c r="D271" s="29" t="s">
        <v>30587</v>
      </c>
      <c r="E271" s="29" t="s">
        <v>44142</v>
      </c>
      <c r="F271" s="36" t="s">
        <v>54421</v>
      </c>
      <c r="G271" s="39">
        <f>703300.47+88971</f>
        <v>792271.47</v>
      </c>
      <c r="H271" s="42">
        <v>211</v>
      </c>
    </row>
    <row r="272" spans="1:8" ht="15" customHeight="1">
      <c r="A272" s="26">
        <v>4140072</v>
      </c>
      <c r="B272" s="29" t="s">
        <v>2516</v>
      </c>
      <c r="C272" s="29" t="s">
        <v>17437</v>
      </c>
      <c r="D272" s="29" t="s">
        <v>30588</v>
      </c>
      <c r="E272" s="29" t="s">
        <v>44143</v>
      </c>
      <c r="F272" s="36" t="s">
        <v>54401</v>
      </c>
      <c r="G272" s="39">
        <v>2455342.87</v>
      </c>
      <c r="H272" s="42">
        <v>211</v>
      </c>
    </row>
    <row r="273" spans="1:8" ht="15" customHeight="1">
      <c r="A273" s="26">
        <v>4140174</v>
      </c>
      <c r="B273" s="29" t="s">
        <v>2517</v>
      </c>
      <c r="C273" s="29" t="s">
        <v>17438</v>
      </c>
      <c r="D273" s="29" t="s">
        <v>30589</v>
      </c>
      <c r="E273" s="29" t="s">
        <v>44144</v>
      </c>
      <c r="F273" s="36" t="s">
        <v>54401</v>
      </c>
      <c r="G273" s="39">
        <f>11209859.25+553634</f>
        <v>11763493.25</v>
      </c>
      <c r="H273" s="42">
        <v>211</v>
      </c>
    </row>
    <row r="274" spans="1:8" ht="15" customHeight="1">
      <c r="A274" s="26">
        <v>4143997</v>
      </c>
      <c r="B274" s="29" t="s">
        <v>2518</v>
      </c>
      <c r="C274" s="26" t="s">
        <v>17439</v>
      </c>
      <c r="D274" s="26" t="s">
        <v>30590</v>
      </c>
      <c r="E274" s="26" t="s">
        <v>43926</v>
      </c>
      <c r="F274" s="37" t="s">
        <v>54401</v>
      </c>
      <c r="G274" s="39">
        <v>183649.75</v>
      </c>
      <c r="H274" s="42">
        <v>211</v>
      </c>
    </row>
    <row r="275" spans="1:8" ht="15" customHeight="1">
      <c r="A275" s="26">
        <v>4151577</v>
      </c>
      <c r="B275" s="29" t="s">
        <v>2519</v>
      </c>
      <c r="C275" s="29" t="s">
        <v>17440</v>
      </c>
      <c r="D275" s="29" t="s">
        <v>30591</v>
      </c>
      <c r="E275" s="29" t="s">
        <v>43926</v>
      </c>
      <c r="F275" s="36" t="s">
        <v>54401</v>
      </c>
      <c r="G275" s="39">
        <v>141491.59</v>
      </c>
      <c r="H275" s="42">
        <v>211</v>
      </c>
    </row>
    <row r="276" spans="1:8" ht="15" customHeight="1">
      <c r="A276" s="26">
        <v>4151597</v>
      </c>
      <c r="B276" s="29" t="s">
        <v>2520</v>
      </c>
      <c r="C276" s="29" t="s">
        <v>17441</v>
      </c>
      <c r="D276" s="29" t="s">
        <v>30592</v>
      </c>
      <c r="E276" s="29" t="s">
        <v>43926</v>
      </c>
      <c r="F276" s="36" t="s">
        <v>54401</v>
      </c>
      <c r="G276" s="39">
        <v>136443.32</v>
      </c>
      <c r="H276" s="42">
        <v>211</v>
      </c>
    </row>
    <row r="277" spans="1:8" ht="15" customHeight="1">
      <c r="A277" s="26">
        <v>4151601</v>
      </c>
      <c r="B277" s="29" t="s">
        <v>2521</v>
      </c>
      <c r="C277" s="29" t="s">
        <v>17442</v>
      </c>
      <c r="D277" s="29" t="s">
        <v>30593</v>
      </c>
      <c r="E277" s="29" t="s">
        <v>43926</v>
      </c>
      <c r="F277" s="36" t="s">
        <v>54401</v>
      </c>
      <c r="G277" s="39">
        <v>1167538.68</v>
      </c>
      <c r="H277" s="42">
        <v>211</v>
      </c>
    </row>
    <row r="278" spans="1:8" ht="15" customHeight="1">
      <c r="A278" s="26">
        <v>4151608</v>
      </c>
      <c r="B278" s="29" t="s">
        <v>2522</v>
      </c>
      <c r="C278" s="29" t="s">
        <v>17443</v>
      </c>
      <c r="D278" s="29" t="s">
        <v>30594</v>
      </c>
      <c r="E278" s="29" t="s">
        <v>44145</v>
      </c>
      <c r="F278" s="36" t="s">
        <v>54401</v>
      </c>
      <c r="G278" s="39">
        <v>1952540.18</v>
      </c>
      <c r="H278" s="42">
        <v>211</v>
      </c>
    </row>
    <row r="279" spans="1:8" ht="15" customHeight="1">
      <c r="A279" s="26">
        <v>4151616</v>
      </c>
      <c r="B279" s="29" t="s">
        <v>2523</v>
      </c>
      <c r="C279" s="29" t="s">
        <v>17444</v>
      </c>
      <c r="D279" s="29" t="s">
        <v>30595</v>
      </c>
      <c r="E279" s="29" t="s">
        <v>44146</v>
      </c>
      <c r="F279" s="36" t="s">
        <v>54401</v>
      </c>
      <c r="G279" s="39">
        <v>145480</v>
      </c>
      <c r="H279" s="42">
        <v>211</v>
      </c>
    </row>
    <row r="280" spans="1:8" ht="15" customHeight="1">
      <c r="A280" s="26">
        <v>4151623</v>
      </c>
      <c r="B280" s="29" t="s">
        <v>2524</v>
      </c>
      <c r="C280" s="26" t="s">
        <v>17445</v>
      </c>
      <c r="D280" s="26" t="s">
        <v>30596</v>
      </c>
      <c r="E280" s="26" t="s">
        <v>717</v>
      </c>
      <c r="F280" s="37" t="s">
        <v>54409</v>
      </c>
      <c r="G280" s="39">
        <v>2994880.23</v>
      </c>
      <c r="H280" s="42">
        <v>211</v>
      </c>
    </row>
    <row r="281" spans="1:8" ht="15" customHeight="1">
      <c r="A281" s="26">
        <v>4151630</v>
      </c>
      <c r="B281" s="29" t="s">
        <v>2525</v>
      </c>
      <c r="C281" s="26" t="s">
        <v>17446</v>
      </c>
      <c r="D281" s="26" t="s">
        <v>30597</v>
      </c>
      <c r="E281" s="26" t="s">
        <v>44147</v>
      </c>
      <c r="F281" s="37" t="s">
        <v>54401</v>
      </c>
      <c r="G281" s="39">
        <v>1965690.04</v>
      </c>
      <c r="H281" s="42">
        <v>211</v>
      </c>
    </row>
    <row r="282" spans="1:8" ht="15" customHeight="1">
      <c r="A282" s="26">
        <v>4151631</v>
      </c>
      <c r="B282" s="29" t="s">
        <v>2526</v>
      </c>
      <c r="C282" s="29" t="s">
        <v>17447</v>
      </c>
      <c r="D282" s="29" t="s">
        <v>30598</v>
      </c>
      <c r="E282" s="29" t="s">
        <v>44148</v>
      </c>
      <c r="F282" s="36" t="s">
        <v>54401</v>
      </c>
      <c r="G282" s="39">
        <v>1205721.04</v>
      </c>
      <c r="H282" s="42">
        <v>211</v>
      </c>
    </row>
    <row r="283" spans="1:8" ht="15" customHeight="1">
      <c r="A283" s="26">
        <v>4151638</v>
      </c>
      <c r="B283" s="29" t="s">
        <v>2527</v>
      </c>
      <c r="C283" s="29" t="s">
        <v>17448</v>
      </c>
      <c r="D283" s="29" t="s">
        <v>30599</v>
      </c>
      <c r="E283" s="29" t="s">
        <v>44149</v>
      </c>
      <c r="F283" s="36" t="s">
        <v>54409</v>
      </c>
      <c r="G283" s="39">
        <f>26769611.09-489798</f>
        <v>26279813.09</v>
      </c>
      <c r="H283" s="42">
        <v>211</v>
      </c>
    </row>
    <row r="284" spans="1:8" ht="15" customHeight="1">
      <c r="A284" s="26">
        <v>4151644</v>
      </c>
      <c r="B284" s="29" t="s">
        <v>2528</v>
      </c>
      <c r="C284" s="29" t="s">
        <v>17449</v>
      </c>
      <c r="D284" s="29" t="s">
        <v>30600</v>
      </c>
      <c r="E284" s="29" t="s">
        <v>44150</v>
      </c>
      <c r="F284" s="36" t="s">
        <v>54401</v>
      </c>
      <c r="G284" s="39">
        <v>1070193.79</v>
      </c>
      <c r="H284" s="42">
        <v>211</v>
      </c>
    </row>
    <row r="285" spans="1:8" ht="15" customHeight="1">
      <c r="A285" s="26">
        <v>4151653</v>
      </c>
      <c r="B285" s="29" t="s">
        <v>2529</v>
      </c>
      <c r="C285" s="29" t="s">
        <v>17450</v>
      </c>
      <c r="D285" s="29" t="s">
        <v>30601</v>
      </c>
      <c r="E285" s="29" t="s">
        <v>44005</v>
      </c>
      <c r="F285" s="36" t="s">
        <v>54401</v>
      </c>
      <c r="G285" s="39">
        <v>10781540.5</v>
      </c>
      <c r="H285" s="42">
        <v>211</v>
      </c>
    </row>
    <row r="286" spans="1:8" ht="15" customHeight="1">
      <c r="A286" s="26">
        <v>4151676</v>
      </c>
      <c r="B286" s="29" t="s">
        <v>2530</v>
      </c>
      <c r="C286" s="29" t="s">
        <v>17451</v>
      </c>
      <c r="D286" s="29" t="s">
        <v>30376</v>
      </c>
      <c r="E286" s="29" t="s">
        <v>44151</v>
      </c>
      <c r="F286" s="36" t="s">
        <v>54401</v>
      </c>
      <c r="G286" s="39">
        <v>4757633.21</v>
      </c>
      <c r="H286" s="42">
        <v>211</v>
      </c>
    </row>
    <row r="287" spans="1:8" ht="15" customHeight="1">
      <c r="A287" s="26">
        <v>4151693</v>
      </c>
      <c r="B287" s="29" t="s">
        <v>2531</v>
      </c>
      <c r="C287" s="29" t="s">
        <v>17452</v>
      </c>
      <c r="D287" s="29" t="s">
        <v>30602</v>
      </c>
      <c r="E287" s="29" t="s">
        <v>44152</v>
      </c>
      <c r="F287" s="36" t="s">
        <v>54409</v>
      </c>
      <c r="G287" s="39">
        <v>5320804.66</v>
      </c>
      <c r="H287" s="42">
        <v>211</v>
      </c>
    </row>
    <row r="288" spans="1:8" ht="15" customHeight="1">
      <c r="A288" s="26">
        <v>4151700</v>
      </c>
      <c r="B288" s="29" t="s">
        <v>2532</v>
      </c>
      <c r="C288" s="29" t="s">
        <v>17204</v>
      </c>
      <c r="D288" s="29" t="s">
        <v>30603</v>
      </c>
      <c r="E288" s="29" t="s">
        <v>43926</v>
      </c>
      <c r="F288" s="36" t="s">
        <v>54409</v>
      </c>
      <c r="G288" s="39">
        <f>1372469.44+3909560</f>
        <v>5282029.4399999995</v>
      </c>
      <c r="H288" s="42">
        <v>211</v>
      </c>
    </row>
    <row r="289" spans="1:8" ht="15" customHeight="1">
      <c r="A289" s="26">
        <v>4151717</v>
      </c>
      <c r="B289" s="29" t="s">
        <v>2533</v>
      </c>
      <c r="C289" s="29" t="s">
        <v>17204</v>
      </c>
      <c r="D289" s="29" t="s">
        <v>30604</v>
      </c>
      <c r="E289" s="29" t="s">
        <v>44153</v>
      </c>
      <c r="F289" s="36" t="s">
        <v>54409</v>
      </c>
      <c r="G289" s="39">
        <v>2585922.87</v>
      </c>
      <c r="H289" s="42">
        <v>211</v>
      </c>
    </row>
    <row r="290" spans="1:8" ht="15" customHeight="1">
      <c r="A290" s="26">
        <v>4151783</v>
      </c>
      <c r="B290" s="29" t="s">
        <v>2534</v>
      </c>
      <c r="C290" s="29" t="s">
        <v>17453</v>
      </c>
      <c r="D290" s="29" t="s">
        <v>30605</v>
      </c>
      <c r="E290" s="29" t="s">
        <v>44154</v>
      </c>
      <c r="F290" s="36" t="s">
        <v>54402</v>
      </c>
      <c r="G290" s="39">
        <v>85806.04</v>
      </c>
      <c r="H290" s="42">
        <v>211</v>
      </c>
    </row>
    <row r="291" spans="1:8" ht="15" customHeight="1">
      <c r="A291" s="26">
        <v>4151787</v>
      </c>
      <c r="B291" s="29" t="s">
        <v>2535</v>
      </c>
      <c r="C291" s="26" t="s">
        <v>17204</v>
      </c>
      <c r="D291" s="26" t="s">
        <v>30349</v>
      </c>
      <c r="E291" s="26" t="s">
        <v>43926</v>
      </c>
      <c r="F291" s="37" t="s">
        <v>54401</v>
      </c>
      <c r="G291" s="39">
        <v>43288.23</v>
      </c>
      <c r="H291" s="42">
        <v>211</v>
      </c>
    </row>
    <row r="292" spans="1:8" ht="15" customHeight="1">
      <c r="A292" s="26">
        <v>4151791</v>
      </c>
      <c r="B292" s="29" t="s">
        <v>2536</v>
      </c>
      <c r="C292" s="29" t="s">
        <v>17454</v>
      </c>
      <c r="D292" s="29" t="s">
        <v>30606</v>
      </c>
      <c r="E292" s="29" t="s">
        <v>44155</v>
      </c>
      <c r="F292" s="36" t="s">
        <v>54401</v>
      </c>
      <c r="G292" s="39">
        <v>263906.90999999997</v>
      </c>
      <c r="H292" s="42">
        <v>211</v>
      </c>
    </row>
    <row r="293" spans="1:8" ht="15" customHeight="1">
      <c r="A293" s="26">
        <v>4151826</v>
      </c>
      <c r="B293" s="29" t="s">
        <v>2537</v>
      </c>
      <c r="C293" s="29" t="s">
        <v>17455</v>
      </c>
      <c r="D293" s="29" t="s">
        <v>30607</v>
      </c>
      <c r="E293" s="29" t="s">
        <v>44156</v>
      </c>
      <c r="F293" s="36" t="s">
        <v>54409</v>
      </c>
      <c r="G293" s="39">
        <v>230338.81</v>
      </c>
      <c r="H293" s="42">
        <v>211</v>
      </c>
    </row>
    <row r="294" spans="1:8" ht="15" customHeight="1">
      <c r="A294" s="26">
        <v>4151836</v>
      </c>
      <c r="B294" s="29" t="s">
        <v>2538</v>
      </c>
      <c r="C294" s="29" t="s">
        <v>17456</v>
      </c>
      <c r="D294" s="29" t="s">
        <v>30608</v>
      </c>
      <c r="E294" s="29" t="s">
        <v>44157</v>
      </c>
      <c r="F294" s="36" t="s">
        <v>54401</v>
      </c>
      <c r="G294" s="39">
        <v>3761339.83</v>
      </c>
      <c r="H294" s="42">
        <v>211</v>
      </c>
    </row>
    <row r="295" spans="1:8" ht="15" customHeight="1">
      <c r="A295" s="26">
        <v>4151838</v>
      </c>
      <c r="B295" s="29" t="s">
        <v>2539</v>
      </c>
      <c r="C295" s="29" t="s">
        <v>17457</v>
      </c>
      <c r="D295" s="29" t="s">
        <v>30609</v>
      </c>
      <c r="E295" s="29" t="s">
        <v>44158</v>
      </c>
      <c r="F295" s="36" t="s">
        <v>54409</v>
      </c>
      <c r="G295" s="39">
        <v>4912629.47</v>
      </c>
      <c r="H295" s="42">
        <v>211</v>
      </c>
    </row>
    <row r="296" spans="1:8" ht="15" customHeight="1">
      <c r="A296" s="26">
        <v>4151866</v>
      </c>
      <c r="B296" s="29" t="s">
        <v>2540</v>
      </c>
      <c r="C296" s="29" t="s">
        <v>17458</v>
      </c>
      <c r="D296" s="29" t="s">
        <v>30610</v>
      </c>
      <c r="E296" s="29" t="s">
        <v>44159</v>
      </c>
      <c r="F296" s="36" t="s">
        <v>54409</v>
      </c>
      <c r="G296" s="39">
        <v>512252.75</v>
      </c>
      <c r="H296" s="42">
        <v>211</v>
      </c>
    </row>
    <row r="297" spans="1:8" ht="15" customHeight="1">
      <c r="A297" s="26">
        <v>4151889</v>
      </c>
      <c r="B297" s="29" t="s">
        <v>2541</v>
      </c>
      <c r="C297" s="29" t="s">
        <v>17204</v>
      </c>
      <c r="D297" s="29" t="s">
        <v>30611</v>
      </c>
      <c r="E297" s="29" t="s">
        <v>43926</v>
      </c>
      <c r="F297" s="36" t="s">
        <v>54401</v>
      </c>
      <c r="G297" s="39">
        <v>281607.82</v>
      </c>
      <c r="H297" s="42">
        <v>211</v>
      </c>
    </row>
    <row r="298" spans="1:8" ht="15" customHeight="1">
      <c r="A298" s="26">
        <v>4151941</v>
      </c>
      <c r="B298" s="29" t="s">
        <v>2542</v>
      </c>
      <c r="C298" s="29" t="s">
        <v>17459</v>
      </c>
      <c r="D298" s="29" t="s">
        <v>30612</v>
      </c>
      <c r="E298" s="29" t="s">
        <v>44023</v>
      </c>
      <c r="F298" s="36" t="s">
        <v>54401</v>
      </c>
      <c r="G298" s="39">
        <v>4633288.3</v>
      </c>
      <c r="H298" s="42">
        <v>211</v>
      </c>
    </row>
    <row r="299" spans="1:8" ht="15" customHeight="1">
      <c r="A299" s="26">
        <v>4151943</v>
      </c>
      <c r="B299" s="29" t="s">
        <v>2543</v>
      </c>
      <c r="C299" s="29" t="s">
        <v>17460</v>
      </c>
      <c r="D299" s="29" t="s">
        <v>30613</v>
      </c>
      <c r="E299" s="29" t="s">
        <v>44160</v>
      </c>
      <c r="F299" s="36" t="s">
        <v>54401</v>
      </c>
      <c r="G299" s="39">
        <v>782332.12</v>
      </c>
      <c r="H299" s="42">
        <v>211</v>
      </c>
    </row>
    <row r="300" spans="1:8" ht="15" customHeight="1">
      <c r="A300" s="26">
        <v>4151950</v>
      </c>
      <c r="B300" s="29" t="s">
        <v>2544</v>
      </c>
      <c r="C300" s="26" t="s">
        <v>17461</v>
      </c>
      <c r="D300" s="26" t="s">
        <v>30614</v>
      </c>
      <c r="E300" s="26" t="s">
        <v>44161</v>
      </c>
      <c r="F300" s="37" t="s">
        <v>54409</v>
      </c>
      <c r="G300" s="39">
        <v>39862.019999999997</v>
      </c>
      <c r="H300" s="42">
        <v>211</v>
      </c>
    </row>
    <row r="301" spans="1:8" ht="15" customHeight="1">
      <c r="A301" s="26">
        <v>4151957</v>
      </c>
      <c r="B301" s="29" t="s">
        <v>2545</v>
      </c>
      <c r="C301" s="29" t="s">
        <v>17462</v>
      </c>
      <c r="D301" s="29" t="s">
        <v>30615</v>
      </c>
      <c r="E301" s="29" t="s">
        <v>44162</v>
      </c>
      <c r="F301" s="36" t="s">
        <v>54401</v>
      </c>
      <c r="G301" s="39">
        <v>266015.77</v>
      </c>
      <c r="H301" s="42">
        <v>211</v>
      </c>
    </row>
    <row r="302" spans="1:8" ht="15" customHeight="1">
      <c r="A302" s="26">
        <v>4151961</v>
      </c>
      <c r="B302" s="29" t="s">
        <v>2546</v>
      </c>
      <c r="C302" s="29" t="s">
        <v>17463</v>
      </c>
      <c r="D302" s="29" t="s">
        <v>30616</v>
      </c>
      <c r="E302" s="29" t="s">
        <v>44163</v>
      </c>
      <c r="F302" s="36" t="s">
        <v>54409</v>
      </c>
      <c r="G302" s="39">
        <f>8255949.03-210228</f>
        <v>8045721.0300000003</v>
      </c>
      <c r="H302" s="42">
        <v>211</v>
      </c>
    </row>
    <row r="303" spans="1:8" ht="15" customHeight="1">
      <c r="A303" s="26">
        <v>4153493</v>
      </c>
      <c r="B303" s="29" t="s">
        <v>2547</v>
      </c>
      <c r="C303" s="29" t="s">
        <v>17464</v>
      </c>
      <c r="D303" s="29" t="s">
        <v>30617</v>
      </c>
      <c r="E303" s="29" t="s">
        <v>44164</v>
      </c>
      <c r="F303" s="36" t="s">
        <v>54401</v>
      </c>
      <c r="G303" s="39">
        <v>80164.13</v>
      </c>
      <c r="H303" s="42">
        <v>211</v>
      </c>
    </row>
    <row r="304" spans="1:8" ht="15" customHeight="1">
      <c r="A304" s="26">
        <v>4159263</v>
      </c>
      <c r="B304" s="29" t="s">
        <v>2548</v>
      </c>
      <c r="C304" s="29" t="s">
        <v>17465</v>
      </c>
      <c r="D304" s="29" t="s">
        <v>30618</v>
      </c>
      <c r="E304" s="29" t="s">
        <v>44165</v>
      </c>
      <c r="F304" s="36" t="s">
        <v>54401</v>
      </c>
      <c r="G304" s="39">
        <v>1254928.23</v>
      </c>
      <c r="H304" s="42">
        <v>211</v>
      </c>
    </row>
    <row r="305" spans="1:8" ht="15" customHeight="1">
      <c r="A305" s="26">
        <v>4162588</v>
      </c>
      <c r="B305" s="29" t="s">
        <v>2549</v>
      </c>
      <c r="C305" s="29" t="s">
        <v>17466</v>
      </c>
      <c r="D305" s="29" t="s">
        <v>30619</v>
      </c>
      <c r="E305" s="29" t="s">
        <v>44166</v>
      </c>
      <c r="F305" s="36" t="s">
        <v>54401</v>
      </c>
      <c r="G305" s="39">
        <v>41848.769999999997</v>
      </c>
      <c r="H305" s="42">
        <v>211</v>
      </c>
    </row>
    <row r="306" spans="1:8" ht="15" customHeight="1">
      <c r="A306" s="26">
        <v>4164356</v>
      </c>
      <c r="B306" s="29" t="s">
        <v>2550</v>
      </c>
      <c r="C306" s="29" t="s">
        <v>17467</v>
      </c>
      <c r="D306" s="29" t="s">
        <v>30620</v>
      </c>
      <c r="E306" s="29" t="s">
        <v>44167</v>
      </c>
      <c r="F306" s="36" t="s">
        <v>54401</v>
      </c>
      <c r="G306" s="39">
        <v>290960.86</v>
      </c>
      <c r="H306" s="42">
        <v>211</v>
      </c>
    </row>
    <row r="307" spans="1:8" ht="15" customHeight="1">
      <c r="A307" s="26">
        <v>4165606</v>
      </c>
      <c r="B307" s="29" t="s">
        <v>2551</v>
      </c>
      <c r="C307" s="26" t="s">
        <v>17204</v>
      </c>
      <c r="D307" s="26" t="s">
        <v>30621</v>
      </c>
      <c r="E307" s="26" t="s">
        <v>43926</v>
      </c>
      <c r="F307" s="37" t="s">
        <v>54401</v>
      </c>
      <c r="G307" s="39">
        <v>332407.75</v>
      </c>
      <c r="H307" s="42">
        <v>211</v>
      </c>
    </row>
    <row r="308" spans="1:8" ht="15" customHeight="1">
      <c r="A308" s="26">
        <v>4165656</v>
      </c>
      <c r="B308" s="29" t="s">
        <v>2552</v>
      </c>
      <c r="C308" s="29" t="s">
        <v>17468</v>
      </c>
      <c r="D308" s="29" t="s">
        <v>30622</v>
      </c>
      <c r="E308" s="29" t="s">
        <v>44168</v>
      </c>
      <c r="F308" s="36" t="s">
        <v>54401</v>
      </c>
      <c r="G308" s="39">
        <v>134933.46</v>
      </c>
      <c r="H308" s="42">
        <v>211</v>
      </c>
    </row>
    <row r="309" spans="1:8" ht="15" customHeight="1">
      <c r="A309" s="26">
        <v>4166670</v>
      </c>
      <c r="B309" s="29" t="s">
        <v>2553</v>
      </c>
      <c r="C309" s="29" t="s">
        <v>17469</v>
      </c>
      <c r="D309" s="29" t="s">
        <v>30623</v>
      </c>
      <c r="E309" s="29" t="s">
        <v>44169</v>
      </c>
      <c r="F309" s="36" t="s">
        <v>54417</v>
      </c>
      <c r="G309" s="39">
        <f>1652297.95-68504</f>
        <v>1583793.95</v>
      </c>
      <c r="H309" s="42">
        <v>211</v>
      </c>
    </row>
    <row r="310" spans="1:8" ht="15" customHeight="1">
      <c r="A310" s="26">
        <v>4166984</v>
      </c>
      <c r="B310" s="29" t="s">
        <v>2554</v>
      </c>
      <c r="C310" s="29" t="s">
        <v>17470</v>
      </c>
      <c r="D310" s="29" t="s">
        <v>30624</v>
      </c>
      <c r="E310" s="29" t="s">
        <v>44170</v>
      </c>
      <c r="F310" s="36" t="s">
        <v>54401</v>
      </c>
      <c r="G310" s="39">
        <v>490500.99</v>
      </c>
      <c r="H310" s="42">
        <v>211</v>
      </c>
    </row>
    <row r="311" spans="1:8" ht="15" customHeight="1">
      <c r="A311" s="26">
        <v>4167015</v>
      </c>
      <c r="B311" s="29" t="s">
        <v>2555</v>
      </c>
      <c r="C311" s="29" t="s">
        <v>17471</v>
      </c>
      <c r="D311" s="29" t="s">
        <v>30625</v>
      </c>
      <c r="E311" s="29" t="s">
        <v>44171</v>
      </c>
      <c r="F311" s="36" t="s">
        <v>54401</v>
      </c>
      <c r="G311" s="39">
        <f>1541610.09+24895</f>
        <v>1566505.09</v>
      </c>
      <c r="H311" s="42">
        <v>211</v>
      </c>
    </row>
    <row r="312" spans="1:8" ht="15" customHeight="1">
      <c r="A312" s="26">
        <v>4167213</v>
      </c>
      <c r="B312" s="29" t="s">
        <v>2556</v>
      </c>
      <c r="C312" s="29" t="s">
        <v>17472</v>
      </c>
      <c r="D312" s="29" t="s">
        <v>30626</v>
      </c>
      <c r="E312" s="29" t="s">
        <v>707</v>
      </c>
      <c r="F312" s="36" t="s">
        <v>54417</v>
      </c>
      <c r="G312" s="39">
        <v>224856.68</v>
      </c>
      <c r="H312" s="42">
        <v>211</v>
      </c>
    </row>
    <row r="313" spans="1:8" ht="15" customHeight="1">
      <c r="A313" s="26">
        <v>4167267</v>
      </c>
      <c r="B313" s="29" t="s">
        <v>2557</v>
      </c>
      <c r="C313" s="29" t="s">
        <v>17473</v>
      </c>
      <c r="D313" s="29" t="s">
        <v>30627</v>
      </c>
      <c r="E313" s="29" t="s">
        <v>44172</v>
      </c>
      <c r="F313" s="36" t="s">
        <v>54401</v>
      </c>
      <c r="G313" s="39">
        <v>568298.28</v>
      </c>
      <c r="H313" s="42">
        <v>211</v>
      </c>
    </row>
    <row r="314" spans="1:8" ht="15" customHeight="1">
      <c r="A314" s="26">
        <v>4167421</v>
      </c>
      <c r="B314" s="29" t="s">
        <v>2558</v>
      </c>
      <c r="C314" s="29" t="s">
        <v>17474</v>
      </c>
      <c r="D314" s="29" t="s">
        <v>30628</v>
      </c>
      <c r="E314" s="29" t="s">
        <v>44173</v>
      </c>
      <c r="F314" s="36" t="s">
        <v>54401</v>
      </c>
      <c r="G314" s="39">
        <v>47622</v>
      </c>
      <c r="H314" s="42">
        <v>211</v>
      </c>
    </row>
    <row r="315" spans="1:8" ht="15" customHeight="1">
      <c r="A315" s="26">
        <v>4167427</v>
      </c>
      <c r="B315" s="29" t="s">
        <v>2559</v>
      </c>
      <c r="C315" s="29" t="s">
        <v>17475</v>
      </c>
      <c r="D315" s="29" t="s">
        <v>30623</v>
      </c>
      <c r="E315" s="29" t="s">
        <v>44174</v>
      </c>
      <c r="F315" s="36" t="s">
        <v>54401</v>
      </c>
      <c r="G315" s="39">
        <f>2009437.04+1479936</f>
        <v>3489373.04</v>
      </c>
      <c r="H315" s="42">
        <v>211</v>
      </c>
    </row>
    <row r="316" spans="1:8" ht="15" customHeight="1">
      <c r="A316" s="26">
        <v>4167527</v>
      </c>
      <c r="B316" s="29" t="s">
        <v>2560</v>
      </c>
      <c r="C316" s="29" t="s">
        <v>17476</v>
      </c>
      <c r="D316" s="29" t="s">
        <v>30629</v>
      </c>
      <c r="E316" s="29" t="s">
        <v>44175</v>
      </c>
      <c r="F316" s="36" t="s">
        <v>54401</v>
      </c>
      <c r="G316" s="39">
        <v>299638.63</v>
      </c>
      <c r="H316" s="42">
        <v>211</v>
      </c>
    </row>
    <row r="317" spans="1:8" ht="15" customHeight="1">
      <c r="A317" s="26">
        <v>4167537</v>
      </c>
      <c r="B317" s="29" t="s">
        <v>2561</v>
      </c>
      <c r="C317" s="29" t="s">
        <v>17477</v>
      </c>
      <c r="D317" s="29" t="s">
        <v>30630</v>
      </c>
      <c r="E317" s="29" t="s">
        <v>44176</v>
      </c>
      <c r="F317" s="36" t="s">
        <v>54401</v>
      </c>
      <c r="G317" s="39">
        <v>858896.47</v>
      </c>
      <c r="H317" s="42">
        <v>211</v>
      </c>
    </row>
    <row r="318" spans="1:8" ht="15" customHeight="1">
      <c r="A318" s="26">
        <v>4167538</v>
      </c>
      <c r="B318" s="29" t="s">
        <v>2562</v>
      </c>
      <c r="C318" s="29" t="s">
        <v>17478</v>
      </c>
      <c r="D318" s="29" t="s">
        <v>30631</v>
      </c>
      <c r="E318" s="29" t="s">
        <v>44177</v>
      </c>
      <c r="F318" s="36" t="s">
        <v>54401</v>
      </c>
      <c r="G318" s="39">
        <v>4240688.17</v>
      </c>
      <c r="H318" s="42">
        <v>211</v>
      </c>
    </row>
    <row r="319" spans="1:8" ht="15" customHeight="1">
      <c r="A319" s="26">
        <v>4167548</v>
      </c>
      <c r="B319" s="29" t="s">
        <v>2563</v>
      </c>
      <c r="C319" s="29" t="s">
        <v>17479</v>
      </c>
      <c r="D319" s="29" t="s">
        <v>30632</v>
      </c>
      <c r="E319" s="29" t="s">
        <v>44178</v>
      </c>
      <c r="F319" s="36" t="s">
        <v>54409</v>
      </c>
      <c r="G319" s="39">
        <v>3682021.04</v>
      </c>
      <c r="H319" s="42">
        <v>211</v>
      </c>
    </row>
    <row r="320" spans="1:8" ht="15" customHeight="1">
      <c r="A320" s="26">
        <v>4168375</v>
      </c>
      <c r="B320" s="29" t="s">
        <v>2564</v>
      </c>
      <c r="C320" s="29" t="s">
        <v>17480</v>
      </c>
      <c r="D320" s="29" t="s">
        <v>30633</v>
      </c>
      <c r="E320" s="29" t="s">
        <v>44179</v>
      </c>
      <c r="F320" s="36" t="s">
        <v>54401</v>
      </c>
      <c r="G320" s="39">
        <v>520805.72</v>
      </c>
      <c r="H320" s="42">
        <v>211</v>
      </c>
    </row>
    <row r="321" spans="1:8" ht="15" customHeight="1">
      <c r="A321" s="26">
        <v>4168482</v>
      </c>
      <c r="B321" s="29" t="s">
        <v>2565</v>
      </c>
      <c r="C321" s="29" t="s">
        <v>17481</v>
      </c>
      <c r="D321" s="29" t="s">
        <v>30634</v>
      </c>
      <c r="E321" s="29" t="s">
        <v>44180</v>
      </c>
      <c r="F321" s="36" t="s">
        <v>54401</v>
      </c>
      <c r="G321" s="39">
        <v>1056390.55</v>
      </c>
      <c r="H321" s="42">
        <v>211</v>
      </c>
    </row>
    <row r="322" spans="1:8" ht="15" customHeight="1">
      <c r="A322" s="26">
        <v>4168540</v>
      </c>
      <c r="B322" s="29" t="s">
        <v>2566</v>
      </c>
      <c r="C322" s="29" t="s">
        <v>17482</v>
      </c>
      <c r="D322" s="29" t="s">
        <v>30635</v>
      </c>
      <c r="E322" s="29" t="s">
        <v>44181</v>
      </c>
      <c r="F322" s="36" t="s">
        <v>54401</v>
      </c>
      <c r="G322" s="39">
        <v>1324291.94</v>
      </c>
      <c r="H322" s="42">
        <v>211</v>
      </c>
    </row>
    <row r="323" spans="1:8" ht="15" customHeight="1">
      <c r="A323" s="26">
        <v>4170125</v>
      </c>
      <c r="B323" s="29" t="s">
        <v>2567</v>
      </c>
      <c r="C323" s="29" t="s">
        <v>17483</v>
      </c>
      <c r="D323" s="29" t="s">
        <v>30636</v>
      </c>
      <c r="E323" s="29" t="s">
        <v>44182</v>
      </c>
      <c r="F323" s="36" t="s">
        <v>54401</v>
      </c>
      <c r="G323" s="39">
        <v>269853.63</v>
      </c>
      <c r="H323" s="42">
        <v>211</v>
      </c>
    </row>
    <row r="324" spans="1:8" ht="15" customHeight="1">
      <c r="A324" s="26">
        <v>4178533</v>
      </c>
      <c r="B324" s="29" t="s">
        <v>2568</v>
      </c>
      <c r="C324" s="26" t="s">
        <v>17484</v>
      </c>
      <c r="D324" s="26" t="s">
        <v>30637</v>
      </c>
      <c r="E324" s="26" t="s">
        <v>44183</v>
      </c>
      <c r="F324" s="37" t="s">
        <v>54406</v>
      </c>
      <c r="G324" s="39">
        <v>1772064.57</v>
      </c>
      <c r="H324" s="42">
        <v>211</v>
      </c>
    </row>
    <row r="325" spans="1:8" ht="15" customHeight="1">
      <c r="A325" s="26">
        <v>4178539</v>
      </c>
      <c r="B325" s="29" t="s">
        <v>2569</v>
      </c>
      <c r="C325" s="26" t="s">
        <v>17485</v>
      </c>
      <c r="D325" s="26" t="s">
        <v>30638</v>
      </c>
      <c r="E325" s="26" t="s">
        <v>44184</v>
      </c>
      <c r="F325" s="37" t="s">
        <v>54406</v>
      </c>
      <c r="G325" s="39">
        <v>2254806.34</v>
      </c>
      <c r="H325" s="42">
        <v>211</v>
      </c>
    </row>
    <row r="326" spans="1:8" ht="15" customHeight="1">
      <c r="A326" s="26">
        <v>4178552</v>
      </c>
      <c r="B326" s="29" t="s">
        <v>2570</v>
      </c>
      <c r="C326" s="29" t="s">
        <v>17486</v>
      </c>
      <c r="D326" s="29" t="s">
        <v>30639</v>
      </c>
      <c r="E326" s="29" t="s">
        <v>44185</v>
      </c>
      <c r="F326" s="36" t="s">
        <v>54401</v>
      </c>
      <c r="G326" s="39">
        <v>4403055.67</v>
      </c>
      <c r="H326" s="42">
        <v>211</v>
      </c>
    </row>
    <row r="327" spans="1:8" ht="15" customHeight="1">
      <c r="A327" s="26">
        <v>4178780</v>
      </c>
      <c r="B327" s="29" t="s">
        <v>2571</v>
      </c>
      <c r="C327" s="29" t="s">
        <v>17487</v>
      </c>
      <c r="D327" s="29" t="s">
        <v>30349</v>
      </c>
      <c r="E327" s="29" t="s">
        <v>44186</v>
      </c>
      <c r="F327" s="36" t="s">
        <v>54401</v>
      </c>
      <c r="G327" s="39">
        <v>309843.26</v>
      </c>
      <c r="H327" s="42">
        <v>211</v>
      </c>
    </row>
    <row r="328" spans="1:8" ht="15" customHeight="1">
      <c r="A328" s="26">
        <v>4178792</v>
      </c>
      <c r="B328" s="29" t="s">
        <v>2572</v>
      </c>
      <c r="C328" s="29" t="s">
        <v>17488</v>
      </c>
      <c r="D328" s="29" t="s">
        <v>30640</v>
      </c>
      <c r="E328" s="29" t="s">
        <v>44187</v>
      </c>
      <c r="F328" s="36" t="s">
        <v>54401</v>
      </c>
      <c r="G328" s="39">
        <v>1019012.6</v>
      </c>
      <c r="H328" s="42">
        <v>211</v>
      </c>
    </row>
    <row r="329" spans="1:8" ht="15" customHeight="1">
      <c r="A329" s="26">
        <v>4178916</v>
      </c>
      <c r="B329" s="29" t="s">
        <v>2573</v>
      </c>
      <c r="C329" s="29" t="s">
        <v>17489</v>
      </c>
      <c r="D329" s="29" t="s">
        <v>30641</v>
      </c>
      <c r="E329" s="29" t="s">
        <v>44188</v>
      </c>
      <c r="F329" s="36" t="s">
        <v>54401</v>
      </c>
      <c r="G329" s="39">
        <v>1448784.94</v>
      </c>
      <c r="H329" s="42">
        <v>211</v>
      </c>
    </row>
    <row r="330" spans="1:8" ht="15" customHeight="1">
      <c r="A330" s="26">
        <v>4178920</v>
      </c>
      <c r="B330" s="29" t="s">
        <v>2574</v>
      </c>
      <c r="C330" s="29" t="s">
        <v>17490</v>
      </c>
      <c r="D330" s="29" t="s">
        <v>30642</v>
      </c>
      <c r="E330" s="29" t="s">
        <v>44189</v>
      </c>
      <c r="F330" s="36" t="s">
        <v>54401</v>
      </c>
      <c r="G330" s="39">
        <v>570242.18999999994</v>
      </c>
      <c r="H330" s="42">
        <v>211</v>
      </c>
    </row>
    <row r="331" spans="1:8" ht="15" customHeight="1">
      <c r="A331" s="26">
        <v>4178925</v>
      </c>
      <c r="B331" s="29" t="s">
        <v>2575</v>
      </c>
      <c r="C331" s="29" t="s">
        <v>17491</v>
      </c>
      <c r="D331" s="29" t="s">
        <v>30643</v>
      </c>
      <c r="E331" s="29" t="s">
        <v>711</v>
      </c>
      <c r="F331" s="36" t="s">
        <v>54406</v>
      </c>
      <c r="G331" s="39">
        <v>1716108.07</v>
      </c>
      <c r="H331" s="42">
        <v>211</v>
      </c>
    </row>
    <row r="332" spans="1:8" ht="15" customHeight="1">
      <c r="A332" s="26">
        <v>4178933</v>
      </c>
      <c r="B332" s="29" t="s">
        <v>2576</v>
      </c>
      <c r="C332" s="29" t="s">
        <v>17492</v>
      </c>
      <c r="D332" s="29" t="s">
        <v>30644</v>
      </c>
      <c r="E332" s="29" t="s">
        <v>44190</v>
      </c>
      <c r="F332" s="36" t="s">
        <v>54406</v>
      </c>
      <c r="G332" s="39">
        <f>2993963.86+153689</f>
        <v>3147652.86</v>
      </c>
      <c r="H332" s="42">
        <v>211</v>
      </c>
    </row>
    <row r="333" spans="1:8" ht="15" customHeight="1">
      <c r="A333" s="26">
        <v>4178985</v>
      </c>
      <c r="B333" s="29" t="s">
        <v>2577</v>
      </c>
      <c r="C333" s="29" t="s">
        <v>17493</v>
      </c>
      <c r="D333" s="29" t="s">
        <v>30645</v>
      </c>
      <c r="E333" s="29" t="s">
        <v>44191</v>
      </c>
      <c r="F333" s="36" t="s">
        <v>54401</v>
      </c>
      <c r="G333" s="39">
        <f>1973433.27+568639</f>
        <v>2542072.27</v>
      </c>
      <c r="H333" s="42">
        <v>211</v>
      </c>
    </row>
    <row r="334" spans="1:8" ht="15" customHeight="1">
      <c r="A334" s="26">
        <v>4178993</v>
      </c>
      <c r="B334" s="29" t="s">
        <v>2578</v>
      </c>
      <c r="C334" s="26" t="s">
        <v>17494</v>
      </c>
      <c r="D334" s="26" t="s">
        <v>30646</v>
      </c>
      <c r="E334" s="26" t="s">
        <v>44192</v>
      </c>
      <c r="F334" s="37" t="s">
        <v>54406</v>
      </c>
      <c r="G334" s="39">
        <v>6457594.8499999996</v>
      </c>
      <c r="H334" s="42">
        <v>211</v>
      </c>
    </row>
    <row r="335" spans="1:8" ht="15" customHeight="1">
      <c r="A335" s="26">
        <v>4179061</v>
      </c>
      <c r="B335" s="29" t="s">
        <v>2579</v>
      </c>
      <c r="C335" s="29" t="s">
        <v>17495</v>
      </c>
      <c r="D335" s="29" t="s">
        <v>30647</v>
      </c>
      <c r="E335" s="29" t="s">
        <v>44193</v>
      </c>
      <c r="F335" s="36" t="s">
        <v>54401</v>
      </c>
      <c r="G335" s="39">
        <v>79300</v>
      </c>
      <c r="H335" s="42">
        <v>211</v>
      </c>
    </row>
    <row r="336" spans="1:8" ht="15" customHeight="1">
      <c r="A336" s="26">
        <v>4179205</v>
      </c>
      <c r="B336" s="29" t="s">
        <v>2580</v>
      </c>
      <c r="C336" s="29" t="s">
        <v>17496</v>
      </c>
      <c r="D336" s="29" t="s">
        <v>30648</v>
      </c>
      <c r="E336" s="29" t="s">
        <v>44194</v>
      </c>
      <c r="F336" s="36" t="s">
        <v>54401</v>
      </c>
      <c r="G336" s="39">
        <v>5187182.38</v>
      </c>
      <c r="H336" s="42">
        <v>211</v>
      </c>
    </row>
    <row r="337" spans="1:8" ht="15" customHeight="1">
      <c r="A337" s="26">
        <v>4179227</v>
      </c>
      <c r="B337" s="29" t="s">
        <v>2581</v>
      </c>
      <c r="C337" s="29" t="s">
        <v>17497</v>
      </c>
      <c r="D337" s="29" t="s">
        <v>30649</v>
      </c>
      <c r="E337" s="29" t="s">
        <v>44195</v>
      </c>
      <c r="F337" s="36" t="s">
        <v>54401</v>
      </c>
      <c r="G337" s="39">
        <v>2086709.9</v>
      </c>
      <c r="H337" s="42">
        <v>211</v>
      </c>
    </row>
    <row r="338" spans="1:8" ht="15" customHeight="1">
      <c r="A338" s="26">
        <v>4179230</v>
      </c>
      <c r="B338" s="29" t="s">
        <v>2582</v>
      </c>
      <c r="C338" s="29" t="s">
        <v>17498</v>
      </c>
      <c r="D338" s="29" t="s">
        <v>30650</v>
      </c>
      <c r="E338" s="29" t="s">
        <v>44196</v>
      </c>
      <c r="F338" s="36" t="s">
        <v>54406</v>
      </c>
      <c r="G338" s="39">
        <f>1994042.19-525777</f>
        <v>1468265.19</v>
      </c>
      <c r="H338" s="42">
        <v>211</v>
      </c>
    </row>
    <row r="339" spans="1:8" ht="15" customHeight="1">
      <c r="A339" s="26">
        <v>4179296</v>
      </c>
      <c r="B339" s="29" t="s">
        <v>2583</v>
      </c>
      <c r="C339" s="29" t="s">
        <v>17499</v>
      </c>
      <c r="D339" s="29" t="s">
        <v>30651</v>
      </c>
      <c r="E339" s="29" t="s">
        <v>44197</v>
      </c>
      <c r="F339" s="36" t="s">
        <v>54409</v>
      </c>
      <c r="G339" s="39">
        <v>904199.2</v>
      </c>
      <c r="H339" s="42">
        <v>211</v>
      </c>
    </row>
    <row r="340" spans="1:8" ht="15" customHeight="1">
      <c r="A340" s="26">
        <v>4179316</v>
      </c>
      <c r="B340" s="29" t="s">
        <v>2584</v>
      </c>
      <c r="C340" s="26" t="s">
        <v>17204</v>
      </c>
      <c r="D340" s="26" t="s">
        <v>30349</v>
      </c>
      <c r="E340" s="26" t="s">
        <v>43926</v>
      </c>
      <c r="F340" s="37" t="s">
        <v>54401</v>
      </c>
      <c r="G340" s="39">
        <v>378541.59</v>
      </c>
      <c r="H340" s="42">
        <v>211</v>
      </c>
    </row>
    <row r="341" spans="1:8" ht="15" customHeight="1">
      <c r="A341" s="26">
        <v>4179350</v>
      </c>
      <c r="B341" s="29" t="s">
        <v>2585</v>
      </c>
      <c r="C341" s="29" t="s">
        <v>17204</v>
      </c>
      <c r="D341" s="29" t="s">
        <v>30349</v>
      </c>
      <c r="E341" s="29" t="s">
        <v>43926</v>
      </c>
      <c r="F341" s="36" t="s">
        <v>54401</v>
      </c>
      <c r="G341" s="39">
        <v>322010.78000000003</v>
      </c>
      <c r="H341" s="42">
        <v>211</v>
      </c>
    </row>
    <row r="342" spans="1:8" ht="15" customHeight="1">
      <c r="A342" s="26">
        <v>4179371</v>
      </c>
      <c r="B342" s="29" t="s">
        <v>2586</v>
      </c>
      <c r="C342" s="29" t="s">
        <v>17204</v>
      </c>
      <c r="D342" s="29" t="s">
        <v>30652</v>
      </c>
      <c r="E342" s="29" t="s">
        <v>44198</v>
      </c>
      <c r="F342" s="36" t="s">
        <v>54406</v>
      </c>
      <c r="G342" s="39">
        <v>703693.22</v>
      </c>
      <c r="H342" s="42">
        <v>211</v>
      </c>
    </row>
    <row r="343" spans="1:8" ht="15" customHeight="1">
      <c r="A343" s="26">
        <v>4179377</v>
      </c>
      <c r="B343" s="29" t="s">
        <v>2587</v>
      </c>
      <c r="C343" s="29" t="s">
        <v>17500</v>
      </c>
      <c r="D343" s="29" t="s">
        <v>30653</v>
      </c>
      <c r="E343" s="29" t="s">
        <v>44199</v>
      </c>
      <c r="F343" s="36" t="s">
        <v>54406</v>
      </c>
      <c r="G343" s="39">
        <v>1599747.28</v>
      </c>
      <c r="H343" s="42">
        <v>211</v>
      </c>
    </row>
    <row r="344" spans="1:8" ht="15" customHeight="1">
      <c r="A344" s="26">
        <v>4179382</v>
      </c>
      <c r="B344" s="29" t="s">
        <v>2588</v>
      </c>
      <c r="C344" s="29" t="s">
        <v>17501</v>
      </c>
      <c r="D344" s="29" t="s">
        <v>30654</v>
      </c>
      <c r="E344" s="29" t="s">
        <v>43926</v>
      </c>
      <c r="F344" s="36" t="s">
        <v>54401</v>
      </c>
      <c r="G344" s="39">
        <v>482677.34</v>
      </c>
      <c r="H344" s="42">
        <v>211</v>
      </c>
    </row>
    <row r="345" spans="1:8" ht="15" customHeight="1">
      <c r="A345" s="26">
        <v>4179386</v>
      </c>
      <c r="B345" s="29" t="s">
        <v>2589</v>
      </c>
      <c r="C345" s="29" t="s">
        <v>17502</v>
      </c>
      <c r="D345" s="29" t="s">
        <v>30655</v>
      </c>
      <c r="E345" s="29" t="s">
        <v>44200</v>
      </c>
      <c r="F345" s="36" t="s">
        <v>54406</v>
      </c>
      <c r="G345" s="39">
        <v>59581.18</v>
      </c>
      <c r="H345" s="42">
        <v>211</v>
      </c>
    </row>
    <row r="346" spans="1:8" ht="15" customHeight="1">
      <c r="A346" s="26">
        <v>4179426</v>
      </c>
      <c r="B346" s="29" t="s">
        <v>2590</v>
      </c>
      <c r="C346" s="29" t="s">
        <v>17204</v>
      </c>
      <c r="D346" s="29" t="s">
        <v>30349</v>
      </c>
      <c r="E346" s="29" t="s">
        <v>43926</v>
      </c>
      <c r="F346" s="36" t="s">
        <v>54401</v>
      </c>
      <c r="G346" s="39">
        <v>426291.71</v>
      </c>
      <c r="H346" s="42">
        <v>211</v>
      </c>
    </row>
    <row r="347" spans="1:8" ht="15" customHeight="1">
      <c r="A347" s="26">
        <v>4179451</v>
      </c>
      <c r="B347" s="29" t="s">
        <v>2591</v>
      </c>
      <c r="C347" s="29" t="s">
        <v>17503</v>
      </c>
      <c r="D347" s="29" t="s">
        <v>30656</v>
      </c>
      <c r="E347" s="29" t="s">
        <v>44201</v>
      </c>
      <c r="F347" s="36" t="s">
        <v>54406</v>
      </c>
      <c r="G347" s="39">
        <v>365529.72</v>
      </c>
      <c r="H347" s="42">
        <v>211</v>
      </c>
    </row>
    <row r="348" spans="1:8" ht="15" customHeight="1">
      <c r="A348" s="26">
        <v>4184402</v>
      </c>
      <c r="B348" s="29" t="s">
        <v>2592</v>
      </c>
      <c r="C348" s="29" t="s">
        <v>17504</v>
      </c>
      <c r="D348" s="29" t="s">
        <v>30657</v>
      </c>
      <c r="E348" s="29" t="s">
        <v>44202</v>
      </c>
      <c r="F348" s="36" t="s">
        <v>54401</v>
      </c>
      <c r="G348" s="39">
        <f>2250269.82+933153</f>
        <v>3183422.82</v>
      </c>
      <c r="H348" s="42">
        <v>211</v>
      </c>
    </row>
    <row r="349" spans="1:8" ht="15" customHeight="1">
      <c r="A349" s="26">
        <v>4190464</v>
      </c>
      <c r="B349" s="29" t="s">
        <v>2593</v>
      </c>
      <c r="C349" s="29" t="s">
        <v>17505</v>
      </c>
      <c r="D349" s="29" t="s">
        <v>30658</v>
      </c>
      <c r="E349" s="29" t="s">
        <v>44203</v>
      </c>
      <c r="F349" s="36" t="s">
        <v>54413</v>
      </c>
      <c r="G349" s="39">
        <f>4138436.84-45554</f>
        <v>4092882.84</v>
      </c>
      <c r="H349" s="42">
        <v>211</v>
      </c>
    </row>
    <row r="350" spans="1:8" ht="15" customHeight="1">
      <c r="A350" s="26">
        <v>4190619</v>
      </c>
      <c r="B350" s="29" t="s">
        <v>2594</v>
      </c>
      <c r="C350" s="29" t="s">
        <v>17506</v>
      </c>
      <c r="D350" s="29" t="s">
        <v>30659</v>
      </c>
      <c r="E350" s="29" t="s">
        <v>44204</v>
      </c>
      <c r="F350" s="36" t="s">
        <v>54401</v>
      </c>
      <c r="G350" s="39">
        <v>600000</v>
      </c>
      <c r="H350" s="42">
        <v>211</v>
      </c>
    </row>
    <row r="351" spans="1:8" ht="15" customHeight="1">
      <c r="A351" s="26">
        <v>4190627</v>
      </c>
      <c r="B351" s="29" t="s">
        <v>2595</v>
      </c>
      <c r="C351" s="29" t="s">
        <v>17507</v>
      </c>
      <c r="D351" s="29" t="s">
        <v>30660</v>
      </c>
      <c r="E351" s="29" t="s">
        <v>43926</v>
      </c>
      <c r="F351" s="36" t="s">
        <v>54401</v>
      </c>
      <c r="G351" s="39">
        <v>31088.15</v>
      </c>
      <c r="H351" s="42">
        <v>211</v>
      </c>
    </row>
    <row r="352" spans="1:8" ht="15" customHeight="1">
      <c r="A352" s="26">
        <v>4191061</v>
      </c>
      <c r="B352" s="29" t="s">
        <v>2596</v>
      </c>
      <c r="C352" s="29" t="s">
        <v>17508</v>
      </c>
      <c r="D352" s="29" t="s">
        <v>30661</v>
      </c>
      <c r="E352" s="29" t="s">
        <v>44205</v>
      </c>
      <c r="F352" s="36" t="s">
        <v>54412</v>
      </c>
      <c r="G352" s="39">
        <v>23033</v>
      </c>
      <c r="H352" s="42">
        <v>211</v>
      </c>
    </row>
    <row r="353" spans="1:8" ht="15" customHeight="1">
      <c r="A353" s="26">
        <v>4191334</v>
      </c>
      <c r="B353" s="29" t="s">
        <v>2597</v>
      </c>
      <c r="C353" s="29" t="s">
        <v>17509</v>
      </c>
      <c r="D353" s="29" t="s">
        <v>30662</v>
      </c>
      <c r="E353" s="29" t="s">
        <v>735</v>
      </c>
      <c r="F353" s="36" t="s">
        <v>54401</v>
      </c>
      <c r="G353" s="39">
        <v>723179.78</v>
      </c>
      <c r="H353" s="42">
        <v>211</v>
      </c>
    </row>
    <row r="354" spans="1:8" ht="15" customHeight="1">
      <c r="A354" s="26">
        <v>4191412</v>
      </c>
      <c r="B354" s="29" t="s">
        <v>2598</v>
      </c>
      <c r="C354" s="29" t="s">
        <v>17510</v>
      </c>
      <c r="D354" s="29" t="s">
        <v>30663</v>
      </c>
      <c r="E354" s="29" t="s">
        <v>44206</v>
      </c>
      <c r="F354" s="36" t="s">
        <v>54413</v>
      </c>
      <c r="G354" s="39">
        <v>1075879.01</v>
      </c>
      <c r="H354" s="42">
        <v>211</v>
      </c>
    </row>
    <row r="355" spans="1:8" ht="15" customHeight="1">
      <c r="A355" s="26">
        <v>4191601</v>
      </c>
      <c r="B355" s="29" t="s">
        <v>2599</v>
      </c>
      <c r="C355" s="29" t="s">
        <v>17511</v>
      </c>
      <c r="D355" s="29" t="s">
        <v>30664</v>
      </c>
      <c r="E355" s="29" t="s">
        <v>44207</v>
      </c>
      <c r="F355" s="36" t="s">
        <v>54401</v>
      </c>
      <c r="G355" s="39">
        <v>171974.87</v>
      </c>
      <c r="H355" s="42">
        <v>211</v>
      </c>
    </row>
    <row r="356" spans="1:8" ht="15" customHeight="1">
      <c r="A356" s="26">
        <v>4191610</v>
      </c>
      <c r="B356" s="29" t="s">
        <v>2600</v>
      </c>
      <c r="C356" s="29" t="s">
        <v>17512</v>
      </c>
      <c r="D356" s="29" t="s">
        <v>30665</v>
      </c>
      <c r="E356" s="29" t="s">
        <v>44208</v>
      </c>
      <c r="F356" s="36" t="s">
        <v>54401</v>
      </c>
      <c r="G356" s="39">
        <v>194647.48</v>
      </c>
      <c r="H356" s="42">
        <v>211</v>
      </c>
    </row>
    <row r="357" spans="1:8" ht="15" customHeight="1">
      <c r="A357" s="26">
        <v>4191822</v>
      </c>
      <c r="B357" s="29" t="s">
        <v>2601</v>
      </c>
      <c r="C357" s="29" t="s">
        <v>17513</v>
      </c>
      <c r="D357" s="29" t="s">
        <v>30666</v>
      </c>
      <c r="E357" s="29" t="s">
        <v>44209</v>
      </c>
      <c r="F357" s="36" t="s">
        <v>54401</v>
      </c>
      <c r="G357" s="39">
        <v>66939.3</v>
      </c>
      <c r="H357" s="42">
        <v>211</v>
      </c>
    </row>
    <row r="358" spans="1:8" ht="15" customHeight="1">
      <c r="A358" s="26">
        <v>4191953</v>
      </c>
      <c r="B358" s="29" t="s">
        <v>2602</v>
      </c>
      <c r="C358" s="29" t="s">
        <v>17514</v>
      </c>
      <c r="D358" s="29" t="s">
        <v>30667</v>
      </c>
      <c r="E358" s="29" t="s">
        <v>44210</v>
      </c>
      <c r="F358" s="36" t="s">
        <v>54401</v>
      </c>
      <c r="G358" s="39">
        <v>1352769.29</v>
      </c>
      <c r="H358" s="42">
        <v>211</v>
      </c>
    </row>
    <row r="359" spans="1:8" ht="15" customHeight="1">
      <c r="A359" s="26">
        <v>4192159</v>
      </c>
      <c r="B359" s="29" t="s">
        <v>2603</v>
      </c>
      <c r="C359" s="29" t="s">
        <v>17515</v>
      </c>
      <c r="D359" s="29" t="s">
        <v>30668</v>
      </c>
      <c r="E359" s="29" t="s">
        <v>44211</v>
      </c>
      <c r="F359" s="36" t="s">
        <v>54401</v>
      </c>
      <c r="G359" s="39">
        <v>69401</v>
      </c>
      <c r="H359" s="42">
        <v>211</v>
      </c>
    </row>
    <row r="360" spans="1:8" ht="15" customHeight="1">
      <c r="A360" s="26">
        <v>4192240</v>
      </c>
      <c r="B360" s="29" t="s">
        <v>2604</v>
      </c>
      <c r="C360" s="29" t="s">
        <v>17516</v>
      </c>
      <c r="D360" s="29" t="s">
        <v>30669</v>
      </c>
      <c r="E360" s="29" t="s">
        <v>44212</v>
      </c>
      <c r="F360" s="36" t="s">
        <v>54401</v>
      </c>
      <c r="G360" s="39">
        <v>604147.63</v>
      </c>
      <c r="H360" s="42">
        <v>211</v>
      </c>
    </row>
    <row r="361" spans="1:8" ht="15" customHeight="1">
      <c r="A361" s="26">
        <v>4192267</v>
      </c>
      <c r="B361" s="29" t="s">
        <v>2605</v>
      </c>
      <c r="C361" s="29" t="s">
        <v>17517</v>
      </c>
      <c r="D361" s="29" t="s">
        <v>30670</v>
      </c>
      <c r="E361" s="29" t="s">
        <v>44213</v>
      </c>
      <c r="F361" s="36" t="s">
        <v>54401</v>
      </c>
      <c r="G361" s="39">
        <v>1968048.07</v>
      </c>
      <c r="H361" s="42">
        <v>211</v>
      </c>
    </row>
    <row r="362" spans="1:8" ht="15" customHeight="1">
      <c r="A362" s="26">
        <v>4192270</v>
      </c>
      <c r="B362" s="29" t="s">
        <v>2606</v>
      </c>
      <c r="C362" s="29" t="s">
        <v>17518</v>
      </c>
      <c r="D362" s="29" t="s">
        <v>30671</v>
      </c>
      <c r="E362" s="29" t="s">
        <v>44214</v>
      </c>
      <c r="F362" s="36" t="s">
        <v>54414</v>
      </c>
      <c r="G362" s="39">
        <f>327713.05+19655</f>
        <v>347368.05</v>
      </c>
      <c r="H362" s="42">
        <v>211</v>
      </c>
    </row>
    <row r="363" spans="1:8" ht="15" customHeight="1">
      <c r="A363" s="26">
        <v>4192290</v>
      </c>
      <c r="B363" s="29" t="s">
        <v>2607</v>
      </c>
      <c r="C363" s="29" t="s">
        <v>17519</v>
      </c>
      <c r="D363" s="29" t="s">
        <v>30672</v>
      </c>
      <c r="E363" s="29" t="s">
        <v>44215</v>
      </c>
      <c r="F363" s="36" t="s">
        <v>54401</v>
      </c>
      <c r="G363" s="39">
        <v>149508.93</v>
      </c>
      <c r="H363" s="42">
        <v>211</v>
      </c>
    </row>
    <row r="364" spans="1:8" ht="15" customHeight="1">
      <c r="A364" s="26">
        <v>4192316</v>
      </c>
      <c r="B364" s="29" t="s">
        <v>2608</v>
      </c>
      <c r="C364" s="26" t="s">
        <v>17520</v>
      </c>
      <c r="D364" s="26" t="s">
        <v>30673</v>
      </c>
      <c r="E364" s="26" t="s">
        <v>43926</v>
      </c>
      <c r="F364" s="37" t="s">
        <v>54401</v>
      </c>
      <c r="G364" s="39">
        <v>268790.75</v>
      </c>
      <c r="H364" s="42">
        <v>211</v>
      </c>
    </row>
    <row r="365" spans="1:8" ht="15" customHeight="1">
      <c r="A365" s="26">
        <v>4192349</v>
      </c>
      <c r="B365" s="29" t="s">
        <v>2609</v>
      </c>
      <c r="C365" s="29" t="s">
        <v>17521</v>
      </c>
      <c r="D365" s="29" t="s">
        <v>30674</v>
      </c>
      <c r="E365" s="29" t="s">
        <v>44216</v>
      </c>
      <c r="F365" s="36" t="s">
        <v>54409</v>
      </c>
      <c r="G365" s="39">
        <v>978578.81</v>
      </c>
      <c r="H365" s="42">
        <v>211</v>
      </c>
    </row>
    <row r="366" spans="1:8" ht="15" customHeight="1">
      <c r="A366" s="26">
        <v>4192359</v>
      </c>
      <c r="B366" s="29" t="s">
        <v>2610</v>
      </c>
      <c r="C366" s="29" t="s">
        <v>17522</v>
      </c>
      <c r="D366" s="29" t="s">
        <v>30675</v>
      </c>
      <c r="E366" s="29" t="s">
        <v>44217</v>
      </c>
      <c r="F366" s="36" t="s">
        <v>54401</v>
      </c>
      <c r="G366" s="39">
        <v>108455.03</v>
      </c>
      <c r="H366" s="42">
        <v>211</v>
      </c>
    </row>
    <row r="367" spans="1:8" ht="15" customHeight="1">
      <c r="A367" s="26">
        <v>4192404</v>
      </c>
      <c r="B367" s="29" t="s">
        <v>2611</v>
      </c>
      <c r="C367" s="29" t="s">
        <v>17523</v>
      </c>
      <c r="D367" s="29" t="s">
        <v>30676</v>
      </c>
      <c r="E367" s="29" t="s">
        <v>44023</v>
      </c>
      <c r="F367" s="36" t="s">
        <v>54401</v>
      </c>
      <c r="G367" s="39">
        <f>3783087.84+728748</f>
        <v>4511835.84</v>
      </c>
      <c r="H367" s="42">
        <v>211</v>
      </c>
    </row>
    <row r="368" spans="1:8" ht="15" customHeight="1">
      <c r="A368" s="26">
        <v>4192452</v>
      </c>
      <c r="B368" s="29" t="s">
        <v>2612</v>
      </c>
      <c r="C368" s="26" t="s">
        <v>17524</v>
      </c>
      <c r="D368" s="26" t="s">
        <v>30677</v>
      </c>
      <c r="E368" s="26" t="s">
        <v>44218</v>
      </c>
      <c r="F368" s="37" t="s">
        <v>54401</v>
      </c>
      <c r="G368" s="39">
        <v>170796.42</v>
      </c>
      <c r="H368" s="42">
        <v>211</v>
      </c>
    </row>
    <row r="369" spans="1:8" ht="15" customHeight="1">
      <c r="A369" s="26">
        <v>4192473</v>
      </c>
      <c r="B369" s="29" t="s">
        <v>2613</v>
      </c>
      <c r="C369" s="29" t="s">
        <v>17525</v>
      </c>
      <c r="D369" s="29" t="s">
        <v>30678</v>
      </c>
      <c r="E369" s="29" t="s">
        <v>44219</v>
      </c>
      <c r="F369" s="36" t="s">
        <v>54401</v>
      </c>
      <c r="G369" s="39">
        <v>1285938.04</v>
      </c>
      <c r="H369" s="42">
        <v>211</v>
      </c>
    </row>
    <row r="370" spans="1:8" ht="15" customHeight="1">
      <c r="A370" s="26">
        <v>4192583</v>
      </c>
      <c r="B370" s="29" t="s">
        <v>2614</v>
      </c>
      <c r="C370" s="29" t="s">
        <v>17526</v>
      </c>
      <c r="D370" s="29" t="s">
        <v>30679</v>
      </c>
      <c r="E370" s="29" t="s">
        <v>44220</v>
      </c>
      <c r="F370" s="36" t="s">
        <v>54401</v>
      </c>
      <c r="G370" s="39">
        <v>277969.03999999998</v>
      </c>
      <c r="H370" s="42">
        <v>211</v>
      </c>
    </row>
    <row r="371" spans="1:8" ht="15" customHeight="1">
      <c r="A371" s="26">
        <v>4192680</v>
      </c>
      <c r="B371" s="29" t="s">
        <v>2615</v>
      </c>
      <c r="C371" s="29" t="s">
        <v>17527</v>
      </c>
      <c r="D371" s="29" t="s">
        <v>30680</v>
      </c>
      <c r="E371" s="29" t="s">
        <v>43926</v>
      </c>
      <c r="F371" s="36" t="s">
        <v>54401</v>
      </c>
      <c r="G371" s="39">
        <v>310621.74</v>
      </c>
      <c r="H371" s="42">
        <v>211</v>
      </c>
    </row>
    <row r="372" spans="1:8" ht="15" customHeight="1">
      <c r="A372" s="26">
        <v>4192784</v>
      </c>
      <c r="B372" s="29" t="s">
        <v>2616</v>
      </c>
      <c r="C372" s="29" t="s">
        <v>17528</v>
      </c>
      <c r="D372" s="29" t="s">
        <v>30681</v>
      </c>
      <c r="E372" s="29" t="s">
        <v>44221</v>
      </c>
      <c r="F372" s="36" t="s">
        <v>54401</v>
      </c>
      <c r="G372" s="39">
        <v>413309.26</v>
      </c>
      <c r="H372" s="42">
        <v>211</v>
      </c>
    </row>
    <row r="373" spans="1:8" ht="15" customHeight="1">
      <c r="A373" s="26">
        <v>4192797</v>
      </c>
      <c r="B373" s="29" t="s">
        <v>2617</v>
      </c>
      <c r="C373" s="29" t="s">
        <v>17529</v>
      </c>
      <c r="D373" s="29" t="s">
        <v>30682</v>
      </c>
      <c r="E373" s="29" t="s">
        <v>44222</v>
      </c>
      <c r="F373" s="36" t="s">
        <v>54401</v>
      </c>
      <c r="G373" s="39">
        <v>233438.06</v>
      </c>
      <c r="H373" s="42">
        <v>211</v>
      </c>
    </row>
    <row r="374" spans="1:8" ht="15" customHeight="1">
      <c r="A374" s="26">
        <v>4192837</v>
      </c>
      <c r="B374" s="29" t="s">
        <v>2618</v>
      </c>
      <c r="C374" s="29" t="s">
        <v>17530</v>
      </c>
      <c r="D374" s="29" t="s">
        <v>30683</v>
      </c>
      <c r="E374" s="29" t="s">
        <v>44223</v>
      </c>
      <c r="F374" s="36" t="s">
        <v>54413</v>
      </c>
      <c r="G374" s="39">
        <f>11441497.78-64291</f>
        <v>11377206.779999999</v>
      </c>
      <c r="H374" s="42">
        <v>211</v>
      </c>
    </row>
    <row r="375" spans="1:8" ht="15" customHeight="1">
      <c r="A375" s="26">
        <v>4192898</v>
      </c>
      <c r="B375" s="29" t="s">
        <v>2619</v>
      </c>
      <c r="C375" s="29" t="s">
        <v>17531</v>
      </c>
      <c r="D375" s="29" t="s">
        <v>30684</v>
      </c>
      <c r="E375" s="29" t="s">
        <v>44224</v>
      </c>
      <c r="F375" s="36" t="s">
        <v>54409</v>
      </c>
      <c r="G375" s="39">
        <v>33265.129999999997</v>
      </c>
      <c r="H375" s="42">
        <v>211</v>
      </c>
    </row>
    <row r="376" spans="1:8" ht="15" customHeight="1">
      <c r="A376" s="26">
        <v>4192899</v>
      </c>
      <c r="B376" s="29" t="s">
        <v>2620</v>
      </c>
      <c r="C376" s="29" t="s">
        <v>17532</v>
      </c>
      <c r="D376" s="29" t="s">
        <v>30685</v>
      </c>
      <c r="E376" s="29" t="s">
        <v>44225</v>
      </c>
      <c r="F376" s="36" t="s">
        <v>54413</v>
      </c>
      <c r="G376" s="39">
        <v>1065717.1200000001</v>
      </c>
      <c r="H376" s="42">
        <v>211</v>
      </c>
    </row>
    <row r="377" spans="1:8" ht="15" customHeight="1">
      <c r="A377" s="26">
        <v>4194103</v>
      </c>
      <c r="B377" s="29" t="s">
        <v>2621</v>
      </c>
      <c r="C377" s="29" t="s">
        <v>17533</v>
      </c>
      <c r="D377" s="29" t="s">
        <v>30686</v>
      </c>
      <c r="E377" s="29" t="s">
        <v>44226</v>
      </c>
      <c r="F377" s="36" t="s">
        <v>54409</v>
      </c>
      <c r="G377" s="39">
        <f>583914.88+51937</f>
        <v>635851.88</v>
      </c>
      <c r="H377" s="42">
        <v>211</v>
      </c>
    </row>
    <row r="378" spans="1:8" ht="15" customHeight="1">
      <c r="A378" s="26">
        <v>4206611</v>
      </c>
      <c r="B378" s="29" t="s">
        <v>2622</v>
      </c>
      <c r="C378" s="29" t="s">
        <v>17534</v>
      </c>
      <c r="D378" s="29" t="s">
        <v>30687</v>
      </c>
      <c r="E378" s="29" t="s">
        <v>44227</v>
      </c>
      <c r="F378" s="36" t="s">
        <v>54401</v>
      </c>
      <c r="G378" s="39">
        <v>159677.07999999999</v>
      </c>
      <c r="H378" s="42">
        <v>211</v>
      </c>
    </row>
    <row r="379" spans="1:8" ht="15" customHeight="1">
      <c r="A379" s="26">
        <v>4206691</v>
      </c>
      <c r="B379" s="29" t="s">
        <v>2623</v>
      </c>
      <c r="C379" s="29" t="s">
        <v>17535</v>
      </c>
      <c r="D379" s="29" t="s">
        <v>30688</v>
      </c>
      <c r="E379" s="29" t="s">
        <v>44228</v>
      </c>
      <c r="F379" s="36" t="s">
        <v>54407</v>
      </c>
      <c r="G379" s="39">
        <v>1076409.28</v>
      </c>
      <c r="H379" s="42">
        <v>211</v>
      </c>
    </row>
    <row r="380" spans="1:8" ht="15" customHeight="1">
      <c r="A380" s="26">
        <v>4206715</v>
      </c>
      <c r="B380" s="29" t="s">
        <v>2624</v>
      </c>
      <c r="C380" s="29" t="s">
        <v>17536</v>
      </c>
      <c r="D380" s="29" t="s">
        <v>30689</v>
      </c>
      <c r="E380" s="29" t="s">
        <v>44005</v>
      </c>
      <c r="F380" s="36" t="s">
        <v>54401</v>
      </c>
      <c r="G380" s="39">
        <v>1880529.94</v>
      </c>
      <c r="H380" s="42">
        <v>211</v>
      </c>
    </row>
    <row r="381" spans="1:8" ht="15" customHeight="1">
      <c r="A381" s="26">
        <v>4206824</v>
      </c>
      <c r="B381" s="29" t="s">
        <v>2625</v>
      </c>
      <c r="C381" s="29" t="s">
        <v>17204</v>
      </c>
      <c r="D381" s="29" t="s">
        <v>30690</v>
      </c>
      <c r="E381" s="29" t="s">
        <v>43926</v>
      </c>
      <c r="F381" s="36" t="s">
        <v>54401</v>
      </c>
      <c r="G381" s="39">
        <v>25340.68</v>
      </c>
      <c r="H381" s="42">
        <v>211</v>
      </c>
    </row>
    <row r="382" spans="1:8" ht="15" customHeight="1">
      <c r="A382" s="26">
        <v>4206838</v>
      </c>
      <c r="B382" s="29" t="s">
        <v>2626</v>
      </c>
      <c r="C382" s="29" t="s">
        <v>17537</v>
      </c>
      <c r="D382" s="29" t="s">
        <v>30691</v>
      </c>
      <c r="E382" s="29" t="s">
        <v>44229</v>
      </c>
      <c r="F382" s="36" t="s">
        <v>54401</v>
      </c>
      <c r="G382" s="39">
        <v>43952.94</v>
      </c>
      <c r="H382" s="42">
        <v>211</v>
      </c>
    </row>
    <row r="383" spans="1:8" ht="15" customHeight="1">
      <c r="A383" s="26">
        <v>4207051</v>
      </c>
      <c r="B383" s="29" t="s">
        <v>2627</v>
      </c>
      <c r="C383" s="29" t="s">
        <v>17538</v>
      </c>
      <c r="D383" s="29" t="s">
        <v>30692</v>
      </c>
      <c r="E383" s="29" t="s">
        <v>44230</v>
      </c>
      <c r="F383" s="36" t="s">
        <v>54401</v>
      </c>
      <c r="G383" s="39">
        <v>608537.73</v>
      </c>
      <c r="H383" s="42">
        <v>211</v>
      </c>
    </row>
    <row r="384" spans="1:8" ht="15" customHeight="1">
      <c r="A384" s="26">
        <v>4207171</v>
      </c>
      <c r="B384" s="29" t="s">
        <v>2628</v>
      </c>
      <c r="C384" s="29" t="s">
        <v>17539</v>
      </c>
      <c r="D384" s="29" t="s">
        <v>30693</v>
      </c>
      <c r="E384" s="29" t="s">
        <v>44231</v>
      </c>
      <c r="F384" s="36" t="s">
        <v>54401</v>
      </c>
      <c r="G384" s="39">
        <f>9703879.33-13050-111163</f>
        <v>9579666.3300000001</v>
      </c>
      <c r="H384" s="42">
        <v>211</v>
      </c>
    </row>
    <row r="385" spans="1:8" ht="15" customHeight="1">
      <c r="A385" s="26">
        <v>4207193</v>
      </c>
      <c r="B385" s="29" t="s">
        <v>2629</v>
      </c>
      <c r="C385" s="29" t="s">
        <v>17540</v>
      </c>
      <c r="D385" s="29" t="s">
        <v>30694</v>
      </c>
      <c r="E385" s="29" t="s">
        <v>44232</v>
      </c>
      <c r="F385" s="36" t="s">
        <v>54401</v>
      </c>
      <c r="G385" s="39">
        <v>220449.63</v>
      </c>
      <c r="H385" s="42">
        <v>211</v>
      </c>
    </row>
    <row r="386" spans="1:8" ht="15" customHeight="1">
      <c r="A386" s="26">
        <v>4207215</v>
      </c>
      <c r="B386" s="29" t="s">
        <v>2630</v>
      </c>
      <c r="C386" s="29" t="s">
        <v>17204</v>
      </c>
      <c r="D386" s="29" t="s">
        <v>30695</v>
      </c>
      <c r="E386" s="29" t="s">
        <v>43926</v>
      </c>
      <c r="F386" s="36" t="s">
        <v>54401</v>
      </c>
      <c r="G386" s="39">
        <f>456821.66-6806+21170</f>
        <v>471185.66</v>
      </c>
      <c r="H386" s="42">
        <v>211</v>
      </c>
    </row>
    <row r="387" spans="1:8" ht="15" customHeight="1">
      <c r="A387" s="26">
        <v>4207248</v>
      </c>
      <c r="B387" s="29" t="s">
        <v>2631</v>
      </c>
      <c r="C387" s="29" t="s">
        <v>17541</v>
      </c>
      <c r="D387" s="29" t="s">
        <v>30696</v>
      </c>
      <c r="E387" s="29" t="s">
        <v>44233</v>
      </c>
      <c r="F387" s="36" t="s">
        <v>54401</v>
      </c>
      <c r="G387" s="39">
        <v>122993.51</v>
      </c>
      <c r="H387" s="42">
        <v>211</v>
      </c>
    </row>
    <row r="388" spans="1:8" ht="15" customHeight="1">
      <c r="A388" s="26">
        <v>4207254</v>
      </c>
      <c r="B388" s="29" t="s">
        <v>2632</v>
      </c>
      <c r="C388" s="29" t="s">
        <v>17542</v>
      </c>
      <c r="D388" s="29" t="s">
        <v>30697</v>
      </c>
      <c r="E388" s="29" t="s">
        <v>44234</v>
      </c>
      <c r="F388" s="36" t="s">
        <v>54401</v>
      </c>
      <c r="G388" s="39">
        <v>378151.43</v>
      </c>
      <c r="H388" s="42">
        <v>211</v>
      </c>
    </row>
    <row r="389" spans="1:8" ht="15" customHeight="1">
      <c r="A389" s="26">
        <v>4207257</v>
      </c>
      <c r="B389" s="29" t="s">
        <v>2633</v>
      </c>
      <c r="C389" s="29" t="s">
        <v>17543</v>
      </c>
      <c r="D389" s="29" t="s">
        <v>30698</v>
      </c>
      <c r="E389" s="29" t="s">
        <v>44235</v>
      </c>
      <c r="F389" s="36" t="s">
        <v>54401</v>
      </c>
      <c r="G389" s="39">
        <f>1227637.88+338171</f>
        <v>1565808.88</v>
      </c>
      <c r="H389" s="42">
        <v>211</v>
      </c>
    </row>
    <row r="390" spans="1:8" ht="15" customHeight="1">
      <c r="A390" s="26">
        <v>4207288</v>
      </c>
      <c r="B390" s="29" t="s">
        <v>2634</v>
      </c>
      <c r="C390" s="29" t="s">
        <v>17544</v>
      </c>
      <c r="D390" s="29" t="s">
        <v>30699</v>
      </c>
      <c r="E390" s="29" t="s">
        <v>44236</v>
      </c>
      <c r="F390" s="36" t="s">
        <v>54401</v>
      </c>
      <c r="G390" s="39">
        <v>1169973.44</v>
      </c>
      <c r="H390" s="42">
        <v>211</v>
      </c>
    </row>
    <row r="391" spans="1:8" ht="15" customHeight="1">
      <c r="A391" s="26">
        <v>4207301</v>
      </c>
      <c r="B391" s="29" t="s">
        <v>2635</v>
      </c>
      <c r="C391" s="29" t="s">
        <v>17545</v>
      </c>
      <c r="D391" s="29" t="s">
        <v>30700</v>
      </c>
      <c r="E391" s="29" t="s">
        <v>44237</v>
      </c>
      <c r="F391" s="36" t="s">
        <v>54401</v>
      </c>
      <c r="G391" s="39">
        <v>384712.67</v>
      </c>
      <c r="H391" s="42">
        <v>211</v>
      </c>
    </row>
    <row r="392" spans="1:8" ht="15" customHeight="1">
      <c r="A392" s="26">
        <v>4207338</v>
      </c>
      <c r="B392" s="29" t="s">
        <v>2636</v>
      </c>
      <c r="C392" s="29" t="s">
        <v>17204</v>
      </c>
      <c r="D392" s="29" t="s">
        <v>30349</v>
      </c>
      <c r="E392" s="29" t="s">
        <v>43926</v>
      </c>
      <c r="F392" s="36" t="s">
        <v>54401</v>
      </c>
      <c r="G392" s="39">
        <v>50912.800000000003</v>
      </c>
      <c r="H392" s="42">
        <v>211</v>
      </c>
    </row>
    <row r="393" spans="1:8" ht="15" customHeight="1">
      <c r="A393" s="26">
        <v>4207346</v>
      </c>
      <c r="B393" s="29" t="s">
        <v>2637</v>
      </c>
      <c r="C393" s="29" t="s">
        <v>17546</v>
      </c>
      <c r="D393" s="29" t="s">
        <v>30701</v>
      </c>
      <c r="E393" s="29" t="s">
        <v>44238</v>
      </c>
      <c r="F393" s="36" t="s">
        <v>54401</v>
      </c>
      <c r="G393" s="39">
        <v>207842.16</v>
      </c>
      <c r="H393" s="42">
        <v>211</v>
      </c>
    </row>
    <row r="394" spans="1:8" ht="15" customHeight="1">
      <c r="A394" s="26">
        <v>4207359</v>
      </c>
      <c r="B394" s="29" t="s">
        <v>2638</v>
      </c>
      <c r="C394" s="29" t="s">
        <v>17547</v>
      </c>
      <c r="D394" s="29" t="s">
        <v>30702</v>
      </c>
      <c r="E394" s="29" t="s">
        <v>44239</v>
      </c>
      <c r="F394" s="36" t="s">
        <v>54401</v>
      </c>
      <c r="G394" s="39">
        <f>2818213.25+412485</f>
        <v>3230698.25</v>
      </c>
      <c r="H394" s="42">
        <v>211</v>
      </c>
    </row>
    <row r="395" spans="1:8" ht="15" customHeight="1">
      <c r="A395" s="26">
        <v>4207361</v>
      </c>
      <c r="B395" s="29" t="s">
        <v>2639</v>
      </c>
      <c r="C395" s="29" t="s">
        <v>17548</v>
      </c>
      <c r="D395" s="29" t="s">
        <v>30703</v>
      </c>
      <c r="E395" s="29" t="s">
        <v>44240</v>
      </c>
      <c r="F395" s="36" t="s">
        <v>54420</v>
      </c>
      <c r="G395" s="39">
        <v>3330508.42</v>
      </c>
      <c r="H395" s="42">
        <v>211</v>
      </c>
    </row>
    <row r="396" spans="1:8" ht="15" customHeight="1">
      <c r="A396" s="26">
        <v>4207371</v>
      </c>
      <c r="B396" s="29" t="s">
        <v>2640</v>
      </c>
      <c r="C396" s="29" t="s">
        <v>17549</v>
      </c>
      <c r="D396" s="29" t="s">
        <v>30704</v>
      </c>
      <c r="E396" s="29" t="s">
        <v>44241</v>
      </c>
      <c r="F396" s="36" t="s">
        <v>54401</v>
      </c>
      <c r="G396" s="39">
        <v>870762.59</v>
      </c>
      <c r="H396" s="42">
        <v>211</v>
      </c>
    </row>
    <row r="397" spans="1:8" ht="15" customHeight="1">
      <c r="A397" s="26">
        <v>4207388</v>
      </c>
      <c r="B397" s="29" t="s">
        <v>2641</v>
      </c>
      <c r="C397" s="29" t="s">
        <v>17550</v>
      </c>
      <c r="D397" s="29" t="s">
        <v>30705</v>
      </c>
      <c r="E397" s="29" t="s">
        <v>44242</v>
      </c>
      <c r="F397" s="36" t="s">
        <v>54407</v>
      </c>
      <c r="G397" s="39">
        <v>2011030.13</v>
      </c>
      <c r="H397" s="42">
        <v>211</v>
      </c>
    </row>
    <row r="398" spans="1:8" ht="15" customHeight="1">
      <c r="A398" s="26">
        <v>4207413</v>
      </c>
      <c r="B398" s="29" t="s">
        <v>2642</v>
      </c>
      <c r="C398" s="29" t="s">
        <v>17551</v>
      </c>
      <c r="D398" s="29" t="s">
        <v>30706</v>
      </c>
      <c r="E398" s="29" t="s">
        <v>44243</v>
      </c>
      <c r="F398" s="36" t="s">
        <v>54401</v>
      </c>
      <c r="G398" s="39">
        <v>196946.73</v>
      </c>
      <c r="H398" s="42">
        <v>211</v>
      </c>
    </row>
    <row r="399" spans="1:8" ht="15" customHeight="1">
      <c r="A399" s="26">
        <v>4207417</v>
      </c>
      <c r="B399" s="29" t="s">
        <v>2643</v>
      </c>
      <c r="C399" s="29" t="s">
        <v>17204</v>
      </c>
      <c r="D399" s="29" t="s">
        <v>30349</v>
      </c>
      <c r="E399" s="29" t="s">
        <v>43926</v>
      </c>
      <c r="F399" s="36" t="s">
        <v>54401</v>
      </c>
      <c r="G399" s="39">
        <v>95704.31</v>
      </c>
      <c r="H399" s="42">
        <v>211</v>
      </c>
    </row>
    <row r="400" spans="1:8" ht="15" customHeight="1">
      <c r="A400" s="26">
        <v>4207462</v>
      </c>
      <c r="B400" s="29" t="s">
        <v>2644</v>
      </c>
      <c r="C400" s="29" t="s">
        <v>17552</v>
      </c>
      <c r="D400" s="29" t="s">
        <v>30707</v>
      </c>
      <c r="E400" s="29" t="s">
        <v>44244</v>
      </c>
      <c r="F400" s="36" t="s">
        <v>54401</v>
      </c>
      <c r="G400" s="39">
        <v>7294.12</v>
      </c>
      <c r="H400" s="42">
        <v>211</v>
      </c>
    </row>
    <row r="401" spans="1:8" ht="15" customHeight="1">
      <c r="A401" s="26">
        <v>4207467</v>
      </c>
      <c r="B401" s="29" t="s">
        <v>2645</v>
      </c>
      <c r="C401" s="29" t="s">
        <v>17553</v>
      </c>
      <c r="D401" s="29" t="s">
        <v>30708</v>
      </c>
      <c r="E401" s="29" t="s">
        <v>44245</v>
      </c>
      <c r="F401" s="36" t="s">
        <v>54401</v>
      </c>
      <c r="G401" s="39">
        <v>4573193.53</v>
      </c>
      <c r="H401" s="42">
        <v>211</v>
      </c>
    </row>
    <row r="402" spans="1:8" ht="15" customHeight="1">
      <c r="A402" s="26">
        <v>4207475</v>
      </c>
      <c r="B402" s="29" t="s">
        <v>2646</v>
      </c>
      <c r="C402" s="26" t="s">
        <v>17554</v>
      </c>
      <c r="D402" s="26" t="s">
        <v>30709</v>
      </c>
      <c r="E402" s="26" t="s">
        <v>44246</v>
      </c>
      <c r="F402" s="37" t="s">
        <v>54401</v>
      </c>
      <c r="G402" s="39">
        <v>2242763.13</v>
      </c>
      <c r="H402" s="42">
        <v>211</v>
      </c>
    </row>
    <row r="403" spans="1:8" ht="15" customHeight="1">
      <c r="A403" s="26">
        <v>4207477</v>
      </c>
      <c r="B403" s="29" t="s">
        <v>2647</v>
      </c>
      <c r="C403" s="26" t="s">
        <v>17555</v>
      </c>
      <c r="D403" s="26" t="s">
        <v>30710</v>
      </c>
      <c r="E403" s="26" t="s">
        <v>44247</v>
      </c>
      <c r="F403" s="37" t="s">
        <v>54401</v>
      </c>
      <c r="G403" s="39">
        <v>198775.02</v>
      </c>
      <c r="H403" s="42">
        <v>211</v>
      </c>
    </row>
    <row r="404" spans="1:8" ht="15" customHeight="1">
      <c r="A404" s="26">
        <v>4207510</v>
      </c>
      <c r="B404" s="29" t="s">
        <v>2648</v>
      </c>
      <c r="C404" s="26" t="s">
        <v>17556</v>
      </c>
      <c r="D404" s="26" t="s">
        <v>30711</v>
      </c>
      <c r="E404" s="26" t="s">
        <v>44248</v>
      </c>
      <c r="F404" s="37" t="s">
        <v>54401</v>
      </c>
      <c r="G404" s="39">
        <f>1130116.91+4210140</f>
        <v>5340256.91</v>
      </c>
      <c r="H404" s="42">
        <v>211</v>
      </c>
    </row>
    <row r="405" spans="1:8" ht="15" customHeight="1">
      <c r="A405" s="26">
        <v>4207547</v>
      </c>
      <c r="B405" s="29" t="s">
        <v>2649</v>
      </c>
      <c r="C405" s="29" t="s">
        <v>17557</v>
      </c>
      <c r="D405" s="29" t="s">
        <v>30712</v>
      </c>
      <c r="E405" s="29" t="s">
        <v>44249</v>
      </c>
      <c r="F405" s="36" t="s">
        <v>54401</v>
      </c>
      <c r="G405" s="39">
        <v>6714.29</v>
      </c>
      <c r="H405" s="42">
        <v>211</v>
      </c>
    </row>
    <row r="406" spans="1:8" ht="15" customHeight="1">
      <c r="A406" s="26">
        <v>4207550</v>
      </c>
      <c r="B406" s="29" t="s">
        <v>2650</v>
      </c>
      <c r="C406" s="29" t="s">
        <v>17204</v>
      </c>
      <c r="D406" s="29" t="s">
        <v>30349</v>
      </c>
      <c r="E406" s="29" t="s">
        <v>43926</v>
      </c>
      <c r="F406" s="36" t="s">
        <v>54401</v>
      </c>
      <c r="G406" s="39">
        <v>551374</v>
      </c>
      <c r="H406" s="42">
        <v>211</v>
      </c>
    </row>
    <row r="407" spans="1:8" ht="15" customHeight="1">
      <c r="A407" s="26">
        <v>4207574</v>
      </c>
      <c r="B407" s="29" t="s">
        <v>2651</v>
      </c>
      <c r="C407" s="29" t="s">
        <v>17204</v>
      </c>
      <c r="D407" s="29" t="s">
        <v>30713</v>
      </c>
      <c r="E407" s="29" t="s">
        <v>43926</v>
      </c>
      <c r="F407" s="36" t="s">
        <v>54401</v>
      </c>
      <c r="G407" s="39">
        <f>801953.13+182190</f>
        <v>984143.13</v>
      </c>
      <c r="H407" s="42">
        <v>211</v>
      </c>
    </row>
    <row r="408" spans="1:8" ht="15" customHeight="1">
      <c r="A408" s="26">
        <v>4207580</v>
      </c>
      <c r="B408" s="29" t="s">
        <v>2652</v>
      </c>
      <c r="C408" s="29" t="s">
        <v>17558</v>
      </c>
      <c r="D408" s="29" t="s">
        <v>30714</v>
      </c>
      <c r="E408" s="29" t="s">
        <v>44250</v>
      </c>
      <c r="F408" s="36" t="s">
        <v>54401</v>
      </c>
      <c r="G408" s="39">
        <v>4817426.93</v>
      </c>
      <c r="H408" s="42">
        <v>211</v>
      </c>
    </row>
    <row r="409" spans="1:8" ht="15" customHeight="1">
      <c r="A409" s="26">
        <v>4207662</v>
      </c>
      <c r="B409" s="29" t="s">
        <v>2653</v>
      </c>
      <c r="C409" s="29" t="s">
        <v>17559</v>
      </c>
      <c r="D409" s="29" t="s">
        <v>30715</v>
      </c>
      <c r="E409" s="29" t="s">
        <v>978</v>
      </c>
      <c r="F409" s="36" t="s">
        <v>54401</v>
      </c>
      <c r="G409" s="39">
        <v>675257.52</v>
      </c>
      <c r="H409" s="42">
        <v>211</v>
      </c>
    </row>
    <row r="410" spans="1:8" ht="15" customHeight="1">
      <c r="A410" s="26">
        <v>4207684</v>
      </c>
      <c r="B410" s="29" t="s">
        <v>2654</v>
      </c>
      <c r="C410" s="29" t="s">
        <v>17560</v>
      </c>
      <c r="D410" s="29" t="s">
        <v>30716</v>
      </c>
      <c r="E410" s="29" t="s">
        <v>43926</v>
      </c>
      <c r="F410" s="36" t="s">
        <v>54401</v>
      </c>
      <c r="G410" s="39">
        <v>2404817.4900000002</v>
      </c>
      <c r="H410" s="42">
        <v>211</v>
      </c>
    </row>
    <row r="411" spans="1:8" ht="15" customHeight="1">
      <c r="A411" s="26">
        <v>4207694</v>
      </c>
      <c r="B411" s="29" t="s">
        <v>2655</v>
      </c>
      <c r="C411" s="29" t="s">
        <v>17561</v>
      </c>
      <c r="D411" s="29" t="s">
        <v>30717</v>
      </c>
      <c r="E411" s="29" t="s">
        <v>44251</v>
      </c>
      <c r="F411" s="36" t="s">
        <v>54420</v>
      </c>
      <c r="G411" s="39">
        <v>237842.47</v>
      </c>
      <c r="H411" s="42">
        <v>211</v>
      </c>
    </row>
    <row r="412" spans="1:8" ht="15" customHeight="1">
      <c r="A412" s="26">
        <v>4207708</v>
      </c>
      <c r="B412" s="29" t="s">
        <v>2656</v>
      </c>
      <c r="C412" s="29" t="s">
        <v>17562</v>
      </c>
      <c r="D412" s="29" t="s">
        <v>30718</v>
      </c>
      <c r="E412" s="29" t="s">
        <v>44252</v>
      </c>
      <c r="F412" s="36" t="s">
        <v>54401</v>
      </c>
      <c r="G412" s="39">
        <f>570317.67+358647</f>
        <v>928964.67</v>
      </c>
      <c r="H412" s="42">
        <v>211</v>
      </c>
    </row>
    <row r="413" spans="1:8" ht="15" customHeight="1">
      <c r="A413" s="26">
        <v>4207713</v>
      </c>
      <c r="B413" s="29" t="s">
        <v>2657</v>
      </c>
      <c r="C413" s="29" t="s">
        <v>17563</v>
      </c>
      <c r="D413" s="29" t="s">
        <v>30719</v>
      </c>
      <c r="E413" s="29" t="s">
        <v>44253</v>
      </c>
      <c r="F413" s="36" t="s">
        <v>54420</v>
      </c>
      <c r="G413" s="39">
        <f>36560275.4-231047</f>
        <v>36329228.399999999</v>
      </c>
      <c r="H413" s="42">
        <v>211</v>
      </c>
    </row>
    <row r="414" spans="1:8" ht="15" customHeight="1">
      <c r="A414" s="26">
        <v>4207716</v>
      </c>
      <c r="B414" s="29" t="s">
        <v>2658</v>
      </c>
      <c r="C414" s="29" t="s">
        <v>17564</v>
      </c>
      <c r="D414" s="29" t="s">
        <v>30720</v>
      </c>
      <c r="E414" s="29" t="s">
        <v>44254</v>
      </c>
      <c r="F414" s="36" t="s">
        <v>54401</v>
      </c>
      <c r="G414" s="39">
        <v>3148634.95</v>
      </c>
      <c r="H414" s="42">
        <v>211</v>
      </c>
    </row>
    <row r="415" spans="1:8" ht="15" customHeight="1">
      <c r="A415" s="26">
        <v>4207739</v>
      </c>
      <c r="B415" s="29" t="s">
        <v>2659</v>
      </c>
      <c r="C415" s="29" t="s">
        <v>17565</v>
      </c>
      <c r="D415" s="29" t="s">
        <v>30721</v>
      </c>
      <c r="E415" s="29" t="s">
        <v>44255</v>
      </c>
      <c r="F415" s="36" t="s">
        <v>54401</v>
      </c>
      <c r="G415" s="39">
        <v>3943823.45</v>
      </c>
      <c r="H415" s="42">
        <v>211</v>
      </c>
    </row>
    <row r="416" spans="1:8" ht="15" customHeight="1">
      <c r="A416" s="26">
        <v>4207742</v>
      </c>
      <c r="B416" s="29" t="s">
        <v>2660</v>
      </c>
      <c r="C416" s="29" t="s">
        <v>17566</v>
      </c>
      <c r="D416" s="29" t="s">
        <v>30722</v>
      </c>
      <c r="E416" s="29" t="s">
        <v>44256</v>
      </c>
      <c r="F416" s="36" t="s">
        <v>54401</v>
      </c>
      <c r="G416" s="39">
        <f>3797004.04+434641</f>
        <v>4231645.04</v>
      </c>
      <c r="H416" s="42">
        <v>211</v>
      </c>
    </row>
    <row r="417" spans="1:8" ht="15" customHeight="1">
      <c r="A417" s="26">
        <v>4207745</v>
      </c>
      <c r="B417" s="29" t="s">
        <v>2661</v>
      </c>
      <c r="C417" s="29" t="s">
        <v>17567</v>
      </c>
      <c r="D417" s="29" t="s">
        <v>30723</v>
      </c>
      <c r="E417" s="29" t="s">
        <v>44257</v>
      </c>
      <c r="F417" s="36" t="s">
        <v>54401</v>
      </c>
      <c r="G417" s="39">
        <v>132963.57999999999</v>
      </c>
      <c r="H417" s="42">
        <v>211</v>
      </c>
    </row>
    <row r="418" spans="1:8" ht="15" customHeight="1">
      <c r="A418" s="26">
        <v>4207771</v>
      </c>
      <c r="B418" s="29" t="s">
        <v>2662</v>
      </c>
      <c r="C418" s="29" t="s">
        <v>17204</v>
      </c>
      <c r="D418" s="29" t="s">
        <v>30724</v>
      </c>
      <c r="E418" s="29" t="s">
        <v>43926</v>
      </c>
      <c r="F418" s="36" t="s">
        <v>54401</v>
      </c>
      <c r="G418" s="39">
        <v>173588.05</v>
      </c>
      <c r="H418" s="42">
        <v>211</v>
      </c>
    </row>
    <row r="419" spans="1:8" ht="15" customHeight="1">
      <c r="A419" s="26">
        <v>4207792</v>
      </c>
      <c r="B419" s="29" t="s">
        <v>2663</v>
      </c>
      <c r="C419" s="29" t="s">
        <v>17568</v>
      </c>
      <c r="D419" s="29" t="s">
        <v>30725</v>
      </c>
      <c r="E419" s="29" t="s">
        <v>44258</v>
      </c>
      <c r="F419" s="36" t="s">
        <v>54401</v>
      </c>
      <c r="G419" s="39">
        <f>2887984.8+49779</f>
        <v>2937763.8</v>
      </c>
      <c r="H419" s="42">
        <v>211</v>
      </c>
    </row>
    <row r="420" spans="1:8" ht="15" customHeight="1">
      <c r="A420" s="26">
        <v>4207862</v>
      </c>
      <c r="B420" s="29" t="s">
        <v>2664</v>
      </c>
      <c r="C420" s="29" t="s">
        <v>17569</v>
      </c>
      <c r="D420" s="29" t="s">
        <v>30349</v>
      </c>
      <c r="E420" s="29" t="s">
        <v>43926</v>
      </c>
      <c r="F420" s="36" t="s">
        <v>54401</v>
      </c>
      <c r="G420" s="39">
        <v>235014.61</v>
      </c>
      <c r="H420" s="42">
        <v>211</v>
      </c>
    </row>
    <row r="421" spans="1:8" ht="15" customHeight="1">
      <c r="A421" s="26">
        <v>4207894</v>
      </c>
      <c r="B421" s="29" t="s">
        <v>2665</v>
      </c>
      <c r="C421" s="29" t="s">
        <v>17570</v>
      </c>
      <c r="D421" s="29" t="s">
        <v>30726</v>
      </c>
      <c r="E421" s="29" t="s">
        <v>44259</v>
      </c>
      <c r="F421" s="36" t="s">
        <v>54412</v>
      </c>
      <c r="G421" s="39">
        <v>444087.27</v>
      </c>
      <c r="H421" s="42">
        <v>211</v>
      </c>
    </row>
    <row r="422" spans="1:8" ht="15" customHeight="1">
      <c r="A422" s="26">
        <v>4207916</v>
      </c>
      <c r="B422" s="29" t="s">
        <v>2666</v>
      </c>
      <c r="C422" s="29" t="s">
        <v>17571</v>
      </c>
      <c r="D422" s="29" t="s">
        <v>30727</v>
      </c>
      <c r="E422" s="29" t="s">
        <v>44260</v>
      </c>
      <c r="F422" s="36" t="s">
        <v>54401</v>
      </c>
      <c r="G422" s="39">
        <v>3835793.85</v>
      </c>
      <c r="H422" s="42">
        <v>211</v>
      </c>
    </row>
    <row r="423" spans="1:8" ht="15" customHeight="1">
      <c r="A423" s="26">
        <v>4207973</v>
      </c>
      <c r="B423" s="29" t="s">
        <v>2667</v>
      </c>
      <c r="C423" s="29" t="s">
        <v>17572</v>
      </c>
      <c r="D423" s="29" t="s">
        <v>30728</v>
      </c>
      <c r="E423" s="29" t="s">
        <v>44261</v>
      </c>
      <c r="F423" s="36" t="s">
        <v>54401</v>
      </c>
      <c r="G423" s="39">
        <v>5448979.9500000002</v>
      </c>
      <c r="H423" s="42">
        <v>211</v>
      </c>
    </row>
    <row r="424" spans="1:8" ht="15" customHeight="1">
      <c r="A424" s="26">
        <v>4207994</v>
      </c>
      <c r="B424" s="29" t="s">
        <v>2668</v>
      </c>
      <c r="C424" s="29" t="s">
        <v>17573</v>
      </c>
      <c r="D424" s="29" t="s">
        <v>30729</v>
      </c>
      <c r="E424" s="29" t="s">
        <v>44262</v>
      </c>
      <c r="F424" s="36" t="s">
        <v>54401</v>
      </c>
      <c r="G424" s="39">
        <v>131949.57999999999</v>
      </c>
      <c r="H424" s="42">
        <v>211</v>
      </c>
    </row>
    <row r="425" spans="1:8" ht="15" customHeight="1">
      <c r="A425" s="26">
        <v>4208000</v>
      </c>
      <c r="B425" s="29" t="s">
        <v>2669</v>
      </c>
      <c r="C425" s="29" t="s">
        <v>17574</v>
      </c>
      <c r="D425" s="29" t="s">
        <v>30730</v>
      </c>
      <c r="E425" s="29" t="s">
        <v>44263</v>
      </c>
      <c r="F425" s="36" t="s">
        <v>54401</v>
      </c>
      <c r="G425" s="39">
        <v>4850495.72</v>
      </c>
      <c r="H425" s="42">
        <v>211</v>
      </c>
    </row>
    <row r="426" spans="1:8" ht="15" customHeight="1">
      <c r="A426" s="26">
        <v>4208006</v>
      </c>
      <c r="B426" s="29" t="s">
        <v>2670</v>
      </c>
      <c r="C426" s="29" t="s">
        <v>17575</v>
      </c>
      <c r="D426" s="29" t="s">
        <v>30731</v>
      </c>
      <c r="E426" s="29" t="s">
        <v>44264</v>
      </c>
      <c r="F426" s="36" t="s">
        <v>54407</v>
      </c>
      <c r="G426" s="39">
        <v>164841.20000000001</v>
      </c>
      <c r="H426" s="42">
        <v>211</v>
      </c>
    </row>
    <row r="427" spans="1:8" ht="15" customHeight="1">
      <c r="A427" s="26">
        <v>4208018</v>
      </c>
      <c r="B427" s="29" t="s">
        <v>2671</v>
      </c>
      <c r="C427" s="29" t="s">
        <v>17576</v>
      </c>
      <c r="D427" s="29" t="s">
        <v>30732</v>
      </c>
      <c r="E427" s="29" t="s">
        <v>44265</v>
      </c>
      <c r="F427" s="36" t="s">
        <v>54401</v>
      </c>
      <c r="G427" s="39">
        <v>5204931.54</v>
      </c>
      <c r="H427" s="42">
        <v>211</v>
      </c>
    </row>
    <row r="428" spans="1:8" ht="15" customHeight="1">
      <c r="A428" s="26">
        <v>4208030</v>
      </c>
      <c r="B428" s="29" t="s">
        <v>2672</v>
      </c>
      <c r="C428" s="29" t="s">
        <v>17577</v>
      </c>
      <c r="D428" s="29" t="s">
        <v>30733</v>
      </c>
      <c r="E428" s="29" t="s">
        <v>44266</v>
      </c>
      <c r="F428" s="36" t="s">
        <v>54401</v>
      </c>
      <c r="G428" s="39">
        <v>2404887.84</v>
      </c>
      <c r="H428" s="42">
        <v>211</v>
      </c>
    </row>
    <row r="429" spans="1:8" ht="15" customHeight="1">
      <c r="A429" s="26">
        <v>4208107</v>
      </c>
      <c r="B429" s="29" t="s">
        <v>2673</v>
      </c>
      <c r="C429" s="26" t="s">
        <v>17578</v>
      </c>
      <c r="D429" s="26" t="s">
        <v>30734</v>
      </c>
      <c r="E429" s="26" t="s">
        <v>44267</v>
      </c>
      <c r="F429" s="37" t="s">
        <v>54401</v>
      </c>
      <c r="G429" s="39">
        <f>394930.54+1553370</f>
        <v>1948300.54</v>
      </c>
      <c r="H429" s="42">
        <v>211</v>
      </c>
    </row>
    <row r="430" spans="1:8" ht="15" customHeight="1">
      <c r="A430" s="26">
        <v>4208179</v>
      </c>
      <c r="B430" s="29" t="s">
        <v>2674</v>
      </c>
      <c r="C430" s="29" t="s">
        <v>17579</v>
      </c>
      <c r="D430" s="29" t="s">
        <v>30735</v>
      </c>
      <c r="E430" s="29" t="s">
        <v>44268</v>
      </c>
      <c r="F430" s="36" t="s">
        <v>54420</v>
      </c>
      <c r="G430" s="39">
        <f>8594364.52-114705</f>
        <v>8479659.5199999996</v>
      </c>
      <c r="H430" s="42">
        <v>211</v>
      </c>
    </row>
    <row r="431" spans="1:8" ht="15" customHeight="1">
      <c r="A431" s="26">
        <v>4208188</v>
      </c>
      <c r="B431" s="29" t="s">
        <v>2675</v>
      </c>
      <c r="C431" s="29" t="s">
        <v>17580</v>
      </c>
      <c r="D431" s="29" t="s">
        <v>30736</v>
      </c>
      <c r="E431" s="29" t="s">
        <v>44269</v>
      </c>
      <c r="F431" s="36" t="s">
        <v>54401</v>
      </c>
      <c r="G431" s="39">
        <v>309969.84000000003</v>
      </c>
      <c r="H431" s="42">
        <v>211</v>
      </c>
    </row>
    <row r="432" spans="1:8" ht="15" customHeight="1">
      <c r="A432" s="26">
        <v>4208206</v>
      </c>
      <c r="B432" s="29" t="s">
        <v>2676</v>
      </c>
      <c r="C432" s="29" t="s">
        <v>17581</v>
      </c>
      <c r="D432" s="29" t="s">
        <v>30737</v>
      </c>
      <c r="E432" s="29" t="s">
        <v>44270</v>
      </c>
      <c r="F432" s="36" t="s">
        <v>54401</v>
      </c>
      <c r="G432" s="39">
        <v>309161.55</v>
      </c>
      <c r="H432" s="42">
        <v>211</v>
      </c>
    </row>
    <row r="433" spans="1:8" ht="15" customHeight="1">
      <c r="A433" s="26">
        <v>4208228</v>
      </c>
      <c r="B433" s="29" t="s">
        <v>2677</v>
      </c>
      <c r="C433" s="29" t="s">
        <v>17582</v>
      </c>
      <c r="D433" s="29" t="s">
        <v>30738</v>
      </c>
      <c r="E433" s="29" t="s">
        <v>44271</v>
      </c>
      <c r="F433" s="36" t="s">
        <v>54401</v>
      </c>
      <c r="G433" s="39">
        <v>1169021.57</v>
      </c>
      <c r="H433" s="42">
        <v>211</v>
      </c>
    </row>
    <row r="434" spans="1:8" ht="15" customHeight="1">
      <c r="A434" s="26">
        <v>4208230</v>
      </c>
      <c r="B434" s="29" t="s">
        <v>2678</v>
      </c>
      <c r="C434" s="29" t="s">
        <v>17583</v>
      </c>
      <c r="D434" s="29" t="s">
        <v>30739</v>
      </c>
      <c r="E434" s="29" t="s">
        <v>44272</v>
      </c>
      <c r="F434" s="36" t="s">
        <v>54401</v>
      </c>
      <c r="G434" s="39">
        <v>143074.07999999999</v>
      </c>
      <c r="H434" s="42">
        <v>211</v>
      </c>
    </row>
    <row r="435" spans="1:8" ht="15" customHeight="1">
      <c r="A435" s="26">
        <v>4208233</v>
      </c>
      <c r="B435" s="29" t="s">
        <v>2679</v>
      </c>
      <c r="C435" s="29" t="s">
        <v>17584</v>
      </c>
      <c r="D435" s="29" t="s">
        <v>30740</v>
      </c>
      <c r="E435" s="29" t="s">
        <v>44273</v>
      </c>
      <c r="F435" s="36" t="s">
        <v>54401</v>
      </c>
      <c r="G435" s="39">
        <v>12333993.91</v>
      </c>
      <c r="H435" s="42">
        <v>211</v>
      </c>
    </row>
    <row r="436" spans="1:8" ht="15" customHeight="1">
      <c r="A436" s="26">
        <v>4208240</v>
      </c>
      <c r="B436" s="29" t="s">
        <v>2680</v>
      </c>
      <c r="C436" s="29" t="s">
        <v>17585</v>
      </c>
      <c r="D436" s="29" t="s">
        <v>30741</v>
      </c>
      <c r="E436" s="29" t="s">
        <v>715</v>
      </c>
      <c r="F436" s="36" t="s">
        <v>54401</v>
      </c>
      <c r="G436" s="39">
        <v>265568.68</v>
      </c>
      <c r="H436" s="42">
        <v>211</v>
      </c>
    </row>
    <row r="437" spans="1:8" ht="15" customHeight="1">
      <c r="A437" s="26">
        <v>4208252</v>
      </c>
      <c r="B437" s="29" t="s">
        <v>2681</v>
      </c>
      <c r="C437" s="29" t="s">
        <v>17586</v>
      </c>
      <c r="D437" s="29" t="s">
        <v>30742</v>
      </c>
      <c r="E437" s="29" t="s">
        <v>44274</v>
      </c>
      <c r="F437" s="36" t="s">
        <v>54401</v>
      </c>
      <c r="G437" s="39">
        <f>3530487.36+152137</f>
        <v>3682624.36</v>
      </c>
      <c r="H437" s="42">
        <v>211</v>
      </c>
    </row>
    <row r="438" spans="1:8" ht="15" customHeight="1">
      <c r="A438" s="26">
        <v>4208270</v>
      </c>
      <c r="B438" s="29" t="s">
        <v>2682</v>
      </c>
      <c r="C438" s="29" t="s">
        <v>17587</v>
      </c>
      <c r="D438" s="29" t="s">
        <v>30743</v>
      </c>
      <c r="E438" s="29" t="s">
        <v>44275</v>
      </c>
      <c r="F438" s="36" t="s">
        <v>54401</v>
      </c>
      <c r="G438" s="39">
        <f>36703.18+250170</f>
        <v>286873.18</v>
      </c>
      <c r="H438" s="42">
        <v>211</v>
      </c>
    </row>
    <row r="439" spans="1:8" ht="15" customHeight="1">
      <c r="A439" s="26">
        <v>4208273</v>
      </c>
      <c r="B439" s="29" t="s">
        <v>2683</v>
      </c>
      <c r="C439" s="26" t="s">
        <v>17588</v>
      </c>
      <c r="D439" s="26" t="s">
        <v>30744</v>
      </c>
      <c r="E439" s="26" t="s">
        <v>44276</v>
      </c>
      <c r="F439" s="37" t="s">
        <v>54401</v>
      </c>
      <c r="G439" s="39">
        <f>1057362.2+1898901</f>
        <v>2956263.2</v>
      </c>
      <c r="H439" s="42">
        <v>211</v>
      </c>
    </row>
    <row r="440" spans="1:8" ht="15" customHeight="1">
      <c r="A440" s="26">
        <v>4208276</v>
      </c>
      <c r="B440" s="29" t="s">
        <v>2684</v>
      </c>
      <c r="C440" s="29" t="s">
        <v>17589</v>
      </c>
      <c r="D440" s="29" t="s">
        <v>30745</v>
      </c>
      <c r="E440" s="29" t="s">
        <v>536</v>
      </c>
      <c r="F440" s="36" t="s">
        <v>54412</v>
      </c>
      <c r="G440" s="39">
        <v>273055.61</v>
      </c>
      <c r="H440" s="42">
        <v>211</v>
      </c>
    </row>
    <row r="441" spans="1:8" ht="15" customHeight="1">
      <c r="A441" s="26">
        <v>4208286</v>
      </c>
      <c r="B441" s="29" t="s">
        <v>2685</v>
      </c>
      <c r="C441" s="26" t="s">
        <v>17590</v>
      </c>
      <c r="D441" s="26" t="s">
        <v>30746</v>
      </c>
      <c r="E441" s="26" t="s">
        <v>44277</v>
      </c>
      <c r="F441" s="37" t="s">
        <v>54401</v>
      </c>
      <c r="G441" s="39">
        <v>899403.53</v>
      </c>
      <c r="H441" s="42">
        <v>211</v>
      </c>
    </row>
    <row r="442" spans="1:8" ht="15" customHeight="1">
      <c r="A442" s="26">
        <v>4208311</v>
      </c>
      <c r="B442" s="29" t="s">
        <v>2686</v>
      </c>
      <c r="C442" s="29" t="s">
        <v>17591</v>
      </c>
      <c r="D442" s="29" t="s">
        <v>30747</v>
      </c>
      <c r="E442" s="29" t="s">
        <v>44278</v>
      </c>
      <c r="F442" s="36" t="s">
        <v>54401</v>
      </c>
      <c r="G442" s="39">
        <v>1997064.69</v>
      </c>
      <c r="H442" s="42">
        <v>211</v>
      </c>
    </row>
    <row r="443" spans="1:8" ht="15" customHeight="1">
      <c r="A443" s="26">
        <v>4208316</v>
      </c>
      <c r="B443" s="29" t="s">
        <v>2687</v>
      </c>
      <c r="C443" s="29" t="s">
        <v>17592</v>
      </c>
      <c r="D443" s="29" t="s">
        <v>30748</v>
      </c>
      <c r="E443" s="29" t="s">
        <v>44279</v>
      </c>
      <c r="F443" s="36" t="s">
        <v>54401</v>
      </c>
      <c r="G443" s="39">
        <f>509116.26+279913</f>
        <v>789029.26</v>
      </c>
      <c r="H443" s="42">
        <v>211</v>
      </c>
    </row>
    <row r="444" spans="1:8" ht="15" customHeight="1">
      <c r="A444" s="26">
        <v>4208323</v>
      </c>
      <c r="B444" s="29" t="s">
        <v>2688</v>
      </c>
      <c r="C444" s="29" t="s">
        <v>17593</v>
      </c>
      <c r="D444" s="29" t="s">
        <v>30749</v>
      </c>
      <c r="E444" s="29" t="s">
        <v>44280</v>
      </c>
      <c r="F444" s="36" t="s">
        <v>54414</v>
      </c>
      <c r="G444" s="39">
        <v>924935.76</v>
      </c>
      <c r="H444" s="42">
        <v>211</v>
      </c>
    </row>
    <row r="445" spans="1:8" ht="15" customHeight="1">
      <c r="A445" s="26">
        <v>4208338</v>
      </c>
      <c r="B445" s="29" t="s">
        <v>2689</v>
      </c>
      <c r="C445" s="29" t="s">
        <v>17594</v>
      </c>
      <c r="D445" s="29" t="s">
        <v>30750</v>
      </c>
      <c r="E445" s="29" t="s">
        <v>44281</v>
      </c>
      <c r="F445" s="36" t="s">
        <v>54401</v>
      </c>
      <c r="G445" s="39">
        <f>2486485.16+1100611</f>
        <v>3587096.16</v>
      </c>
      <c r="H445" s="42">
        <v>211</v>
      </c>
    </row>
    <row r="446" spans="1:8" ht="15" customHeight="1">
      <c r="A446" s="26">
        <v>4208352</v>
      </c>
      <c r="B446" s="29" t="s">
        <v>2690</v>
      </c>
      <c r="C446" s="29" t="s">
        <v>17595</v>
      </c>
      <c r="D446" s="29" t="s">
        <v>30751</v>
      </c>
      <c r="E446" s="29" t="s">
        <v>44282</v>
      </c>
      <c r="F446" s="36" t="s">
        <v>54401</v>
      </c>
      <c r="G446" s="39">
        <f>5729214.8-47325</f>
        <v>5681889.7999999998</v>
      </c>
      <c r="H446" s="42">
        <v>211</v>
      </c>
    </row>
    <row r="447" spans="1:8" ht="15" customHeight="1">
      <c r="A447" s="26">
        <v>4208368</v>
      </c>
      <c r="B447" s="29" t="s">
        <v>2691</v>
      </c>
      <c r="C447" s="29" t="s">
        <v>17596</v>
      </c>
      <c r="D447" s="29" t="s">
        <v>30752</v>
      </c>
      <c r="E447" s="29" t="s">
        <v>44283</v>
      </c>
      <c r="F447" s="36" t="s">
        <v>54420</v>
      </c>
      <c r="G447" s="39">
        <v>437695.09</v>
      </c>
      <c r="H447" s="42">
        <v>211</v>
      </c>
    </row>
    <row r="448" spans="1:8" ht="15" customHeight="1">
      <c r="A448" s="26">
        <v>4208370</v>
      </c>
      <c r="B448" s="29" t="s">
        <v>2692</v>
      </c>
      <c r="C448" s="29" t="s">
        <v>17597</v>
      </c>
      <c r="D448" s="29" t="s">
        <v>30753</v>
      </c>
      <c r="E448" s="29" t="s">
        <v>44284</v>
      </c>
      <c r="F448" s="36" t="s">
        <v>54401</v>
      </c>
      <c r="G448" s="39">
        <v>1437481.72</v>
      </c>
      <c r="H448" s="42">
        <v>211</v>
      </c>
    </row>
    <row r="449" spans="1:8" ht="15" customHeight="1">
      <c r="A449" s="26">
        <v>4208375</v>
      </c>
      <c r="B449" s="29" t="s">
        <v>2693</v>
      </c>
      <c r="C449" s="29" t="s">
        <v>17598</v>
      </c>
      <c r="D449" s="29" t="s">
        <v>30754</v>
      </c>
      <c r="E449" s="29" t="s">
        <v>44285</v>
      </c>
      <c r="F449" s="36" t="s">
        <v>54401</v>
      </c>
      <c r="G449" s="39">
        <v>143628</v>
      </c>
      <c r="H449" s="42">
        <v>211</v>
      </c>
    </row>
    <row r="450" spans="1:8" ht="15" customHeight="1">
      <c r="A450" s="26">
        <v>4208407</v>
      </c>
      <c r="B450" s="29" t="s">
        <v>2694</v>
      </c>
      <c r="C450" s="29" t="s">
        <v>17204</v>
      </c>
      <c r="D450" s="29" t="s">
        <v>30349</v>
      </c>
      <c r="E450" s="29" t="s">
        <v>43926</v>
      </c>
      <c r="F450" s="36" t="s">
        <v>54401</v>
      </c>
      <c r="G450" s="39">
        <v>25630.26</v>
      </c>
      <c r="H450" s="42">
        <v>211</v>
      </c>
    </row>
    <row r="451" spans="1:8" ht="15" customHeight="1">
      <c r="A451" s="26">
        <v>4208418</v>
      </c>
      <c r="B451" s="29" t="s">
        <v>2695</v>
      </c>
      <c r="C451" s="29" t="s">
        <v>17599</v>
      </c>
      <c r="D451" s="29" t="s">
        <v>30755</v>
      </c>
      <c r="E451" s="29" t="s">
        <v>44286</v>
      </c>
      <c r="F451" s="36" t="s">
        <v>54420</v>
      </c>
      <c r="G451" s="39">
        <v>62670.98</v>
      </c>
      <c r="H451" s="42">
        <v>211</v>
      </c>
    </row>
    <row r="452" spans="1:8" ht="15" customHeight="1">
      <c r="A452" s="26">
        <v>4208426</v>
      </c>
      <c r="B452" s="29" t="s">
        <v>2696</v>
      </c>
      <c r="C452" s="29" t="s">
        <v>17600</v>
      </c>
      <c r="D452" s="29" t="s">
        <v>30756</v>
      </c>
      <c r="E452" s="29" t="s">
        <v>44287</v>
      </c>
      <c r="F452" s="36" t="s">
        <v>54420</v>
      </c>
      <c r="G452" s="39">
        <v>507147.62</v>
      </c>
      <c r="H452" s="42">
        <v>211</v>
      </c>
    </row>
    <row r="453" spans="1:8" ht="15" customHeight="1">
      <c r="A453" s="26">
        <v>4208429</v>
      </c>
      <c r="B453" s="29" t="s">
        <v>2697</v>
      </c>
      <c r="C453" s="29" t="s">
        <v>17601</v>
      </c>
      <c r="D453" s="29" t="s">
        <v>30757</v>
      </c>
      <c r="E453" s="29" t="s">
        <v>44288</v>
      </c>
      <c r="F453" s="36" t="s">
        <v>54401</v>
      </c>
      <c r="G453" s="39">
        <f>1553637.51+1835575</f>
        <v>3389212.51</v>
      </c>
      <c r="H453" s="42">
        <v>211</v>
      </c>
    </row>
    <row r="454" spans="1:8" ht="15" customHeight="1">
      <c r="A454" s="26">
        <v>4208440</v>
      </c>
      <c r="B454" s="29" t="s">
        <v>2698</v>
      </c>
      <c r="C454" s="29" t="s">
        <v>17602</v>
      </c>
      <c r="D454" s="29" t="s">
        <v>30758</v>
      </c>
      <c r="E454" s="29" t="s">
        <v>44289</v>
      </c>
      <c r="F454" s="36" t="s">
        <v>54401</v>
      </c>
      <c r="G454" s="39">
        <f>3295002.3+162103</f>
        <v>3457105.3</v>
      </c>
      <c r="H454" s="42">
        <v>211</v>
      </c>
    </row>
    <row r="455" spans="1:8" ht="15" customHeight="1">
      <c r="A455" s="26">
        <v>4208451</v>
      </c>
      <c r="B455" s="29" t="s">
        <v>2699</v>
      </c>
      <c r="C455" s="29" t="s">
        <v>17603</v>
      </c>
      <c r="D455" s="29" t="s">
        <v>30759</v>
      </c>
      <c r="E455" s="29" t="s">
        <v>44290</v>
      </c>
      <c r="F455" s="36" t="s">
        <v>54401</v>
      </c>
      <c r="G455" s="39">
        <v>305324.09999999998</v>
      </c>
      <c r="H455" s="42">
        <v>211</v>
      </c>
    </row>
    <row r="456" spans="1:8" ht="15" customHeight="1">
      <c r="A456" s="26">
        <v>4208452</v>
      </c>
      <c r="B456" s="29" t="s">
        <v>2700</v>
      </c>
      <c r="C456" s="29" t="s">
        <v>17604</v>
      </c>
      <c r="D456" s="29" t="s">
        <v>30760</v>
      </c>
      <c r="E456" s="29" t="s">
        <v>731</v>
      </c>
      <c r="F456" s="36" t="s">
        <v>54401</v>
      </c>
      <c r="G456" s="39">
        <v>1719001.23</v>
      </c>
      <c r="H456" s="42">
        <v>211</v>
      </c>
    </row>
    <row r="457" spans="1:8" ht="15" customHeight="1">
      <c r="A457" s="26">
        <v>4208456</v>
      </c>
      <c r="B457" s="29" t="s">
        <v>2701</v>
      </c>
      <c r="C457" s="29" t="s">
        <v>17605</v>
      </c>
      <c r="D457" s="29" t="s">
        <v>30761</v>
      </c>
      <c r="E457" s="29" t="s">
        <v>44291</v>
      </c>
      <c r="F457" s="36" t="s">
        <v>54401</v>
      </c>
      <c r="G457" s="39">
        <v>2850758.27</v>
      </c>
      <c r="H457" s="42">
        <v>211</v>
      </c>
    </row>
    <row r="458" spans="1:8" ht="15" customHeight="1">
      <c r="A458" s="26">
        <v>4208480</v>
      </c>
      <c r="B458" s="29" t="s">
        <v>2702</v>
      </c>
      <c r="C458" s="29" t="s">
        <v>17606</v>
      </c>
      <c r="D458" s="29" t="s">
        <v>30762</v>
      </c>
      <c r="E458" s="29" t="s">
        <v>44250</v>
      </c>
      <c r="F458" s="36" t="s">
        <v>54401</v>
      </c>
      <c r="G458" s="39">
        <v>602421.06999999995</v>
      </c>
      <c r="H458" s="42">
        <v>211</v>
      </c>
    </row>
    <row r="459" spans="1:8" ht="15" customHeight="1">
      <c r="A459" s="26">
        <v>4208492</v>
      </c>
      <c r="B459" s="29" t="s">
        <v>2703</v>
      </c>
      <c r="C459" s="29" t="s">
        <v>17607</v>
      </c>
      <c r="D459" s="29" t="s">
        <v>30763</v>
      </c>
      <c r="E459" s="29" t="s">
        <v>44292</v>
      </c>
      <c r="F459" s="36" t="s">
        <v>54420</v>
      </c>
      <c r="G459" s="39">
        <v>4338826.1900000004</v>
      </c>
      <c r="H459" s="42">
        <v>211</v>
      </c>
    </row>
    <row r="460" spans="1:8" ht="15" customHeight="1">
      <c r="A460" s="26">
        <v>4208499</v>
      </c>
      <c r="B460" s="29" t="s">
        <v>2704</v>
      </c>
      <c r="C460" s="29" t="s">
        <v>17608</v>
      </c>
      <c r="D460" s="29" t="s">
        <v>30764</v>
      </c>
      <c r="E460" s="29" t="s">
        <v>44293</v>
      </c>
      <c r="F460" s="36" t="s">
        <v>54401</v>
      </c>
      <c r="G460" s="39">
        <f>3235130.84+176026</f>
        <v>3411156.84</v>
      </c>
      <c r="H460" s="42">
        <v>211</v>
      </c>
    </row>
    <row r="461" spans="1:8" ht="15" customHeight="1">
      <c r="A461" s="26">
        <v>4208501</v>
      </c>
      <c r="B461" s="29" t="s">
        <v>2705</v>
      </c>
      <c r="C461" s="29" t="s">
        <v>17609</v>
      </c>
      <c r="D461" s="29" t="s">
        <v>30765</v>
      </c>
      <c r="E461" s="29" t="s">
        <v>44294</v>
      </c>
      <c r="F461" s="36" t="s">
        <v>54401</v>
      </c>
      <c r="G461" s="39">
        <v>2772137.22</v>
      </c>
      <c r="H461" s="42">
        <v>211</v>
      </c>
    </row>
    <row r="462" spans="1:8" ht="15" customHeight="1">
      <c r="A462" s="26">
        <v>4208503</v>
      </c>
      <c r="B462" s="29" t="s">
        <v>2706</v>
      </c>
      <c r="C462" s="29" t="s">
        <v>17610</v>
      </c>
      <c r="D462" s="29" t="s">
        <v>30376</v>
      </c>
      <c r="E462" s="29" t="s">
        <v>44295</v>
      </c>
      <c r="F462" s="36" t="s">
        <v>54418</v>
      </c>
      <c r="G462" s="39">
        <v>1414379.66</v>
      </c>
      <c r="H462" s="42">
        <v>211</v>
      </c>
    </row>
    <row r="463" spans="1:8" ht="15" customHeight="1">
      <c r="A463" s="26">
        <v>4208516</v>
      </c>
      <c r="B463" s="29" t="s">
        <v>2707</v>
      </c>
      <c r="C463" s="29" t="s">
        <v>17611</v>
      </c>
      <c r="D463" s="29" t="s">
        <v>30766</v>
      </c>
      <c r="E463" s="29" t="s">
        <v>44296</v>
      </c>
      <c r="F463" s="36" t="s">
        <v>54401</v>
      </c>
      <c r="G463" s="39">
        <v>2028318.24</v>
      </c>
      <c r="H463" s="42">
        <v>211</v>
      </c>
    </row>
    <row r="464" spans="1:8" ht="15" customHeight="1">
      <c r="A464" s="26">
        <v>4208525</v>
      </c>
      <c r="B464" s="29" t="s">
        <v>2708</v>
      </c>
      <c r="C464" s="29" t="s">
        <v>17612</v>
      </c>
      <c r="D464" s="29" t="s">
        <v>30767</v>
      </c>
      <c r="E464" s="29" t="s">
        <v>43926</v>
      </c>
      <c r="F464" s="36" t="s">
        <v>54401</v>
      </c>
      <c r="G464" s="39">
        <f>1498307.02+225325</f>
        <v>1723632.02</v>
      </c>
      <c r="H464" s="42">
        <v>211</v>
      </c>
    </row>
    <row r="465" spans="1:8" ht="15" customHeight="1">
      <c r="A465" s="26">
        <v>4208531</v>
      </c>
      <c r="B465" s="29" t="s">
        <v>2709</v>
      </c>
      <c r="C465" s="29" t="s">
        <v>17613</v>
      </c>
      <c r="D465" s="29" t="s">
        <v>30768</v>
      </c>
      <c r="E465" s="29" t="s">
        <v>44297</v>
      </c>
      <c r="F465" s="36" t="s">
        <v>54401</v>
      </c>
      <c r="G465" s="39">
        <f>336878.27+2521244</f>
        <v>2858122.27</v>
      </c>
      <c r="H465" s="42">
        <v>211</v>
      </c>
    </row>
    <row r="466" spans="1:8" ht="15" customHeight="1">
      <c r="A466" s="26">
        <v>4208543</v>
      </c>
      <c r="B466" s="29" t="s">
        <v>2710</v>
      </c>
      <c r="C466" s="29" t="s">
        <v>17614</v>
      </c>
      <c r="D466" s="29" t="s">
        <v>30769</v>
      </c>
      <c r="E466" s="29" t="s">
        <v>44298</v>
      </c>
      <c r="F466" s="36" t="s">
        <v>54401</v>
      </c>
      <c r="G466" s="39">
        <v>772124.56</v>
      </c>
      <c r="H466" s="42">
        <v>211</v>
      </c>
    </row>
    <row r="467" spans="1:8" ht="15" customHeight="1">
      <c r="A467" s="26">
        <v>4208555</v>
      </c>
      <c r="B467" s="29" t="s">
        <v>2711</v>
      </c>
      <c r="C467" s="29" t="s">
        <v>17615</v>
      </c>
      <c r="D467" s="29" t="s">
        <v>30770</v>
      </c>
      <c r="E467" s="29" t="s">
        <v>44299</v>
      </c>
      <c r="F467" s="36" t="s">
        <v>54401</v>
      </c>
      <c r="G467" s="39">
        <v>268196.84000000003</v>
      </c>
      <c r="H467" s="42">
        <v>211</v>
      </c>
    </row>
    <row r="468" spans="1:8" ht="15" customHeight="1">
      <c r="A468" s="26">
        <v>4208573</v>
      </c>
      <c r="B468" s="29" t="s">
        <v>2712</v>
      </c>
      <c r="C468" s="29" t="s">
        <v>17616</v>
      </c>
      <c r="D468" s="29" t="s">
        <v>30771</v>
      </c>
      <c r="E468" s="29" t="s">
        <v>44300</v>
      </c>
      <c r="F468" s="36" t="s">
        <v>54401</v>
      </c>
      <c r="G468" s="39">
        <f>4987828.47+1967943</f>
        <v>6955771.4699999997</v>
      </c>
      <c r="H468" s="42">
        <v>211</v>
      </c>
    </row>
    <row r="469" spans="1:8" ht="15" customHeight="1">
      <c r="A469" s="26">
        <v>4208574</v>
      </c>
      <c r="B469" s="29" t="s">
        <v>2713</v>
      </c>
      <c r="C469" s="29" t="s">
        <v>17617</v>
      </c>
      <c r="D469" s="29" t="s">
        <v>30772</v>
      </c>
      <c r="E469" s="29" t="s">
        <v>44301</v>
      </c>
      <c r="F469" s="36" t="s">
        <v>54401</v>
      </c>
      <c r="G469" s="39">
        <v>577694.52</v>
      </c>
      <c r="H469" s="42">
        <v>211</v>
      </c>
    </row>
    <row r="470" spans="1:8" ht="15" customHeight="1">
      <c r="A470" s="26">
        <v>4208596</v>
      </c>
      <c r="B470" s="29" t="s">
        <v>2714</v>
      </c>
      <c r="C470" s="29" t="s">
        <v>17204</v>
      </c>
      <c r="D470" s="29" t="s">
        <v>30349</v>
      </c>
      <c r="E470" s="29" t="s">
        <v>43926</v>
      </c>
      <c r="F470" s="36" t="s">
        <v>54401</v>
      </c>
      <c r="G470" s="39">
        <v>239346.47</v>
      </c>
      <c r="H470" s="42">
        <v>211</v>
      </c>
    </row>
    <row r="471" spans="1:8" ht="15" customHeight="1">
      <c r="A471" s="26">
        <v>4208597</v>
      </c>
      <c r="B471" s="29" t="s">
        <v>2715</v>
      </c>
      <c r="C471" s="29" t="s">
        <v>17618</v>
      </c>
      <c r="D471" s="29" t="s">
        <v>30773</v>
      </c>
      <c r="E471" s="29" t="s">
        <v>44302</v>
      </c>
      <c r="F471" s="36" t="s">
        <v>54401</v>
      </c>
      <c r="G471" s="39">
        <v>1285138.98</v>
      </c>
      <c r="H471" s="42">
        <v>211</v>
      </c>
    </row>
    <row r="472" spans="1:8" ht="15" customHeight="1">
      <c r="A472" s="26">
        <v>4208598</v>
      </c>
      <c r="B472" s="29" t="s">
        <v>2716</v>
      </c>
      <c r="C472" s="26" t="s">
        <v>17619</v>
      </c>
      <c r="D472" s="26" t="s">
        <v>30774</v>
      </c>
      <c r="E472" s="26" t="s">
        <v>44303</v>
      </c>
      <c r="F472" s="37" t="s">
        <v>54401</v>
      </c>
      <c r="G472" s="39">
        <v>3476002.2</v>
      </c>
      <c r="H472" s="42">
        <v>211</v>
      </c>
    </row>
    <row r="473" spans="1:8" ht="15" customHeight="1">
      <c r="A473" s="26">
        <v>4208611</v>
      </c>
      <c r="B473" s="29" t="s">
        <v>2717</v>
      </c>
      <c r="C473" s="29" t="s">
        <v>17620</v>
      </c>
      <c r="D473" s="29" t="s">
        <v>30775</v>
      </c>
      <c r="E473" s="29" t="s">
        <v>44266</v>
      </c>
      <c r="F473" s="36" t="s">
        <v>54401</v>
      </c>
      <c r="G473" s="39">
        <v>2570485.4</v>
      </c>
      <c r="H473" s="42">
        <v>211</v>
      </c>
    </row>
    <row r="474" spans="1:8" ht="15" customHeight="1">
      <c r="A474" s="26">
        <v>4208621</v>
      </c>
      <c r="B474" s="29" t="s">
        <v>2718</v>
      </c>
      <c r="C474" s="29" t="s">
        <v>17621</v>
      </c>
      <c r="D474" s="29" t="s">
        <v>30776</v>
      </c>
      <c r="E474" s="29" t="s">
        <v>44304</v>
      </c>
      <c r="F474" s="36" t="s">
        <v>54420</v>
      </c>
      <c r="G474" s="39">
        <v>579839.17000000004</v>
      </c>
      <c r="H474" s="42">
        <v>211</v>
      </c>
    </row>
    <row r="475" spans="1:8" ht="15" customHeight="1">
      <c r="A475" s="26">
        <v>4208623</v>
      </c>
      <c r="B475" s="29" t="s">
        <v>2719</v>
      </c>
      <c r="C475" s="26" t="s">
        <v>17622</v>
      </c>
      <c r="D475" s="26" t="s">
        <v>30349</v>
      </c>
      <c r="E475" s="26" t="s">
        <v>43926</v>
      </c>
      <c r="F475" s="37" t="s">
        <v>54401</v>
      </c>
      <c r="G475" s="39">
        <v>323059.53000000003</v>
      </c>
      <c r="H475" s="42">
        <v>211</v>
      </c>
    </row>
    <row r="476" spans="1:8" ht="15" customHeight="1">
      <c r="A476" s="26">
        <v>4208628</v>
      </c>
      <c r="B476" s="29" t="s">
        <v>2720</v>
      </c>
      <c r="C476" s="29" t="s">
        <v>17623</v>
      </c>
      <c r="D476" s="29" t="s">
        <v>30777</v>
      </c>
      <c r="E476" s="29" t="s">
        <v>44305</v>
      </c>
      <c r="F476" s="36" t="s">
        <v>54401</v>
      </c>
      <c r="G476" s="39">
        <v>316472.05</v>
      </c>
      <c r="H476" s="42">
        <v>211</v>
      </c>
    </row>
    <row r="477" spans="1:8" ht="15" customHeight="1">
      <c r="A477" s="26">
        <v>4208635</v>
      </c>
      <c r="B477" s="29" t="s">
        <v>2721</v>
      </c>
      <c r="C477" s="29" t="s">
        <v>17624</v>
      </c>
      <c r="D477" s="29" t="s">
        <v>30778</v>
      </c>
      <c r="E477" s="29" t="s">
        <v>44306</v>
      </c>
      <c r="F477" s="36" t="s">
        <v>54401</v>
      </c>
      <c r="G477" s="39">
        <v>332078.84000000003</v>
      </c>
      <c r="H477" s="42">
        <v>211</v>
      </c>
    </row>
    <row r="478" spans="1:8" ht="15" customHeight="1">
      <c r="A478" s="26">
        <v>4208660</v>
      </c>
      <c r="B478" s="29" t="s">
        <v>2722</v>
      </c>
      <c r="C478" s="29" t="s">
        <v>17625</v>
      </c>
      <c r="D478" s="29" t="s">
        <v>30779</v>
      </c>
      <c r="E478" s="29" t="s">
        <v>44307</v>
      </c>
      <c r="F478" s="36" t="s">
        <v>54401</v>
      </c>
      <c r="G478" s="39">
        <v>589363.49</v>
      </c>
      <c r="H478" s="42">
        <v>211</v>
      </c>
    </row>
    <row r="479" spans="1:8" ht="15" customHeight="1">
      <c r="A479" s="26">
        <v>4208686</v>
      </c>
      <c r="B479" s="29" t="s">
        <v>2723</v>
      </c>
      <c r="C479" s="29" t="s">
        <v>17626</v>
      </c>
      <c r="D479" s="29" t="s">
        <v>30780</v>
      </c>
      <c r="E479" s="29" t="s">
        <v>44308</v>
      </c>
      <c r="F479" s="36" t="s">
        <v>54401</v>
      </c>
      <c r="G479" s="39">
        <f>3189572.5+109425</f>
        <v>3298997.5</v>
      </c>
      <c r="H479" s="42">
        <v>211</v>
      </c>
    </row>
    <row r="480" spans="1:8" ht="15" customHeight="1">
      <c r="A480" s="26">
        <v>4208707</v>
      </c>
      <c r="B480" s="29" t="s">
        <v>2724</v>
      </c>
      <c r="C480" s="29" t="s">
        <v>17627</v>
      </c>
      <c r="D480" s="29" t="s">
        <v>30781</v>
      </c>
      <c r="E480" s="29" t="s">
        <v>44309</v>
      </c>
      <c r="F480" s="36" t="s">
        <v>54401</v>
      </c>
      <c r="G480" s="39">
        <f>12753472.9+354099+313068</f>
        <v>13420639.9</v>
      </c>
      <c r="H480" s="42">
        <v>211</v>
      </c>
    </row>
    <row r="481" spans="1:8" ht="15" customHeight="1">
      <c r="A481" s="26">
        <v>4208708</v>
      </c>
      <c r="B481" s="29" t="s">
        <v>2725</v>
      </c>
      <c r="C481" s="29" t="s">
        <v>17628</v>
      </c>
      <c r="D481" s="29" t="s">
        <v>30376</v>
      </c>
      <c r="E481" s="29" t="s">
        <v>44310</v>
      </c>
      <c r="F481" s="36" t="s">
        <v>54420</v>
      </c>
      <c r="G481" s="39">
        <v>38811.22</v>
      </c>
      <c r="H481" s="42">
        <v>211</v>
      </c>
    </row>
    <row r="482" spans="1:8" ht="15" customHeight="1">
      <c r="A482" s="26">
        <v>4208712</v>
      </c>
      <c r="B482" s="29" t="s">
        <v>2726</v>
      </c>
      <c r="C482" s="29" t="s">
        <v>17629</v>
      </c>
      <c r="D482" s="29" t="s">
        <v>30782</v>
      </c>
      <c r="E482" s="29" t="s">
        <v>44311</v>
      </c>
      <c r="F482" s="36" t="s">
        <v>54401</v>
      </c>
      <c r="G482" s="39">
        <v>1452480.18</v>
      </c>
      <c r="H482" s="42">
        <v>211</v>
      </c>
    </row>
    <row r="483" spans="1:8" ht="15" customHeight="1">
      <c r="A483" s="26">
        <v>4208714</v>
      </c>
      <c r="B483" s="29" t="s">
        <v>2727</v>
      </c>
      <c r="C483" s="29" t="s">
        <v>17630</v>
      </c>
      <c r="D483" s="29" t="s">
        <v>30783</v>
      </c>
      <c r="E483" s="29" t="s">
        <v>44312</v>
      </c>
      <c r="F483" s="36" t="s">
        <v>54420</v>
      </c>
      <c r="G483" s="39">
        <v>5811702.1699999999</v>
      </c>
      <c r="H483" s="42">
        <v>211</v>
      </c>
    </row>
    <row r="484" spans="1:8" ht="15" customHeight="1">
      <c r="A484" s="26">
        <v>4208721</v>
      </c>
      <c r="B484" s="29" t="s">
        <v>2728</v>
      </c>
      <c r="C484" s="29" t="s">
        <v>17631</v>
      </c>
      <c r="D484" s="29" t="s">
        <v>30784</v>
      </c>
      <c r="E484" s="29" t="s">
        <v>44313</v>
      </c>
      <c r="F484" s="36" t="s">
        <v>54401</v>
      </c>
      <c r="G484" s="39">
        <f>606857.19+295287</f>
        <v>902144.19</v>
      </c>
      <c r="H484" s="42">
        <v>211</v>
      </c>
    </row>
    <row r="485" spans="1:8" ht="15" customHeight="1">
      <c r="A485" s="26">
        <v>4208722</v>
      </c>
      <c r="B485" s="29" t="s">
        <v>2729</v>
      </c>
      <c r="C485" s="29" t="s">
        <v>17632</v>
      </c>
      <c r="D485" s="29" t="s">
        <v>30785</v>
      </c>
      <c r="E485" s="29" t="s">
        <v>44314</v>
      </c>
      <c r="F485" s="36" t="s">
        <v>54401</v>
      </c>
      <c r="G485" s="39">
        <v>2350194.8199999998</v>
      </c>
      <c r="H485" s="42">
        <v>211</v>
      </c>
    </row>
    <row r="486" spans="1:8" ht="15" customHeight="1">
      <c r="A486" s="26">
        <v>4208727</v>
      </c>
      <c r="B486" s="29" t="s">
        <v>2730</v>
      </c>
      <c r="C486" s="29" t="s">
        <v>17633</v>
      </c>
      <c r="D486" s="29" t="s">
        <v>30786</v>
      </c>
      <c r="E486" s="29" t="s">
        <v>44315</v>
      </c>
      <c r="F486" s="36" t="s">
        <v>54401</v>
      </c>
      <c r="G486" s="39">
        <v>5241402.26</v>
      </c>
      <c r="H486" s="42">
        <v>211</v>
      </c>
    </row>
    <row r="487" spans="1:8" ht="15" customHeight="1">
      <c r="A487" s="26">
        <v>4208729</v>
      </c>
      <c r="B487" s="29" t="s">
        <v>2731</v>
      </c>
      <c r="C487" s="29" t="s">
        <v>17634</v>
      </c>
      <c r="D487" s="29" t="s">
        <v>30787</v>
      </c>
      <c r="E487" s="29" t="s">
        <v>44316</v>
      </c>
      <c r="F487" s="36" t="s">
        <v>54401</v>
      </c>
      <c r="G487" s="39">
        <v>378619.69</v>
      </c>
      <c r="H487" s="42">
        <v>211</v>
      </c>
    </row>
    <row r="488" spans="1:8" ht="15" customHeight="1">
      <c r="A488" s="26">
        <v>4208737</v>
      </c>
      <c r="B488" s="29" t="s">
        <v>2732</v>
      </c>
      <c r="C488" s="29" t="s">
        <v>17635</v>
      </c>
      <c r="D488" s="29" t="s">
        <v>30788</v>
      </c>
      <c r="E488" s="29" t="s">
        <v>44317</v>
      </c>
      <c r="F488" s="36" t="s">
        <v>54401</v>
      </c>
      <c r="G488" s="39">
        <f>838449.06-15930</f>
        <v>822519.06</v>
      </c>
      <c r="H488" s="42">
        <v>211</v>
      </c>
    </row>
    <row r="489" spans="1:8" ht="15" customHeight="1">
      <c r="A489" s="26">
        <v>4208739</v>
      </c>
      <c r="B489" s="29" t="s">
        <v>2733</v>
      </c>
      <c r="C489" s="26" t="s">
        <v>17204</v>
      </c>
      <c r="D489" s="26" t="s">
        <v>30349</v>
      </c>
      <c r="E489" s="26" t="s">
        <v>43926</v>
      </c>
      <c r="F489" s="37" t="s">
        <v>54401</v>
      </c>
      <c r="G489" s="39">
        <f>43966.3+879396</f>
        <v>923362.3</v>
      </c>
      <c r="H489" s="42">
        <v>211</v>
      </c>
    </row>
    <row r="490" spans="1:8" ht="15" customHeight="1">
      <c r="A490" s="26">
        <v>4208742</v>
      </c>
      <c r="B490" s="29" t="s">
        <v>2734</v>
      </c>
      <c r="C490" s="29" t="s">
        <v>17636</v>
      </c>
      <c r="D490" s="29" t="s">
        <v>30789</v>
      </c>
      <c r="E490" s="29" t="s">
        <v>44318</v>
      </c>
      <c r="F490" s="36" t="s">
        <v>54401</v>
      </c>
      <c r="G490" s="39">
        <v>378820.46</v>
      </c>
      <c r="H490" s="42">
        <v>211</v>
      </c>
    </row>
    <row r="491" spans="1:8" ht="15" customHeight="1">
      <c r="A491" s="26">
        <v>4208745</v>
      </c>
      <c r="B491" s="29" t="s">
        <v>2735</v>
      </c>
      <c r="C491" s="29" t="s">
        <v>17637</v>
      </c>
      <c r="D491" s="29" t="s">
        <v>30349</v>
      </c>
      <c r="E491" s="29" t="s">
        <v>44250</v>
      </c>
      <c r="F491" s="36" t="s">
        <v>54401</v>
      </c>
      <c r="G491" s="39">
        <v>561867.14</v>
      </c>
      <c r="H491" s="42">
        <v>211</v>
      </c>
    </row>
    <row r="492" spans="1:8" ht="15" customHeight="1">
      <c r="A492" s="26">
        <v>4208749</v>
      </c>
      <c r="B492" s="29" t="s">
        <v>2736</v>
      </c>
      <c r="C492" s="29" t="s">
        <v>17638</v>
      </c>
      <c r="D492" s="29" t="s">
        <v>30790</v>
      </c>
      <c r="E492" s="29" t="s">
        <v>44319</v>
      </c>
      <c r="F492" s="36" t="s">
        <v>54401</v>
      </c>
      <c r="G492" s="39">
        <v>360697.32</v>
      </c>
      <c r="H492" s="42">
        <v>211</v>
      </c>
    </row>
    <row r="493" spans="1:8" ht="15" customHeight="1">
      <c r="A493" s="26">
        <v>4208794</v>
      </c>
      <c r="B493" s="29" t="s">
        <v>2737</v>
      </c>
      <c r="C493" s="29" t="s">
        <v>17204</v>
      </c>
      <c r="D493" s="29" t="s">
        <v>30791</v>
      </c>
      <c r="E493" s="29" t="s">
        <v>43926</v>
      </c>
      <c r="F493" s="36" t="s">
        <v>54401</v>
      </c>
      <c r="G493" s="39">
        <v>74152.210000000006</v>
      </c>
      <c r="H493" s="42">
        <v>211</v>
      </c>
    </row>
    <row r="494" spans="1:8" ht="15" customHeight="1">
      <c r="A494" s="26">
        <v>4208799</v>
      </c>
      <c r="B494" s="29" t="s">
        <v>2738</v>
      </c>
      <c r="C494" s="29" t="s">
        <v>17639</v>
      </c>
      <c r="D494" s="29" t="s">
        <v>30792</v>
      </c>
      <c r="E494" s="29" t="s">
        <v>44320</v>
      </c>
      <c r="F494" s="36" t="s">
        <v>54401</v>
      </c>
      <c r="G494" s="39">
        <v>427463.31</v>
      </c>
      <c r="H494" s="42">
        <v>211</v>
      </c>
    </row>
    <row r="495" spans="1:8" ht="15" customHeight="1">
      <c r="A495" s="26">
        <v>4208804</v>
      </c>
      <c r="B495" s="29" t="s">
        <v>2739</v>
      </c>
      <c r="C495" s="29" t="s">
        <v>17640</v>
      </c>
      <c r="D495" s="29" t="s">
        <v>30793</v>
      </c>
      <c r="E495" s="29" t="s">
        <v>44321</v>
      </c>
      <c r="F495" s="36" t="s">
        <v>54401</v>
      </c>
      <c r="G495" s="39">
        <v>1616493.28</v>
      </c>
      <c r="H495" s="42">
        <v>211</v>
      </c>
    </row>
    <row r="496" spans="1:8" ht="15" customHeight="1">
      <c r="A496" s="26">
        <v>4208805</v>
      </c>
      <c r="B496" s="29" t="s">
        <v>2740</v>
      </c>
      <c r="C496" s="29" t="s">
        <v>17641</v>
      </c>
      <c r="D496" s="29" t="s">
        <v>30794</v>
      </c>
      <c r="E496" s="29" t="s">
        <v>44322</v>
      </c>
      <c r="F496" s="36" t="s">
        <v>54401</v>
      </c>
      <c r="G496" s="39">
        <v>4920087.97</v>
      </c>
      <c r="H496" s="42">
        <v>211</v>
      </c>
    </row>
    <row r="497" spans="1:8" ht="15" customHeight="1">
      <c r="A497" s="26">
        <v>4208806</v>
      </c>
      <c r="B497" s="29" t="s">
        <v>2741</v>
      </c>
      <c r="C497" s="29" t="s">
        <v>17642</v>
      </c>
      <c r="D497" s="29" t="s">
        <v>30795</v>
      </c>
      <c r="E497" s="29" t="s">
        <v>44323</v>
      </c>
      <c r="F497" s="36" t="s">
        <v>54401</v>
      </c>
      <c r="G497" s="39">
        <v>3712659</v>
      </c>
      <c r="H497" s="42">
        <v>211</v>
      </c>
    </row>
    <row r="498" spans="1:8" ht="15" customHeight="1">
      <c r="A498" s="26">
        <v>4208816</v>
      </c>
      <c r="B498" s="29" t="s">
        <v>2742</v>
      </c>
      <c r="C498" s="26" t="s">
        <v>17204</v>
      </c>
      <c r="D498" s="26" t="s">
        <v>30349</v>
      </c>
      <c r="E498" s="26" t="s">
        <v>43926</v>
      </c>
      <c r="F498" s="37" t="s">
        <v>54401</v>
      </c>
      <c r="G498" s="39">
        <v>145395.14000000001</v>
      </c>
      <c r="H498" s="42">
        <v>211</v>
      </c>
    </row>
    <row r="499" spans="1:8" ht="15" customHeight="1">
      <c r="A499" s="26">
        <v>4208824</v>
      </c>
      <c r="B499" s="29" t="s">
        <v>2743</v>
      </c>
      <c r="C499" s="29" t="s">
        <v>17643</v>
      </c>
      <c r="D499" s="29" t="s">
        <v>30796</v>
      </c>
      <c r="E499" s="29" t="s">
        <v>43926</v>
      </c>
      <c r="F499" s="36" t="s">
        <v>54401</v>
      </c>
      <c r="G499" s="39">
        <v>560520.07999999996</v>
      </c>
      <c r="H499" s="42">
        <v>211</v>
      </c>
    </row>
    <row r="500" spans="1:8" ht="15" customHeight="1">
      <c r="A500" s="26">
        <v>4208825</v>
      </c>
      <c r="B500" s="29" t="s">
        <v>2744</v>
      </c>
      <c r="C500" s="29" t="s">
        <v>17644</v>
      </c>
      <c r="D500" s="29" t="s">
        <v>30797</v>
      </c>
      <c r="E500" s="29" t="s">
        <v>44324</v>
      </c>
      <c r="F500" s="36" t="s">
        <v>54401</v>
      </c>
      <c r="G500" s="39">
        <v>5863292.6100000003</v>
      </c>
      <c r="H500" s="42">
        <v>211</v>
      </c>
    </row>
    <row r="501" spans="1:8" ht="15" customHeight="1">
      <c r="A501" s="26">
        <v>4208827</v>
      </c>
      <c r="B501" s="29" t="s">
        <v>2745</v>
      </c>
      <c r="C501" s="29" t="s">
        <v>17645</v>
      </c>
      <c r="D501" s="29" t="s">
        <v>30798</v>
      </c>
      <c r="E501" s="29" t="s">
        <v>44325</v>
      </c>
      <c r="F501" s="36" t="s">
        <v>54420</v>
      </c>
      <c r="G501" s="39">
        <v>710661.72</v>
      </c>
      <c r="H501" s="42">
        <v>211</v>
      </c>
    </row>
    <row r="502" spans="1:8" ht="15" customHeight="1">
      <c r="A502" s="26">
        <v>4208834</v>
      </c>
      <c r="B502" s="29" t="s">
        <v>2746</v>
      </c>
      <c r="C502" s="29" t="s">
        <v>17646</v>
      </c>
      <c r="D502" s="29" t="s">
        <v>30799</v>
      </c>
      <c r="E502" s="29" t="s">
        <v>44326</v>
      </c>
      <c r="F502" s="36" t="s">
        <v>54420</v>
      </c>
      <c r="G502" s="39">
        <v>6373343.1699999999</v>
      </c>
      <c r="H502" s="42">
        <v>211</v>
      </c>
    </row>
    <row r="503" spans="1:8" ht="15" customHeight="1">
      <c r="A503" s="26">
        <v>4208842</v>
      </c>
      <c r="B503" s="29" t="s">
        <v>2747</v>
      </c>
      <c r="C503" s="29" t="s">
        <v>17647</v>
      </c>
      <c r="D503" s="29" t="s">
        <v>30800</v>
      </c>
      <c r="E503" s="29" t="s">
        <v>44327</v>
      </c>
      <c r="F503" s="36" t="s">
        <v>54401</v>
      </c>
      <c r="G503" s="39">
        <v>8287931.3899999997</v>
      </c>
      <c r="H503" s="42">
        <v>211</v>
      </c>
    </row>
    <row r="504" spans="1:8" ht="15" customHeight="1">
      <c r="A504" s="26">
        <v>4208843</v>
      </c>
      <c r="B504" s="29" t="s">
        <v>2748</v>
      </c>
      <c r="C504" s="29" t="s">
        <v>17648</v>
      </c>
      <c r="D504" s="29" t="s">
        <v>30801</v>
      </c>
      <c r="E504" s="29" t="s">
        <v>44328</v>
      </c>
      <c r="F504" s="36" t="s">
        <v>54401</v>
      </c>
      <c r="G504" s="39">
        <v>11619.05</v>
      </c>
      <c r="H504" s="42">
        <v>211</v>
      </c>
    </row>
    <row r="505" spans="1:8" ht="15" customHeight="1">
      <c r="A505" s="26">
        <v>4208847</v>
      </c>
      <c r="B505" s="29" t="s">
        <v>2749</v>
      </c>
      <c r="C505" s="29" t="s">
        <v>17649</v>
      </c>
      <c r="D505" s="29" t="s">
        <v>30802</v>
      </c>
      <c r="E505" s="29" t="s">
        <v>43926</v>
      </c>
      <c r="F505" s="36" t="s">
        <v>54401</v>
      </c>
      <c r="G505" s="39">
        <v>230460.49</v>
      </c>
      <c r="H505" s="42">
        <v>211</v>
      </c>
    </row>
    <row r="506" spans="1:8" ht="15" customHeight="1">
      <c r="A506" s="26">
        <v>4208856</v>
      </c>
      <c r="B506" s="29" t="s">
        <v>2750</v>
      </c>
      <c r="C506" s="29" t="s">
        <v>17650</v>
      </c>
      <c r="D506" s="29" t="s">
        <v>30803</v>
      </c>
      <c r="E506" s="29" t="s">
        <v>44310</v>
      </c>
      <c r="F506" s="36" t="s">
        <v>54401</v>
      </c>
      <c r="G506" s="39">
        <v>3821708.72</v>
      </c>
      <c r="H506" s="42">
        <v>211</v>
      </c>
    </row>
    <row r="507" spans="1:8" ht="15" customHeight="1">
      <c r="A507" s="26">
        <v>4208868</v>
      </c>
      <c r="B507" s="29" t="s">
        <v>2751</v>
      </c>
      <c r="C507" s="29" t="s">
        <v>17651</v>
      </c>
      <c r="D507" s="29" t="s">
        <v>30804</v>
      </c>
      <c r="E507" s="29" t="s">
        <v>44329</v>
      </c>
      <c r="F507" s="36" t="s">
        <v>54401</v>
      </c>
      <c r="G507" s="39">
        <f>8740582.13+236494</f>
        <v>8977076.1300000008</v>
      </c>
      <c r="H507" s="42">
        <v>211</v>
      </c>
    </row>
    <row r="508" spans="1:8" ht="15" customHeight="1">
      <c r="A508" s="26">
        <v>4208872</v>
      </c>
      <c r="B508" s="29" t="s">
        <v>2752</v>
      </c>
      <c r="C508" s="29" t="s">
        <v>17652</v>
      </c>
      <c r="D508" s="29" t="s">
        <v>30805</v>
      </c>
      <c r="E508" s="29" t="s">
        <v>44330</v>
      </c>
      <c r="F508" s="36" t="s">
        <v>54401</v>
      </c>
      <c r="G508" s="39">
        <f>302688.34+127867</f>
        <v>430555.34</v>
      </c>
      <c r="H508" s="42">
        <v>211</v>
      </c>
    </row>
    <row r="509" spans="1:8" ht="15" customHeight="1">
      <c r="A509" s="26">
        <v>4208885</v>
      </c>
      <c r="B509" s="29" t="s">
        <v>2753</v>
      </c>
      <c r="C509" s="29" t="s">
        <v>17653</v>
      </c>
      <c r="D509" s="29" t="s">
        <v>30806</v>
      </c>
      <c r="E509" s="29" t="s">
        <v>44331</v>
      </c>
      <c r="F509" s="36" t="s">
        <v>54401</v>
      </c>
      <c r="G509" s="39">
        <f>954110.8+507927</f>
        <v>1462037.8</v>
      </c>
      <c r="H509" s="42">
        <v>211</v>
      </c>
    </row>
    <row r="510" spans="1:8" ht="15" customHeight="1">
      <c r="A510" s="26">
        <v>4208903</v>
      </c>
      <c r="B510" s="29" t="s">
        <v>2754</v>
      </c>
      <c r="C510" s="29" t="s">
        <v>17654</v>
      </c>
      <c r="D510" s="29" t="s">
        <v>30807</v>
      </c>
      <c r="E510" s="29" t="s">
        <v>44332</v>
      </c>
      <c r="F510" s="36" t="s">
        <v>54414</v>
      </c>
      <c r="G510" s="39">
        <v>820058.79</v>
      </c>
      <c r="H510" s="42">
        <v>211</v>
      </c>
    </row>
    <row r="511" spans="1:8" ht="15" customHeight="1">
      <c r="A511" s="26">
        <v>4208949</v>
      </c>
      <c r="B511" s="29" t="s">
        <v>2755</v>
      </c>
      <c r="C511" s="29" t="s">
        <v>17655</v>
      </c>
      <c r="D511" s="29" t="s">
        <v>30808</v>
      </c>
      <c r="E511" s="29" t="s">
        <v>44333</v>
      </c>
      <c r="F511" s="36" t="s">
        <v>54412</v>
      </c>
      <c r="G511" s="39">
        <v>1032954.96</v>
      </c>
      <c r="H511" s="42">
        <v>211</v>
      </c>
    </row>
    <row r="512" spans="1:8" ht="15" customHeight="1">
      <c r="A512" s="26">
        <v>4208950</v>
      </c>
      <c r="B512" s="29" t="s">
        <v>2756</v>
      </c>
      <c r="C512" s="29" t="s">
        <v>17656</v>
      </c>
      <c r="D512" s="29" t="s">
        <v>30809</v>
      </c>
      <c r="E512" s="29" t="s">
        <v>44334</v>
      </c>
      <c r="F512" s="36" t="s">
        <v>54420</v>
      </c>
      <c r="G512" s="39">
        <v>4022353.08</v>
      </c>
      <c r="H512" s="42">
        <v>211</v>
      </c>
    </row>
    <row r="513" spans="1:8" ht="15" customHeight="1">
      <c r="A513" s="26">
        <v>4208963</v>
      </c>
      <c r="B513" s="29" t="s">
        <v>2757</v>
      </c>
      <c r="C513" s="29" t="s">
        <v>17657</v>
      </c>
      <c r="D513" s="29" t="s">
        <v>30810</v>
      </c>
      <c r="E513" s="29" t="s">
        <v>44335</v>
      </c>
      <c r="F513" s="36" t="s">
        <v>54401</v>
      </c>
      <c r="G513" s="39">
        <f>2127704.16+147428</f>
        <v>2275132.16</v>
      </c>
      <c r="H513" s="42">
        <v>211</v>
      </c>
    </row>
    <row r="514" spans="1:8" ht="15" customHeight="1">
      <c r="A514" s="26">
        <v>4208969</v>
      </c>
      <c r="B514" s="29" t="s">
        <v>2758</v>
      </c>
      <c r="C514" s="29" t="s">
        <v>17658</v>
      </c>
      <c r="D514" s="29" t="s">
        <v>30811</v>
      </c>
      <c r="E514" s="29" t="s">
        <v>43926</v>
      </c>
      <c r="F514" s="36" t="s">
        <v>54401</v>
      </c>
      <c r="G514" s="39">
        <v>46400</v>
      </c>
      <c r="H514" s="42">
        <v>211</v>
      </c>
    </row>
    <row r="515" spans="1:8" ht="15" customHeight="1">
      <c r="A515" s="26">
        <v>4208980</v>
      </c>
      <c r="B515" s="29" t="s">
        <v>2759</v>
      </c>
      <c r="C515" s="29" t="s">
        <v>17659</v>
      </c>
      <c r="D515" s="29" t="s">
        <v>30812</v>
      </c>
      <c r="E515" s="29" t="s">
        <v>44336</v>
      </c>
      <c r="F515" s="36" t="s">
        <v>54401</v>
      </c>
      <c r="G515" s="39">
        <v>515325.03</v>
      </c>
      <c r="H515" s="42">
        <v>211</v>
      </c>
    </row>
    <row r="516" spans="1:8" ht="15" customHeight="1">
      <c r="A516" s="26">
        <v>4208983</v>
      </c>
      <c r="B516" s="29" t="s">
        <v>2760</v>
      </c>
      <c r="C516" s="26" t="s">
        <v>17660</v>
      </c>
      <c r="D516" s="26" t="s">
        <v>30813</v>
      </c>
      <c r="E516" s="26" t="s">
        <v>44337</v>
      </c>
      <c r="F516" s="37" t="s">
        <v>54401</v>
      </c>
      <c r="G516" s="39">
        <v>3973050.27</v>
      </c>
      <c r="H516" s="42">
        <v>211</v>
      </c>
    </row>
    <row r="517" spans="1:8" ht="15" customHeight="1">
      <c r="A517" s="26">
        <v>4208986</v>
      </c>
      <c r="B517" s="29" t="s">
        <v>2761</v>
      </c>
      <c r="C517" s="29" t="s">
        <v>17661</v>
      </c>
      <c r="D517" s="29" t="s">
        <v>30814</v>
      </c>
      <c r="E517" s="29" t="s">
        <v>44338</v>
      </c>
      <c r="F517" s="36" t="s">
        <v>54401</v>
      </c>
      <c r="G517" s="39">
        <v>1032270.17</v>
      </c>
      <c r="H517" s="42">
        <v>211</v>
      </c>
    </row>
    <row r="518" spans="1:8" ht="15" customHeight="1">
      <c r="A518" s="26">
        <v>4208988</v>
      </c>
      <c r="B518" s="29" t="s">
        <v>2762</v>
      </c>
      <c r="C518" s="29" t="s">
        <v>17662</v>
      </c>
      <c r="D518" s="29" t="s">
        <v>30815</v>
      </c>
      <c r="E518" s="29" t="s">
        <v>44339</v>
      </c>
      <c r="F518" s="36" t="s">
        <v>54401</v>
      </c>
      <c r="G518" s="39">
        <f>3450037.32+20266+241007</f>
        <v>3711310.32</v>
      </c>
      <c r="H518" s="42">
        <v>211</v>
      </c>
    </row>
    <row r="519" spans="1:8" ht="15" customHeight="1">
      <c r="A519" s="26">
        <v>4208997</v>
      </c>
      <c r="B519" s="29" t="s">
        <v>2763</v>
      </c>
      <c r="C519" s="29" t="s">
        <v>17663</v>
      </c>
      <c r="D519" s="29" t="s">
        <v>30816</v>
      </c>
      <c r="E519" s="29" t="s">
        <v>44340</v>
      </c>
      <c r="F519" s="36" t="s">
        <v>54425</v>
      </c>
      <c r="G519" s="39">
        <v>2209714.36</v>
      </c>
      <c r="H519" s="42">
        <v>211</v>
      </c>
    </row>
    <row r="520" spans="1:8" ht="15" customHeight="1">
      <c r="A520" s="26">
        <v>4208998</v>
      </c>
      <c r="B520" s="29" t="s">
        <v>2764</v>
      </c>
      <c r="C520" s="26" t="s">
        <v>17664</v>
      </c>
      <c r="D520" s="26" t="s">
        <v>30817</v>
      </c>
      <c r="E520" s="26" t="s">
        <v>44341</v>
      </c>
      <c r="F520" s="37" t="s">
        <v>54401</v>
      </c>
      <c r="G520" s="39">
        <v>3496808.67</v>
      </c>
      <c r="H520" s="42">
        <v>211</v>
      </c>
    </row>
    <row r="521" spans="1:8" ht="15" customHeight="1">
      <c r="A521" s="26">
        <v>4209010</v>
      </c>
      <c r="B521" s="29" t="s">
        <v>2765</v>
      </c>
      <c r="C521" s="29" t="s">
        <v>17665</v>
      </c>
      <c r="D521" s="29" t="s">
        <v>30818</v>
      </c>
      <c r="E521" s="29" t="s">
        <v>44342</v>
      </c>
      <c r="F521" s="36" t="s">
        <v>54401</v>
      </c>
      <c r="G521" s="39">
        <f>1021939.04+434540</f>
        <v>1456479.04</v>
      </c>
      <c r="H521" s="42">
        <v>211</v>
      </c>
    </row>
    <row r="522" spans="1:8" ht="15" customHeight="1">
      <c r="A522" s="26">
        <v>4209028</v>
      </c>
      <c r="B522" s="29" t="s">
        <v>2766</v>
      </c>
      <c r="C522" s="26" t="s">
        <v>17204</v>
      </c>
      <c r="D522" s="26" t="s">
        <v>30349</v>
      </c>
      <c r="E522" s="26" t="s">
        <v>43926</v>
      </c>
      <c r="F522" s="37" t="s">
        <v>54401</v>
      </c>
      <c r="G522" s="39">
        <v>710718.19</v>
      </c>
      <c r="H522" s="42">
        <v>211</v>
      </c>
    </row>
    <row r="523" spans="1:8" ht="15" customHeight="1">
      <c r="A523" s="26">
        <v>4209040</v>
      </c>
      <c r="B523" s="29" t="s">
        <v>2767</v>
      </c>
      <c r="C523" s="29" t="s">
        <v>17666</v>
      </c>
      <c r="D523" s="29" t="s">
        <v>30819</v>
      </c>
      <c r="E523" s="29" t="s">
        <v>44343</v>
      </c>
      <c r="F523" s="36" t="s">
        <v>54401</v>
      </c>
      <c r="G523" s="39">
        <v>5095489.72</v>
      </c>
      <c r="H523" s="42">
        <v>211</v>
      </c>
    </row>
    <row r="524" spans="1:8" ht="15" customHeight="1">
      <c r="A524" s="26">
        <v>4209057</v>
      </c>
      <c r="B524" s="29" t="s">
        <v>2768</v>
      </c>
      <c r="C524" s="29" t="s">
        <v>17667</v>
      </c>
      <c r="D524" s="29" t="s">
        <v>30820</v>
      </c>
      <c r="E524" s="29" t="s">
        <v>44344</v>
      </c>
      <c r="F524" s="36" t="s">
        <v>54401</v>
      </c>
      <c r="G524" s="39">
        <v>126872.63</v>
      </c>
      <c r="H524" s="42">
        <v>211</v>
      </c>
    </row>
    <row r="525" spans="1:8" ht="15" customHeight="1">
      <c r="A525" s="26">
        <v>4209065</v>
      </c>
      <c r="B525" s="29" t="s">
        <v>2769</v>
      </c>
      <c r="C525" s="29" t="s">
        <v>17668</v>
      </c>
      <c r="D525" s="29" t="s">
        <v>30821</v>
      </c>
      <c r="E525" s="29" t="s">
        <v>44345</v>
      </c>
      <c r="F525" s="36" t="s">
        <v>54401</v>
      </c>
      <c r="G525" s="39">
        <v>3321748.76</v>
      </c>
      <c r="H525" s="42">
        <v>211</v>
      </c>
    </row>
    <row r="526" spans="1:8" ht="15" customHeight="1">
      <c r="A526" s="26">
        <v>4209088</v>
      </c>
      <c r="B526" s="29" t="s">
        <v>2770</v>
      </c>
      <c r="C526" s="29" t="s">
        <v>17669</v>
      </c>
      <c r="D526" s="29" t="s">
        <v>30349</v>
      </c>
      <c r="E526" s="29" t="s">
        <v>44346</v>
      </c>
      <c r="F526" s="36" t="s">
        <v>54420</v>
      </c>
      <c r="G526" s="39">
        <v>639640.12</v>
      </c>
      <c r="H526" s="42">
        <v>211</v>
      </c>
    </row>
    <row r="527" spans="1:8" ht="15" customHeight="1">
      <c r="A527" s="26">
        <v>4210736</v>
      </c>
      <c r="B527" s="29" t="s">
        <v>2771</v>
      </c>
      <c r="C527" s="29" t="s">
        <v>17670</v>
      </c>
      <c r="D527" s="29" t="s">
        <v>30822</v>
      </c>
      <c r="E527" s="29" t="s">
        <v>44347</v>
      </c>
      <c r="F527" s="36" t="s">
        <v>54401</v>
      </c>
      <c r="G527" s="39">
        <v>1746802.52</v>
      </c>
      <c r="H527" s="42">
        <v>211</v>
      </c>
    </row>
    <row r="528" spans="1:8" ht="15" customHeight="1">
      <c r="A528" s="26">
        <v>4210745</v>
      </c>
      <c r="B528" s="29" t="s">
        <v>2772</v>
      </c>
      <c r="C528" s="29" t="s">
        <v>17671</v>
      </c>
      <c r="D528" s="29" t="s">
        <v>30823</v>
      </c>
      <c r="E528" s="29" t="s">
        <v>44348</v>
      </c>
      <c r="F528" s="36" t="s">
        <v>54401</v>
      </c>
      <c r="G528" s="39">
        <v>551514.68000000005</v>
      </c>
      <c r="H528" s="42">
        <v>211</v>
      </c>
    </row>
    <row r="529" spans="1:8" ht="15" customHeight="1">
      <c r="A529" s="26">
        <v>4211464</v>
      </c>
      <c r="B529" s="29" t="s">
        <v>2773</v>
      </c>
      <c r="C529" s="29" t="s">
        <v>17672</v>
      </c>
      <c r="D529" s="29" t="s">
        <v>30824</v>
      </c>
      <c r="E529" s="29" t="s">
        <v>44349</v>
      </c>
      <c r="F529" s="36" t="s">
        <v>54401</v>
      </c>
      <c r="G529" s="39">
        <v>1684556</v>
      </c>
      <c r="H529" s="42">
        <v>211</v>
      </c>
    </row>
    <row r="530" spans="1:8" ht="15" customHeight="1">
      <c r="A530" s="26">
        <v>4211651</v>
      </c>
      <c r="B530" s="29" t="s">
        <v>2774</v>
      </c>
      <c r="C530" s="29" t="s">
        <v>17673</v>
      </c>
      <c r="D530" s="29" t="s">
        <v>30825</v>
      </c>
      <c r="E530" s="29" t="s">
        <v>44350</v>
      </c>
      <c r="F530" s="36" t="s">
        <v>54401</v>
      </c>
      <c r="G530" s="39">
        <v>193258.94</v>
      </c>
      <c r="H530" s="42">
        <v>211</v>
      </c>
    </row>
    <row r="531" spans="1:8" ht="15" customHeight="1">
      <c r="A531" s="26">
        <v>4211747</v>
      </c>
      <c r="B531" s="29" t="s">
        <v>2775</v>
      </c>
      <c r="C531" s="29" t="s">
        <v>17674</v>
      </c>
      <c r="D531" s="29" t="s">
        <v>30826</v>
      </c>
      <c r="E531" s="29" t="s">
        <v>44351</v>
      </c>
      <c r="F531" s="36" t="s">
        <v>54401</v>
      </c>
      <c r="G531" s="39">
        <v>3957301.52</v>
      </c>
      <c r="H531" s="42">
        <v>211</v>
      </c>
    </row>
    <row r="532" spans="1:8" ht="15" customHeight="1">
      <c r="A532" s="26">
        <v>4216373</v>
      </c>
      <c r="B532" s="29" t="s">
        <v>2776</v>
      </c>
      <c r="C532" s="29" t="s">
        <v>17675</v>
      </c>
      <c r="D532" s="29" t="s">
        <v>30827</v>
      </c>
      <c r="E532" s="29" t="s">
        <v>44352</v>
      </c>
      <c r="F532" s="36" t="s">
        <v>54401</v>
      </c>
      <c r="G532" s="39">
        <f>679872.84+143680</f>
        <v>823552.84</v>
      </c>
      <c r="H532" s="42">
        <v>211</v>
      </c>
    </row>
    <row r="533" spans="1:8" ht="15" customHeight="1">
      <c r="A533" s="26">
        <v>4216588</v>
      </c>
      <c r="B533" s="29" t="s">
        <v>2549</v>
      </c>
      <c r="C533" s="29" t="s">
        <v>17466</v>
      </c>
      <c r="D533" s="29" t="s">
        <v>30619</v>
      </c>
      <c r="E533" s="29" t="s">
        <v>44353</v>
      </c>
      <c r="F533" s="36" t="s">
        <v>54402</v>
      </c>
      <c r="G533" s="39">
        <v>453785.71</v>
      </c>
      <c r="H533" s="42">
        <v>211</v>
      </c>
    </row>
    <row r="534" spans="1:8" ht="15" customHeight="1">
      <c r="A534" s="26">
        <v>4216897</v>
      </c>
      <c r="B534" s="29" t="s">
        <v>2777</v>
      </c>
      <c r="C534" s="26" t="s">
        <v>17676</v>
      </c>
      <c r="D534" s="26" t="s">
        <v>30828</v>
      </c>
      <c r="E534" s="26" t="s">
        <v>44354</v>
      </c>
      <c r="F534" s="37" t="s">
        <v>54401</v>
      </c>
      <c r="G534" s="39">
        <f>835410.32+1737934+40239</f>
        <v>2613583.3199999998</v>
      </c>
      <c r="H534" s="42">
        <v>211</v>
      </c>
    </row>
    <row r="535" spans="1:8" ht="15" customHeight="1">
      <c r="A535" s="26">
        <v>4216937</v>
      </c>
      <c r="B535" s="29" t="s">
        <v>2778</v>
      </c>
      <c r="C535" s="29" t="s">
        <v>17677</v>
      </c>
      <c r="D535" s="29" t="s">
        <v>30829</v>
      </c>
      <c r="E535" s="29" t="s">
        <v>44355</v>
      </c>
      <c r="F535" s="36" t="s">
        <v>54401</v>
      </c>
      <c r="G535" s="39">
        <v>273405.13</v>
      </c>
      <c r="H535" s="42">
        <v>211</v>
      </c>
    </row>
    <row r="536" spans="1:8" ht="15" customHeight="1">
      <c r="A536" s="26">
        <v>4217117</v>
      </c>
      <c r="B536" s="29" t="s">
        <v>2779</v>
      </c>
      <c r="C536" s="29" t="s">
        <v>17678</v>
      </c>
      <c r="D536" s="29" t="s">
        <v>30830</v>
      </c>
      <c r="E536" s="29" t="s">
        <v>44356</v>
      </c>
      <c r="F536" s="36" t="s">
        <v>54426</v>
      </c>
      <c r="G536" s="39">
        <v>409600.01</v>
      </c>
      <c r="H536" s="42">
        <v>211</v>
      </c>
    </row>
    <row r="537" spans="1:8" ht="15" customHeight="1">
      <c r="A537" s="26">
        <v>4217412</v>
      </c>
      <c r="B537" s="29" t="s">
        <v>2780</v>
      </c>
      <c r="C537" s="29" t="s">
        <v>17679</v>
      </c>
      <c r="D537" s="29" t="s">
        <v>30831</v>
      </c>
      <c r="E537" s="29" t="s">
        <v>43926</v>
      </c>
      <c r="F537" s="36" t="s">
        <v>54401</v>
      </c>
      <c r="G537" s="39">
        <v>325048.03000000003</v>
      </c>
      <c r="H537" s="42">
        <v>211</v>
      </c>
    </row>
    <row r="538" spans="1:8" ht="15" customHeight="1">
      <c r="A538" s="26">
        <v>4218499</v>
      </c>
      <c r="B538" s="29" t="s">
        <v>2781</v>
      </c>
      <c r="C538" s="29" t="s">
        <v>17680</v>
      </c>
      <c r="D538" s="29" t="s">
        <v>30832</v>
      </c>
      <c r="E538" s="29" t="s">
        <v>44357</v>
      </c>
      <c r="F538" s="36" t="s">
        <v>54401</v>
      </c>
      <c r="G538" s="39">
        <v>1148115.1100000001</v>
      </c>
      <c r="H538" s="42">
        <v>211</v>
      </c>
    </row>
    <row r="539" spans="1:8" ht="15" customHeight="1">
      <c r="A539" s="26">
        <v>4219068</v>
      </c>
      <c r="B539" s="29" t="s">
        <v>2782</v>
      </c>
      <c r="C539" s="29" t="s">
        <v>17681</v>
      </c>
      <c r="D539" s="29" t="s">
        <v>30833</v>
      </c>
      <c r="E539" s="29" t="s">
        <v>1643</v>
      </c>
      <c r="F539" s="36" t="s">
        <v>54414</v>
      </c>
      <c r="G539" s="39">
        <v>111666.88</v>
      </c>
      <c r="H539" s="42">
        <v>211</v>
      </c>
    </row>
    <row r="540" spans="1:8" ht="15" customHeight="1">
      <c r="A540" s="26">
        <v>4222010</v>
      </c>
      <c r="B540" s="29" t="s">
        <v>2783</v>
      </c>
      <c r="C540" s="29" t="s">
        <v>17682</v>
      </c>
      <c r="D540" s="29" t="s">
        <v>30834</v>
      </c>
      <c r="E540" s="29" t="s">
        <v>44358</v>
      </c>
      <c r="F540" s="36" t="s">
        <v>54401</v>
      </c>
      <c r="G540" s="39">
        <f>2064824.71+227854</f>
        <v>2292678.71</v>
      </c>
      <c r="H540" s="42">
        <v>211</v>
      </c>
    </row>
    <row r="541" spans="1:8" ht="15" customHeight="1">
      <c r="A541" s="26">
        <v>4223748</v>
      </c>
      <c r="B541" s="29" t="s">
        <v>2784</v>
      </c>
      <c r="C541" s="29" t="s">
        <v>17204</v>
      </c>
      <c r="D541" s="29" t="s">
        <v>30835</v>
      </c>
      <c r="E541" s="29" t="s">
        <v>43926</v>
      </c>
      <c r="F541" s="36" t="s">
        <v>54401</v>
      </c>
      <c r="G541" s="39">
        <v>146423.22</v>
      </c>
      <c r="H541" s="42">
        <v>211</v>
      </c>
    </row>
    <row r="542" spans="1:8" ht="15" customHeight="1">
      <c r="A542" s="26">
        <v>4227766</v>
      </c>
      <c r="B542" s="29" t="s">
        <v>2785</v>
      </c>
      <c r="C542" s="29" t="s">
        <v>17683</v>
      </c>
      <c r="D542" s="29" t="s">
        <v>30836</v>
      </c>
      <c r="E542" s="29" t="s">
        <v>44359</v>
      </c>
      <c r="F542" s="36" t="s">
        <v>54401</v>
      </c>
      <c r="G542" s="39">
        <v>366572.15</v>
      </c>
      <c r="H542" s="42">
        <v>211</v>
      </c>
    </row>
    <row r="543" spans="1:8" ht="15" customHeight="1">
      <c r="A543" s="26">
        <v>4228241</v>
      </c>
      <c r="B543" s="29" t="s">
        <v>2786</v>
      </c>
      <c r="C543" s="29" t="s">
        <v>17684</v>
      </c>
      <c r="D543" s="29" t="s">
        <v>30837</v>
      </c>
      <c r="E543" s="29" t="s">
        <v>44360</v>
      </c>
      <c r="F543" s="36" t="s">
        <v>54401</v>
      </c>
      <c r="G543" s="39">
        <v>182303.84</v>
      </c>
      <c r="H543" s="42">
        <v>211</v>
      </c>
    </row>
    <row r="544" spans="1:8" ht="15" customHeight="1">
      <c r="A544" s="26">
        <v>4232732</v>
      </c>
      <c r="B544" s="29" t="s">
        <v>2787</v>
      </c>
      <c r="C544" s="29" t="s">
        <v>17685</v>
      </c>
      <c r="D544" s="29" t="s">
        <v>30838</v>
      </c>
      <c r="E544" s="29" t="s">
        <v>43926</v>
      </c>
      <c r="F544" s="36" t="s">
        <v>54401</v>
      </c>
      <c r="G544" s="39">
        <v>104633.08</v>
      </c>
      <c r="H544" s="42">
        <v>211</v>
      </c>
    </row>
    <row r="545" spans="1:8" ht="15" customHeight="1">
      <c r="A545" s="26">
        <v>4233020</v>
      </c>
      <c r="B545" s="29" t="s">
        <v>2788</v>
      </c>
      <c r="C545" s="29" t="s">
        <v>17686</v>
      </c>
      <c r="D545" s="29" t="s">
        <v>30839</v>
      </c>
      <c r="E545" s="29" t="s">
        <v>44361</v>
      </c>
      <c r="F545" s="36" t="s">
        <v>54401</v>
      </c>
      <c r="G545" s="39">
        <v>30631.85</v>
      </c>
      <c r="H545" s="42">
        <v>211</v>
      </c>
    </row>
    <row r="546" spans="1:8" ht="15" customHeight="1">
      <c r="A546" s="26">
        <v>4234024</v>
      </c>
      <c r="B546" s="29" t="s">
        <v>2789</v>
      </c>
      <c r="C546" s="29" t="s">
        <v>17204</v>
      </c>
      <c r="D546" s="29" t="s">
        <v>30840</v>
      </c>
      <c r="E546" s="29" t="s">
        <v>43926</v>
      </c>
      <c r="F546" s="36" t="s">
        <v>54401</v>
      </c>
      <c r="G546" s="39">
        <f>222194.92+231315</f>
        <v>453509.92000000004</v>
      </c>
      <c r="H546" s="42">
        <v>211</v>
      </c>
    </row>
    <row r="547" spans="1:8" ht="15" customHeight="1">
      <c r="A547" s="26">
        <v>4235289</v>
      </c>
      <c r="B547" s="29" t="s">
        <v>2790</v>
      </c>
      <c r="C547" s="29" t="s">
        <v>17687</v>
      </c>
      <c r="D547" s="29" t="s">
        <v>30841</v>
      </c>
      <c r="E547" s="29" t="s">
        <v>44362</v>
      </c>
      <c r="F547" s="36" t="s">
        <v>54401</v>
      </c>
      <c r="G547" s="39">
        <v>14815.12</v>
      </c>
      <c r="H547" s="42">
        <v>211</v>
      </c>
    </row>
    <row r="548" spans="1:8" ht="15" customHeight="1">
      <c r="A548" s="26">
        <v>4235357</v>
      </c>
      <c r="B548" s="29" t="s">
        <v>2791</v>
      </c>
      <c r="C548" s="29" t="s">
        <v>17688</v>
      </c>
      <c r="D548" s="29" t="s">
        <v>30842</v>
      </c>
      <c r="E548" s="29" t="s">
        <v>44363</v>
      </c>
      <c r="F548" s="36" t="s">
        <v>54401</v>
      </c>
      <c r="G548" s="39">
        <v>1713041.5</v>
      </c>
      <c r="H548" s="42">
        <v>211</v>
      </c>
    </row>
    <row r="549" spans="1:8" ht="15" customHeight="1">
      <c r="A549" s="26">
        <v>4235416</v>
      </c>
      <c r="B549" s="29" t="s">
        <v>2792</v>
      </c>
      <c r="C549" s="29" t="s">
        <v>17689</v>
      </c>
      <c r="D549" s="29" t="s">
        <v>30843</v>
      </c>
      <c r="E549" s="29" t="s">
        <v>44364</v>
      </c>
      <c r="F549" s="36" t="s">
        <v>54401</v>
      </c>
      <c r="G549" s="39">
        <v>4635307.5599999996</v>
      </c>
      <c r="H549" s="42">
        <v>211</v>
      </c>
    </row>
    <row r="550" spans="1:8" ht="15" customHeight="1">
      <c r="A550" s="26">
        <v>4236713</v>
      </c>
      <c r="B550" s="29" t="s">
        <v>2793</v>
      </c>
      <c r="C550" s="29" t="s">
        <v>17690</v>
      </c>
      <c r="D550" s="29" t="s">
        <v>30844</v>
      </c>
      <c r="E550" s="29" t="s">
        <v>44365</v>
      </c>
      <c r="F550" s="36" t="s">
        <v>54401</v>
      </c>
      <c r="G550" s="39">
        <f>2544735.22+93240</f>
        <v>2637975.2200000002</v>
      </c>
      <c r="H550" s="42">
        <v>211</v>
      </c>
    </row>
    <row r="551" spans="1:8" ht="15" customHeight="1">
      <c r="A551" s="26">
        <v>4238597</v>
      </c>
      <c r="B551" s="29" t="s">
        <v>2794</v>
      </c>
      <c r="C551" s="29" t="s">
        <v>17691</v>
      </c>
      <c r="D551" s="29" t="s">
        <v>30845</v>
      </c>
      <c r="E551" s="29" t="s">
        <v>44366</v>
      </c>
      <c r="F551" s="36" t="s">
        <v>54401</v>
      </c>
      <c r="G551" s="39">
        <f>112241.25+3073893</f>
        <v>3186134.25</v>
      </c>
      <c r="H551" s="42">
        <v>211</v>
      </c>
    </row>
    <row r="552" spans="1:8" ht="15" customHeight="1">
      <c r="A552" s="26">
        <v>4238894</v>
      </c>
      <c r="B552" s="29" t="s">
        <v>2795</v>
      </c>
      <c r="C552" s="29" t="s">
        <v>17692</v>
      </c>
      <c r="D552" s="29" t="s">
        <v>30846</v>
      </c>
      <c r="E552" s="29" t="s">
        <v>44367</v>
      </c>
      <c r="F552" s="36" t="s">
        <v>54401</v>
      </c>
      <c r="G552" s="39">
        <v>51953.86</v>
      </c>
      <c r="H552" s="42">
        <v>211</v>
      </c>
    </row>
    <row r="553" spans="1:8" ht="15" customHeight="1">
      <c r="A553" s="26">
        <v>4239725</v>
      </c>
      <c r="B553" s="29" t="s">
        <v>2796</v>
      </c>
      <c r="C553" s="29" t="s">
        <v>17693</v>
      </c>
      <c r="D553" s="29" t="s">
        <v>30847</v>
      </c>
      <c r="E553" s="29" t="s">
        <v>44368</v>
      </c>
      <c r="F553" s="36" t="s">
        <v>54401</v>
      </c>
      <c r="G553" s="39">
        <v>4225710.75</v>
      </c>
      <c r="H553" s="42">
        <v>211</v>
      </c>
    </row>
    <row r="554" spans="1:8" ht="15" customHeight="1">
      <c r="A554" s="26">
        <v>4239911</v>
      </c>
      <c r="B554" s="29" t="s">
        <v>2797</v>
      </c>
      <c r="C554" s="29" t="s">
        <v>17694</v>
      </c>
      <c r="D554" s="29" t="s">
        <v>30848</v>
      </c>
      <c r="E554" s="29" t="s">
        <v>44369</v>
      </c>
      <c r="F554" s="36" t="s">
        <v>54409</v>
      </c>
      <c r="G554" s="39">
        <v>2755307.47</v>
      </c>
      <c r="H554" s="42">
        <v>211</v>
      </c>
    </row>
    <row r="555" spans="1:8" ht="15" customHeight="1">
      <c r="A555" s="26">
        <v>4242700</v>
      </c>
      <c r="B555" s="29" t="s">
        <v>2798</v>
      </c>
      <c r="C555" s="29" t="s">
        <v>17695</v>
      </c>
      <c r="D555" s="29" t="s">
        <v>30849</v>
      </c>
      <c r="E555" s="29" t="s">
        <v>44370</v>
      </c>
      <c r="F555" s="36" t="s">
        <v>54423</v>
      </c>
      <c r="G555" s="39">
        <v>412186.71</v>
      </c>
      <c r="H555" s="42">
        <v>211</v>
      </c>
    </row>
    <row r="556" spans="1:8" ht="15" customHeight="1">
      <c r="A556" s="26">
        <v>4242767</v>
      </c>
      <c r="B556" s="29" t="s">
        <v>2799</v>
      </c>
      <c r="C556" s="29" t="s">
        <v>17696</v>
      </c>
      <c r="D556" s="29" t="s">
        <v>30850</v>
      </c>
      <c r="E556" s="29" t="s">
        <v>44371</v>
      </c>
      <c r="F556" s="36" t="s">
        <v>54401</v>
      </c>
      <c r="G556" s="39">
        <v>214085.53</v>
      </c>
      <c r="H556" s="42">
        <v>211</v>
      </c>
    </row>
    <row r="557" spans="1:8" ht="15" customHeight="1">
      <c r="A557" s="26">
        <v>4242787</v>
      </c>
      <c r="B557" s="29" t="s">
        <v>2800</v>
      </c>
      <c r="C557" s="29" t="s">
        <v>17697</v>
      </c>
      <c r="D557" s="29" t="s">
        <v>30851</v>
      </c>
      <c r="E557" s="29" t="s">
        <v>44372</v>
      </c>
      <c r="F557" s="36" t="s">
        <v>54423</v>
      </c>
      <c r="G557" s="39">
        <v>1058411.3899999999</v>
      </c>
      <c r="H557" s="42">
        <v>211</v>
      </c>
    </row>
    <row r="558" spans="1:8" ht="15" customHeight="1">
      <c r="A558" s="26">
        <v>4242908</v>
      </c>
      <c r="B558" s="29" t="s">
        <v>2801</v>
      </c>
      <c r="C558" s="29" t="s">
        <v>17698</v>
      </c>
      <c r="D558" s="29" t="s">
        <v>30852</v>
      </c>
      <c r="E558" s="29" t="s">
        <v>44373</v>
      </c>
      <c r="F558" s="36" t="s">
        <v>54401</v>
      </c>
      <c r="G558" s="39">
        <v>760458.54</v>
      </c>
      <c r="H558" s="42">
        <v>211</v>
      </c>
    </row>
    <row r="559" spans="1:8" ht="15" customHeight="1">
      <c r="A559" s="26">
        <v>4242924</v>
      </c>
      <c r="B559" s="29" t="s">
        <v>2802</v>
      </c>
      <c r="C559" s="29" t="s">
        <v>17699</v>
      </c>
      <c r="D559" s="29" t="s">
        <v>30853</v>
      </c>
      <c r="E559" s="29" t="s">
        <v>44374</v>
      </c>
      <c r="F559" s="36" t="s">
        <v>54401</v>
      </c>
      <c r="G559" s="39">
        <f>7868114.36+72889</f>
        <v>7941003.3600000003</v>
      </c>
      <c r="H559" s="42">
        <v>211</v>
      </c>
    </row>
    <row r="560" spans="1:8" ht="15" customHeight="1">
      <c r="A560" s="26">
        <v>4243441</v>
      </c>
      <c r="B560" s="29" t="s">
        <v>2803</v>
      </c>
      <c r="C560" s="29" t="s">
        <v>17700</v>
      </c>
      <c r="D560" s="29" t="s">
        <v>30854</v>
      </c>
      <c r="E560" s="29" t="s">
        <v>44375</v>
      </c>
      <c r="F560" s="36" t="s">
        <v>54401</v>
      </c>
      <c r="G560" s="39">
        <v>2297552.4500000002</v>
      </c>
      <c r="H560" s="42">
        <v>211</v>
      </c>
    </row>
    <row r="561" spans="1:8" ht="15" customHeight="1">
      <c r="A561" s="26">
        <v>4245397</v>
      </c>
      <c r="B561" s="29" t="s">
        <v>2804</v>
      </c>
      <c r="C561" s="29" t="s">
        <v>17701</v>
      </c>
      <c r="D561" s="29" t="s">
        <v>30855</v>
      </c>
      <c r="E561" s="29" t="s">
        <v>44376</v>
      </c>
      <c r="F561" s="36" t="s">
        <v>54412</v>
      </c>
      <c r="G561" s="39">
        <v>797740.94</v>
      </c>
      <c r="H561" s="42">
        <v>211</v>
      </c>
    </row>
    <row r="562" spans="1:8" ht="15" customHeight="1">
      <c r="A562" s="26">
        <v>4245722</v>
      </c>
      <c r="B562" s="29" t="s">
        <v>2805</v>
      </c>
      <c r="C562" s="29" t="s">
        <v>17702</v>
      </c>
      <c r="D562" s="29" t="s">
        <v>30856</v>
      </c>
      <c r="E562" s="29" t="s">
        <v>44377</v>
      </c>
      <c r="F562" s="36" t="s">
        <v>54401</v>
      </c>
      <c r="G562" s="39">
        <f>1867764.2+54421</f>
        <v>1922185.2</v>
      </c>
      <c r="H562" s="42">
        <v>211</v>
      </c>
    </row>
    <row r="563" spans="1:8" ht="15" customHeight="1">
      <c r="A563" s="26">
        <v>4245759</v>
      </c>
      <c r="B563" s="29" t="s">
        <v>2806</v>
      </c>
      <c r="C563" s="26" t="s">
        <v>17703</v>
      </c>
      <c r="D563" s="26" t="s">
        <v>30857</v>
      </c>
      <c r="E563" s="26" t="s">
        <v>44378</v>
      </c>
      <c r="F563" s="37" t="s">
        <v>54401</v>
      </c>
      <c r="G563" s="39">
        <f>3260883.61+166132+35166</f>
        <v>3462181.61</v>
      </c>
      <c r="H563" s="42">
        <v>211</v>
      </c>
    </row>
    <row r="564" spans="1:8" ht="15" customHeight="1">
      <c r="A564" s="26">
        <v>4245760</v>
      </c>
      <c r="B564" s="29" t="s">
        <v>2807</v>
      </c>
      <c r="C564" s="29" t="s">
        <v>17704</v>
      </c>
      <c r="D564" s="29" t="s">
        <v>30858</v>
      </c>
      <c r="E564" s="29" t="s">
        <v>44379</v>
      </c>
      <c r="F564" s="36" t="s">
        <v>54401</v>
      </c>
      <c r="G564" s="39">
        <f>819978.14-104428</f>
        <v>715550.14</v>
      </c>
      <c r="H564" s="42">
        <v>211</v>
      </c>
    </row>
    <row r="565" spans="1:8" ht="15" customHeight="1">
      <c r="A565" s="26">
        <v>4245806</v>
      </c>
      <c r="B565" s="29" t="s">
        <v>2808</v>
      </c>
      <c r="C565" s="29" t="s">
        <v>17705</v>
      </c>
      <c r="D565" s="29" t="s">
        <v>30859</v>
      </c>
      <c r="E565" s="29" t="s">
        <v>44380</v>
      </c>
      <c r="F565" s="36" t="s">
        <v>54412</v>
      </c>
      <c r="G565" s="39">
        <v>62054.2</v>
      </c>
      <c r="H565" s="42">
        <v>211</v>
      </c>
    </row>
    <row r="566" spans="1:8" ht="15" customHeight="1">
      <c r="A566" s="26">
        <v>4245976</v>
      </c>
      <c r="B566" s="29" t="s">
        <v>2809</v>
      </c>
      <c r="C566" s="29" t="s">
        <v>17706</v>
      </c>
      <c r="D566" s="29" t="s">
        <v>30860</v>
      </c>
      <c r="E566" s="29" t="s">
        <v>44381</v>
      </c>
      <c r="F566" s="36" t="s">
        <v>54401</v>
      </c>
      <c r="G566" s="39">
        <v>100728.08</v>
      </c>
      <c r="H566" s="42">
        <v>211</v>
      </c>
    </row>
    <row r="567" spans="1:8" ht="15" customHeight="1">
      <c r="A567" s="26">
        <v>4246033</v>
      </c>
      <c r="B567" s="29" t="s">
        <v>2810</v>
      </c>
      <c r="C567" s="29" t="s">
        <v>17707</v>
      </c>
      <c r="D567" s="29" t="s">
        <v>30861</v>
      </c>
      <c r="E567" s="29" t="s">
        <v>44382</v>
      </c>
      <c r="F567" s="36" t="s">
        <v>54401</v>
      </c>
      <c r="G567" s="39">
        <f>4614943.1+486036</f>
        <v>5100979.0999999996</v>
      </c>
      <c r="H567" s="42">
        <v>211</v>
      </c>
    </row>
    <row r="568" spans="1:8" ht="15" customHeight="1">
      <c r="A568" s="26">
        <v>4246075</v>
      </c>
      <c r="B568" s="29" t="s">
        <v>2811</v>
      </c>
      <c r="C568" s="29" t="s">
        <v>17708</v>
      </c>
      <c r="D568" s="29" t="s">
        <v>30862</v>
      </c>
      <c r="E568" s="29" t="s">
        <v>44383</v>
      </c>
      <c r="F568" s="36" t="s">
        <v>54401</v>
      </c>
      <c r="G568" s="39">
        <v>63623.29</v>
      </c>
      <c r="H568" s="42">
        <v>211</v>
      </c>
    </row>
    <row r="569" spans="1:8" ht="15" customHeight="1">
      <c r="A569" s="26">
        <v>4247090</v>
      </c>
      <c r="B569" s="29" t="s">
        <v>2812</v>
      </c>
      <c r="C569" s="29" t="s">
        <v>17709</v>
      </c>
      <c r="D569" s="29" t="s">
        <v>30863</v>
      </c>
      <c r="E569" s="29" t="s">
        <v>44384</v>
      </c>
      <c r="F569" s="36" t="s">
        <v>54401</v>
      </c>
      <c r="G569" s="39">
        <v>203262.52</v>
      </c>
      <c r="H569" s="42">
        <v>211</v>
      </c>
    </row>
    <row r="570" spans="1:8" ht="15" customHeight="1">
      <c r="A570" s="26">
        <v>4247092</v>
      </c>
      <c r="B570" s="29" t="s">
        <v>2813</v>
      </c>
      <c r="C570" s="29" t="s">
        <v>17710</v>
      </c>
      <c r="D570" s="29" t="s">
        <v>30864</v>
      </c>
      <c r="E570" s="29" t="s">
        <v>44385</v>
      </c>
      <c r="F570" s="36" t="s">
        <v>54401</v>
      </c>
      <c r="G570" s="39">
        <v>187976.72</v>
      </c>
      <c r="H570" s="42">
        <v>211</v>
      </c>
    </row>
    <row r="571" spans="1:8" ht="15" customHeight="1">
      <c r="A571" s="26">
        <v>4247163</v>
      </c>
      <c r="B571" s="29" t="s">
        <v>2814</v>
      </c>
      <c r="C571" s="29" t="s">
        <v>17711</v>
      </c>
      <c r="D571" s="29" t="s">
        <v>30865</v>
      </c>
      <c r="E571" s="29" t="s">
        <v>44386</v>
      </c>
      <c r="F571" s="36" t="s">
        <v>54401</v>
      </c>
      <c r="G571" s="39">
        <f>252249.62-8823+16366</f>
        <v>259792.62</v>
      </c>
      <c r="H571" s="42">
        <v>211</v>
      </c>
    </row>
    <row r="572" spans="1:8" ht="15" customHeight="1">
      <c r="A572" s="26">
        <v>4247179</v>
      </c>
      <c r="B572" s="29" t="s">
        <v>2815</v>
      </c>
      <c r="C572" s="29" t="s">
        <v>17712</v>
      </c>
      <c r="D572" s="29" t="s">
        <v>30866</v>
      </c>
      <c r="E572" s="29" t="s">
        <v>44387</v>
      </c>
      <c r="F572" s="36" t="s">
        <v>54425</v>
      </c>
      <c r="G572" s="39">
        <v>2009898.44</v>
      </c>
      <c r="H572" s="42">
        <v>211</v>
      </c>
    </row>
    <row r="573" spans="1:8" ht="15" customHeight="1">
      <c r="A573" s="26">
        <v>4247188</v>
      </c>
      <c r="B573" s="29" t="s">
        <v>2816</v>
      </c>
      <c r="C573" s="29" t="s">
        <v>17713</v>
      </c>
      <c r="D573" s="29" t="s">
        <v>30867</v>
      </c>
      <c r="E573" s="29" t="s">
        <v>44388</v>
      </c>
      <c r="F573" s="36" t="s">
        <v>54401</v>
      </c>
      <c r="G573" s="39">
        <v>622400.49</v>
      </c>
      <c r="H573" s="42">
        <v>211</v>
      </c>
    </row>
    <row r="574" spans="1:8" ht="15" customHeight="1">
      <c r="A574" s="26">
        <v>4247360</v>
      </c>
      <c r="B574" s="29" t="s">
        <v>2817</v>
      </c>
      <c r="C574" s="29" t="s">
        <v>17714</v>
      </c>
      <c r="D574" s="29" t="s">
        <v>30868</v>
      </c>
      <c r="E574" s="29" t="s">
        <v>44389</v>
      </c>
      <c r="F574" s="36" t="s">
        <v>54401</v>
      </c>
      <c r="G574" s="39">
        <v>547749.96</v>
      </c>
      <c r="H574" s="42">
        <v>211</v>
      </c>
    </row>
    <row r="575" spans="1:8" ht="15" customHeight="1">
      <c r="A575" s="26">
        <v>4247367</v>
      </c>
      <c r="B575" s="29" t="s">
        <v>2818</v>
      </c>
      <c r="C575" s="29" t="s">
        <v>17715</v>
      </c>
      <c r="D575" s="29" t="s">
        <v>30869</v>
      </c>
      <c r="E575" s="29" t="s">
        <v>44390</v>
      </c>
      <c r="F575" s="36" t="s">
        <v>54401</v>
      </c>
      <c r="G575" s="39">
        <v>174575.43</v>
      </c>
      <c r="H575" s="42">
        <v>211</v>
      </c>
    </row>
    <row r="576" spans="1:8" ht="15" customHeight="1">
      <c r="A576" s="26">
        <v>4247392</v>
      </c>
      <c r="B576" s="29" t="s">
        <v>2819</v>
      </c>
      <c r="C576" s="29" t="s">
        <v>17716</v>
      </c>
      <c r="D576" s="29" t="s">
        <v>30870</v>
      </c>
      <c r="E576" s="29" t="s">
        <v>44391</v>
      </c>
      <c r="F576" s="36" t="s">
        <v>54401</v>
      </c>
      <c r="G576" s="39">
        <f>8137.5+2614173</f>
        <v>2622310.5</v>
      </c>
      <c r="H576" s="42">
        <v>211</v>
      </c>
    </row>
    <row r="577" spans="1:8" ht="15" customHeight="1">
      <c r="A577" s="26">
        <v>4247419</v>
      </c>
      <c r="B577" s="29" t="s">
        <v>2820</v>
      </c>
      <c r="C577" s="29" t="s">
        <v>17717</v>
      </c>
      <c r="D577" s="29" t="s">
        <v>30871</v>
      </c>
      <c r="E577" s="29" t="s">
        <v>44392</v>
      </c>
      <c r="F577" s="36" t="s">
        <v>54401</v>
      </c>
      <c r="G577" s="39">
        <v>1646569.92</v>
      </c>
      <c r="H577" s="42">
        <v>211</v>
      </c>
    </row>
    <row r="578" spans="1:8" ht="15" customHeight="1">
      <c r="A578" s="26">
        <v>4247428</v>
      </c>
      <c r="B578" s="29" t="s">
        <v>2821</v>
      </c>
      <c r="C578" s="29" t="s">
        <v>17718</v>
      </c>
      <c r="D578" s="29" t="s">
        <v>30872</v>
      </c>
      <c r="E578" s="29" t="s">
        <v>44393</v>
      </c>
      <c r="F578" s="36" t="s">
        <v>54420</v>
      </c>
      <c r="G578" s="39">
        <v>453155.84000000003</v>
      </c>
      <c r="H578" s="42">
        <v>211</v>
      </c>
    </row>
    <row r="579" spans="1:8" ht="15" customHeight="1">
      <c r="A579" s="26">
        <v>4250381</v>
      </c>
      <c r="B579" s="29" t="s">
        <v>2822</v>
      </c>
      <c r="C579" s="29" t="s">
        <v>17719</v>
      </c>
      <c r="D579" s="29" t="s">
        <v>30873</v>
      </c>
      <c r="E579" s="29" t="s">
        <v>44394</v>
      </c>
      <c r="F579" s="36" t="s">
        <v>54401</v>
      </c>
      <c r="G579" s="39">
        <f>2999781.81-375538</f>
        <v>2624243.81</v>
      </c>
      <c r="H579" s="42">
        <v>211</v>
      </c>
    </row>
    <row r="580" spans="1:8" ht="15" customHeight="1">
      <c r="A580" s="26">
        <v>4251122</v>
      </c>
      <c r="B580" s="29" t="s">
        <v>2823</v>
      </c>
      <c r="C580" s="29" t="s">
        <v>17720</v>
      </c>
      <c r="D580" s="29" t="s">
        <v>30874</v>
      </c>
      <c r="E580" s="29" t="s">
        <v>44395</v>
      </c>
      <c r="F580" s="36" t="s">
        <v>54401</v>
      </c>
      <c r="G580" s="39">
        <v>27974.79</v>
      </c>
      <c r="H580" s="42">
        <v>211</v>
      </c>
    </row>
    <row r="581" spans="1:8" ht="15" customHeight="1">
      <c r="A581" s="26">
        <v>4251368</v>
      </c>
      <c r="B581" s="29" t="s">
        <v>2824</v>
      </c>
      <c r="C581" s="29" t="s">
        <v>17721</v>
      </c>
      <c r="D581" s="29" t="s">
        <v>30875</v>
      </c>
      <c r="E581" s="29" t="s">
        <v>43926</v>
      </c>
      <c r="F581" s="36" t="s">
        <v>54401</v>
      </c>
      <c r="G581" s="39">
        <v>19345.68</v>
      </c>
      <c r="H581" s="42">
        <v>211</v>
      </c>
    </row>
    <row r="582" spans="1:8" ht="15" customHeight="1">
      <c r="A582" s="26">
        <v>4251567</v>
      </c>
      <c r="B582" s="29" t="s">
        <v>2825</v>
      </c>
      <c r="C582" s="29" t="s">
        <v>17722</v>
      </c>
      <c r="D582" s="29" t="s">
        <v>30876</v>
      </c>
      <c r="E582" s="29" t="s">
        <v>44396</v>
      </c>
      <c r="F582" s="36" t="s">
        <v>54401</v>
      </c>
      <c r="G582" s="39">
        <v>452187.6</v>
      </c>
      <c r="H582" s="42">
        <v>211</v>
      </c>
    </row>
    <row r="583" spans="1:8" ht="15" customHeight="1">
      <c r="A583" s="26">
        <v>4251673</v>
      </c>
      <c r="B583" s="29" t="s">
        <v>2826</v>
      </c>
      <c r="C583" s="29" t="s">
        <v>17204</v>
      </c>
      <c r="D583" s="29" t="s">
        <v>30877</v>
      </c>
      <c r="E583" s="29" t="s">
        <v>44397</v>
      </c>
      <c r="F583" s="36" t="s">
        <v>54401</v>
      </c>
      <c r="G583" s="39">
        <v>2377225.0099999998</v>
      </c>
      <c r="H583" s="42">
        <v>211</v>
      </c>
    </row>
    <row r="584" spans="1:8" ht="15" customHeight="1">
      <c r="A584" s="26">
        <v>4251677</v>
      </c>
      <c r="B584" s="29" t="s">
        <v>2827</v>
      </c>
      <c r="C584" s="29" t="s">
        <v>17723</v>
      </c>
      <c r="D584" s="29" t="s">
        <v>30878</v>
      </c>
      <c r="E584" s="29" t="s">
        <v>44398</v>
      </c>
      <c r="F584" s="36" t="s">
        <v>54401</v>
      </c>
      <c r="G584" s="39">
        <v>161260.4</v>
      </c>
      <c r="H584" s="42">
        <v>211</v>
      </c>
    </row>
    <row r="585" spans="1:8" ht="15" customHeight="1">
      <c r="A585" s="26">
        <v>4251945</v>
      </c>
      <c r="B585" s="29" t="s">
        <v>2828</v>
      </c>
      <c r="C585" s="29" t="s">
        <v>17204</v>
      </c>
      <c r="D585" s="29" t="s">
        <v>30879</v>
      </c>
      <c r="E585" s="29" t="s">
        <v>43926</v>
      </c>
      <c r="F585" s="36" t="s">
        <v>54401</v>
      </c>
      <c r="G585" s="39">
        <v>183978.51</v>
      </c>
      <c r="H585" s="42">
        <v>211</v>
      </c>
    </row>
    <row r="586" spans="1:8" ht="15" customHeight="1">
      <c r="A586" s="26">
        <v>4252286</v>
      </c>
      <c r="B586" s="29" t="s">
        <v>2829</v>
      </c>
      <c r="C586" s="29" t="s">
        <v>17724</v>
      </c>
      <c r="D586" s="29" t="s">
        <v>30880</v>
      </c>
      <c r="E586" s="29" t="s">
        <v>44399</v>
      </c>
      <c r="F586" s="36" t="s">
        <v>54427</v>
      </c>
      <c r="G586" s="39">
        <v>133184.66</v>
      </c>
      <c r="H586" s="42">
        <v>211</v>
      </c>
    </row>
    <row r="587" spans="1:8" ht="15" customHeight="1">
      <c r="A587" s="26">
        <v>4252332</v>
      </c>
      <c r="B587" s="29" t="s">
        <v>2830</v>
      </c>
      <c r="C587" s="29" t="s">
        <v>17725</v>
      </c>
      <c r="D587" s="29" t="s">
        <v>30881</v>
      </c>
      <c r="E587" s="29" t="s">
        <v>44400</v>
      </c>
      <c r="F587" s="36" t="s">
        <v>54401</v>
      </c>
      <c r="G587" s="39">
        <v>1024094.24</v>
      </c>
      <c r="H587" s="42">
        <v>211</v>
      </c>
    </row>
    <row r="588" spans="1:8" ht="15" customHeight="1">
      <c r="A588" s="26">
        <v>4252342</v>
      </c>
      <c r="B588" s="29" t="s">
        <v>2831</v>
      </c>
      <c r="C588" s="29" t="s">
        <v>17726</v>
      </c>
      <c r="D588" s="29" t="s">
        <v>30882</v>
      </c>
      <c r="E588" s="29" t="s">
        <v>44401</v>
      </c>
      <c r="F588" s="36" t="s">
        <v>54401</v>
      </c>
      <c r="G588" s="39">
        <v>147099.22</v>
      </c>
      <c r="H588" s="42">
        <v>211</v>
      </c>
    </row>
    <row r="589" spans="1:8" ht="15" customHeight="1">
      <c r="A589" s="26">
        <v>4252414</v>
      </c>
      <c r="B589" s="29" t="s">
        <v>2832</v>
      </c>
      <c r="C589" s="29" t="s">
        <v>17727</v>
      </c>
      <c r="D589" s="29" t="s">
        <v>30883</v>
      </c>
      <c r="E589" s="29" t="s">
        <v>44402</v>
      </c>
      <c r="F589" s="36" t="s">
        <v>54401</v>
      </c>
      <c r="G589" s="39">
        <v>741147.58</v>
      </c>
      <c r="H589" s="42">
        <v>211</v>
      </c>
    </row>
    <row r="590" spans="1:8" ht="15" customHeight="1">
      <c r="A590" s="26">
        <v>4252729</v>
      </c>
      <c r="B590" s="29" t="s">
        <v>2833</v>
      </c>
      <c r="C590" s="29" t="s">
        <v>17204</v>
      </c>
      <c r="D590" s="29" t="s">
        <v>30349</v>
      </c>
      <c r="E590" s="29" t="s">
        <v>43926</v>
      </c>
      <c r="F590" s="36" t="s">
        <v>54401</v>
      </c>
      <c r="G590" s="39">
        <v>252155.24</v>
      </c>
      <c r="H590" s="42">
        <v>211</v>
      </c>
    </row>
    <row r="591" spans="1:8" ht="15" customHeight="1">
      <c r="A591" s="26">
        <v>4252736</v>
      </c>
      <c r="B591" s="29" t="s">
        <v>2834</v>
      </c>
      <c r="C591" s="29" t="s">
        <v>17728</v>
      </c>
      <c r="D591" s="29" t="s">
        <v>30884</v>
      </c>
      <c r="E591" s="29" t="s">
        <v>44164</v>
      </c>
      <c r="F591" s="36" t="s">
        <v>54401</v>
      </c>
      <c r="G591" s="39">
        <f>84381.38+76863</f>
        <v>161244.38</v>
      </c>
      <c r="H591" s="42">
        <v>211</v>
      </c>
    </row>
    <row r="592" spans="1:8" ht="15" customHeight="1">
      <c r="A592" s="26">
        <v>4252761</v>
      </c>
      <c r="B592" s="29" t="s">
        <v>2835</v>
      </c>
      <c r="C592" s="29" t="s">
        <v>17729</v>
      </c>
      <c r="D592" s="29" t="s">
        <v>30885</v>
      </c>
      <c r="E592" s="29" t="s">
        <v>44403</v>
      </c>
      <c r="F592" s="36" t="s">
        <v>54401</v>
      </c>
      <c r="G592" s="39">
        <v>1068253.68</v>
      </c>
      <c r="H592" s="42">
        <v>211</v>
      </c>
    </row>
    <row r="593" spans="1:8" ht="15" customHeight="1">
      <c r="A593" s="26">
        <v>4253107</v>
      </c>
      <c r="B593" s="29" t="s">
        <v>2836</v>
      </c>
      <c r="C593" s="29" t="s">
        <v>17204</v>
      </c>
      <c r="D593" s="29" t="s">
        <v>30886</v>
      </c>
      <c r="E593" s="29" t="s">
        <v>43926</v>
      </c>
      <c r="F593" s="36" t="s">
        <v>54401</v>
      </c>
      <c r="G593" s="39">
        <v>74166.41</v>
      </c>
      <c r="H593" s="42">
        <v>211</v>
      </c>
    </row>
    <row r="594" spans="1:8" ht="15" customHeight="1">
      <c r="A594" s="26">
        <v>4253116</v>
      </c>
      <c r="B594" s="29" t="s">
        <v>2837</v>
      </c>
      <c r="C594" s="29" t="s">
        <v>17730</v>
      </c>
      <c r="D594" s="29" t="s">
        <v>30887</v>
      </c>
      <c r="E594" s="29" t="s">
        <v>44404</v>
      </c>
      <c r="F594" s="36" t="s">
        <v>54401</v>
      </c>
      <c r="G594" s="39">
        <v>171783.19</v>
      </c>
      <c r="H594" s="42">
        <v>211</v>
      </c>
    </row>
    <row r="595" spans="1:8" ht="15" customHeight="1">
      <c r="A595" s="26">
        <v>4253263</v>
      </c>
      <c r="B595" s="29" t="s">
        <v>2838</v>
      </c>
      <c r="C595" s="29" t="s">
        <v>17731</v>
      </c>
      <c r="D595" s="29" t="s">
        <v>30888</v>
      </c>
      <c r="E595" s="29" t="s">
        <v>44405</v>
      </c>
      <c r="F595" s="36" t="s">
        <v>54401</v>
      </c>
      <c r="G595" s="39">
        <v>150000</v>
      </c>
      <c r="H595" s="42">
        <v>211</v>
      </c>
    </row>
    <row r="596" spans="1:8" ht="15" customHeight="1">
      <c r="A596" s="26">
        <v>4253401</v>
      </c>
      <c r="B596" s="29" t="s">
        <v>2839</v>
      </c>
      <c r="C596" s="26" t="s">
        <v>17732</v>
      </c>
      <c r="D596" s="26" t="s">
        <v>30889</v>
      </c>
      <c r="E596" s="26" t="s">
        <v>43926</v>
      </c>
      <c r="F596" s="37" t="s">
        <v>54401</v>
      </c>
      <c r="G596" s="39">
        <f>118230.49+563181</f>
        <v>681411.49</v>
      </c>
      <c r="H596" s="42">
        <v>211</v>
      </c>
    </row>
    <row r="597" spans="1:8" ht="15" customHeight="1">
      <c r="A597" s="26">
        <v>4254421</v>
      </c>
      <c r="B597" s="29" t="s">
        <v>2840</v>
      </c>
      <c r="C597" s="29" t="s">
        <v>17733</v>
      </c>
      <c r="D597" s="29" t="s">
        <v>30890</v>
      </c>
      <c r="E597" s="29" t="s">
        <v>44406</v>
      </c>
      <c r="F597" s="36" t="s">
        <v>54401</v>
      </c>
      <c r="G597" s="39">
        <v>601314.57999999996</v>
      </c>
      <c r="H597" s="42">
        <v>211</v>
      </c>
    </row>
    <row r="598" spans="1:8" ht="15" customHeight="1">
      <c r="A598" s="26">
        <v>4255212</v>
      </c>
      <c r="B598" s="29" t="s">
        <v>2841</v>
      </c>
      <c r="C598" s="29" t="s">
        <v>17734</v>
      </c>
      <c r="D598" s="29" t="s">
        <v>30782</v>
      </c>
      <c r="E598" s="29" t="s">
        <v>44407</v>
      </c>
      <c r="F598" s="36" t="s">
        <v>54401</v>
      </c>
      <c r="G598" s="39">
        <v>3225050.29</v>
      </c>
      <c r="H598" s="42">
        <v>211</v>
      </c>
    </row>
    <row r="599" spans="1:8" ht="15" customHeight="1">
      <c r="A599" s="26">
        <v>4255271</v>
      </c>
      <c r="B599" s="29" t="s">
        <v>2842</v>
      </c>
      <c r="C599" s="29" t="s">
        <v>17735</v>
      </c>
      <c r="D599" s="29" t="s">
        <v>30891</v>
      </c>
      <c r="E599" s="29" t="s">
        <v>44408</v>
      </c>
      <c r="F599" s="36" t="s">
        <v>54401</v>
      </c>
      <c r="G599" s="39">
        <v>652391.74</v>
      </c>
      <c r="H599" s="42">
        <v>211</v>
      </c>
    </row>
    <row r="600" spans="1:8" ht="15" customHeight="1">
      <c r="A600" s="26">
        <v>4255297</v>
      </c>
      <c r="B600" s="29" t="s">
        <v>2843</v>
      </c>
      <c r="C600" s="29" t="s">
        <v>17736</v>
      </c>
      <c r="D600" s="29" t="s">
        <v>30892</v>
      </c>
      <c r="E600" s="29" t="s">
        <v>44409</v>
      </c>
      <c r="F600" s="36" t="s">
        <v>54428</v>
      </c>
      <c r="G600" s="39">
        <v>279203.09000000003</v>
      </c>
      <c r="H600" s="42">
        <v>211</v>
      </c>
    </row>
    <row r="601" spans="1:8" ht="15" customHeight="1">
      <c r="A601" s="26">
        <v>4255578</v>
      </c>
      <c r="B601" s="29" t="s">
        <v>2844</v>
      </c>
      <c r="C601" s="26" t="s">
        <v>17737</v>
      </c>
      <c r="D601" s="26" t="s">
        <v>30893</v>
      </c>
      <c r="E601" s="26" t="s">
        <v>44410</v>
      </c>
      <c r="F601" s="37" t="s">
        <v>54401</v>
      </c>
      <c r="G601" s="39">
        <v>368256.54</v>
      </c>
      <c r="H601" s="42">
        <v>211</v>
      </c>
    </row>
    <row r="602" spans="1:8" ht="15" customHeight="1">
      <c r="A602" s="26">
        <v>4255601</v>
      </c>
      <c r="B602" s="29" t="s">
        <v>2845</v>
      </c>
      <c r="C602" s="29" t="s">
        <v>17738</v>
      </c>
      <c r="D602" s="29" t="s">
        <v>30376</v>
      </c>
      <c r="E602" s="29" t="s">
        <v>44411</v>
      </c>
      <c r="F602" s="36" t="s">
        <v>54401</v>
      </c>
      <c r="G602" s="39">
        <v>6228162.9000000004</v>
      </c>
      <c r="H602" s="42">
        <v>211</v>
      </c>
    </row>
    <row r="603" spans="1:8" ht="15" customHeight="1">
      <c r="A603" s="26">
        <v>4255604</v>
      </c>
      <c r="B603" s="29" t="s">
        <v>2846</v>
      </c>
      <c r="C603" s="29" t="s">
        <v>17739</v>
      </c>
      <c r="D603" s="29" t="s">
        <v>30894</v>
      </c>
      <c r="E603" s="29" t="s">
        <v>44412</v>
      </c>
      <c r="F603" s="36" t="s">
        <v>54401</v>
      </c>
      <c r="G603" s="39">
        <v>36176</v>
      </c>
      <c r="H603" s="42">
        <v>211</v>
      </c>
    </row>
    <row r="604" spans="1:8" ht="15" customHeight="1">
      <c r="A604" s="26">
        <v>4255756</v>
      </c>
      <c r="B604" s="29" t="s">
        <v>2847</v>
      </c>
      <c r="C604" s="29" t="s">
        <v>17740</v>
      </c>
      <c r="D604" s="29" t="s">
        <v>30895</v>
      </c>
      <c r="E604" s="29" t="s">
        <v>44407</v>
      </c>
      <c r="F604" s="36" t="s">
        <v>54428</v>
      </c>
      <c r="G604" s="39">
        <v>1646380.15</v>
      </c>
      <c r="H604" s="42">
        <v>211</v>
      </c>
    </row>
    <row r="605" spans="1:8" ht="15" customHeight="1">
      <c r="A605" s="26">
        <v>4255937</v>
      </c>
      <c r="B605" s="29" t="s">
        <v>2848</v>
      </c>
      <c r="C605" s="29" t="s">
        <v>17741</v>
      </c>
      <c r="D605" s="29" t="s">
        <v>30896</v>
      </c>
      <c r="E605" s="29" t="s">
        <v>44413</v>
      </c>
      <c r="F605" s="36" t="s">
        <v>54401</v>
      </c>
      <c r="G605" s="39">
        <v>6562527.3099999996</v>
      </c>
      <c r="H605" s="42">
        <v>211</v>
      </c>
    </row>
    <row r="606" spans="1:8" ht="15" customHeight="1">
      <c r="A606" s="26">
        <v>4258461</v>
      </c>
      <c r="B606" s="29" t="s">
        <v>2849</v>
      </c>
      <c r="C606" s="29" t="s">
        <v>17742</v>
      </c>
      <c r="D606" s="29" t="s">
        <v>30897</v>
      </c>
      <c r="E606" s="29" t="s">
        <v>44414</v>
      </c>
      <c r="F606" s="36" t="s">
        <v>54407</v>
      </c>
      <c r="G606" s="39">
        <v>1172787.83</v>
      </c>
      <c r="H606" s="42">
        <v>211</v>
      </c>
    </row>
    <row r="607" spans="1:8" ht="15" customHeight="1">
      <c r="A607" s="26">
        <v>4258468</v>
      </c>
      <c r="B607" s="29" t="s">
        <v>2850</v>
      </c>
      <c r="C607" s="29" t="s">
        <v>17743</v>
      </c>
      <c r="D607" s="29" t="s">
        <v>30898</v>
      </c>
      <c r="E607" s="29" t="s">
        <v>43926</v>
      </c>
      <c r="F607" s="36" t="s">
        <v>54401</v>
      </c>
      <c r="G607" s="39">
        <v>2107618.2200000002</v>
      </c>
      <c r="H607" s="42">
        <v>211</v>
      </c>
    </row>
    <row r="608" spans="1:8" ht="15" customHeight="1">
      <c r="A608" s="26">
        <v>4258476</v>
      </c>
      <c r="B608" s="29" t="s">
        <v>2851</v>
      </c>
      <c r="C608" s="29" t="s">
        <v>17744</v>
      </c>
      <c r="D608" s="29" t="s">
        <v>30899</v>
      </c>
      <c r="E608" s="29" t="s">
        <v>44415</v>
      </c>
      <c r="F608" s="36" t="s">
        <v>54407</v>
      </c>
      <c r="G608" s="39">
        <v>5536739.4500000002</v>
      </c>
      <c r="H608" s="42">
        <v>211</v>
      </c>
    </row>
    <row r="609" spans="1:8" ht="15" customHeight="1">
      <c r="A609" s="26">
        <v>4258537</v>
      </c>
      <c r="B609" s="29" t="s">
        <v>2852</v>
      </c>
      <c r="C609" s="29" t="s">
        <v>17745</v>
      </c>
      <c r="D609" s="29" t="s">
        <v>30900</v>
      </c>
      <c r="E609" s="29" t="s">
        <v>44416</v>
      </c>
      <c r="F609" s="36" t="s">
        <v>54401</v>
      </c>
      <c r="G609" s="39">
        <f>4285841.73+624397</f>
        <v>4910238.7300000004</v>
      </c>
      <c r="H609" s="42">
        <v>211</v>
      </c>
    </row>
    <row r="610" spans="1:8" ht="15" customHeight="1">
      <c r="A610" s="26">
        <v>4258857</v>
      </c>
      <c r="B610" s="29" t="s">
        <v>2853</v>
      </c>
      <c r="C610" s="29" t="s">
        <v>17746</v>
      </c>
      <c r="D610" s="29" t="s">
        <v>30901</v>
      </c>
      <c r="E610" s="29" t="s">
        <v>748</v>
      </c>
      <c r="F610" s="36" t="s">
        <v>54401</v>
      </c>
      <c r="G610" s="39">
        <v>722374.59</v>
      </c>
      <c r="H610" s="42">
        <v>211</v>
      </c>
    </row>
    <row r="611" spans="1:8" ht="15" customHeight="1">
      <c r="A611" s="26">
        <v>4258899</v>
      </c>
      <c r="B611" s="29" t="s">
        <v>2854</v>
      </c>
      <c r="C611" s="29" t="s">
        <v>17747</v>
      </c>
      <c r="D611" s="29" t="s">
        <v>30902</v>
      </c>
      <c r="E611" s="29" t="s">
        <v>44417</v>
      </c>
      <c r="F611" s="36" t="s">
        <v>54401</v>
      </c>
      <c r="G611" s="39">
        <v>704414.63</v>
      </c>
      <c r="H611" s="42">
        <v>211</v>
      </c>
    </row>
    <row r="612" spans="1:8" ht="15" customHeight="1">
      <c r="A612" s="26">
        <v>4258923</v>
      </c>
      <c r="B612" s="29" t="s">
        <v>2855</v>
      </c>
      <c r="C612" s="29" t="s">
        <v>17748</v>
      </c>
      <c r="D612" s="29" t="s">
        <v>30903</v>
      </c>
      <c r="E612" s="29" t="s">
        <v>44418</v>
      </c>
      <c r="F612" s="36" t="s">
        <v>54401</v>
      </c>
      <c r="G612" s="39">
        <v>92300.23</v>
      </c>
      <c r="H612" s="42">
        <v>211</v>
      </c>
    </row>
    <row r="613" spans="1:8" ht="15" customHeight="1">
      <c r="A613" s="26">
        <v>4259449</v>
      </c>
      <c r="B613" s="29" t="s">
        <v>2856</v>
      </c>
      <c r="C613" s="29" t="s">
        <v>17749</v>
      </c>
      <c r="D613" s="29" t="s">
        <v>30904</v>
      </c>
      <c r="E613" s="29" t="s">
        <v>44419</v>
      </c>
      <c r="F613" s="36" t="s">
        <v>54401</v>
      </c>
      <c r="G613" s="39">
        <v>433383.37</v>
      </c>
      <c r="H613" s="42">
        <v>211</v>
      </c>
    </row>
    <row r="614" spans="1:8" ht="15" customHeight="1">
      <c r="A614" s="26">
        <v>4264433</v>
      </c>
      <c r="B614" s="29" t="s">
        <v>2857</v>
      </c>
      <c r="C614" s="29" t="s">
        <v>17750</v>
      </c>
      <c r="D614" s="29" t="s">
        <v>30905</v>
      </c>
      <c r="E614" s="29" t="s">
        <v>44420</v>
      </c>
      <c r="F614" s="36" t="s">
        <v>54401</v>
      </c>
      <c r="G614" s="39">
        <f>686012.28+167665</f>
        <v>853677.28</v>
      </c>
      <c r="H614" s="42">
        <v>211</v>
      </c>
    </row>
    <row r="615" spans="1:8" ht="15" customHeight="1">
      <c r="A615" s="26">
        <v>4264808</v>
      </c>
      <c r="B615" s="29" t="s">
        <v>2858</v>
      </c>
      <c r="C615" s="29" t="s">
        <v>17751</v>
      </c>
      <c r="D615" s="29" t="s">
        <v>30906</v>
      </c>
      <c r="E615" s="29" t="s">
        <v>44421</v>
      </c>
      <c r="F615" s="36" t="s">
        <v>54402</v>
      </c>
      <c r="G615" s="39">
        <v>612117.77</v>
      </c>
      <c r="H615" s="42">
        <v>211</v>
      </c>
    </row>
    <row r="616" spans="1:8" ht="15" customHeight="1">
      <c r="A616" s="26">
        <v>4264912</v>
      </c>
      <c r="B616" s="29" t="s">
        <v>2859</v>
      </c>
      <c r="C616" s="29" t="s">
        <v>17204</v>
      </c>
      <c r="D616" s="29" t="s">
        <v>30349</v>
      </c>
      <c r="E616" s="29" t="s">
        <v>43926</v>
      </c>
      <c r="F616" s="36" t="s">
        <v>54401</v>
      </c>
      <c r="G616" s="39">
        <v>13651.94</v>
      </c>
      <c r="H616" s="42">
        <v>211</v>
      </c>
    </row>
    <row r="617" spans="1:8" ht="15" customHeight="1">
      <c r="A617" s="26">
        <v>4265130</v>
      </c>
      <c r="B617" s="29" t="s">
        <v>2860</v>
      </c>
      <c r="C617" s="29" t="s">
        <v>17752</v>
      </c>
      <c r="D617" s="29" t="s">
        <v>30907</v>
      </c>
      <c r="E617" s="29" t="s">
        <v>44422</v>
      </c>
      <c r="F617" s="36" t="s">
        <v>54413</v>
      </c>
      <c r="G617" s="39">
        <v>236524.98</v>
      </c>
      <c r="H617" s="42">
        <v>211</v>
      </c>
    </row>
    <row r="618" spans="1:8" ht="15" customHeight="1">
      <c r="A618" s="26">
        <v>4265586</v>
      </c>
      <c r="B618" s="29" t="s">
        <v>2861</v>
      </c>
      <c r="C618" s="29" t="s">
        <v>17753</v>
      </c>
      <c r="D618" s="29" t="s">
        <v>30908</v>
      </c>
      <c r="E618" s="29" t="s">
        <v>44423</v>
      </c>
      <c r="F618" s="36" t="s">
        <v>54429</v>
      </c>
      <c r="G618" s="39">
        <v>481295.39</v>
      </c>
      <c r="H618" s="42">
        <v>211</v>
      </c>
    </row>
    <row r="619" spans="1:8" ht="15" customHeight="1">
      <c r="A619" s="26">
        <v>4265609</v>
      </c>
      <c r="B619" s="29" t="s">
        <v>2862</v>
      </c>
      <c r="C619" s="29" t="s">
        <v>17754</v>
      </c>
      <c r="D619" s="29" t="s">
        <v>30909</v>
      </c>
      <c r="E619" s="29" t="s">
        <v>44424</v>
      </c>
      <c r="F619" s="36" t="s">
        <v>54429</v>
      </c>
      <c r="G619" s="39">
        <f>41190.48+6803338-2100</f>
        <v>6842428.4800000004</v>
      </c>
      <c r="H619" s="42">
        <v>211</v>
      </c>
    </row>
    <row r="620" spans="1:8" ht="15" customHeight="1">
      <c r="A620" s="26">
        <v>4266041</v>
      </c>
      <c r="B620" s="29" t="s">
        <v>2863</v>
      </c>
      <c r="C620" s="29" t="s">
        <v>17755</v>
      </c>
      <c r="D620" s="29" t="s">
        <v>30910</v>
      </c>
      <c r="E620" s="29" t="s">
        <v>44425</v>
      </c>
      <c r="F620" s="36" t="s">
        <v>54401</v>
      </c>
      <c r="G620" s="39">
        <v>746364.74</v>
      </c>
      <c r="H620" s="42">
        <v>211</v>
      </c>
    </row>
    <row r="621" spans="1:8" ht="15" customHeight="1">
      <c r="A621" s="26">
        <v>4266065</v>
      </c>
      <c r="B621" s="29" t="s">
        <v>2864</v>
      </c>
      <c r="C621" s="29" t="s">
        <v>17756</v>
      </c>
      <c r="D621" s="29" t="s">
        <v>30911</v>
      </c>
      <c r="E621" s="29" t="s">
        <v>44426</v>
      </c>
      <c r="F621" s="36" t="s">
        <v>54401</v>
      </c>
      <c r="G621" s="39">
        <f>124598.26+76426</f>
        <v>201024.26</v>
      </c>
      <c r="H621" s="42">
        <v>211</v>
      </c>
    </row>
    <row r="622" spans="1:8" ht="15" customHeight="1">
      <c r="A622" s="26">
        <v>4266247</v>
      </c>
      <c r="B622" s="29" t="s">
        <v>2865</v>
      </c>
      <c r="C622" s="29" t="s">
        <v>17757</v>
      </c>
      <c r="D622" s="29" t="s">
        <v>30912</v>
      </c>
      <c r="E622" s="29" t="s">
        <v>44427</v>
      </c>
      <c r="F622" s="36" t="s">
        <v>54401</v>
      </c>
      <c r="G622" s="39">
        <v>649225.01</v>
      </c>
      <c r="H622" s="42">
        <v>211</v>
      </c>
    </row>
    <row r="623" spans="1:8" ht="15" customHeight="1">
      <c r="A623" s="26">
        <v>4266281</v>
      </c>
      <c r="B623" s="29" t="s">
        <v>2866</v>
      </c>
      <c r="C623" s="26" t="s">
        <v>17758</v>
      </c>
      <c r="D623" s="26" t="s">
        <v>30913</v>
      </c>
      <c r="E623" s="26" t="s">
        <v>44428</v>
      </c>
      <c r="F623" s="37" t="s">
        <v>54401</v>
      </c>
      <c r="G623" s="39">
        <v>4243253.47</v>
      </c>
      <c r="H623" s="42">
        <v>211</v>
      </c>
    </row>
    <row r="624" spans="1:8" ht="15" customHeight="1">
      <c r="A624" s="26">
        <v>4266401</v>
      </c>
      <c r="B624" s="29" t="s">
        <v>2867</v>
      </c>
      <c r="C624" s="29" t="s">
        <v>17759</v>
      </c>
      <c r="D624" s="29" t="s">
        <v>30914</v>
      </c>
      <c r="E624" s="29" t="s">
        <v>44429</v>
      </c>
      <c r="F624" s="36" t="s">
        <v>54401</v>
      </c>
      <c r="G624" s="39">
        <v>321845.52</v>
      </c>
      <c r="H624" s="42">
        <v>211</v>
      </c>
    </row>
    <row r="625" spans="1:8" ht="15" customHeight="1">
      <c r="A625" s="26">
        <v>4266444</v>
      </c>
      <c r="B625" s="29" t="s">
        <v>2868</v>
      </c>
      <c r="C625" s="29" t="s">
        <v>17760</v>
      </c>
      <c r="D625" s="29" t="s">
        <v>30915</v>
      </c>
      <c r="E625" s="29" t="s">
        <v>44430</v>
      </c>
      <c r="F625" s="36" t="s">
        <v>54401</v>
      </c>
      <c r="G625" s="39">
        <f>832591.69+126863</f>
        <v>959454.69</v>
      </c>
      <c r="H625" s="42">
        <v>211</v>
      </c>
    </row>
    <row r="626" spans="1:8" ht="15" customHeight="1">
      <c r="A626" s="26">
        <v>4266621</v>
      </c>
      <c r="B626" s="29" t="s">
        <v>2869</v>
      </c>
      <c r="C626" s="29" t="s">
        <v>17761</v>
      </c>
      <c r="D626" s="29" t="s">
        <v>30916</v>
      </c>
      <c r="E626" s="29" t="s">
        <v>44431</v>
      </c>
      <c r="F626" s="36" t="s">
        <v>54401</v>
      </c>
      <c r="G626" s="39">
        <v>2743721.4</v>
      </c>
      <c r="H626" s="42">
        <v>211</v>
      </c>
    </row>
    <row r="627" spans="1:8" ht="15" customHeight="1">
      <c r="A627" s="26">
        <v>4266647</v>
      </c>
      <c r="B627" s="29" t="s">
        <v>2870</v>
      </c>
      <c r="C627" s="29" t="s">
        <v>17762</v>
      </c>
      <c r="D627" s="29" t="s">
        <v>30917</v>
      </c>
      <c r="E627" s="29" t="s">
        <v>44432</v>
      </c>
      <c r="F627" s="36" t="s">
        <v>54401</v>
      </c>
      <c r="G627" s="39">
        <v>54162.02</v>
      </c>
      <c r="H627" s="42">
        <v>211</v>
      </c>
    </row>
    <row r="628" spans="1:8" ht="15" customHeight="1">
      <c r="A628" s="26">
        <v>4266652</v>
      </c>
      <c r="B628" s="29" t="s">
        <v>2871</v>
      </c>
      <c r="C628" s="29" t="s">
        <v>17763</v>
      </c>
      <c r="D628" s="29" t="s">
        <v>30918</v>
      </c>
      <c r="E628" s="29" t="s">
        <v>44433</v>
      </c>
      <c r="F628" s="36" t="s">
        <v>54401</v>
      </c>
      <c r="G628" s="39">
        <f>145593.11+166964</f>
        <v>312557.11</v>
      </c>
      <c r="H628" s="42">
        <v>211</v>
      </c>
    </row>
    <row r="629" spans="1:8" ht="15" customHeight="1">
      <c r="A629" s="26">
        <v>4266663</v>
      </c>
      <c r="B629" s="29" t="s">
        <v>2872</v>
      </c>
      <c r="C629" s="29" t="s">
        <v>17764</v>
      </c>
      <c r="D629" s="29" t="s">
        <v>30919</v>
      </c>
      <c r="E629" s="29" t="s">
        <v>44434</v>
      </c>
      <c r="F629" s="36" t="s">
        <v>54401</v>
      </c>
      <c r="G629" s="39">
        <v>2220217.27</v>
      </c>
      <c r="H629" s="42">
        <v>211</v>
      </c>
    </row>
    <row r="630" spans="1:8" ht="15" customHeight="1">
      <c r="A630" s="26">
        <v>4266758</v>
      </c>
      <c r="B630" s="29" t="s">
        <v>2873</v>
      </c>
      <c r="C630" s="29" t="s">
        <v>17765</v>
      </c>
      <c r="D630" s="29" t="s">
        <v>30920</v>
      </c>
      <c r="E630" s="29" t="s">
        <v>44435</v>
      </c>
      <c r="F630" s="36" t="s">
        <v>54401</v>
      </c>
      <c r="G630" s="39">
        <v>1401745.13</v>
      </c>
      <c r="H630" s="42">
        <v>211</v>
      </c>
    </row>
    <row r="631" spans="1:8" ht="15" customHeight="1">
      <c r="A631" s="26">
        <v>4266781</v>
      </c>
      <c r="B631" s="29" t="s">
        <v>2874</v>
      </c>
      <c r="C631" s="29" t="s">
        <v>17766</v>
      </c>
      <c r="D631" s="29" t="s">
        <v>30921</v>
      </c>
      <c r="E631" s="29" t="s">
        <v>44436</v>
      </c>
      <c r="F631" s="36" t="s">
        <v>54401</v>
      </c>
      <c r="G631" s="39">
        <v>161916.24</v>
      </c>
      <c r="H631" s="42">
        <v>211</v>
      </c>
    </row>
    <row r="632" spans="1:8" ht="15" customHeight="1">
      <c r="A632" s="26">
        <v>4266797</v>
      </c>
      <c r="B632" s="29" t="s">
        <v>2875</v>
      </c>
      <c r="C632" s="29" t="s">
        <v>17767</v>
      </c>
      <c r="D632" s="29" t="s">
        <v>30922</v>
      </c>
      <c r="E632" s="29" t="s">
        <v>44437</v>
      </c>
      <c r="F632" s="36" t="s">
        <v>54401</v>
      </c>
      <c r="G632" s="39">
        <f>2661588.19+293838</f>
        <v>2955426.19</v>
      </c>
      <c r="H632" s="42">
        <v>211</v>
      </c>
    </row>
    <row r="633" spans="1:8" ht="15" customHeight="1">
      <c r="A633" s="26">
        <v>4266850</v>
      </c>
      <c r="B633" s="29" t="s">
        <v>2876</v>
      </c>
      <c r="C633" s="29" t="s">
        <v>17768</v>
      </c>
      <c r="D633" s="29" t="s">
        <v>30923</v>
      </c>
      <c r="E633" s="29" t="s">
        <v>44438</v>
      </c>
      <c r="F633" s="36" t="s">
        <v>54401</v>
      </c>
      <c r="G633" s="39">
        <v>516919.79</v>
      </c>
      <c r="H633" s="42">
        <v>211</v>
      </c>
    </row>
    <row r="634" spans="1:8" ht="15" customHeight="1">
      <c r="A634" s="26">
        <v>4266903</v>
      </c>
      <c r="B634" s="29" t="s">
        <v>2877</v>
      </c>
      <c r="C634" s="29" t="s">
        <v>17769</v>
      </c>
      <c r="D634" s="29" t="s">
        <v>30924</v>
      </c>
      <c r="E634" s="29" t="s">
        <v>44439</v>
      </c>
      <c r="F634" s="36" t="s">
        <v>54401</v>
      </c>
      <c r="G634" s="39">
        <v>2405329.7999999998</v>
      </c>
      <c r="H634" s="42">
        <v>211</v>
      </c>
    </row>
    <row r="635" spans="1:8" ht="15" customHeight="1">
      <c r="A635" s="26">
        <v>4266945</v>
      </c>
      <c r="B635" s="29" t="s">
        <v>2878</v>
      </c>
      <c r="C635" s="29" t="s">
        <v>17770</v>
      </c>
      <c r="D635" s="29" t="s">
        <v>30376</v>
      </c>
      <c r="E635" s="29" t="s">
        <v>44440</v>
      </c>
      <c r="F635" s="36" t="s">
        <v>54401</v>
      </c>
      <c r="G635" s="39">
        <v>53619.94</v>
      </c>
      <c r="H635" s="42">
        <v>211</v>
      </c>
    </row>
    <row r="636" spans="1:8" ht="15" customHeight="1">
      <c r="A636" s="26">
        <v>4266993</v>
      </c>
      <c r="B636" s="29" t="s">
        <v>2879</v>
      </c>
      <c r="C636" s="29" t="s">
        <v>17771</v>
      </c>
      <c r="D636" s="29" t="s">
        <v>30925</v>
      </c>
      <c r="E636" s="29" t="s">
        <v>44441</v>
      </c>
      <c r="F636" s="36" t="s">
        <v>54401</v>
      </c>
      <c r="G636" s="39">
        <f>1142110.57+1527946+420723</f>
        <v>3090779.5700000003</v>
      </c>
      <c r="H636" s="42">
        <v>211</v>
      </c>
    </row>
    <row r="637" spans="1:8" ht="15" customHeight="1">
      <c r="A637" s="26">
        <v>4266999</v>
      </c>
      <c r="B637" s="29" t="s">
        <v>2880</v>
      </c>
      <c r="C637" s="29" t="s">
        <v>17772</v>
      </c>
      <c r="D637" s="29" t="s">
        <v>30926</v>
      </c>
      <c r="E637" s="29" t="s">
        <v>44442</v>
      </c>
      <c r="F637" s="36" t="s">
        <v>54401</v>
      </c>
      <c r="G637" s="39">
        <v>121243.17</v>
      </c>
      <c r="H637" s="42">
        <v>211</v>
      </c>
    </row>
    <row r="638" spans="1:8" ht="15" customHeight="1">
      <c r="A638" s="26">
        <v>4267018</v>
      </c>
      <c r="B638" s="29" t="s">
        <v>2881</v>
      </c>
      <c r="C638" s="26" t="s">
        <v>17773</v>
      </c>
      <c r="D638" s="26" t="s">
        <v>30927</v>
      </c>
      <c r="E638" s="26" t="s">
        <v>44443</v>
      </c>
      <c r="F638" s="37" t="s">
        <v>54401</v>
      </c>
      <c r="G638" s="39">
        <v>410176.5</v>
      </c>
      <c r="H638" s="42">
        <v>211</v>
      </c>
    </row>
    <row r="639" spans="1:8" ht="15" customHeight="1">
      <c r="A639" s="26">
        <v>4267037</v>
      </c>
      <c r="B639" s="29" t="s">
        <v>2882</v>
      </c>
      <c r="C639" s="26" t="s">
        <v>17774</v>
      </c>
      <c r="D639" s="26" t="s">
        <v>30928</v>
      </c>
      <c r="E639" s="26" t="s">
        <v>44444</v>
      </c>
      <c r="F639" s="37" t="s">
        <v>54401</v>
      </c>
      <c r="G639" s="39">
        <f>152015.37+570726</f>
        <v>722741.37</v>
      </c>
      <c r="H639" s="42">
        <v>211</v>
      </c>
    </row>
    <row r="640" spans="1:8" ht="15" customHeight="1">
      <c r="A640" s="26">
        <v>4267051</v>
      </c>
      <c r="B640" s="29" t="s">
        <v>2883</v>
      </c>
      <c r="C640" s="29" t="s">
        <v>17775</v>
      </c>
      <c r="D640" s="29" t="s">
        <v>30929</v>
      </c>
      <c r="E640" s="29" t="s">
        <v>44445</v>
      </c>
      <c r="F640" s="36" t="s">
        <v>54401</v>
      </c>
      <c r="G640" s="39">
        <f>5136324.06-17252</f>
        <v>5119072.0599999996</v>
      </c>
      <c r="H640" s="42">
        <v>211</v>
      </c>
    </row>
    <row r="641" spans="1:8" ht="15" customHeight="1">
      <c r="A641" s="26">
        <v>4271608</v>
      </c>
      <c r="B641" s="29" t="s">
        <v>2884</v>
      </c>
      <c r="C641" s="29" t="s">
        <v>17776</v>
      </c>
      <c r="D641" s="29" t="s">
        <v>30521</v>
      </c>
      <c r="E641" s="29" t="s">
        <v>43926</v>
      </c>
      <c r="F641" s="36" t="s">
        <v>54401</v>
      </c>
      <c r="G641" s="39">
        <v>359860.89</v>
      </c>
      <c r="H641" s="42">
        <v>211</v>
      </c>
    </row>
    <row r="642" spans="1:8" ht="15" customHeight="1">
      <c r="A642" s="26">
        <v>4271676</v>
      </c>
      <c r="B642" s="29" t="s">
        <v>2885</v>
      </c>
      <c r="C642" s="29" t="s">
        <v>17777</v>
      </c>
      <c r="D642" s="29" t="s">
        <v>30930</v>
      </c>
      <c r="E642" s="29" t="s">
        <v>44446</v>
      </c>
      <c r="F642" s="36" t="s">
        <v>54401</v>
      </c>
      <c r="G642" s="39">
        <v>4756404.12</v>
      </c>
      <c r="H642" s="42">
        <v>211</v>
      </c>
    </row>
    <row r="643" spans="1:8" ht="15" customHeight="1">
      <c r="A643" s="26">
        <v>4271701</v>
      </c>
      <c r="B643" s="29" t="s">
        <v>2886</v>
      </c>
      <c r="C643" s="26" t="s">
        <v>17204</v>
      </c>
      <c r="D643" s="26" t="s">
        <v>30931</v>
      </c>
      <c r="E643" s="26" t="s">
        <v>43926</v>
      </c>
      <c r="F643" s="37" t="s">
        <v>54401</v>
      </c>
      <c r="G643" s="39">
        <v>70375.48</v>
      </c>
      <c r="H643" s="42">
        <v>211</v>
      </c>
    </row>
    <row r="644" spans="1:8" ht="15" customHeight="1">
      <c r="A644" s="26">
        <v>4271867</v>
      </c>
      <c r="B644" s="29" t="s">
        <v>2887</v>
      </c>
      <c r="C644" s="29" t="s">
        <v>17778</v>
      </c>
      <c r="D644" s="29" t="s">
        <v>30932</v>
      </c>
      <c r="E644" s="29" t="s">
        <v>44447</v>
      </c>
      <c r="F644" s="36" t="s">
        <v>54401</v>
      </c>
      <c r="G644" s="39">
        <f>298778.43+27329</f>
        <v>326107.43</v>
      </c>
      <c r="H644" s="42">
        <v>211</v>
      </c>
    </row>
    <row r="645" spans="1:8" ht="15" customHeight="1">
      <c r="A645" s="26">
        <v>4272014</v>
      </c>
      <c r="B645" s="29" t="s">
        <v>2888</v>
      </c>
      <c r="C645" s="29" t="s">
        <v>17779</v>
      </c>
      <c r="D645" s="29" t="s">
        <v>30933</v>
      </c>
      <c r="E645" s="29" t="s">
        <v>44448</v>
      </c>
      <c r="F645" s="36" t="s">
        <v>54401</v>
      </c>
      <c r="G645" s="39">
        <v>604952.36</v>
      </c>
      <c r="H645" s="42">
        <v>211</v>
      </c>
    </row>
    <row r="646" spans="1:8" ht="15" customHeight="1">
      <c r="A646" s="26">
        <v>4272213</v>
      </c>
      <c r="B646" s="29" t="s">
        <v>2889</v>
      </c>
      <c r="C646" s="29" t="s">
        <v>17780</v>
      </c>
      <c r="D646" s="29" t="s">
        <v>30934</v>
      </c>
      <c r="E646" s="29" t="s">
        <v>44449</v>
      </c>
      <c r="F646" s="36" t="s">
        <v>54430</v>
      </c>
      <c r="G646" s="39">
        <f>40936407.09-336249</f>
        <v>40600158.090000004</v>
      </c>
      <c r="H646" s="42">
        <v>211</v>
      </c>
    </row>
    <row r="647" spans="1:8" ht="15" customHeight="1">
      <c r="A647" s="26">
        <v>4272233</v>
      </c>
      <c r="B647" s="29" t="s">
        <v>2890</v>
      </c>
      <c r="C647" s="29" t="s">
        <v>17781</v>
      </c>
      <c r="D647" s="29" t="s">
        <v>30935</v>
      </c>
      <c r="E647" s="29" t="s">
        <v>44450</v>
      </c>
      <c r="F647" s="36" t="s">
        <v>54401</v>
      </c>
      <c r="G647" s="39">
        <v>1852625.87</v>
      </c>
      <c r="H647" s="42">
        <v>211</v>
      </c>
    </row>
    <row r="648" spans="1:8" ht="15" customHeight="1">
      <c r="A648" s="26">
        <v>4277148</v>
      </c>
      <c r="B648" s="29" t="s">
        <v>2891</v>
      </c>
      <c r="C648" s="29" t="s">
        <v>17782</v>
      </c>
      <c r="D648" s="29" t="s">
        <v>30936</v>
      </c>
      <c r="E648" s="29" t="s">
        <v>44451</v>
      </c>
      <c r="F648" s="36" t="s">
        <v>54409</v>
      </c>
      <c r="G648" s="39">
        <v>74032.55</v>
      </c>
      <c r="H648" s="42">
        <v>211</v>
      </c>
    </row>
    <row r="649" spans="1:8" ht="15" customHeight="1">
      <c r="A649" s="26">
        <v>4277150</v>
      </c>
      <c r="B649" s="29" t="s">
        <v>2892</v>
      </c>
      <c r="C649" s="29" t="s">
        <v>17783</v>
      </c>
      <c r="D649" s="29" t="s">
        <v>30937</v>
      </c>
      <c r="E649" s="29" t="s">
        <v>43926</v>
      </c>
      <c r="F649" s="36" t="s">
        <v>54401</v>
      </c>
      <c r="G649" s="39">
        <v>525481.12</v>
      </c>
      <c r="H649" s="42">
        <v>211</v>
      </c>
    </row>
    <row r="650" spans="1:8" ht="15" customHeight="1">
      <c r="A650" s="26">
        <v>4277273</v>
      </c>
      <c r="B650" s="29" t="s">
        <v>2893</v>
      </c>
      <c r="C650" s="29" t="s">
        <v>17784</v>
      </c>
      <c r="D650" s="29" t="s">
        <v>30938</v>
      </c>
      <c r="E650" s="29" t="s">
        <v>44452</v>
      </c>
      <c r="F650" s="36" t="s">
        <v>54401</v>
      </c>
      <c r="G650" s="39">
        <f>4223974.66+1629666+309222</f>
        <v>6162862.6600000001</v>
      </c>
      <c r="H650" s="42">
        <v>211</v>
      </c>
    </row>
    <row r="651" spans="1:8" ht="15" customHeight="1">
      <c r="A651" s="26">
        <v>4277326</v>
      </c>
      <c r="B651" s="29" t="s">
        <v>2894</v>
      </c>
      <c r="C651" s="29" t="s">
        <v>17785</v>
      </c>
      <c r="D651" s="29" t="s">
        <v>30939</v>
      </c>
      <c r="E651" s="29" t="s">
        <v>44453</v>
      </c>
      <c r="F651" s="36" t="s">
        <v>54401</v>
      </c>
      <c r="G651" s="39">
        <v>441531.92</v>
      </c>
      <c r="H651" s="42">
        <v>211</v>
      </c>
    </row>
    <row r="652" spans="1:8" ht="15" customHeight="1">
      <c r="A652" s="26">
        <v>4277338</v>
      </c>
      <c r="B652" s="29" t="s">
        <v>2895</v>
      </c>
      <c r="C652" s="29" t="s">
        <v>17786</v>
      </c>
      <c r="D652" s="29" t="s">
        <v>30940</v>
      </c>
      <c r="E652" s="29" t="s">
        <v>43926</v>
      </c>
      <c r="F652" s="36" t="s">
        <v>54409</v>
      </c>
      <c r="G652" s="39">
        <v>302206.65999999997</v>
      </c>
      <c r="H652" s="42">
        <v>211</v>
      </c>
    </row>
    <row r="653" spans="1:8" ht="15" customHeight="1">
      <c r="A653" s="26">
        <v>4277347</v>
      </c>
      <c r="B653" s="29" t="s">
        <v>2896</v>
      </c>
      <c r="C653" s="29" t="s">
        <v>17787</v>
      </c>
      <c r="D653" s="29" t="s">
        <v>30941</v>
      </c>
      <c r="E653" s="29" t="s">
        <v>44454</v>
      </c>
      <c r="F653" s="36" t="s">
        <v>54401</v>
      </c>
      <c r="G653" s="39">
        <f>7514956.46+133865-22829+69149</f>
        <v>7695141.46</v>
      </c>
      <c r="H653" s="42">
        <v>211</v>
      </c>
    </row>
    <row r="654" spans="1:8" ht="15" customHeight="1">
      <c r="A654" s="26">
        <v>4277360</v>
      </c>
      <c r="B654" s="29" t="s">
        <v>2897</v>
      </c>
      <c r="C654" s="29" t="s">
        <v>17788</v>
      </c>
      <c r="D654" s="29" t="s">
        <v>30942</v>
      </c>
      <c r="E654" s="29" t="s">
        <v>44455</v>
      </c>
      <c r="F654" s="36" t="s">
        <v>54409</v>
      </c>
      <c r="G654" s="39">
        <f>4922772.24+83156</f>
        <v>5005928.24</v>
      </c>
      <c r="H654" s="42">
        <v>211</v>
      </c>
    </row>
    <row r="655" spans="1:8" ht="15" customHeight="1">
      <c r="A655" s="26">
        <v>4277392</v>
      </c>
      <c r="B655" s="29" t="s">
        <v>2898</v>
      </c>
      <c r="C655" s="29" t="s">
        <v>17789</v>
      </c>
      <c r="D655" s="29" t="s">
        <v>30943</v>
      </c>
      <c r="E655" s="29" t="s">
        <v>44456</v>
      </c>
      <c r="F655" s="36" t="s">
        <v>54409</v>
      </c>
      <c r="G655" s="39">
        <v>2318264.67</v>
      </c>
      <c r="H655" s="42">
        <v>211</v>
      </c>
    </row>
    <row r="656" spans="1:8" ht="15" customHeight="1">
      <c r="A656" s="26">
        <v>4277397</v>
      </c>
      <c r="B656" s="29" t="s">
        <v>2899</v>
      </c>
      <c r="C656" s="29" t="s">
        <v>17790</v>
      </c>
      <c r="D656" s="29" t="s">
        <v>30944</v>
      </c>
      <c r="E656" s="29" t="s">
        <v>44457</v>
      </c>
      <c r="F656" s="36" t="s">
        <v>54409</v>
      </c>
      <c r="G656" s="39">
        <f>11382467.05-215760</f>
        <v>11166707.050000001</v>
      </c>
      <c r="H656" s="42">
        <v>211</v>
      </c>
    </row>
    <row r="657" spans="1:8" ht="15" customHeight="1">
      <c r="A657" s="26">
        <v>4277445</v>
      </c>
      <c r="B657" s="29" t="s">
        <v>2900</v>
      </c>
      <c r="C657" s="29" t="s">
        <v>17791</v>
      </c>
      <c r="D657" s="29" t="s">
        <v>30945</v>
      </c>
      <c r="E657" s="29" t="s">
        <v>44458</v>
      </c>
      <c r="F657" s="36" t="s">
        <v>54401</v>
      </c>
      <c r="G657" s="39">
        <v>1589052.76</v>
      </c>
      <c r="H657" s="42">
        <v>211</v>
      </c>
    </row>
    <row r="658" spans="1:8" ht="15" customHeight="1">
      <c r="A658" s="26">
        <v>4277451</v>
      </c>
      <c r="B658" s="29" t="s">
        <v>2901</v>
      </c>
      <c r="C658" s="29" t="s">
        <v>17792</v>
      </c>
      <c r="D658" s="29" t="s">
        <v>30376</v>
      </c>
      <c r="E658" s="29" t="s">
        <v>44459</v>
      </c>
      <c r="F658" s="36" t="s">
        <v>54409</v>
      </c>
      <c r="G658" s="39">
        <v>918687.07</v>
      </c>
      <c r="H658" s="42">
        <v>211</v>
      </c>
    </row>
    <row r="659" spans="1:8" ht="15" customHeight="1">
      <c r="A659" s="26">
        <v>4277501</v>
      </c>
      <c r="B659" s="29" t="s">
        <v>2902</v>
      </c>
      <c r="C659" s="29" t="s">
        <v>17793</v>
      </c>
      <c r="D659" s="29" t="s">
        <v>30946</v>
      </c>
      <c r="E659" s="29" t="s">
        <v>44460</v>
      </c>
      <c r="F659" s="36" t="s">
        <v>54401</v>
      </c>
      <c r="G659" s="39">
        <v>411290.85</v>
      </c>
      <c r="H659" s="42">
        <v>211</v>
      </c>
    </row>
    <row r="660" spans="1:8" ht="15" customHeight="1">
      <c r="A660" s="26">
        <v>4277526</v>
      </c>
      <c r="B660" s="29" t="s">
        <v>2903</v>
      </c>
      <c r="C660" s="26" t="s">
        <v>17794</v>
      </c>
      <c r="D660" s="26" t="s">
        <v>30947</v>
      </c>
      <c r="E660" s="26" t="s">
        <v>44461</v>
      </c>
      <c r="F660" s="37" t="s">
        <v>54409</v>
      </c>
      <c r="G660" s="39">
        <v>275182.13</v>
      </c>
      <c r="H660" s="42">
        <v>211</v>
      </c>
    </row>
    <row r="661" spans="1:8" ht="15" customHeight="1">
      <c r="A661" s="26">
        <v>4277550</v>
      </c>
      <c r="B661" s="29" t="s">
        <v>2904</v>
      </c>
      <c r="C661" s="29" t="s">
        <v>17795</v>
      </c>
      <c r="D661" s="29" t="s">
        <v>30938</v>
      </c>
      <c r="E661" s="29" t="s">
        <v>44462</v>
      </c>
      <c r="F661" s="36" t="s">
        <v>54401</v>
      </c>
      <c r="G661" s="39">
        <v>471607.86</v>
      </c>
      <c r="H661" s="42">
        <v>211</v>
      </c>
    </row>
    <row r="662" spans="1:8" ht="15" customHeight="1">
      <c r="A662" s="26">
        <v>4277552</v>
      </c>
      <c r="B662" s="29" t="s">
        <v>2905</v>
      </c>
      <c r="C662" s="29" t="s">
        <v>17796</v>
      </c>
      <c r="D662" s="29" t="s">
        <v>30948</v>
      </c>
      <c r="E662" s="29" t="s">
        <v>44463</v>
      </c>
      <c r="F662" s="36" t="s">
        <v>54423</v>
      </c>
      <c r="G662" s="39">
        <v>595428.56999999995</v>
      </c>
      <c r="H662" s="42">
        <v>211</v>
      </c>
    </row>
    <row r="663" spans="1:8" ht="15" customHeight="1">
      <c r="A663" s="26">
        <v>4277586</v>
      </c>
      <c r="B663" s="29" t="s">
        <v>2906</v>
      </c>
      <c r="C663" s="29" t="s">
        <v>17797</v>
      </c>
      <c r="D663" s="29" t="s">
        <v>30949</v>
      </c>
      <c r="E663" s="29" t="s">
        <v>44464</v>
      </c>
      <c r="F663" s="36" t="s">
        <v>54401</v>
      </c>
      <c r="G663" s="39">
        <v>4952431.29</v>
      </c>
      <c r="H663" s="42">
        <v>211</v>
      </c>
    </row>
    <row r="664" spans="1:8" ht="15" customHeight="1">
      <c r="A664" s="26">
        <v>4277595</v>
      </c>
      <c r="B664" s="29" t="s">
        <v>2907</v>
      </c>
      <c r="C664" s="29" t="s">
        <v>17798</v>
      </c>
      <c r="D664" s="29" t="s">
        <v>30950</v>
      </c>
      <c r="E664" s="29" t="s">
        <v>44465</v>
      </c>
      <c r="F664" s="36" t="s">
        <v>54409</v>
      </c>
      <c r="G664" s="39">
        <f>789901.33+343662</f>
        <v>1133563.33</v>
      </c>
      <c r="H664" s="42">
        <v>211</v>
      </c>
    </row>
    <row r="665" spans="1:8" ht="15" customHeight="1">
      <c r="A665" s="26">
        <v>4277624</v>
      </c>
      <c r="B665" s="29" t="s">
        <v>2908</v>
      </c>
      <c r="C665" s="29" t="s">
        <v>17799</v>
      </c>
      <c r="D665" s="29" t="s">
        <v>30951</v>
      </c>
      <c r="E665" s="29" t="s">
        <v>43926</v>
      </c>
      <c r="F665" s="36" t="s">
        <v>54401</v>
      </c>
      <c r="G665" s="39">
        <v>645559.98</v>
      </c>
      <c r="H665" s="42">
        <v>211</v>
      </c>
    </row>
    <row r="666" spans="1:8" ht="15" customHeight="1">
      <c r="A666" s="26">
        <v>4277640</v>
      </c>
      <c r="B666" s="29" t="s">
        <v>2909</v>
      </c>
      <c r="C666" s="29" t="s">
        <v>17800</v>
      </c>
      <c r="D666" s="29" t="s">
        <v>30952</v>
      </c>
      <c r="E666" s="29" t="s">
        <v>44466</v>
      </c>
      <c r="F666" s="36" t="s">
        <v>54401</v>
      </c>
      <c r="G666" s="39">
        <v>309904.13</v>
      </c>
      <c r="H666" s="42">
        <v>211</v>
      </c>
    </row>
    <row r="667" spans="1:8" ht="15" customHeight="1">
      <c r="A667" s="26">
        <v>4277644</v>
      </c>
      <c r="B667" s="29" t="s">
        <v>2910</v>
      </c>
      <c r="C667" s="26" t="s">
        <v>17801</v>
      </c>
      <c r="D667" s="26" t="s">
        <v>30953</v>
      </c>
      <c r="E667" s="26" t="s">
        <v>44467</v>
      </c>
      <c r="F667" s="37" t="s">
        <v>54401</v>
      </c>
      <c r="G667" s="39">
        <v>3662765.8</v>
      </c>
      <c r="H667" s="42">
        <v>211</v>
      </c>
    </row>
    <row r="668" spans="1:8" ht="15" customHeight="1">
      <c r="A668" s="26">
        <v>4277656</v>
      </c>
      <c r="B668" s="29" t="s">
        <v>2911</v>
      </c>
      <c r="C668" s="29" t="s">
        <v>17802</v>
      </c>
      <c r="D668" s="29" t="s">
        <v>30954</v>
      </c>
      <c r="E668" s="29" t="s">
        <v>44468</v>
      </c>
      <c r="F668" s="36" t="s">
        <v>54401</v>
      </c>
      <c r="G668" s="39">
        <v>321634.81</v>
      </c>
      <c r="H668" s="42">
        <v>211</v>
      </c>
    </row>
    <row r="669" spans="1:8" ht="15" customHeight="1">
      <c r="A669" s="26">
        <v>4277676</v>
      </c>
      <c r="B669" s="29" t="s">
        <v>2912</v>
      </c>
      <c r="C669" s="26" t="s">
        <v>17803</v>
      </c>
      <c r="D669" s="26" t="s">
        <v>30955</v>
      </c>
      <c r="E669" s="26" t="s">
        <v>44469</v>
      </c>
      <c r="F669" s="37" t="s">
        <v>54401</v>
      </c>
      <c r="G669" s="39">
        <v>2578607.7599999998</v>
      </c>
      <c r="H669" s="42">
        <v>211</v>
      </c>
    </row>
    <row r="670" spans="1:8" ht="15" customHeight="1">
      <c r="A670" s="26">
        <v>4277738</v>
      </c>
      <c r="B670" s="29" t="s">
        <v>2913</v>
      </c>
      <c r="C670" s="29" t="s">
        <v>17804</v>
      </c>
      <c r="D670" s="29" t="s">
        <v>30956</v>
      </c>
      <c r="E670" s="29" t="s">
        <v>44470</v>
      </c>
      <c r="F670" s="36" t="s">
        <v>54401</v>
      </c>
      <c r="G670" s="39">
        <v>5131414.8600000003</v>
      </c>
      <c r="H670" s="42">
        <v>211</v>
      </c>
    </row>
    <row r="671" spans="1:8" ht="15" customHeight="1">
      <c r="A671" s="26">
        <v>4277752</v>
      </c>
      <c r="B671" s="29" t="s">
        <v>2914</v>
      </c>
      <c r="C671" s="29" t="s">
        <v>17805</v>
      </c>
      <c r="D671" s="29" t="s">
        <v>30957</v>
      </c>
      <c r="E671" s="29" t="s">
        <v>44471</v>
      </c>
      <c r="F671" s="36" t="s">
        <v>54401</v>
      </c>
      <c r="G671" s="39">
        <v>3236103.68</v>
      </c>
      <c r="H671" s="42">
        <v>211</v>
      </c>
    </row>
    <row r="672" spans="1:8" ht="15" customHeight="1">
      <c r="A672" s="26">
        <v>4277759</v>
      </c>
      <c r="B672" s="29" t="s">
        <v>2915</v>
      </c>
      <c r="C672" s="29" t="s">
        <v>17806</v>
      </c>
      <c r="D672" s="29" t="s">
        <v>30958</v>
      </c>
      <c r="E672" s="29" t="s">
        <v>44472</v>
      </c>
      <c r="F672" s="36" t="s">
        <v>54401</v>
      </c>
      <c r="G672" s="39">
        <v>516419.36</v>
      </c>
      <c r="H672" s="42">
        <v>211</v>
      </c>
    </row>
    <row r="673" spans="1:8" ht="15" customHeight="1">
      <c r="A673" s="26">
        <v>4277763</v>
      </c>
      <c r="B673" s="29" t="s">
        <v>2916</v>
      </c>
      <c r="C673" s="26" t="s">
        <v>17807</v>
      </c>
      <c r="D673" s="26" t="s">
        <v>30959</v>
      </c>
      <c r="E673" s="26" t="s">
        <v>43926</v>
      </c>
      <c r="F673" s="37" t="s">
        <v>54401</v>
      </c>
      <c r="G673" s="39">
        <v>105967.5</v>
      </c>
      <c r="H673" s="42">
        <v>211</v>
      </c>
    </row>
    <row r="674" spans="1:8" ht="15" customHeight="1">
      <c r="A674" s="26">
        <v>4277766</v>
      </c>
      <c r="B674" s="29" t="s">
        <v>2785</v>
      </c>
      <c r="C674" s="29" t="s">
        <v>17683</v>
      </c>
      <c r="D674" s="29" t="s">
        <v>30960</v>
      </c>
      <c r="E674" s="29" t="s">
        <v>44473</v>
      </c>
      <c r="F674" s="36" t="s">
        <v>54401</v>
      </c>
      <c r="G674" s="39">
        <v>382946.92</v>
      </c>
      <c r="H674" s="42">
        <v>211</v>
      </c>
    </row>
    <row r="675" spans="1:8" ht="15" customHeight="1">
      <c r="A675" s="26">
        <v>4277775</v>
      </c>
      <c r="B675" s="29" t="s">
        <v>2917</v>
      </c>
      <c r="C675" s="29" t="s">
        <v>17808</v>
      </c>
      <c r="D675" s="29" t="s">
        <v>30961</v>
      </c>
      <c r="E675" s="29" t="s">
        <v>44474</v>
      </c>
      <c r="F675" s="36" t="s">
        <v>54409</v>
      </c>
      <c r="G675" s="39">
        <f>19665707.78-10546</f>
        <v>19655161.780000001</v>
      </c>
      <c r="H675" s="42">
        <v>211</v>
      </c>
    </row>
    <row r="676" spans="1:8" ht="15" customHeight="1">
      <c r="A676" s="26">
        <v>4277805</v>
      </c>
      <c r="B676" s="29" t="s">
        <v>2918</v>
      </c>
      <c r="C676" s="26" t="s">
        <v>17809</v>
      </c>
      <c r="D676" s="26" t="s">
        <v>30962</v>
      </c>
      <c r="E676" s="26" t="s">
        <v>44475</v>
      </c>
      <c r="F676" s="37" t="s">
        <v>54409</v>
      </c>
      <c r="G676" s="39">
        <v>57098.04</v>
      </c>
      <c r="H676" s="42">
        <v>211</v>
      </c>
    </row>
    <row r="677" spans="1:8" ht="15" customHeight="1">
      <c r="A677" s="26">
        <v>4277819</v>
      </c>
      <c r="B677" s="29" t="s">
        <v>2919</v>
      </c>
      <c r="C677" s="29" t="s">
        <v>17810</v>
      </c>
      <c r="D677" s="29" t="s">
        <v>30963</v>
      </c>
      <c r="E677" s="29" t="s">
        <v>44476</v>
      </c>
      <c r="F677" s="36" t="s">
        <v>54401</v>
      </c>
      <c r="G677" s="39">
        <v>819180.61</v>
      </c>
      <c r="H677" s="42">
        <v>211</v>
      </c>
    </row>
    <row r="678" spans="1:8" ht="15" customHeight="1">
      <c r="A678" s="26">
        <v>4277829</v>
      </c>
      <c r="B678" s="29" t="s">
        <v>2920</v>
      </c>
      <c r="C678" s="29" t="s">
        <v>17811</v>
      </c>
      <c r="D678" s="29" t="s">
        <v>30964</v>
      </c>
      <c r="E678" s="29" t="s">
        <v>44477</v>
      </c>
      <c r="F678" s="36" t="s">
        <v>54409</v>
      </c>
      <c r="G678" s="39">
        <v>185071.22</v>
      </c>
      <c r="H678" s="42">
        <v>211</v>
      </c>
    </row>
    <row r="679" spans="1:8" ht="15" customHeight="1">
      <c r="A679" s="26">
        <v>4277833</v>
      </c>
      <c r="B679" s="29" t="s">
        <v>2921</v>
      </c>
      <c r="C679" s="29" t="s">
        <v>17812</v>
      </c>
      <c r="D679" s="29" t="s">
        <v>30965</v>
      </c>
      <c r="E679" s="29" t="s">
        <v>44478</v>
      </c>
      <c r="F679" s="36" t="s">
        <v>54401</v>
      </c>
      <c r="G679" s="39">
        <v>1184573.24</v>
      </c>
      <c r="H679" s="42">
        <v>211</v>
      </c>
    </row>
    <row r="680" spans="1:8" ht="15" customHeight="1">
      <c r="A680" s="26">
        <v>4277834</v>
      </c>
      <c r="B680" s="29" t="s">
        <v>2922</v>
      </c>
      <c r="C680" s="29" t="s">
        <v>17813</v>
      </c>
      <c r="D680" s="29" t="s">
        <v>30966</v>
      </c>
      <c r="E680" s="29" t="s">
        <v>44479</v>
      </c>
      <c r="F680" s="36" t="s">
        <v>54409</v>
      </c>
      <c r="G680" s="39">
        <v>1981090.48</v>
      </c>
      <c r="H680" s="42">
        <v>211</v>
      </c>
    </row>
    <row r="681" spans="1:8" ht="15" customHeight="1">
      <c r="A681" s="26">
        <v>4277859</v>
      </c>
      <c r="B681" s="29" t="s">
        <v>2923</v>
      </c>
      <c r="C681" s="29" t="s">
        <v>17814</v>
      </c>
      <c r="D681" s="29" t="s">
        <v>30967</v>
      </c>
      <c r="E681" s="29" t="s">
        <v>44480</v>
      </c>
      <c r="F681" s="36" t="s">
        <v>54401</v>
      </c>
      <c r="G681" s="39">
        <v>3693128.3</v>
      </c>
      <c r="H681" s="42">
        <v>211</v>
      </c>
    </row>
    <row r="682" spans="1:8" ht="15" customHeight="1">
      <c r="A682" s="26">
        <v>4277911</v>
      </c>
      <c r="B682" s="29" t="s">
        <v>2924</v>
      </c>
      <c r="C682" s="26" t="s">
        <v>17815</v>
      </c>
      <c r="D682" s="26" t="s">
        <v>30376</v>
      </c>
      <c r="E682" s="26" t="s">
        <v>44481</v>
      </c>
      <c r="F682" s="37" t="s">
        <v>54401</v>
      </c>
      <c r="G682" s="39">
        <f>148815.91+982710</f>
        <v>1131525.9099999999</v>
      </c>
      <c r="H682" s="42">
        <v>211</v>
      </c>
    </row>
    <row r="683" spans="1:8" ht="15" customHeight="1">
      <c r="A683" s="26">
        <v>4277945</v>
      </c>
      <c r="B683" s="29" t="s">
        <v>2925</v>
      </c>
      <c r="C683" s="29" t="s">
        <v>17816</v>
      </c>
      <c r="D683" s="29" t="s">
        <v>30968</v>
      </c>
      <c r="E683" s="29" t="s">
        <v>44482</v>
      </c>
      <c r="F683" s="36" t="s">
        <v>54409</v>
      </c>
      <c r="G683" s="39">
        <v>337271.26</v>
      </c>
      <c r="H683" s="42">
        <v>211</v>
      </c>
    </row>
    <row r="684" spans="1:8" ht="15" customHeight="1">
      <c r="A684" s="26">
        <v>4277948</v>
      </c>
      <c r="B684" s="29" t="s">
        <v>2926</v>
      </c>
      <c r="C684" s="29" t="s">
        <v>17817</v>
      </c>
      <c r="D684" s="29" t="s">
        <v>30969</v>
      </c>
      <c r="E684" s="29" t="s">
        <v>44483</v>
      </c>
      <c r="F684" s="36" t="s">
        <v>54401</v>
      </c>
      <c r="G684" s="39">
        <v>463268.14</v>
      </c>
      <c r="H684" s="42">
        <v>211</v>
      </c>
    </row>
    <row r="685" spans="1:8" ht="15" customHeight="1">
      <c r="A685" s="26">
        <v>4277951</v>
      </c>
      <c r="B685" s="29" t="s">
        <v>2927</v>
      </c>
      <c r="C685" s="29" t="s">
        <v>17818</v>
      </c>
      <c r="D685" s="29" t="s">
        <v>30970</v>
      </c>
      <c r="E685" s="29" t="s">
        <v>44484</v>
      </c>
      <c r="F685" s="36" t="s">
        <v>54401</v>
      </c>
      <c r="G685" s="39">
        <v>2334024.7000000002</v>
      </c>
      <c r="H685" s="42">
        <v>211</v>
      </c>
    </row>
    <row r="686" spans="1:8" ht="15" customHeight="1">
      <c r="A686" s="26">
        <v>4277959</v>
      </c>
      <c r="B686" s="29" t="s">
        <v>2928</v>
      </c>
      <c r="C686" s="26" t="s">
        <v>17819</v>
      </c>
      <c r="D686" s="26" t="s">
        <v>30971</v>
      </c>
      <c r="E686" s="26" t="s">
        <v>43926</v>
      </c>
      <c r="F686" s="37" t="s">
        <v>54401</v>
      </c>
      <c r="G686" s="39">
        <v>1256739.6000000001</v>
      </c>
      <c r="H686" s="42">
        <v>211</v>
      </c>
    </row>
    <row r="687" spans="1:8" ht="15" customHeight="1">
      <c r="A687" s="26">
        <v>4280069</v>
      </c>
      <c r="B687" s="29" t="s">
        <v>2929</v>
      </c>
      <c r="C687" s="29" t="s">
        <v>17820</v>
      </c>
      <c r="D687" s="29" t="s">
        <v>30972</v>
      </c>
      <c r="E687" s="29" t="s">
        <v>44485</v>
      </c>
      <c r="F687" s="36" t="s">
        <v>54431</v>
      </c>
      <c r="G687" s="39">
        <v>336004.43</v>
      </c>
      <c r="H687" s="42">
        <v>211</v>
      </c>
    </row>
    <row r="688" spans="1:8" ht="15" customHeight="1">
      <c r="A688" s="26">
        <v>4282089</v>
      </c>
      <c r="B688" s="29" t="s">
        <v>2930</v>
      </c>
      <c r="C688" s="29" t="s">
        <v>17821</v>
      </c>
      <c r="D688" s="29" t="s">
        <v>30973</v>
      </c>
      <c r="E688" s="29" t="s">
        <v>44486</v>
      </c>
      <c r="F688" s="36" t="s">
        <v>54404</v>
      </c>
      <c r="G688" s="39">
        <v>497772.94</v>
      </c>
      <c r="H688" s="42">
        <v>211</v>
      </c>
    </row>
    <row r="689" spans="1:8" ht="15" customHeight="1">
      <c r="A689" s="26">
        <v>4282098</v>
      </c>
      <c r="B689" s="29" t="s">
        <v>2931</v>
      </c>
      <c r="C689" s="29" t="s">
        <v>17822</v>
      </c>
      <c r="D689" s="29" t="s">
        <v>30974</v>
      </c>
      <c r="E689" s="29" t="s">
        <v>44487</v>
      </c>
      <c r="F689" s="36" t="s">
        <v>54401</v>
      </c>
      <c r="G689" s="39">
        <v>17009.419999999998</v>
      </c>
      <c r="H689" s="42">
        <v>211</v>
      </c>
    </row>
    <row r="690" spans="1:8" ht="15" customHeight="1">
      <c r="A690" s="26">
        <v>4282118</v>
      </c>
      <c r="B690" s="29" t="s">
        <v>2932</v>
      </c>
      <c r="C690" s="29" t="s">
        <v>17823</v>
      </c>
      <c r="D690" s="29" t="s">
        <v>30975</v>
      </c>
      <c r="E690" s="29" t="s">
        <v>44488</v>
      </c>
      <c r="F690" s="36" t="s">
        <v>54401</v>
      </c>
      <c r="G690" s="39">
        <f>7538784.78+355240</f>
        <v>7894024.7800000003</v>
      </c>
      <c r="H690" s="42">
        <v>211</v>
      </c>
    </row>
    <row r="691" spans="1:8" ht="15" customHeight="1">
      <c r="A691" s="26">
        <v>4282148</v>
      </c>
      <c r="B691" s="29" t="s">
        <v>2933</v>
      </c>
      <c r="C691" s="29" t="s">
        <v>17204</v>
      </c>
      <c r="D691" s="29" t="s">
        <v>30976</v>
      </c>
      <c r="E691" s="29" t="s">
        <v>43926</v>
      </c>
      <c r="F691" s="36" t="s">
        <v>54401</v>
      </c>
      <c r="G691" s="39">
        <v>912081.99</v>
      </c>
      <c r="H691" s="42">
        <v>211</v>
      </c>
    </row>
    <row r="692" spans="1:8" ht="15" customHeight="1">
      <c r="A692" s="26">
        <v>4282164</v>
      </c>
      <c r="B692" s="29" t="s">
        <v>2934</v>
      </c>
      <c r="C692" s="29" t="s">
        <v>17824</v>
      </c>
      <c r="D692" s="29" t="s">
        <v>30977</v>
      </c>
      <c r="E692" s="29" t="s">
        <v>44489</v>
      </c>
      <c r="F692" s="36" t="s">
        <v>54401</v>
      </c>
      <c r="G692" s="39">
        <v>78086.97</v>
      </c>
      <c r="H692" s="42">
        <v>211</v>
      </c>
    </row>
    <row r="693" spans="1:8" ht="15" customHeight="1">
      <c r="A693" s="26">
        <v>4282173</v>
      </c>
      <c r="B693" s="29" t="s">
        <v>2935</v>
      </c>
      <c r="C693" s="29" t="s">
        <v>17825</v>
      </c>
      <c r="D693" s="29" t="s">
        <v>30978</v>
      </c>
      <c r="E693" s="29" t="s">
        <v>44490</v>
      </c>
      <c r="F693" s="36" t="s">
        <v>54404</v>
      </c>
      <c r="G693" s="39">
        <f>10371419.92-23847</f>
        <v>10347572.92</v>
      </c>
      <c r="H693" s="42">
        <v>211</v>
      </c>
    </row>
    <row r="694" spans="1:8" ht="15" customHeight="1">
      <c r="A694" s="26">
        <v>4282194</v>
      </c>
      <c r="B694" s="29" t="s">
        <v>2936</v>
      </c>
      <c r="C694" s="29" t="s">
        <v>17826</v>
      </c>
      <c r="D694" s="29" t="s">
        <v>30979</v>
      </c>
      <c r="E694" s="29" t="s">
        <v>44491</v>
      </c>
      <c r="F694" s="36" t="s">
        <v>54401</v>
      </c>
      <c r="G694" s="39">
        <f>1128433.26+558250</f>
        <v>1686683.26</v>
      </c>
      <c r="H694" s="42">
        <v>211</v>
      </c>
    </row>
    <row r="695" spans="1:8" ht="15" customHeight="1">
      <c r="A695" s="26">
        <v>4282278</v>
      </c>
      <c r="B695" s="29" t="s">
        <v>2937</v>
      </c>
      <c r="C695" s="29" t="s">
        <v>17204</v>
      </c>
      <c r="D695" s="29" t="s">
        <v>30349</v>
      </c>
      <c r="E695" s="29" t="s">
        <v>43926</v>
      </c>
      <c r="F695" s="36" t="s">
        <v>54401</v>
      </c>
      <c r="G695" s="39">
        <v>419209.58</v>
      </c>
      <c r="H695" s="42">
        <v>211</v>
      </c>
    </row>
    <row r="696" spans="1:8" ht="15" customHeight="1">
      <c r="A696" s="26">
        <v>4282307</v>
      </c>
      <c r="B696" s="29" t="s">
        <v>2938</v>
      </c>
      <c r="C696" s="29" t="s">
        <v>17827</v>
      </c>
      <c r="D696" s="29" t="s">
        <v>30980</v>
      </c>
      <c r="E696" s="29" t="s">
        <v>715</v>
      </c>
      <c r="F696" s="36" t="s">
        <v>54401</v>
      </c>
      <c r="G696" s="39">
        <v>216556.89</v>
      </c>
      <c r="H696" s="42">
        <v>211</v>
      </c>
    </row>
    <row r="697" spans="1:8" ht="15" customHeight="1">
      <c r="A697" s="26">
        <v>4282374</v>
      </c>
      <c r="B697" s="29" t="s">
        <v>2939</v>
      </c>
      <c r="C697" s="29" t="s">
        <v>17828</v>
      </c>
      <c r="D697" s="29" t="s">
        <v>30981</v>
      </c>
      <c r="E697" s="29" t="s">
        <v>44492</v>
      </c>
      <c r="F697" s="36" t="s">
        <v>54401</v>
      </c>
      <c r="G697" s="39">
        <v>630530.93000000005</v>
      </c>
      <c r="H697" s="42">
        <v>211</v>
      </c>
    </row>
    <row r="698" spans="1:8" ht="15" customHeight="1">
      <c r="A698" s="26">
        <v>4282406</v>
      </c>
      <c r="B698" s="29" t="s">
        <v>2940</v>
      </c>
      <c r="C698" s="29" t="s">
        <v>17204</v>
      </c>
      <c r="D698" s="29" t="s">
        <v>30982</v>
      </c>
      <c r="E698" s="29" t="s">
        <v>44493</v>
      </c>
      <c r="F698" s="36" t="s">
        <v>54401</v>
      </c>
      <c r="G698" s="39">
        <v>5041938.46</v>
      </c>
      <c r="H698" s="42">
        <v>211</v>
      </c>
    </row>
    <row r="699" spans="1:8" ht="15" customHeight="1">
      <c r="A699" s="26">
        <v>4283293</v>
      </c>
      <c r="B699" s="29" t="s">
        <v>2941</v>
      </c>
      <c r="C699" s="29" t="s">
        <v>17829</v>
      </c>
      <c r="D699" s="29" t="s">
        <v>30983</v>
      </c>
      <c r="E699" s="29" t="s">
        <v>44494</v>
      </c>
      <c r="F699" s="36" t="s">
        <v>54432</v>
      </c>
      <c r="G699" s="39">
        <f>8941657.46-672136</f>
        <v>8269521.4600000009</v>
      </c>
      <c r="H699" s="42">
        <v>211</v>
      </c>
    </row>
    <row r="700" spans="1:8" ht="15" customHeight="1">
      <c r="A700" s="26">
        <v>4283462</v>
      </c>
      <c r="B700" s="29" t="s">
        <v>2942</v>
      </c>
      <c r="C700" s="29" t="s">
        <v>17830</v>
      </c>
      <c r="D700" s="29" t="s">
        <v>30984</v>
      </c>
      <c r="E700" s="29" t="s">
        <v>44495</v>
      </c>
      <c r="F700" s="36" t="s">
        <v>54401</v>
      </c>
      <c r="G700" s="39">
        <v>271378.34999999998</v>
      </c>
      <c r="H700" s="42">
        <v>211</v>
      </c>
    </row>
    <row r="701" spans="1:8" ht="15" customHeight="1">
      <c r="A701" s="26">
        <v>4287677</v>
      </c>
      <c r="B701" s="29" t="s">
        <v>2943</v>
      </c>
      <c r="C701" s="29" t="s">
        <v>17831</v>
      </c>
      <c r="D701" s="29" t="s">
        <v>30985</v>
      </c>
      <c r="E701" s="29" t="s">
        <v>44496</v>
      </c>
      <c r="F701" s="36" t="s">
        <v>54401</v>
      </c>
      <c r="G701" s="39">
        <v>1920411.73</v>
      </c>
      <c r="H701" s="42">
        <v>211</v>
      </c>
    </row>
    <row r="702" spans="1:8" ht="15" customHeight="1">
      <c r="A702" s="26">
        <v>4287881</v>
      </c>
      <c r="B702" s="29" t="s">
        <v>2944</v>
      </c>
      <c r="C702" s="29" t="s">
        <v>17832</v>
      </c>
      <c r="D702" s="29" t="s">
        <v>30986</v>
      </c>
      <c r="E702" s="29" t="s">
        <v>44497</v>
      </c>
      <c r="F702" s="36" t="s">
        <v>54401</v>
      </c>
      <c r="G702" s="39">
        <v>2370857.94</v>
      </c>
      <c r="H702" s="42">
        <v>211</v>
      </c>
    </row>
    <row r="703" spans="1:8" ht="15" customHeight="1">
      <c r="A703" s="26">
        <v>4288167</v>
      </c>
      <c r="B703" s="29" t="s">
        <v>2945</v>
      </c>
      <c r="C703" s="29" t="s">
        <v>17833</v>
      </c>
      <c r="D703" s="29" t="s">
        <v>30987</v>
      </c>
      <c r="E703" s="29" t="s">
        <v>44496</v>
      </c>
      <c r="F703" s="36" t="s">
        <v>54401</v>
      </c>
      <c r="G703" s="39">
        <v>2442265.84</v>
      </c>
      <c r="H703" s="42">
        <v>211</v>
      </c>
    </row>
    <row r="704" spans="1:8" ht="15" customHeight="1">
      <c r="A704" s="26">
        <v>4288302</v>
      </c>
      <c r="B704" s="29" t="s">
        <v>2946</v>
      </c>
      <c r="C704" s="29" t="s">
        <v>17834</v>
      </c>
      <c r="D704" s="29" t="s">
        <v>30988</v>
      </c>
      <c r="E704" s="29" t="s">
        <v>44498</v>
      </c>
      <c r="F704" s="36" t="s">
        <v>54401</v>
      </c>
      <c r="G704" s="39">
        <f>1196140.21+316263</f>
        <v>1512403.21</v>
      </c>
      <c r="H704" s="42">
        <v>211</v>
      </c>
    </row>
    <row r="705" spans="1:8" ht="15" customHeight="1">
      <c r="A705" s="26">
        <v>4288632</v>
      </c>
      <c r="B705" s="29" t="s">
        <v>2947</v>
      </c>
      <c r="C705" s="29" t="s">
        <v>17835</v>
      </c>
      <c r="D705" s="29" t="s">
        <v>30989</v>
      </c>
      <c r="E705" s="29" t="s">
        <v>44499</v>
      </c>
      <c r="F705" s="36" t="s">
        <v>54423</v>
      </c>
      <c r="G705" s="39">
        <f>3461411.95-483374</f>
        <v>2978037.95</v>
      </c>
      <c r="H705" s="42">
        <v>211</v>
      </c>
    </row>
    <row r="706" spans="1:8" ht="15" customHeight="1">
      <c r="A706" s="26">
        <v>4288670</v>
      </c>
      <c r="B706" s="29" t="s">
        <v>2948</v>
      </c>
      <c r="C706" s="29" t="s">
        <v>17836</v>
      </c>
      <c r="D706" s="29" t="s">
        <v>30990</v>
      </c>
      <c r="E706" s="29" t="s">
        <v>44500</v>
      </c>
      <c r="F706" s="36" t="s">
        <v>54401</v>
      </c>
      <c r="G706" s="39">
        <v>1771156.84</v>
      </c>
      <c r="H706" s="42">
        <v>211</v>
      </c>
    </row>
    <row r="707" spans="1:8" ht="15" customHeight="1">
      <c r="A707" s="26">
        <v>4288722</v>
      </c>
      <c r="B707" s="29" t="s">
        <v>2949</v>
      </c>
      <c r="C707" s="29" t="s">
        <v>17837</v>
      </c>
      <c r="D707" s="29" t="s">
        <v>30376</v>
      </c>
      <c r="E707" s="29" t="s">
        <v>44501</v>
      </c>
      <c r="F707" s="36" t="s">
        <v>54401</v>
      </c>
      <c r="G707" s="39">
        <v>7003809.5599999996</v>
      </c>
      <c r="H707" s="42">
        <v>211</v>
      </c>
    </row>
    <row r="708" spans="1:8" ht="15" customHeight="1">
      <c r="A708" s="26">
        <v>4292432</v>
      </c>
      <c r="B708" s="29" t="s">
        <v>2950</v>
      </c>
      <c r="C708" s="29" t="s">
        <v>17204</v>
      </c>
      <c r="D708" s="29" t="s">
        <v>30991</v>
      </c>
      <c r="E708" s="29" t="s">
        <v>44502</v>
      </c>
      <c r="F708" s="36" t="s">
        <v>54401</v>
      </c>
      <c r="G708" s="39">
        <v>3704367.07</v>
      </c>
      <c r="H708" s="42">
        <v>211</v>
      </c>
    </row>
    <row r="709" spans="1:8" ht="15" customHeight="1">
      <c r="A709" s="26">
        <v>4292512</v>
      </c>
      <c r="B709" s="29" t="s">
        <v>2951</v>
      </c>
      <c r="C709" s="29" t="s">
        <v>17838</v>
      </c>
      <c r="D709" s="29" t="s">
        <v>30992</v>
      </c>
      <c r="E709" s="29" t="s">
        <v>44503</v>
      </c>
      <c r="F709" s="36" t="s">
        <v>54401</v>
      </c>
      <c r="G709" s="39">
        <f>1025253.82-362615</f>
        <v>662638.81999999995</v>
      </c>
      <c r="H709" s="42">
        <v>211</v>
      </c>
    </row>
    <row r="710" spans="1:8" ht="15" customHeight="1">
      <c r="A710" s="26">
        <v>4292669</v>
      </c>
      <c r="B710" s="29" t="s">
        <v>2952</v>
      </c>
      <c r="C710" s="29" t="s">
        <v>17839</v>
      </c>
      <c r="D710" s="29" t="s">
        <v>30993</v>
      </c>
      <c r="E710" s="29" t="s">
        <v>44504</v>
      </c>
      <c r="F710" s="36" t="s">
        <v>54401</v>
      </c>
      <c r="G710" s="39">
        <f>13320043.68+856831</f>
        <v>14176874.68</v>
      </c>
      <c r="H710" s="42">
        <v>211</v>
      </c>
    </row>
    <row r="711" spans="1:8" ht="15" customHeight="1">
      <c r="A711" s="26">
        <v>4293171</v>
      </c>
      <c r="B711" s="29" t="s">
        <v>2953</v>
      </c>
      <c r="C711" s="29" t="s">
        <v>17840</v>
      </c>
      <c r="D711" s="29" t="s">
        <v>30994</v>
      </c>
      <c r="E711" s="29" t="s">
        <v>44505</v>
      </c>
      <c r="F711" s="36" t="s">
        <v>54401</v>
      </c>
      <c r="G711" s="39">
        <v>330272.07</v>
      </c>
      <c r="H711" s="42">
        <v>211</v>
      </c>
    </row>
    <row r="712" spans="1:8" ht="15" customHeight="1">
      <c r="A712" s="26">
        <v>4293654</v>
      </c>
      <c r="B712" s="29" t="s">
        <v>2954</v>
      </c>
      <c r="C712" s="29" t="s">
        <v>17841</v>
      </c>
      <c r="D712" s="29" t="s">
        <v>30995</v>
      </c>
      <c r="E712" s="29" t="s">
        <v>44506</v>
      </c>
      <c r="F712" s="36" t="s">
        <v>54401</v>
      </c>
      <c r="G712" s="39">
        <v>1952747.17</v>
      </c>
      <c r="H712" s="42">
        <v>211</v>
      </c>
    </row>
    <row r="713" spans="1:8" ht="15" customHeight="1">
      <c r="A713" s="26">
        <v>4339424</v>
      </c>
      <c r="B713" s="29" t="s">
        <v>2955</v>
      </c>
      <c r="C713" s="26" t="s">
        <v>17842</v>
      </c>
      <c r="D713" s="26" t="s">
        <v>30996</v>
      </c>
      <c r="E713" s="26" t="s">
        <v>44507</v>
      </c>
      <c r="F713" s="37" t="s">
        <v>54401</v>
      </c>
      <c r="G713" s="39">
        <v>541915.47</v>
      </c>
      <c r="H713" s="42">
        <v>211</v>
      </c>
    </row>
    <row r="714" spans="1:8" ht="15" customHeight="1">
      <c r="A714" s="26">
        <v>4419409</v>
      </c>
      <c r="B714" s="29" t="s">
        <v>2956</v>
      </c>
      <c r="C714" s="29" t="s">
        <v>17204</v>
      </c>
      <c r="D714" s="29" t="s">
        <v>30376</v>
      </c>
      <c r="E714" s="29" t="s">
        <v>43926</v>
      </c>
      <c r="F714" s="36" t="s">
        <v>54401</v>
      </c>
      <c r="G714" s="39">
        <v>121743.98</v>
      </c>
      <c r="H714" s="42">
        <v>211</v>
      </c>
    </row>
    <row r="715" spans="1:8" ht="15" customHeight="1">
      <c r="A715" s="26">
        <v>4644024</v>
      </c>
      <c r="B715" s="29" t="s">
        <v>2957</v>
      </c>
      <c r="C715" s="29" t="s">
        <v>17843</v>
      </c>
      <c r="D715" s="29" t="s">
        <v>30997</v>
      </c>
      <c r="E715" s="29" t="s">
        <v>43926</v>
      </c>
      <c r="F715" s="36" t="s">
        <v>54401</v>
      </c>
      <c r="G715" s="39">
        <v>387235.19</v>
      </c>
      <c r="H715" s="42">
        <v>211</v>
      </c>
    </row>
    <row r="716" spans="1:8" ht="15" customHeight="1">
      <c r="A716" s="26">
        <v>4645489</v>
      </c>
      <c r="B716" s="29" t="s">
        <v>2958</v>
      </c>
      <c r="C716" s="29" t="s">
        <v>17844</v>
      </c>
      <c r="D716" s="29" t="s">
        <v>30998</v>
      </c>
      <c r="E716" s="29" t="s">
        <v>44508</v>
      </c>
      <c r="F716" s="36" t="s">
        <v>54401</v>
      </c>
      <c r="G716" s="39">
        <v>575551.43999999994</v>
      </c>
      <c r="H716" s="42">
        <v>211</v>
      </c>
    </row>
    <row r="717" spans="1:8" ht="15" customHeight="1">
      <c r="A717" s="26">
        <v>4645715</v>
      </c>
      <c r="B717" s="29" t="s">
        <v>2959</v>
      </c>
      <c r="C717" s="29" t="s">
        <v>17845</v>
      </c>
      <c r="D717" s="29" t="s">
        <v>30999</v>
      </c>
      <c r="E717" s="29" t="s">
        <v>44509</v>
      </c>
      <c r="F717" s="36" t="s">
        <v>54401</v>
      </c>
      <c r="G717" s="39">
        <v>351650.19</v>
      </c>
      <c r="H717" s="42">
        <v>211</v>
      </c>
    </row>
    <row r="718" spans="1:8" ht="15" customHeight="1">
      <c r="A718" s="26">
        <v>4653360</v>
      </c>
      <c r="B718" s="29" t="s">
        <v>2960</v>
      </c>
      <c r="C718" s="29" t="s">
        <v>17204</v>
      </c>
      <c r="D718" s="29" t="s">
        <v>30349</v>
      </c>
      <c r="E718" s="29" t="s">
        <v>43926</v>
      </c>
      <c r="F718" s="36" t="s">
        <v>54401</v>
      </c>
      <c r="G718" s="39">
        <v>370784.3</v>
      </c>
      <c r="H718" s="42">
        <v>211</v>
      </c>
    </row>
    <row r="719" spans="1:8" ht="15" customHeight="1">
      <c r="A719" s="26">
        <v>4666150</v>
      </c>
      <c r="B719" s="29" t="s">
        <v>2961</v>
      </c>
      <c r="C719" s="29" t="s">
        <v>17204</v>
      </c>
      <c r="D719" s="29" t="s">
        <v>31000</v>
      </c>
      <c r="E719" s="29" t="s">
        <v>43926</v>
      </c>
      <c r="F719" s="36" t="s">
        <v>54401</v>
      </c>
      <c r="G719" s="39">
        <v>216278.58</v>
      </c>
      <c r="H719" s="42">
        <v>211</v>
      </c>
    </row>
    <row r="720" spans="1:8" ht="15" customHeight="1">
      <c r="A720" s="26">
        <v>4666642</v>
      </c>
      <c r="B720" s="29" t="s">
        <v>2962</v>
      </c>
      <c r="C720" s="29" t="s">
        <v>17846</v>
      </c>
      <c r="D720" s="29" t="s">
        <v>31001</v>
      </c>
      <c r="E720" s="29" t="s">
        <v>43926</v>
      </c>
      <c r="F720" s="36" t="s">
        <v>54401</v>
      </c>
      <c r="G720" s="39">
        <v>108031.46</v>
      </c>
      <c r="H720" s="42">
        <v>211</v>
      </c>
    </row>
    <row r="721" spans="1:8" ht="15" customHeight="1">
      <c r="A721" s="26">
        <v>4667270</v>
      </c>
      <c r="B721" s="29" t="s">
        <v>2963</v>
      </c>
      <c r="C721" s="29" t="s">
        <v>17847</v>
      </c>
      <c r="D721" s="29" t="s">
        <v>31002</v>
      </c>
      <c r="E721" s="29" t="s">
        <v>44510</v>
      </c>
      <c r="F721" s="36" t="s">
        <v>54401</v>
      </c>
      <c r="G721" s="39">
        <v>334410.02</v>
      </c>
      <c r="H721" s="42">
        <v>211</v>
      </c>
    </row>
    <row r="722" spans="1:8" ht="15" customHeight="1">
      <c r="A722" s="26">
        <v>4950384</v>
      </c>
      <c r="B722" s="29" t="s">
        <v>2964</v>
      </c>
      <c r="C722" s="29" t="s">
        <v>17848</v>
      </c>
      <c r="D722" s="29" t="s">
        <v>31003</v>
      </c>
      <c r="E722" s="29" t="s">
        <v>44511</v>
      </c>
      <c r="F722" s="36" t="s">
        <v>54401</v>
      </c>
      <c r="G722" s="39">
        <v>138088.21</v>
      </c>
      <c r="H722" s="42">
        <v>211</v>
      </c>
    </row>
    <row r="723" spans="1:8" ht="15" customHeight="1">
      <c r="A723" s="26">
        <v>5031619</v>
      </c>
      <c r="B723" s="29" t="s">
        <v>2965</v>
      </c>
      <c r="C723" s="29" t="s">
        <v>17849</v>
      </c>
      <c r="D723" s="29" t="s">
        <v>31004</v>
      </c>
      <c r="E723" s="29" t="s">
        <v>44512</v>
      </c>
      <c r="F723" s="36" t="s">
        <v>54401</v>
      </c>
      <c r="G723" s="39">
        <v>144374.28</v>
      </c>
      <c r="H723" s="42">
        <v>211</v>
      </c>
    </row>
    <row r="724" spans="1:8" ht="15" customHeight="1">
      <c r="A724" s="26">
        <v>5077118</v>
      </c>
      <c r="B724" s="29" t="s">
        <v>2966</v>
      </c>
      <c r="C724" s="29" t="s">
        <v>17850</v>
      </c>
      <c r="D724" s="29" t="s">
        <v>31005</v>
      </c>
      <c r="E724" s="29" t="s">
        <v>44513</v>
      </c>
      <c r="F724" s="36" t="s">
        <v>54401</v>
      </c>
      <c r="G724" s="39">
        <v>593993.01</v>
      </c>
      <c r="H724" s="42">
        <v>211</v>
      </c>
    </row>
    <row r="725" spans="1:8" ht="15" customHeight="1">
      <c r="A725" s="26">
        <v>5084642</v>
      </c>
      <c r="B725" s="29" t="s">
        <v>2967</v>
      </c>
      <c r="C725" s="29" t="s">
        <v>17851</v>
      </c>
      <c r="D725" s="29" t="s">
        <v>30349</v>
      </c>
      <c r="E725" s="29" t="s">
        <v>44514</v>
      </c>
      <c r="F725" s="36" t="s">
        <v>54401</v>
      </c>
      <c r="G725" s="39">
        <f>317876.08+13596</f>
        <v>331472.08</v>
      </c>
      <c r="H725" s="42">
        <v>211</v>
      </c>
    </row>
    <row r="726" spans="1:8" ht="15" customHeight="1">
      <c r="A726" s="26">
        <v>5173395</v>
      </c>
      <c r="B726" s="29" t="s">
        <v>2968</v>
      </c>
      <c r="C726" s="29" t="s">
        <v>17852</v>
      </c>
      <c r="D726" s="29" t="s">
        <v>31006</v>
      </c>
      <c r="E726" s="29" t="s">
        <v>44515</v>
      </c>
      <c r="F726" s="36" t="s">
        <v>54401</v>
      </c>
      <c r="G726" s="39">
        <v>170330.23999999999</v>
      </c>
      <c r="H726" s="42">
        <v>211</v>
      </c>
    </row>
    <row r="727" spans="1:8" ht="15" customHeight="1">
      <c r="A727" s="26">
        <v>5368857</v>
      </c>
      <c r="B727" s="29" t="s">
        <v>2969</v>
      </c>
      <c r="C727" s="29" t="s">
        <v>17204</v>
      </c>
      <c r="D727" s="29" t="s">
        <v>30349</v>
      </c>
      <c r="E727" s="29" t="s">
        <v>43926</v>
      </c>
      <c r="F727" s="36" t="s">
        <v>54401</v>
      </c>
      <c r="G727" s="39">
        <v>170334.63</v>
      </c>
      <c r="H727" s="42">
        <v>211</v>
      </c>
    </row>
    <row r="728" spans="1:8" ht="15" customHeight="1">
      <c r="A728" s="26">
        <v>5423937</v>
      </c>
      <c r="B728" s="29" t="s">
        <v>2970</v>
      </c>
      <c r="C728" s="29" t="s">
        <v>17853</v>
      </c>
      <c r="D728" s="29" t="s">
        <v>31007</v>
      </c>
      <c r="E728" s="29" t="s">
        <v>44516</v>
      </c>
      <c r="F728" s="36" t="s">
        <v>54401</v>
      </c>
      <c r="G728" s="39">
        <v>23792.02</v>
      </c>
      <c r="H728" s="42">
        <v>211</v>
      </c>
    </row>
    <row r="729" spans="1:8" ht="15" customHeight="1">
      <c r="A729" s="26">
        <v>5434110</v>
      </c>
      <c r="B729" s="29" t="s">
        <v>2971</v>
      </c>
      <c r="C729" s="26" t="s">
        <v>17854</v>
      </c>
      <c r="D729" s="26" t="s">
        <v>31008</v>
      </c>
      <c r="E729" s="26" t="s">
        <v>44517</v>
      </c>
      <c r="F729" s="37" t="s">
        <v>54401</v>
      </c>
      <c r="G729" s="39">
        <v>191160.33</v>
      </c>
      <c r="H729" s="42">
        <v>211</v>
      </c>
    </row>
    <row r="730" spans="1:8" ht="15" customHeight="1">
      <c r="A730" s="26">
        <v>5468713</v>
      </c>
      <c r="B730" s="29" t="s">
        <v>2972</v>
      </c>
      <c r="C730" s="29" t="s">
        <v>17855</v>
      </c>
      <c r="D730" s="29" t="s">
        <v>31009</v>
      </c>
      <c r="E730" s="29" t="s">
        <v>44518</v>
      </c>
      <c r="F730" s="36" t="s">
        <v>54401</v>
      </c>
      <c r="G730" s="39">
        <v>2314035.21</v>
      </c>
      <c r="H730" s="42">
        <v>211</v>
      </c>
    </row>
    <row r="731" spans="1:8" ht="15" customHeight="1">
      <c r="A731" s="26">
        <v>5483746</v>
      </c>
      <c r="B731" s="29" t="s">
        <v>2973</v>
      </c>
      <c r="C731" s="29" t="s">
        <v>17856</v>
      </c>
      <c r="D731" s="29" t="s">
        <v>31010</v>
      </c>
      <c r="E731" s="29" t="s">
        <v>43926</v>
      </c>
      <c r="F731" s="36" t="s">
        <v>54401</v>
      </c>
      <c r="G731" s="39">
        <v>361452.26</v>
      </c>
      <c r="H731" s="42">
        <v>211</v>
      </c>
    </row>
    <row r="732" spans="1:8" ht="15" customHeight="1">
      <c r="A732" s="26">
        <v>5506428</v>
      </c>
      <c r="B732" s="29" t="s">
        <v>2974</v>
      </c>
      <c r="C732" s="29" t="s">
        <v>17857</v>
      </c>
      <c r="D732" s="29" t="s">
        <v>31011</v>
      </c>
      <c r="E732" s="29" t="s">
        <v>44519</v>
      </c>
      <c r="F732" s="36" t="s">
        <v>54401</v>
      </c>
      <c r="G732" s="39">
        <f>7926224.08+1649216</f>
        <v>9575440.0800000001</v>
      </c>
      <c r="H732" s="42">
        <v>211</v>
      </c>
    </row>
    <row r="733" spans="1:8" ht="15" customHeight="1">
      <c r="A733" s="26">
        <v>5619317</v>
      </c>
      <c r="B733" s="29" t="s">
        <v>2975</v>
      </c>
      <c r="C733" s="29" t="s">
        <v>17858</v>
      </c>
      <c r="D733" s="29" t="s">
        <v>31012</v>
      </c>
      <c r="E733" s="29" t="s">
        <v>44520</v>
      </c>
      <c r="F733" s="36" t="s">
        <v>54401</v>
      </c>
      <c r="G733" s="39">
        <v>1798267.73</v>
      </c>
      <c r="H733" s="42">
        <v>211</v>
      </c>
    </row>
    <row r="734" spans="1:8" ht="15" customHeight="1">
      <c r="A734" s="26">
        <v>5629112</v>
      </c>
      <c r="B734" s="29" t="s">
        <v>2976</v>
      </c>
      <c r="C734" s="29" t="s">
        <v>17859</v>
      </c>
      <c r="D734" s="29" t="s">
        <v>31013</v>
      </c>
      <c r="E734" s="29" t="s">
        <v>44178</v>
      </c>
      <c r="F734" s="36" t="s">
        <v>54409</v>
      </c>
      <c r="G734" s="39">
        <v>4052444.9</v>
      </c>
      <c r="H734" s="42">
        <v>211</v>
      </c>
    </row>
    <row r="735" spans="1:8" ht="15" customHeight="1">
      <c r="A735" s="26">
        <v>5630662</v>
      </c>
      <c r="B735" s="29" t="s">
        <v>2977</v>
      </c>
      <c r="C735" s="29" t="s">
        <v>17860</v>
      </c>
      <c r="D735" s="29" t="s">
        <v>31014</v>
      </c>
      <c r="E735" s="29" t="s">
        <v>44521</v>
      </c>
      <c r="F735" s="36" t="s">
        <v>54401</v>
      </c>
      <c r="G735" s="39">
        <v>1739453.78</v>
      </c>
      <c r="H735" s="42">
        <v>211</v>
      </c>
    </row>
    <row r="736" spans="1:8" ht="15" customHeight="1">
      <c r="A736" s="26">
        <v>5633837</v>
      </c>
      <c r="B736" s="29" t="s">
        <v>2978</v>
      </c>
      <c r="C736" s="29" t="s">
        <v>17861</v>
      </c>
      <c r="D736" s="29" t="s">
        <v>31015</v>
      </c>
      <c r="E736" s="29" t="s">
        <v>44522</v>
      </c>
      <c r="F736" s="36" t="s">
        <v>54409</v>
      </c>
      <c r="G736" s="39">
        <f>10674846.97+418800</f>
        <v>11093646.970000001</v>
      </c>
      <c r="H736" s="42">
        <v>211</v>
      </c>
    </row>
    <row r="737" spans="1:8" ht="15" customHeight="1">
      <c r="A737" s="26">
        <v>5633944</v>
      </c>
      <c r="B737" s="29" t="s">
        <v>2979</v>
      </c>
      <c r="C737" s="29" t="s">
        <v>17862</v>
      </c>
      <c r="D737" s="29" t="s">
        <v>31016</v>
      </c>
      <c r="E737" s="29" t="s">
        <v>44523</v>
      </c>
      <c r="F737" s="36" t="s">
        <v>54401</v>
      </c>
      <c r="G737" s="39">
        <f>520256.07+375135</f>
        <v>895391.07000000007</v>
      </c>
      <c r="H737" s="42">
        <v>211</v>
      </c>
    </row>
    <row r="738" spans="1:8" ht="15" customHeight="1">
      <c r="A738" s="26">
        <v>5654341</v>
      </c>
      <c r="B738" s="29" t="s">
        <v>2980</v>
      </c>
      <c r="C738" s="29" t="s">
        <v>17863</v>
      </c>
      <c r="D738" s="29" t="s">
        <v>31017</v>
      </c>
      <c r="E738" s="29" t="s">
        <v>44524</v>
      </c>
      <c r="F738" s="36" t="s">
        <v>54401</v>
      </c>
      <c r="G738" s="39">
        <f>800791.24+175594</f>
        <v>976385.24</v>
      </c>
      <c r="H738" s="42">
        <v>211</v>
      </c>
    </row>
    <row r="739" spans="1:8" ht="15" customHeight="1">
      <c r="A739" s="26">
        <v>5692475</v>
      </c>
      <c r="B739" s="29" t="s">
        <v>2981</v>
      </c>
      <c r="C739" s="29" t="s">
        <v>17864</v>
      </c>
      <c r="D739" s="29" t="s">
        <v>31018</v>
      </c>
      <c r="E739" s="29" t="s">
        <v>44525</v>
      </c>
      <c r="F739" s="36" t="s">
        <v>54401</v>
      </c>
      <c r="G739" s="39">
        <v>2385022.1</v>
      </c>
      <c r="H739" s="42">
        <v>211</v>
      </c>
    </row>
    <row r="740" spans="1:8" ht="15" customHeight="1">
      <c r="A740" s="26">
        <v>5697343</v>
      </c>
      <c r="B740" s="29" t="s">
        <v>2982</v>
      </c>
      <c r="C740" s="29" t="s">
        <v>17865</v>
      </c>
      <c r="D740" s="29" t="s">
        <v>31019</v>
      </c>
      <c r="E740" s="29" t="s">
        <v>44526</v>
      </c>
      <c r="F740" s="36" t="s">
        <v>54433</v>
      </c>
      <c r="G740" s="39">
        <v>202084.03</v>
      </c>
      <c r="H740" s="42">
        <v>211</v>
      </c>
    </row>
    <row r="741" spans="1:8" ht="15" customHeight="1">
      <c r="A741" s="26">
        <v>5698566</v>
      </c>
      <c r="B741" s="29" t="s">
        <v>2983</v>
      </c>
      <c r="C741" s="29" t="s">
        <v>17866</v>
      </c>
      <c r="D741" s="29" t="s">
        <v>31020</v>
      </c>
      <c r="E741" s="29" t="s">
        <v>44527</v>
      </c>
      <c r="F741" s="36" t="s">
        <v>54433</v>
      </c>
      <c r="G741" s="39">
        <v>314018.2</v>
      </c>
      <c r="H741" s="42">
        <v>211</v>
      </c>
    </row>
    <row r="742" spans="1:8" ht="15" customHeight="1">
      <c r="A742" s="26">
        <v>5766799</v>
      </c>
      <c r="B742" s="29" t="s">
        <v>2984</v>
      </c>
      <c r="C742" s="29" t="s">
        <v>17867</v>
      </c>
      <c r="D742" s="29" t="s">
        <v>31021</v>
      </c>
      <c r="E742" s="29" t="s">
        <v>44528</v>
      </c>
      <c r="F742" s="36" t="s">
        <v>54434</v>
      </c>
      <c r="G742" s="39">
        <v>676600.89</v>
      </c>
      <c r="H742" s="42">
        <v>211</v>
      </c>
    </row>
    <row r="743" spans="1:8" ht="15" customHeight="1">
      <c r="A743" s="26">
        <v>5791398</v>
      </c>
      <c r="B743" s="29" t="s">
        <v>2985</v>
      </c>
      <c r="C743" s="29" t="s">
        <v>17868</v>
      </c>
      <c r="D743" s="29" t="s">
        <v>31022</v>
      </c>
      <c r="E743" s="29" t="s">
        <v>44529</v>
      </c>
      <c r="F743" s="36" t="s">
        <v>54401</v>
      </c>
      <c r="G743" s="39">
        <f>175740.08+63191</f>
        <v>238931.08</v>
      </c>
      <c r="H743" s="42">
        <v>211</v>
      </c>
    </row>
    <row r="744" spans="1:8" ht="15" customHeight="1">
      <c r="A744" s="26">
        <v>5820169</v>
      </c>
      <c r="B744" s="29" t="s">
        <v>2986</v>
      </c>
      <c r="C744" s="29" t="s">
        <v>17869</v>
      </c>
      <c r="D744" s="29" t="s">
        <v>31023</v>
      </c>
      <c r="E744" s="29" t="s">
        <v>44530</v>
      </c>
      <c r="F744" s="36" t="s">
        <v>54401</v>
      </c>
      <c r="G744" s="39">
        <v>746451.59</v>
      </c>
      <c r="H744" s="42">
        <v>211</v>
      </c>
    </row>
    <row r="745" spans="1:8" ht="15" customHeight="1">
      <c r="A745" s="26">
        <v>5852746</v>
      </c>
      <c r="B745" s="29" t="s">
        <v>2987</v>
      </c>
      <c r="C745" s="29" t="s">
        <v>17870</v>
      </c>
      <c r="D745" s="29" t="s">
        <v>31024</v>
      </c>
      <c r="E745" s="29" t="s">
        <v>44531</v>
      </c>
      <c r="F745" s="36" t="s">
        <v>54401</v>
      </c>
      <c r="G745" s="39">
        <f>585975.32+334739</f>
        <v>920714.32</v>
      </c>
      <c r="H745" s="42">
        <v>211</v>
      </c>
    </row>
    <row r="746" spans="1:8" ht="15" customHeight="1">
      <c r="A746" s="26">
        <v>5864291</v>
      </c>
      <c r="B746" s="29" t="s">
        <v>2988</v>
      </c>
      <c r="C746" s="29" t="s">
        <v>17204</v>
      </c>
      <c r="D746" s="29" t="s">
        <v>30349</v>
      </c>
      <c r="E746" s="29" t="s">
        <v>43926</v>
      </c>
      <c r="F746" s="36" t="s">
        <v>54401</v>
      </c>
      <c r="G746" s="39">
        <v>192835.29</v>
      </c>
      <c r="H746" s="42">
        <v>211</v>
      </c>
    </row>
    <row r="747" spans="1:8" ht="15" customHeight="1">
      <c r="A747" s="26">
        <v>5867820</v>
      </c>
      <c r="B747" s="29" t="s">
        <v>2989</v>
      </c>
      <c r="C747" s="29" t="s">
        <v>17871</v>
      </c>
      <c r="D747" s="29" t="s">
        <v>31025</v>
      </c>
      <c r="E747" s="29" t="s">
        <v>44532</v>
      </c>
      <c r="F747" s="36" t="s">
        <v>54401</v>
      </c>
      <c r="G747" s="39">
        <v>236436.48000000001</v>
      </c>
      <c r="H747" s="42">
        <v>211</v>
      </c>
    </row>
    <row r="748" spans="1:8" ht="15" customHeight="1">
      <c r="A748" s="26">
        <v>5888679</v>
      </c>
      <c r="B748" s="29" t="s">
        <v>2990</v>
      </c>
      <c r="C748" s="29" t="s">
        <v>17872</v>
      </c>
      <c r="D748" s="29" t="s">
        <v>31026</v>
      </c>
      <c r="E748" s="29" t="s">
        <v>44533</v>
      </c>
      <c r="F748" s="36" t="s">
        <v>54402</v>
      </c>
      <c r="G748" s="39">
        <v>279142.86</v>
      </c>
      <c r="H748" s="42">
        <v>211</v>
      </c>
    </row>
    <row r="749" spans="1:8" ht="15" customHeight="1">
      <c r="A749" s="26">
        <v>5943786</v>
      </c>
      <c r="B749" s="29" t="s">
        <v>2991</v>
      </c>
      <c r="C749" s="29" t="s">
        <v>17873</v>
      </c>
      <c r="D749" s="29" t="s">
        <v>31027</v>
      </c>
      <c r="E749" s="29" t="s">
        <v>44534</v>
      </c>
      <c r="F749" s="36" t="s">
        <v>54409</v>
      </c>
      <c r="G749" s="39">
        <v>1954156.01</v>
      </c>
      <c r="H749" s="42">
        <v>211</v>
      </c>
    </row>
    <row r="750" spans="1:8" ht="15" customHeight="1">
      <c r="A750" s="26">
        <v>5948731</v>
      </c>
      <c r="B750" s="29" t="s">
        <v>2992</v>
      </c>
      <c r="C750" s="29" t="s">
        <v>17874</v>
      </c>
      <c r="D750" s="29" t="s">
        <v>31028</v>
      </c>
      <c r="E750" s="29" t="s">
        <v>44535</v>
      </c>
      <c r="F750" s="36" t="s">
        <v>54401</v>
      </c>
      <c r="G750" s="39">
        <v>7394.96</v>
      </c>
      <c r="H750" s="42">
        <v>211</v>
      </c>
    </row>
    <row r="751" spans="1:8" ht="15" customHeight="1">
      <c r="A751" s="26">
        <v>5978149</v>
      </c>
      <c r="B751" s="29" t="s">
        <v>2993</v>
      </c>
      <c r="C751" s="29" t="s">
        <v>17204</v>
      </c>
      <c r="D751" s="29" t="s">
        <v>31029</v>
      </c>
      <c r="E751" s="29" t="s">
        <v>43926</v>
      </c>
      <c r="F751" s="36" t="s">
        <v>54401</v>
      </c>
      <c r="G751" s="39">
        <v>148958.32999999999</v>
      </c>
      <c r="H751" s="42">
        <v>211</v>
      </c>
    </row>
    <row r="752" spans="1:8" ht="15" customHeight="1">
      <c r="A752" s="26">
        <v>5993710</v>
      </c>
      <c r="B752" s="29" t="s">
        <v>2994</v>
      </c>
      <c r="C752" s="29" t="s">
        <v>17875</v>
      </c>
      <c r="D752" s="29" t="s">
        <v>31030</v>
      </c>
      <c r="E752" s="29" t="s">
        <v>717</v>
      </c>
      <c r="F752" s="36" t="s">
        <v>54401</v>
      </c>
      <c r="G752" s="39">
        <v>778285.15</v>
      </c>
      <c r="H752" s="42">
        <v>211</v>
      </c>
    </row>
    <row r="753" spans="1:8" ht="15" customHeight="1">
      <c r="A753" s="26">
        <v>6003535</v>
      </c>
      <c r="B753" s="29" t="s">
        <v>2995</v>
      </c>
      <c r="C753" s="29" t="s">
        <v>17876</v>
      </c>
      <c r="D753" s="29" t="s">
        <v>31031</v>
      </c>
      <c r="E753" s="29" t="s">
        <v>44536</v>
      </c>
      <c r="F753" s="36" t="s">
        <v>54401</v>
      </c>
      <c r="G753" s="39">
        <v>82049.600000000006</v>
      </c>
      <c r="H753" s="42">
        <v>211</v>
      </c>
    </row>
    <row r="754" spans="1:8" ht="15" customHeight="1">
      <c r="A754" s="26">
        <v>6021791</v>
      </c>
      <c r="B754" s="29" t="s">
        <v>2996</v>
      </c>
      <c r="C754" s="29" t="s">
        <v>17877</v>
      </c>
      <c r="D754" s="29" t="s">
        <v>31032</v>
      </c>
      <c r="E754" s="29" t="s">
        <v>44537</v>
      </c>
      <c r="F754" s="36" t="s">
        <v>54401</v>
      </c>
      <c r="G754" s="39">
        <v>172948.2</v>
      </c>
      <c r="H754" s="42">
        <v>211</v>
      </c>
    </row>
    <row r="755" spans="1:8" ht="15" customHeight="1">
      <c r="A755" s="26">
        <v>6325730</v>
      </c>
      <c r="B755" s="29" t="s">
        <v>2997</v>
      </c>
      <c r="C755" s="29" t="s">
        <v>17878</v>
      </c>
      <c r="D755" s="29" t="s">
        <v>31033</v>
      </c>
      <c r="E755" s="29" t="s">
        <v>44538</v>
      </c>
      <c r="F755" s="36" t="s">
        <v>54401</v>
      </c>
      <c r="G755" s="39">
        <f>3135615.96+340024</f>
        <v>3475639.96</v>
      </c>
      <c r="H755" s="42">
        <v>211</v>
      </c>
    </row>
    <row r="756" spans="1:8" ht="15" customHeight="1">
      <c r="A756" s="26">
        <v>6356159</v>
      </c>
      <c r="B756" s="29" t="s">
        <v>2998</v>
      </c>
      <c r="C756" s="29" t="s">
        <v>17879</v>
      </c>
      <c r="D756" s="29" t="s">
        <v>31034</v>
      </c>
      <c r="E756" s="29" t="s">
        <v>44539</v>
      </c>
      <c r="F756" s="36" t="s">
        <v>54401</v>
      </c>
      <c r="G756" s="39">
        <v>4785170.62</v>
      </c>
      <c r="H756" s="42">
        <v>211</v>
      </c>
    </row>
    <row r="757" spans="1:8" ht="15" customHeight="1">
      <c r="A757" s="26">
        <v>6360522</v>
      </c>
      <c r="B757" s="29" t="s">
        <v>2999</v>
      </c>
      <c r="C757" s="29" t="s">
        <v>17204</v>
      </c>
      <c r="D757" s="29" t="s">
        <v>31035</v>
      </c>
      <c r="E757" s="29" t="s">
        <v>44540</v>
      </c>
      <c r="F757" s="36" t="s">
        <v>54412</v>
      </c>
      <c r="G757" s="39">
        <v>65485.71</v>
      </c>
      <c r="H757" s="42">
        <v>211</v>
      </c>
    </row>
    <row r="758" spans="1:8" ht="15" customHeight="1">
      <c r="A758" s="26">
        <v>6494994</v>
      </c>
      <c r="B758" s="29" t="s">
        <v>3000</v>
      </c>
      <c r="C758" s="29" t="s">
        <v>17880</v>
      </c>
      <c r="D758" s="29" t="s">
        <v>31036</v>
      </c>
      <c r="E758" s="29" t="s">
        <v>257</v>
      </c>
      <c r="F758" s="36" t="s">
        <v>54401</v>
      </c>
      <c r="G758" s="39">
        <v>258651.66</v>
      </c>
      <c r="H758" s="42">
        <v>211</v>
      </c>
    </row>
    <row r="759" spans="1:8" ht="15" customHeight="1">
      <c r="A759" s="26">
        <v>6510526</v>
      </c>
      <c r="B759" s="29" t="s">
        <v>3001</v>
      </c>
      <c r="C759" s="29" t="s">
        <v>17881</v>
      </c>
      <c r="D759" s="29" t="s">
        <v>31037</v>
      </c>
      <c r="E759" s="29" t="s">
        <v>44541</v>
      </c>
      <c r="F759" s="36" t="s">
        <v>54401</v>
      </c>
      <c r="G759" s="39">
        <v>612702.32999999996</v>
      </c>
      <c r="H759" s="42">
        <v>211</v>
      </c>
    </row>
    <row r="760" spans="1:8" ht="15" customHeight="1">
      <c r="A760" s="26">
        <v>6612599</v>
      </c>
      <c r="B760" s="29" t="s">
        <v>3002</v>
      </c>
      <c r="C760" s="26" t="s">
        <v>17882</v>
      </c>
      <c r="D760" s="26" t="s">
        <v>31038</v>
      </c>
      <c r="E760" s="26" t="s">
        <v>44542</v>
      </c>
      <c r="F760" s="37" t="s">
        <v>54401</v>
      </c>
      <c r="G760" s="39">
        <v>4174785.71</v>
      </c>
      <c r="H760" s="42">
        <v>211</v>
      </c>
    </row>
    <row r="761" spans="1:8" ht="15" customHeight="1">
      <c r="A761" s="26">
        <v>6613489</v>
      </c>
      <c r="B761" s="29" t="s">
        <v>3003</v>
      </c>
      <c r="C761" s="29" t="s">
        <v>17883</v>
      </c>
      <c r="D761" s="29" t="s">
        <v>31039</v>
      </c>
      <c r="E761" s="29" t="s">
        <v>44543</v>
      </c>
      <c r="F761" s="36" t="s">
        <v>54401</v>
      </c>
      <c r="G761" s="39">
        <v>195068.55</v>
      </c>
      <c r="H761" s="42">
        <v>211</v>
      </c>
    </row>
    <row r="762" spans="1:8" ht="15" customHeight="1">
      <c r="A762" s="26">
        <v>6613549</v>
      </c>
      <c r="B762" s="29" t="s">
        <v>3004</v>
      </c>
      <c r="C762" s="29" t="s">
        <v>17204</v>
      </c>
      <c r="D762" s="29" t="s">
        <v>30349</v>
      </c>
      <c r="E762" s="29" t="s">
        <v>43926</v>
      </c>
      <c r="F762" s="36" t="s">
        <v>54401</v>
      </c>
      <c r="G762" s="39">
        <v>325002.61</v>
      </c>
      <c r="H762" s="42">
        <v>211</v>
      </c>
    </row>
    <row r="763" spans="1:8" ht="15" customHeight="1">
      <c r="A763" s="26">
        <v>6633978</v>
      </c>
      <c r="B763" s="29" t="s">
        <v>3005</v>
      </c>
      <c r="C763" s="29" t="s">
        <v>17884</v>
      </c>
      <c r="D763" s="29" t="s">
        <v>31040</v>
      </c>
      <c r="E763" s="29" t="s">
        <v>44544</v>
      </c>
      <c r="F763" s="36" t="s">
        <v>54423</v>
      </c>
      <c r="G763" s="39">
        <v>8084145.2800000003</v>
      </c>
      <c r="H763" s="42">
        <v>211</v>
      </c>
    </row>
    <row r="764" spans="1:8" ht="15" customHeight="1">
      <c r="A764" s="26">
        <v>6664182</v>
      </c>
      <c r="B764" s="29" t="s">
        <v>3006</v>
      </c>
      <c r="C764" s="29" t="s">
        <v>17885</v>
      </c>
      <c r="D764" s="29" t="s">
        <v>31041</v>
      </c>
      <c r="E764" s="29" t="s">
        <v>44545</v>
      </c>
      <c r="F764" s="36" t="s">
        <v>54401</v>
      </c>
      <c r="G764" s="39">
        <v>2238455.52</v>
      </c>
      <c r="H764" s="42">
        <v>211</v>
      </c>
    </row>
    <row r="765" spans="1:8" ht="15" customHeight="1">
      <c r="A765" s="26">
        <v>6708230</v>
      </c>
      <c r="B765" s="29" t="s">
        <v>3007</v>
      </c>
      <c r="C765" s="29" t="s">
        <v>17886</v>
      </c>
      <c r="D765" s="29" t="s">
        <v>31042</v>
      </c>
      <c r="E765" s="29" t="s">
        <v>44546</v>
      </c>
      <c r="F765" s="36" t="s">
        <v>54401</v>
      </c>
      <c r="G765" s="39">
        <f>510389.29+1152841+89523</f>
        <v>1752753.29</v>
      </c>
      <c r="H765" s="42">
        <v>211</v>
      </c>
    </row>
    <row r="766" spans="1:8" ht="15" customHeight="1">
      <c r="A766" s="26">
        <v>6746144</v>
      </c>
      <c r="B766" s="29" t="s">
        <v>3008</v>
      </c>
      <c r="C766" s="29" t="s">
        <v>17887</v>
      </c>
      <c r="D766" s="29" t="s">
        <v>31043</v>
      </c>
      <c r="E766" s="29" t="s">
        <v>44547</v>
      </c>
      <c r="F766" s="36" t="s">
        <v>54401</v>
      </c>
      <c r="G766" s="39">
        <v>8970850.8499999996</v>
      </c>
      <c r="H766" s="42">
        <v>211</v>
      </c>
    </row>
    <row r="767" spans="1:8" ht="15" customHeight="1">
      <c r="A767" s="26">
        <v>6746959</v>
      </c>
      <c r="B767" s="29" t="s">
        <v>3009</v>
      </c>
      <c r="C767" s="29" t="s">
        <v>17204</v>
      </c>
      <c r="D767" s="29" t="s">
        <v>31044</v>
      </c>
      <c r="E767" s="29" t="s">
        <v>43926</v>
      </c>
      <c r="F767" s="36" t="s">
        <v>54401</v>
      </c>
      <c r="G767" s="39">
        <v>34714.29</v>
      </c>
      <c r="H767" s="42">
        <v>211</v>
      </c>
    </row>
    <row r="768" spans="1:8" ht="15" customHeight="1">
      <c r="A768" s="26">
        <v>6747315</v>
      </c>
      <c r="B768" s="29" t="s">
        <v>3010</v>
      </c>
      <c r="C768" s="26" t="s">
        <v>17888</v>
      </c>
      <c r="D768" s="26" t="s">
        <v>31045</v>
      </c>
      <c r="E768" s="26" t="s">
        <v>43926</v>
      </c>
      <c r="F768" s="37" t="s">
        <v>54401</v>
      </c>
      <c r="G768" s="39">
        <v>48750</v>
      </c>
      <c r="H768" s="42">
        <v>211</v>
      </c>
    </row>
    <row r="769" spans="1:8" ht="15" customHeight="1">
      <c r="A769" s="26">
        <v>6747965</v>
      </c>
      <c r="B769" s="29" t="s">
        <v>3011</v>
      </c>
      <c r="C769" s="29" t="s">
        <v>17889</v>
      </c>
      <c r="D769" s="29" t="s">
        <v>31046</v>
      </c>
      <c r="E769" s="29" t="s">
        <v>44548</v>
      </c>
      <c r="F769" s="36" t="s">
        <v>54401</v>
      </c>
      <c r="G769" s="39">
        <v>308120.65000000002</v>
      </c>
      <c r="H769" s="42">
        <v>211</v>
      </c>
    </row>
    <row r="770" spans="1:8" ht="15" customHeight="1">
      <c r="A770" s="26">
        <v>6748841</v>
      </c>
      <c r="B770" s="29" t="s">
        <v>3012</v>
      </c>
      <c r="C770" s="29" t="s">
        <v>17890</v>
      </c>
      <c r="D770" s="29" t="s">
        <v>31047</v>
      </c>
      <c r="E770" s="29" t="s">
        <v>44549</v>
      </c>
      <c r="F770" s="36" t="s">
        <v>54401</v>
      </c>
      <c r="G770" s="39">
        <v>37498.6</v>
      </c>
      <c r="H770" s="42">
        <v>211</v>
      </c>
    </row>
    <row r="771" spans="1:8" ht="15" customHeight="1">
      <c r="A771" s="26">
        <v>6749334</v>
      </c>
      <c r="B771" s="29" t="s">
        <v>3013</v>
      </c>
      <c r="C771" s="29" t="s">
        <v>17891</v>
      </c>
      <c r="D771" s="29" t="s">
        <v>31048</v>
      </c>
      <c r="E771" s="29" t="s">
        <v>44550</v>
      </c>
      <c r="F771" s="36" t="s">
        <v>54401</v>
      </c>
      <c r="G771" s="39">
        <v>11100000</v>
      </c>
      <c r="H771" s="42">
        <v>211</v>
      </c>
    </row>
    <row r="772" spans="1:8" ht="15" customHeight="1">
      <c r="A772" s="26">
        <v>6749746</v>
      </c>
      <c r="B772" s="29" t="s">
        <v>3014</v>
      </c>
      <c r="C772" s="29" t="s">
        <v>17892</v>
      </c>
      <c r="D772" s="29" t="s">
        <v>31049</v>
      </c>
      <c r="E772" s="29" t="s">
        <v>44551</v>
      </c>
      <c r="F772" s="36" t="s">
        <v>54401</v>
      </c>
      <c r="G772" s="39">
        <v>744073.4</v>
      </c>
      <c r="H772" s="42">
        <v>211</v>
      </c>
    </row>
    <row r="773" spans="1:8" ht="15" customHeight="1">
      <c r="A773" s="26">
        <v>6749819</v>
      </c>
      <c r="B773" s="29" t="s">
        <v>3015</v>
      </c>
      <c r="C773" s="29" t="s">
        <v>17893</v>
      </c>
      <c r="D773" s="29" t="s">
        <v>31050</v>
      </c>
      <c r="E773" s="29" t="s">
        <v>44552</v>
      </c>
      <c r="F773" s="36" t="s">
        <v>54401</v>
      </c>
      <c r="G773" s="39">
        <f>83291.44+262823</f>
        <v>346114.44</v>
      </c>
      <c r="H773" s="42">
        <v>211</v>
      </c>
    </row>
    <row r="774" spans="1:8" ht="15" customHeight="1">
      <c r="A774" s="26">
        <v>6750505</v>
      </c>
      <c r="B774" s="29" t="s">
        <v>3016</v>
      </c>
      <c r="C774" s="29" t="s">
        <v>17894</v>
      </c>
      <c r="D774" s="29" t="s">
        <v>31051</v>
      </c>
      <c r="E774" s="29" t="s">
        <v>44553</v>
      </c>
      <c r="F774" s="36" t="s">
        <v>54413</v>
      </c>
      <c r="G774" s="39">
        <v>2786321.16</v>
      </c>
      <c r="H774" s="42">
        <v>211</v>
      </c>
    </row>
    <row r="775" spans="1:8" ht="15" customHeight="1">
      <c r="A775" s="26">
        <v>6750855</v>
      </c>
      <c r="B775" s="29" t="s">
        <v>3017</v>
      </c>
      <c r="C775" s="29" t="s">
        <v>17895</v>
      </c>
      <c r="D775" s="29" t="s">
        <v>31052</v>
      </c>
      <c r="E775" s="29" t="s">
        <v>44554</v>
      </c>
      <c r="F775" s="36" t="s">
        <v>54401</v>
      </c>
      <c r="G775" s="39">
        <v>52482.02</v>
      </c>
      <c r="H775" s="42">
        <v>211</v>
      </c>
    </row>
    <row r="776" spans="1:8" ht="15" customHeight="1">
      <c r="A776" s="26">
        <v>6752840</v>
      </c>
      <c r="B776" s="29" t="s">
        <v>3018</v>
      </c>
      <c r="C776" s="29" t="s">
        <v>17896</v>
      </c>
      <c r="D776" s="29" t="s">
        <v>31053</v>
      </c>
      <c r="E776" s="29" t="s">
        <v>44555</v>
      </c>
      <c r="F776" s="36" t="s">
        <v>54401</v>
      </c>
      <c r="G776" s="39">
        <v>100173.5</v>
      </c>
      <c r="H776" s="42">
        <v>211</v>
      </c>
    </row>
    <row r="777" spans="1:8" ht="15" customHeight="1">
      <c r="A777" s="26">
        <v>6753186</v>
      </c>
      <c r="B777" s="29" t="s">
        <v>3019</v>
      </c>
      <c r="C777" s="29" t="s">
        <v>17897</v>
      </c>
      <c r="D777" s="29" t="s">
        <v>31054</v>
      </c>
      <c r="E777" s="29" t="s">
        <v>44556</v>
      </c>
      <c r="F777" s="36" t="s">
        <v>54401</v>
      </c>
      <c r="G777" s="39">
        <v>1254774.46</v>
      </c>
      <c r="H777" s="42">
        <v>211</v>
      </c>
    </row>
    <row r="778" spans="1:8" ht="15" customHeight="1">
      <c r="A778" s="26">
        <v>6753246</v>
      </c>
      <c r="B778" s="29" t="s">
        <v>3020</v>
      </c>
      <c r="C778" s="29" t="s">
        <v>17898</v>
      </c>
      <c r="D778" s="29" t="s">
        <v>31055</v>
      </c>
      <c r="E778" s="29" t="s">
        <v>44557</v>
      </c>
      <c r="F778" s="36" t="s">
        <v>54413</v>
      </c>
      <c r="G778" s="39">
        <f>8505205.37-247926</f>
        <v>8257279.3699999992</v>
      </c>
      <c r="H778" s="42">
        <v>211</v>
      </c>
    </row>
    <row r="779" spans="1:8" ht="15" customHeight="1">
      <c r="A779" s="26">
        <v>6754779</v>
      </c>
      <c r="B779" s="29" t="s">
        <v>3021</v>
      </c>
      <c r="C779" s="29" t="s">
        <v>17899</v>
      </c>
      <c r="D779" s="29" t="s">
        <v>31056</v>
      </c>
      <c r="E779" s="29" t="s">
        <v>44558</v>
      </c>
      <c r="F779" s="36" t="s">
        <v>54401</v>
      </c>
      <c r="G779" s="39">
        <v>77151.240000000005</v>
      </c>
      <c r="H779" s="42">
        <v>211</v>
      </c>
    </row>
    <row r="780" spans="1:8" ht="15" customHeight="1">
      <c r="A780" s="26">
        <v>6756114</v>
      </c>
      <c r="B780" s="29" t="s">
        <v>3022</v>
      </c>
      <c r="C780" s="29" t="s">
        <v>17900</v>
      </c>
      <c r="D780" s="29" t="s">
        <v>30714</v>
      </c>
      <c r="E780" s="29" t="s">
        <v>44559</v>
      </c>
      <c r="F780" s="36" t="s">
        <v>54409</v>
      </c>
      <c r="G780" s="39">
        <f>1060334.34+840655</f>
        <v>1900989.34</v>
      </c>
      <c r="H780" s="42">
        <v>211</v>
      </c>
    </row>
    <row r="781" spans="1:8" ht="15" customHeight="1">
      <c r="A781" s="26">
        <v>6756183</v>
      </c>
      <c r="B781" s="29" t="s">
        <v>3023</v>
      </c>
      <c r="C781" s="29" t="s">
        <v>17901</v>
      </c>
      <c r="D781" s="29" t="s">
        <v>31057</v>
      </c>
      <c r="E781" s="29" t="s">
        <v>44560</v>
      </c>
      <c r="F781" s="36" t="s">
        <v>54401</v>
      </c>
      <c r="G781" s="39">
        <v>251449.97</v>
      </c>
      <c r="H781" s="42">
        <v>211</v>
      </c>
    </row>
    <row r="782" spans="1:8" ht="15" customHeight="1">
      <c r="A782" s="26">
        <v>6756585</v>
      </c>
      <c r="B782" s="29" t="s">
        <v>3024</v>
      </c>
      <c r="C782" s="29" t="s">
        <v>17902</v>
      </c>
      <c r="D782" s="29" t="s">
        <v>31058</v>
      </c>
      <c r="E782" s="29" t="s">
        <v>44561</v>
      </c>
      <c r="F782" s="36" t="s">
        <v>54435</v>
      </c>
      <c r="G782" s="39">
        <v>204707.41</v>
      </c>
      <c r="H782" s="42">
        <v>211</v>
      </c>
    </row>
    <row r="783" spans="1:8" ht="15" customHeight="1">
      <c r="A783" s="26">
        <v>6757462</v>
      </c>
      <c r="B783" s="29" t="s">
        <v>3025</v>
      </c>
      <c r="C783" s="29" t="s">
        <v>17903</v>
      </c>
      <c r="D783" s="29" t="s">
        <v>31059</v>
      </c>
      <c r="E783" s="29" t="s">
        <v>44562</v>
      </c>
      <c r="F783" s="36" t="s">
        <v>54401</v>
      </c>
      <c r="G783" s="39">
        <f>14207082.09+2114305-14883</f>
        <v>16306504.09</v>
      </c>
      <c r="H783" s="42">
        <v>211</v>
      </c>
    </row>
    <row r="784" spans="1:8" ht="15" customHeight="1">
      <c r="A784" s="26">
        <v>6758995</v>
      </c>
      <c r="B784" s="29" t="s">
        <v>3026</v>
      </c>
      <c r="C784" s="29" t="s">
        <v>17904</v>
      </c>
      <c r="D784" s="29" t="s">
        <v>31060</v>
      </c>
      <c r="E784" s="29" t="s">
        <v>44345</v>
      </c>
      <c r="F784" s="36" t="s">
        <v>54401</v>
      </c>
      <c r="G784" s="39">
        <v>278082.23</v>
      </c>
      <c r="H784" s="42">
        <v>211</v>
      </c>
    </row>
    <row r="785" spans="1:8" ht="15" customHeight="1">
      <c r="A785" s="26">
        <v>6759075</v>
      </c>
      <c r="B785" s="29" t="s">
        <v>3027</v>
      </c>
      <c r="C785" s="29" t="s">
        <v>17905</v>
      </c>
      <c r="D785" s="29" t="s">
        <v>31061</v>
      </c>
      <c r="E785" s="29" t="s">
        <v>44563</v>
      </c>
      <c r="F785" s="36" t="s">
        <v>54401</v>
      </c>
      <c r="G785" s="39">
        <f>176771.86+10436</f>
        <v>187207.86</v>
      </c>
      <c r="H785" s="42">
        <v>211</v>
      </c>
    </row>
    <row r="786" spans="1:8" ht="15" customHeight="1">
      <c r="A786" s="26">
        <v>6760312</v>
      </c>
      <c r="B786" s="29" t="s">
        <v>3028</v>
      </c>
      <c r="C786" s="29" t="s">
        <v>17906</v>
      </c>
      <c r="D786" s="29" t="s">
        <v>31062</v>
      </c>
      <c r="E786" s="29" t="s">
        <v>44564</v>
      </c>
      <c r="F786" s="36" t="s">
        <v>54401</v>
      </c>
      <c r="G786" s="39">
        <v>279541.84000000003</v>
      </c>
      <c r="H786" s="42">
        <v>211</v>
      </c>
    </row>
    <row r="787" spans="1:8" ht="15" customHeight="1">
      <c r="A787" s="26">
        <v>6761024</v>
      </c>
      <c r="B787" s="29" t="s">
        <v>3029</v>
      </c>
      <c r="C787" s="29" t="s">
        <v>17907</v>
      </c>
      <c r="D787" s="29" t="s">
        <v>31063</v>
      </c>
      <c r="E787" s="29" t="s">
        <v>44565</v>
      </c>
      <c r="F787" s="36" t="s">
        <v>54412</v>
      </c>
      <c r="G787" s="39">
        <f>22485924.84-5686</f>
        <v>22480238.84</v>
      </c>
      <c r="H787" s="42">
        <v>211</v>
      </c>
    </row>
    <row r="788" spans="1:8" ht="15" customHeight="1">
      <c r="A788" s="26">
        <v>6762080</v>
      </c>
      <c r="B788" s="29" t="s">
        <v>3030</v>
      </c>
      <c r="C788" s="29" t="s">
        <v>17204</v>
      </c>
      <c r="D788" s="29" t="s">
        <v>31064</v>
      </c>
      <c r="E788" s="29" t="s">
        <v>43926</v>
      </c>
      <c r="F788" s="36" t="s">
        <v>54401</v>
      </c>
      <c r="G788" s="39">
        <v>419362.79</v>
      </c>
      <c r="H788" s="42">
        <v>211</v>
      </c>
    </row>
    <row r="789" spans="1:8" ht="15" customHeight="1">
      <c r="A789" s="26">
        <v>6762863</v>
      </c>
      <c r="B789" s="29" t="s">
        <v>3031</v>
      </c>
      <c r="C789" s="29" t="s">
        <v>17908</v>
      </c>
      <c r="D789" s="29" t="s">
        <v>31065</v>
      </c>
      <c r="E789" s="29" t="s">
        <v>44566</v>
      </c>
      <c r="F789" s="36" t="s">
        <v>54412</v>
      </c>
      <c r="G789" s="39">
        <f>2846104.76-326133</f>
        <v>2519971.7599999998</v>
      </c>
      <c r="H789" s="42">
        <v>211</v>
      </c>
    </row>
    <row r="790" spans="1:8" ht="15" customHeight="1">
      <c r="A790" s="26">
        <v>6764146</v>
      </c>
      <c r="B790" s="29" t="s">
        <v>3032</v>
      </c>
      <c r="C790" s="29" t="s">
        <v>17909</v>
      </c>
      <c r="D790" s="29" t="s">
        <v>31066</v>
      </c>
      <c r="E790" s="29" t="s">
        <v>43926</v>
      </c>
      <c r="F790" s="36" t="s">
        <v>54401</v>
      </c>
      <c r="G790" s="39">
        <v>195645.82</v>
      </c>
      <c r="H790" s="42">
        <v>211</v>
      </c>
    </row>
    <row r="791" spans="1:8" ht="15" customHeight="1">
      <c r="A791" s="26">
        <v>6764166</v>
      </c>
      <c r="B791" s="29" t="s">
        <v>3033</v>
      </c>
      <c r="C791" s="29" t="s">
        <v>17910</v>
      </c>
      <c r="D791" s="29" t="s">
        <v>31067</v>
      </c>
      <c r="E791" s="29" t="s">
        <v>44567</v>
      </c>
      <c r="F791" s="36" t="s">
        <v>54401</v>
      </c>
      <c r="G791" s="39">
        <v>1563330.32</v>
      </c>
      <c r="H791" s="42">
        <v>211</v>
      </c>
    </row>
    <row r="792" spans="1:8" ht="15" customHeight="1">
      <c r="A792" s="26">
        <v>6764319</v>
      </c>
      <c r="B792" s="29" t="s">
        <v>3034</v>
      </c>
      <c r="C792" s="29" t="s">
        <v>17911</v>
      </c>
      <c r="D792" s="29" t="s">
        <v>31068</v>
      </c>
      <c r="E792" s="29" t="s">
        <v>44568</v>
      </c>
      <c r="F792" s="36" t="s">
        <v>54401</v>
      </c>
      <c r="G792" s="39">
        <v>384830.24</v>
      </c>
      <c r="H792" s="42">
        <v>211</v>
      </c>
    </row>
    <row r="793" spans="1:8" ht="15" customHeight="1">
      <c r="A793" s="26">
        <v>6765809</v>
      </c>
      <c r="B793" s="29" t="s">
        <v>3035</v>
      </c>
      <c r="C793" s="29" t="s">
        <v>17912</v>
      </c>
      <c r="D793" s="29" t="s">
        <v>31069</v>
      </c>
      <c r="E793" s="29" t="s">
        <v>44569</v>
      </c>
      <c r="F793" s="36" t="s">
        <v>54401</v>
      </c>
      <c r="G793" s="39">
        <v>238159.24</v>
      </c>
      <c r="H793" s="42">
        <v>211</v>
      </c>
    </row>
    <row r="794" spans="1:8" ht="15" customHeight="1">
      <c r="A794" s="26">
        <v>6765928</v>
      </c>
      <c r="B794" s="29" t="s">
        <v>3036</v>
      </c>
      <c r="C794" s="29" t="s">
        <v>17913</v>
      </c>
      <c r="D794" s="29" t="s">
        <v>31070</v>
      </c>
      <c r="E794" s="29" t="s">
        <v>43926</v>
      </c>
      <c r="F794" s="36" t="s">
        <v>54401</v>
      </c>
      <c r="G794" s="39">
        <v>65092</v>
      </c>
      <c r="H794" s="42">
        <v>211</v>
      </c>
    </row>
    <row r="795" spans="1:8" ht="15" customHeight="1">
      <c r="A795" s="26">
        <v>6766777</v>
      </c>
      <c r="B795" s="29" t="s">
        <v>3037</v>
      </c>
      <c r="C795" s="29" t="s">
        <v>17914</v>
      </c>
      <c r="D795" s="29" t="s">
        <v>31071</v>
      </c>
      <c r="E795" s="29" t="s">
        <v>44570</v>
      </c>
      <c r="F795" s="36" t="s">
        <v>54401</v>
      </c>
      <c r="G795" s="39">
        <v>357468.65</v>
      </c>
      <c r="H795" s="42">
        <v>211</v>
      </c>
    </row>
    <row r="796" spans="1:8" ht="15" customHeight="1">
      <c r="A796" s="26">
        <v>6766921</v>
      </c>
      <c r="B796" s="29" t="s">
        <v>3038</v>
      </c>
      <c r="C796" s="29" t="s">
        <v>17915</v>
      </c>
      <c r="D796" s="29" t="s">
        <v>31072</v>
      </c>
      <c r="E796" s="29" t="s">
        <v>44571</v>
      </c>
      <c r="F796" s="36" t="s">
        <v>54429</v>
      </c>
      <c r="G796" s="39">
        <f>829539.32-7171</f>
        <v>822368.32</v>
      </c>
      <c r="H796" s="42">
        <v>211</v>
      </c>
    </row>
    <row r="797" spans="1:8" ht="15" customHeight="1">
      <c r="A797" s="26">
        <v>6767115</v>
      </c>
      <c r="B797" s="29" t="s">
        <v>3039</v>
      </c>
      <c r="C797" s="26" t="s">
        <v>17916</v>
      </c>
      <c r="D797" s="26" t="s">
        <v>30376</v>
      </c>
      <c r="E797" s="26" t="s">
        <v>44572</v>
      </c>
      <c r="F797" s="37" t="s">
        <v>54401</v>
      </c>
      <c r="G797" s="39">
        <v>629368.55000000005</v>
      </c>
      <c r="H797" s="42">
        <v>211</v>
      </c>
    </row>
    <row r="798" spans="1:8" ht="15" customHeight="1">
      <c r="A798" s="26">
        <v>6767372</v>
      </c>
      <c r="B798" s="29" t="s">
        <v>3040</v>
      </c>
      <c r="C798" s="29" t="s">
        <v>17917</v>
      </c>
      <c r="D798" s="29" t="s">
        <v>31073</v>
      </c>
      <c r="E798" s="29" t="s">
        <v>44573</v>
      </c>
      <c r="F798" s="36" t="s">
        <v>54401</v>
      </c>
      <c r="G798" s="39">
        <v>4548519.58</v>
      </c>
      <c r="H798" s="42">
        <v>211</v>
      </c>
    </row>
    <row r="799" spans="1:8" ht="15" customHeight="1">
      <c r="A799" s="26">
        <v>6767390</v>
      </c>
      <c r="B799" s="29" t="s">
        <v>3041</v>
      </c>
      <c r="C799" s="29" t="s">
        <v>17918</v>
      </c>
      <c r="D799" s="29" t="s">
        <v>31074</v>
      </c>
      <c r="E799" s="29" t="s">
        <v>44574</v>
      </c>
      <c r="F799" s="36" t="s">
        <v>54401</v>
      </c>
      <c r="G799" s="39">
        <v>130900.16</v>
      </c>
      <c r="H799" s="42">
        <v>211</v>
      </c>
    </row>
    <row r="800" spans="1:8" ht="15" customHeight="1">
      <c r="A800" s="26">
        <v>6768691</v>
      </c>
      <c r="B800" s="29" t="s">
        <v>3042</v>
      </c>
      <c r="C800" s="29" t="s">
        <v>17919</v>
      </c>
      <c r="D800" s="29" t="s">
        <v>31075</v>
      </c>
      <c r="E800" s="29" t="s">
        <v>44575</v>
      </c>
      <c r="F800" s="36" t="s">
        <v>54401</v>
      </c>
      <c r="G800" s="39">
        <v>1789483.64</v>
      </c>
      <c r="H800" s="42">
        <v>211</v>
      </c>
    </row>
    <row r="801" spans="1:8" ht="15" customHeight="1">
      <c r="A801" s="26">
        <v>6768694</v>
      </c>
      <c r="B801" s="29" t="s">
        <v>3043</v>
      </c>
      <c r="C801" s="29" t="s">
        <v>17920</v>
      </c>
      <c r="D801" s="29" t="s">
        <v>31076</v>
      </c>
      <c r="E801" s="29" t="s">
        <v>44576</v>
      </c>
      <c r="F801" s="36" t="s">
        <v>54406</v>
      </c>
      <c r="G801" s="39">
        <v>123854.65</v>
      </c>
      <c r="H801" s="42">
        <v>211</v>
      </c>
    </row>
    <row r="802" spans="1:8" ht="15" customHeight="1">
      <c r="A802" s="26">
        <v>6768710</v>
      </c>
      <c r="B802" s="29" t="s">
        <v>3044</v>
      </c>
      <c r="C802" s="29" t="s">
        <v>17921</v>
      </c>
      <c r="D802" s="29" t="s">
        <v>31077</v>
      </c>
      <c r="E802" s="29" t="s">
        <v>43926</v>
      </c>
      <c r="F802" s="36" t="s">
        <v>54401</v>
      </c>
      <c r="G802" s="39">
        <v>283297.19</v>
      </c>
      <c r="H802" s="42">
        <v>211</v>
      </c>
    </row>
    <row r="803" spans="1:8" ht="15" customHeight="1">
      <c r="A803" s="26">
        <v>6768910</v>
      </c>
      <c r="B803" s="29" t="s">
        <v>3045</v>
      </c>
      <c r="C803" s="26" t="s">
        <v>17922</v>
      </c>
      <c r="D803" s="26" t="s">
        <v>31078</v>
      </c>
      <c r="E803" s="26" t="s">
        <v>44577</v>
      </c>
      <c r="F803" s="37" t="s">
        <v>54401</v>
      </c>
      <c r="G803" s="39">
        <f>1162319.45+333870+224601</f>
        <v>1720790.45</v>
      </c>
      <c r="H803" s="42">
        <v>211</v>
      </c>
    </row>
    <row r="804" spans="1:8" ht="15" customHeight="1">
      <c r="A804" s="26">
        <v>6769203</v>
      </c>
      <c r="B804" s="29" t="s">
        <v>3046</v>
      </c>
      <c r="C804" s="26" t="s">
        <v>17923</v>
      </c>
      <c r="D804" s="26" t="s">
        <v>31079</v>
      </c>
      <c r="E804" s="26" t="s">
        <v>44578</v>
      </c>
      <c r="F804" s="37" t="s">
        <v>54401</v>
      </c>
      <c r="G804" s="39">
        <f>3484053.91+522086</f>
        <v>4006139.91</v>
      </c>
      <c r="H804" s="42">
        <v>211</v>
      </c>
    </row>
    <row r="805" spans="1:8" ht="15" customHeight="1">
      <c r="A805" s="26">
        <v>6770022</v>
      </c>
      <c r="B805" s="29" t="s">
        <v>3047</v>
      </c>
      <c r="C805" s="29" t="s">
        <v>17924</v>
      </c>
      <c r="D805" s="29" t="s">
        <v>31080</v>
      </c>
      <c r="E805" s="29" t="s">
        <v>44579</v>
      </c>
      <c r="F805" s="36" t="s">
        <v>54401</v>
      </c>
      <c r="G805" s="39">
        <v>4398468.9400000004</v>
      </c>
      <c r="H805" s="42">
        <v>211</v>
      </c>
    </row>
    <row r="806" spans="1:8" ht="15" customHeight="1">
      <c r="A806" s="26">
        <v>6770666</v>
      </c>
      <c r="B806" s="29" t="s">
        <v>3048</v>
      </c>
      <c r="C806" s="29" t="s">
        <v>17925</v>
      </c>
      <c r="D806" s="29" t="s">
        <v>31081</v>
      </c>
      <c r="E806" s="29" t="s">
        <v>44580</v>
      </c>
      <c r="F806" s="36" t="s">
        <v>54407</v>
      </c>
      <c r="G806" s="39">
        <v>1000219.35</v>
      </c>
      <c r="H806" s="42">
        <v>211</v>
      </c>
    </row>
    <row r="807" spans="1:8" ht="15" customHeight="1">
      <c r="A807" s="26">
        <v>6770913</v>
      </c>
      <c r="B807" s="29" t="s">
        <v>3049</v>
      </c>
      <c r="C807" s="29" t="s">
        <v>17926</v>
      </c>
      <c r="D807" s="29" t="s">
        <v>31082</v>
      </c>
      <c r="E807" s="29" t="s">
        <v>44581</v>
      </c>
      <c r="F807" s="36" t="s">
        <v>54401</v>
      </c>
      <c r="G807" s="39">
        <v>3525489.47</v>
      </c>
      <c r="H807" s="42">
        <v>211</v>
      </c>
    </row>
    <row r="808" spans="1:8" ht="15" customHeight="1">
      <c r="A808" s="26">
        <v>6772056</v>
      </c>
      <c r="B808" s="29" t="s">
        <v>3050</v>
      </c>
      <c r="C808" s="29" t="s">
        <v>17927</v>
      </c>
      <c r="D808" s="29" t="s">
        <v>31083</v>
      </c>
      <c r="E808" s="29" t="s">
        <v>44582</v>
      </c>
      <c r="F808" s="36" t="s">
        <v>54401</v>
      </c>
      <c r="G808" s="39">
        <f>276524.45+521123</f>
        <v>797647.45</v>
      </c>
      <c r="H808" s="42">
        <v>211</v>
      </c>
    </row>
    <row r="809" spans="1:8" ht="15" customHeight="1">
      <c r="A809" s="26">
        <v>6772398</v>
      </c>
      <c r="B809" s="29" t="s">
        <v>3051</v>
      </c>
      <c r="C809" s="29" t="s">
        <v>17928</v>
      </c>
      <c r="D809" s="29" t="s">
        <v>31084</v>
      </c>
      <c r="E809" s="29" t="s">
        <v>44583</v>
      </c>
      <c r="F809" s="36" t="s">
        <v>54401</v>
      </c>
      <c r="G809" s="39">
        <f>584450.1+391520</f>
        <v>975970.1</v>
      </c>
      <c r="H809" s="42">
        <v>211</v>
      </c>
    </row>
    <row r="810" spans="1:8" ht="15" customHeight="1">
      <c r="A810" s="26">
        <v>6772415</v>
      </c>
      <c r="B810" s="29" t="s">
        <v>3052</v>
      </c>
      <c r="C810" s="29" t="s">
        <v>17929</v>
      </c>
      <c r="D810" s="29" t="s">
        <v>31085</v>
      </c>
      <c r="E810" s="29" t="s">
        <v>44584</v>
      </c>
      <c r="F810" s="36" t="s">
        <v>54401</v>
      </c>
      <c r="G810" s="39">
        <v>253340.33</v>
      </c>
      <c r="H810" s="42">
        <v>211</v>
      </c>
    </row>
    <row r="811" spans="1:8" ht="15" customHeight="1">
      <c r="A811" s="26">
        <v>6772982</v>
      </c>
      <c r="B811" s="29" t="s">
        <v>3053</v>
      </c>
      <c r="C811" s="29" t="s">
        <v>17930</v>
      </c>
      <c r="D811" s="29" t="s">
        <v>31086</v>
      </c>
      <c r="E811" s="29" t="s">
        <v>44585</v>
      </c>
      <c r="F811" s="36" t="s">
        <v>54412</v>
      </c>
      <c r="G811" s="39">
        <f>1048844.86+299987</f>
        <v>1348831.86</v>
      </c>
      <c r="H811" s="42">
        <v>211</v>
      </c>
    </row>
    <row r="812" spans="1:8" ht="15" customHeight="1">
      <c r="A812" s="26">
        <v>6772985</v>
      </c>
      <c r="B812" s="29" t="s">
        <v>3054</v>
      </c>
      <c r="C812" s="29" t="s">
        <v>17931</v>
      </c>
      <c r="D812" s="29" t="s">
        <v>31087</v>
      </c>
      <c r="E812" s="29" t="s">
        <v>44586</v>
      </c>
      <c r="F812" s="36" t="s">
        <v>54401</v>
      </c>
      <c r="G812" s="39">
        <v>263742.52</v>
      </c>
      <c r="H812" s="42">
        <v>211</v>
      </c>
    </row>
    <row r="813" spans="1:8" ht="15" customHeight="1">
      <c r="A813" s="26">
        <v>6773757</v>
      </c>
      <c r="B813" s="29" t="s">
        <v>3055</v>
      </c>
      <c r="C813" s="29" t="s">
        <v>17932</v>
      </c>
      <c r="D813" s="29" t="s">
        <v>31088</v>
      </c>
      <c r="E813" s="29" t="s">
        <v>44587</v>
      </c>
      <c r="F813" s="36" t="s">
        <v>54401</v>
      </c>
      <c r="G813" s="39">
        <v>550500.68999999994</v>
      </c>
      <c r="H813" s="42">
        <v>211</v>
      </c>
    </row>
    <row r="814" spans="1:8" ht="15" customHeight="1">
      <c r="A814" s="26">
        <v>6774113</v>
      </c>
      <c r="B814" s="29" t="s">
        <v>3056</v>
      </c>
      <c r="C814" s="29" t="s">
        <v>17204</v>
      </c>
      <c r="D814" s="29" t="s">
        <v>30349</v>
      </c>
      <c r="E814" s="29" t="s">
        <v>43926</v>
      </c>
      <c r="F814" s="36" t="s">
        <v>54401</v>
      </c>
      <c r="G814" s="39">
        <f>412158.9+631135</f>
        <v>1043293.9</v>
      </c>
      <c r="H814" s="42">
        <v>211</v>
      </c>
    </row>
    <row r="815" spans="1:8" ht="15" customHeight="1">
      <c r="A815" s="26">
        <v>6774357</v>
      </c>
      <c r="B815" s="29" t="s">
        <v>3057</v>
      </c>
      <c r="C815" s="29" t="s">
        <v>17933</v>
      </c>
      <c r="D815" s="29" t="s">
        <v>31089</v>
      </c>
      <c r="E815" s="29" t="s">
        <v>44588</v>
      </c>
      <c r="F815" s="36" t="s">
        <v>54401</v>
      </c>
      <c r="G815" s="39">
        <v>467308.38</v>
      </c>
      <c r="H815" s="42">
        <v>211</v>
      </c>
    </row>
    <row r="816" spans="1:8" ht="15" customHeight="1">
      <c r="A816" s="26">
        <v>6774449</v>
      </c>
      <c r="B816" s="29" t="s">
        <v>3058</v>
      </c>
      <c r="C816" s="29" t="s">
        <v>17934</v>
      </c>
      <c r="D816" s="29" t="s">
        <v>31090</v>
      </c>
      <c r="E816" s="29" t="s">
        <v>44589</v>
      </c>
      <c r="F816" s="36" t="s">
        <v>54401</v>
      </c>
      <c r="G816" s="39">
        <v>538068.12</v>
      </c>
      <c r="H816" s="42">
        <v>211</v>
      </c>
    </row>
    <row r="817" spans="1:8" ht="15" customHeight="1">
      <c r="A817" s="26">
        <v>6775737</v>
      </c>
      <c r="B817" s="29" t="s">
        <v>3059</v>
      </c>
      <c r="C817" s="29" t="s">
        <v>17935</v>
      </c>
      <c r="D817" s="29" t="s">
        <v>31091</v>
      </c>
      <c r="E817" s="29" t="s">
        <v>44590</v>
      </c>
      <c r="F817" s="36" t="s">
        <v>54401</v>
      </c>
      <c r="G817" s="39">
        <v>30075.63</v>
      </c>
      <c r="H817" s="42">
        <v>211</v>
      </c>
    </row>
    <row r="818" spans="1:8" ht="15" customHeight="1">
      <c r="A818" s="26">
        <v>6775821</v>
      </c>
      <c r="B818" s="29" t="s">
        <v>3060</v>
      </c>
      <c r="C818" s="29" t="s">
        <v>17936</v>
      </c>
      <c r="D818" s="29" t="s">
        <v>31092</v>
      </c>
      <c r="E818" s="29" t="s">
        <v>44591</v>
      </c>
      <c r="F818" s="36" t="s">
        <v>54401</v>
      </c>
      <c r="G818" s="39">
        <f>1117472.99+370782</f>
        <v>1488254.99</v>
      </c>
      <c r="H818" s="42">
        <v>211</v>
      </c>
    </row>
    <row r="819" spans="1:8" ht="15" customHeight="1">
      <c r="A819" s="26">
        <v>6776644</v>
      </c>
      <c r="B819" s="29" t="s">
        <v>3061</v>
      </c>
      <c r="C819" s="29" t="s">
        <v>17937</v>
      </c>
      <c r="D819" s="29" t="s">
        <v>31093</v>
      </c>
      <c r="E819" s="29" t="s">
        <v>44592</v>
      </c>
      <c r="F819" s="36" t="s">
        <v>54401</v>
      </c>
      <c r="G819" s="39">
        <f>460689.39+165404</f>
        <v>626093.39</v>
      </c>
      <c r="H819" s="42">
        <v>211</v>
      </c>
    </row>
    <row r="820" spans="1:8" ht="15" customHeight="1">
      <c r="A820" s="26">
        <v>6844322</v>
      </c>
      <c r="B820" s="29" t="s">
        <v>3062</v>
      </c>
      <c r="C820" s="29" t="s">
        <v>17938</v>
      </c>
      <c r="D820" s="29" t="s">
        <v>31094</v>
      </c>
      <c r="E820" s="29" t="s">
        <v>44593</v>
      </c>
      <c r="F820" s="36" t="s">
        <v>54401</v>
      </c>
      <c r="G820" s="39">
        <f>518165.18+258804</f>
        <v>776969.17999999993</v>
      </c>
      <c r="H820" s="42">
        <v>211</v>
      </c>
    </row>
    <row r="821" spans="1:8" ht="15" customHeight="1">
      <c r="A821" s="26">
        <v>6910935</v>
      </c>
      <c r="B821" s="29" t="s">
        <v>3063</v>
      </c>
      <c r="C821" s="29" t="s">
        <v>17939</v>
      </c>
      <c r="D821" s="29" t="s">
        <v>31095</v>
      </c>
      <c r="E821" s="29" t="s">
        <v>44594</v>
      </c>
      <c r="F821" s="36" t="s">
        <v>54401</v>
      </c>
      <c r="G821" s="39">
        <v>950240.31</v>
      </c>
      <c r="H821" s="42">
        <v>211</v>
      </c>
    </row>
    <row r="822" spans="1:8" ht="15" customHeight="1">
      <c r="A822" s="26">
        <v>6965287</v>
      </c>
      <c r="B822" s="29" t="s">
        <v>3064</v>
      </c>
      <c r="C822" s="29" t="s">
        <v>17940</v>
      </c>
      <c r="D822" s="29" t="s">
        <v>31096</v>
      </c>
      <c r="E822" s="29" t="s">
        <v>44595</v>
      </c>
      <c r="F822" s="36" t="s">
        <v>54401</v>
      </c>
      <c r="G822" s="39">
        <v>541849.77</v>
      </c>
      <c r="H822" s="42">
        <v>211</v>
      </c>
    </row>
    <row r="823" spans="1:8" ht="15" customHeight="1">
      <c r="A823" s="26">
        <v>6975902</v>
      </c>
      <c r="B823" s="29" t="s">
        <v>3065</v>
      </c>
      <c r="C823" s="29" t="s">
        <v>17941</v>
      </c>
      <c r="D823" s="29" t="s">
        <v>31097</v>
      </c>
      <c r="E823" s="29" t="s">
        <v>43926</v>
      </c>
      <c r="F823" s="36" t="s">
        <v>54401</v>
      </c>
      <c r="G823" s="39">
        <v>438511.84</v>
      </c>
      <c r="H823" s="42">
        <v>211</v>
      </c>
    </row>
    <row r="824" spans="1:8" ht="15" customHeight="1">
      <c r="A824" s="26">
        <v>6999127</v>
      </c>
      <c r="B824" s="29" t="s">
        <v>3066</v>
      </c>
      <c r="C824" s="29" t="s">
        <v>17204</v>
      </c>
      <c r="D824" s="29" t="s">
        <v>30349</v>
      </c>
      <c r="E824" s="29" t="s">
        <v>43926</v>
      </c>
      <c r="F824" s="36" t="s">
        <v>54401</v>
      </c>
      <c r="G824" s="39">
        <v>350434.87</v>
      </c>
      <c r="H824" s="42">
        <v>211</v>
      </c>
    </row>
    <row r="825" spans="1:8" ht="15" customHeight="1">
      <c r="A825" s="26">
        <v>7060794</v>
      </c>
      <c r="B825" s="29" t="s">
        <v>3067</v>
      </c>
      <c r="C825" s="29" t="s">
        <v>17942</v>
      </c>
      <c r="D825" s="29" t="s">
        <v>30376</v>
      </c>
      <c r="E825" s="29" t="s">
        <v>43926</v>
      </c>
      <c r="F825" s="36" t="s">
        <v>54401</v>
      </c>
      <c r="G825" s="39">
        <f>391465.82+1690465</f>
        <v>2081930.82</v>
      </c>
      <c r="H825" s="42">
        <v>211</v>
      </c>
    </row>
    <row r="826" spans="1:8" ht="15" customHeight="1">
      <c r="A826" s="26">
        <v>7120618</v>
      </c>
      <c r="B826" s="29" t="s">
        <v>3068</v>
      </c>
      <c r="C826" s="29" t="s">
        <v>17943</v>
      </c>
      <c r="D826" s="29" t="s">
        <v>31098</v>
      </c>
      <c r="E826" s="29" t="s">
        <v>43926</v>
      </c>
      <c r="F826" s="36" t="s">
        <v>54401</v>
      </c>
      <c r="G826" s="39">
        <v>908392.94</v>
      </c>
      <c r="H826" s="42">
        <v>211</v>
      </c>
    </row>
    <row r="827" spans="1:8" ht="15" customHeight="1">
      <c r="A827" s="26">
        <v>7123046</v>
      </c>
      <c r="B827" s="29" t="s">
        <v>3069</v>
      </c>
      <c r="C827" s="29" t="s">
        <v>17944</v>
      </c>
      <c r="D827" s="29" t="s">
        <v>31099</v>
      </c>
      <c r="E827" s="29" t="s">
        <v>44596</v>
      </c>
      <c r="F827" s="36" t="s">
        <v>54401</v>
      </c>
      <c r="G827" s="39">
        <v>759243.07</v>
      </c>
      <c r="H827" s="42">
        <v>211</v>
      </c>
    </row>
    <row r="828" spans="1:8" ht="15" customHeight="1">
      <c r="A828" s="26">
        <v>7125043</v>
      </c>
      <c r="B828" s="29" t="s">
        <v>3070</v>
      </c>
      <c r="C828" s="29" t="s">
        <v>17945</v>
      </c>
      <c r="D828" s="29" t="s">
        <v>31100</v>
      </c>
      <c r="E828" s="29" t="s">
        <v>44597</v>
      </c>
      <c r="F828" s="36" t="s">
        <v>54401</v>
      </c>
      <c r="G828" s="39">
        <v>27812.43</v>
      </c>
      <c r="H828" s="42">
        <v>211</v>
      </c>
    </row>
    <row r="829" spans="1:8" ht="15" customHeight="1">
      <c r="A829" s="26">
        <v>7125117</v>
      </c>
      <c r="B829" s="29" t="s">
        <v>3071</v>
      </c>
      <c r="C829" s="29" t="s">
        <v>17946</v>
      </c>
      <c r="D829" s="29" t="s">
        <v>31101</v>
      </c>
      <c r="E829" s="29" t="s">
        <v>44084</v>
      </c>
      <c r="F829" s="36" t="s">
        <v>54426</v>
      </c>
      <c r="G829" s="39">
        <v>773301.17</v>
      </c>
      <c r="H829" s="42">
        <v>211</v>
      </c>
    </row>
    <row r="830" spans="1:8" ht="15" customHeight="1">
      <c r="A830" s="26">
        <v>7125141</v>
      </c>
      <c r="B830" s="29" t="s">
        <v>3072</v>
      </c>
      <c r="C830" s="29" t="s">
        <v>17947</v>
      </c>
      <c r="D830" s="29" t="s">
        <v>31102</v>
      </c>
      <c r="E830" s="29" t="s">
        <v>44598</v>
      </c>
      <c r="F830" s="36" t="s">
        <v>54401</v>
      </c>
      <c r="G830" s="39">
        <v>61141.71</v>
      </c>
      <c r="H830" s="42">
        <v>211</v>
      </c>
    </row>
    <row r="831" spans="1:8" ht="15" customHeight="1">
      <c r="A831" s="26">
        <v>7125166</v>
      </c>
      <c r="B831" s="29" t="s">
        <v>3073</v>
      </c>
      <c r="C831" s="29" t="s">
        <v>17948</v>
      </c>
      <c r="D831" s="29" t="s">
        <v>31103</v>
      </c>
      <c r="E831" s="29" t="s">
        <v>44599</v>
      </c>
      <c r="F831" s="36" t="s">
        <v>54401</v>
      </c>
      <c r="G831" s="39">
        <v>37291.800000000003</v>
      </c>
      <c r="H831" s="42">
        <v>211</v>
      </c>
    </row>
    <row r="832" spans="1:8" ht="15" customHeight="1">
      <c r="A832" s="26">
        <v>7125260</v>
      </c>
      <c r="B832" s="29" t="s">
        <v>3074</v>
      </c>
      <c r="C832" s="29" t="s">
        <v>17949</v>
      </c>
      <c r="D832" s="29" t="s">
        <v>31104</v>
      </c>
      <c r="E832" s="29" t="s">
        <v>44600</v>
      </c>
      <c r="F832" s="36" t="s">
        <v>54401</v>
      </c>
      <c r="G832" s="39">
        <v>14700</v>
      </c>
      <c r="H832" s="42">
        <v>211</v>
      </c>
    </row>
    <row r="833" spans="1:8" ht="15" customHeight="1">
      <c r="A833" s="26">
        <v>7125358</v>
      </c>
      <c r="B833" s="29" t="s">
        <v>3075</v>
      </c>
      <c r="C833" s="26" t="s">
        <v>17950</v>
      </c>
      <c r="D833" s="26" t="s">
        <v>31105</v>
      </c>
      <c r="E833" s="26" t="s">
        <v>44601</v>
      </c>
      <c r="F833" s="37" t="s">
        <v>54409</v>
      </c>
      <c r="G833" s="39">
        <f>3778771.88+549647</f>
        <v>4328418.88</v>
      </c>
      <c r="H833" s="42">
        <v>211</v>
      </c>
    </row>
    <row r="834" spans="1:8" ht="15" customHeight="1">
      <c r="A834" s="26">
        <v>7125640</v>
      </c>
      <c r="B834" s="29" t="s">
        <v>3076</v>
      </c>
      <c r="C834" s="29" t="s">
        <v>17951</v>
      </c>
      <c r="D834" s="26" t="s">
        <v>31106</v>
      </c>
      <c r="E834" s="29" t="s">
        <v>44602</v>
      </c>
      <c r="F834" s="37" t="s">
        <v>54401</v>
      </c>
      <c r="G834" s="39">
        <f>117703.32+10200</f>
        <v>127903.32</v>
      </c>
      <c r="H834" s="42">
        <v>211</v>
      </c>
    </row>
    <row r="835" spans="1:8" ht="15" customHeight="1">
      <c r="A835" s="26">
        <v>7126445</v>
      </c>
      <c r="B835" s="29" t="s">
        <v>3077</v>
      </c>
      <c r="C835" s="29" t="s">
        <v>17952</v>
      </c>
      <c r="D835" s="29" t="s">
        <v>31107</v>
      </c>
      <c r="E835" s="29" t="s">
        <v>44603</v>
      </c>
      <c r="F835" s="36" t="s">
        <v>54426</v>
      </c>
      <c r="G835" s="39">
        <f>8025965.64-159327</f>
        <v>7866638.6399999997</v>
      </c>
      <c r="H835" s="42">
        <v>211</v>
      </c>
    </row>
    <row r="836" spans="1:8" ht="15" customHeight="1">
      <c r="A836" s="26">
        <v>7126860</v>
      </c>
      <c r="B836" s="29" t="s">
        <v>3078</v>
      </c>
      <c r="C836" s="29" t="s">
        <v>17953</v>
      </c>
      <c r="D836" s="29" t="s">
        <v>31108</v>
      </c>
      <c r="E836" s="29" t="s">
        <v>44604</v>
      </c>
      <c r="F836" s="36" t="s">
        <v>54426</v>
      </c>
      <c r="G836" s="39">
        <f>29093265.66-961036</f>
        <v>28132229.66</v>
      </c>
      <c r="H836" s="42">
        <v>211</v>
      </c>
    </row>
    <row r="837" spans="1:8" ht="15" customHeight="1">
      <c r="A837" s="26">
        <v>7128538</v>
      </c>
      <c r="B837" s="29" t="s">
        <v>3079</v>
      </c>
      <c r="C837" s="29" t="s">
        <v>17954</v>
      </c>
      <c r="D837" s="29" t="s">
        <v>31109</v>
      </c>
      <c r="E837" s="29" t="s">
        <v>44512</v>
      </c>
      <c r="F837" s="36" t="s">
        <v>54401</v>
      </c>
      <c r="G837" s="39">
        <f>348224.31+216583</f>
        <v>564807.31000000006</v>
      </c>
      <c r="H837" s="42">
        <v>211</v>
      </c>
    </row>
    <row r="838" spans="1:8" ht="15" customHeight="1">
      <c r="A838" s="26">
        <v>7160226</v>
      </c>
      <c r="B838" s="29" t="s">
        <v>3080</v>
      </c>
      <c r="C838" s="29" t="s">
        <v>17955</v>
      </c>
      <c r="D838" s="29" t="s">
        <v>31110</v>
      </c>
      <c r="E838" s="29" t="s">
        <v>44605</v>
      </c>
      <c r="F838" s="36" t="s">
        <v>54401</v>
      </c>
      <c r="G838" s="39">
        <v>2760355.85</v>
      </c>
      <c r="H838" s="42">
        <v>211</v>
      </c>
    </row>
    <row r="839" spans="1:8" ht="15" customHeight="1">
      <c r="A839" s="26">
        <v>7160256</v>
      </c>
      <c r="B839" s="29" t="s">
        <v>3081</v>
      </c>
      <c r="C839" s="29" t="s">
        <v>17956</v>
      </c>
      <c r="D839" s="29" t="s">
        <v>31111</v>
      </c>
      <c r="E839" s="29" t="s">
        <v>43928</v>
      </c>
      <c r="F839" s="36" t="s">
        <v>54401</v>
      </c>
      <c r="G839" s="39">
        <f>2138588.04+560813</f>
        <v>2699401.04</v>
      </c>
      <c r="H839" s="42">
        <v>211</v>
      </c>
    </row>
    <row r="840" spans="1:8" ht="15" customHeight="1">
      <c r="A840" s="26">
        <v>7160718</v>
      </c>
      <c r="B840" s="29" t="s">
        <v>3082</v>
      </c>
      <c r="C840" s="29" t="s">
        <v>17957</v>
      </c>
      <c r="D840" s="29" t="s">
        <v>31112</v>
      </c>
      <c r="E840" s="29" t="s">
        <v>44606</v>
      </c>
      <c r="F840" s="36" t="s">
        <v>54401</v>
      </c>
      <c r="G840" s="39">
        <v>1986299.52</v>
      </c>
      <c r="H840" s="42">
        <v>211</v>
      </c>
    </row>
    <row r="841" spans="1:8" ht="15" customHeight="1">
      <c r="A841" s="26">
        <v>7161615</v>
      </c>
      <c r="B841" s="29" t="s">
        <v>3083</v>
      </c>
      <c r="C841" s="29" t="s">
        <v>17958</v>
      </c>
      <c r="D841" s="29" t="s">
        <v>31113</v>
      </c>
      <c r="E841" s="29" t="s">
        <v>43926</v>
      </c>
      <c r="F841" s="36" t="s">
        <v>54401</v>
      </c>
      <c r="G841" s="39">
        <v>597179.9</v>
      </c>
      <c r="H841" s="42">
        <v>211</v>
      </c>
    </row>
    <row r="842" spans="1:8" ht="15" customHeight="1">
      <c r="A842" s="26">
        <v>7162028</v>
      </c>
      <c r="B842" s="29" t="s">
        <v>3084</v>
      </c>
      <c r="C842" s="29" t="s">
        <v>17959</v>
      </c>
      <c r="D842" s="29" t="s">
        <v>31114</v>
      </c>
      <c r="E842" s="29" t="s">
        <v>43926</v>
      </c>
      <c r="F842" s="36" t="s">
        <v>54401</v>
      </c>
      <c r="G842" s="39">
        <v>25596.63</v>
      </c>
      <c r="H842" s="42">
        <v>211</v>
      </c>
    </row>
    <row r="843" spans="1:8" ht="15" customHeight="1">
      <c r="A843" s="26">
        <v>7162387</v>
      </c>
      <c r="B843" s="29" t="s">
        <v>3085</v>
      </c>
      <c r="C843" s="26" t="s">
        <v>17960</v>
      </c>
      <c r="D843" s="26" t="s">
        <v>31115</v>
      </c>
      <c r="E843" s="26" t="s">
        <v>44607</v>
      </c>
      <c r="F843" s="37" t="s">
        <v>54401</v>
      </c>
      <c r="G843" s="39">
        <f>234220.54+31478</f>
        <v>265698.54000000004</v>
      </c>
      <c r="H843" s="42">
        <v>211</v>
      </c>
    </row>
    <row r="844" spans="1:8" ht="15" customHeight="1">
      <c r="A844" s="26">
        <v>7162842</v>
      </c>
      <c r="B844" s="29" t="s">
        <v>3086</v>
      </c>
      <c r="C844" s="29" t="s">
        <v>17961</v>
      </c>
      <c r="D844" s="29" t="s">
        <v>31116</v>
      </c>
      <c r="E844" s="29" t="s">
        <v>44608</v>
      </c>
      <c r="F844" s="36" t="s">
        <v>54401</v>
      </c>
      <c r="G844" s="39">
        <v>625859.73</v>
      </c>
      <c r="H844" s="42">
        <v>211</v>
      </c>
    </row>
    <row r="845" spans="1:8" ht="15" customHeight="1">
      <c r="A845" s="26">
        <v>7162878</v>
      </c>
      <c r="B845" s="29" t="s">
        <v>3087</v>
      </c>
      <c r="C845" s="29" t="s">
        <v>17962</v>
      </c>
      <c r="D845" s="29" t="s">
        <v>31117</v>
      </c>
      <c r="E845" s="29" t="s">
        <v>44609</v>
      </c>
      <c r="F845" s="36" t="s">
        <v>54401</v>
      </c>
      <c r="G845" s="39">
        <v>395025.02</v>
      </c>
      <c r="H845" s="42">
        <v>211</v>
      </c>
    </row>
    <row r="846" spans="1:8" ht="15" customHeight="1">
      <c r="A846" s="26">
        <v>7162886</v>
      </c>
      <c r="B846" s="29" t="s">
        <v>3088</v>
      </c>
      <c r="C846" s="29" t="s">
        <v>17963</v>
      </c>
      <c r="D846" s="29" t="s">
        <v>31118</v>
      </c>
      <c r="E846" s="29" t="s">
        <v>44610</v>
      </c>
      <c r="F846" s="36" t="s">
        <v>54401</v>
      </c>
      <c r="G846" s="39">
        <v>36344.54</v>
      </c>
      <c r="H846" s="42">
        <v>211</v>
      </c>
    </row>
    <row r="847" spans="1:8" ht="15" customHeight="1">
      <c r="A847" s="26">
        <v>7162927</v>
      </c>
      <c r="B847" s="29" t="s">
        <v>3089</v>
      </c>
      <c r="C847" s="29" t="s">
        <v>17964</v>
      </c>
      <c r="D847" s="29" t="s">
        <v>31119</v>
      </c>
      <c r="E847" s="29" t="s">
        <v>44611</v>
      </c>
      <c r="F847" s="36" t="s">
        <v>54401</v>
      </c>
      <c r="G847" s="39">
        <v>943136.09</v>
      </c>
      <c r="H847" s="42">
        <v>211</v>
      </c>
    </row>
    <row r="848" spans="1:8" ht="15" customHeight="1">
      <c r="A848" s="26">
        <v>7163039</v>
      </c>
      <c r="B848" s="29" t="s">
        <v>3090</v>
      </c>
      <c r="C848" s="29" t="s">
        <v>17965</v>
      </c>
      <c r="D848" s="29" t="s">
        <v>31120</v>
      </c>
      <c r="E848" s="29" t="s">
        <v>44612</v>
      </c>
      <c r="F848" s="36" t="s">
        <v>54401</v>
      </c>
      <c r="G848" s="39">
        <f>5651481.16+191042</f>
        <v>5842523.1600000001</v>
      </c>
      <c r="H848" s="42">
        <v>211</v>
      </c>
    </row>
    <row r="849" spans="1:8" ht="15" customHeight="1">
      <c r="A849" s="26">
        <v>7163835</v>
      </c>
      <c r="B849" s="29" t="s">
        <v>3091</v>
      </c>
      <c r="C849" s="29" t="s">
        <v>17966</v>
      </c>
      <c r="D849" s="29" t="s">
        <v>31121</v>
      </c>
      <c r="E849" s="29" t="s">
        <v>44613</v>
      </c>
      <c r="F849" s="36" t="s">
        <v>54401</v>
      </c>
      <c r="G849" s="39">
        <v>2292311.19</v>
      </c>
      <c r="H849" s="42">
        <v>211</v>
      </c>
    </row>
    <row r="850" spans="1:8" ht="15" customHeight="1">
      <c r="A850" s="26">
        <v>7163980</v>
      </c>
      <c r="B850" s="29" t="s">
        <v>3092</v>
      </c>
      <c r="C850" s="29" t="s">
        <v>17967</v>
      </c>
      <c r="D850" s="29" t="s">
        <v>31122</v>
      </c>
      <c r="E850" s="29" t="s">
        <v>44614</v>
      </c>
      <c r="F850" s="36" t="s">
        <v>54412</v>
      </c>
      <c r="G850" s="39">
        <v>34356.9</v>
      </c>
      <c r="H850" s="42">
        <v>211</v>
      </c>
    </row>
    <row r="851" spans="1:8" ht="15" customHeight="1">
      <c r="A851" s="26">
        <v>7164268</v>
      </c>
      <c r="B851" s="29" t="s">
        <v>3093</v>
      </c>
      <c r="C851" s="29" t="s">
        <v>17968</v>
      </c>
      <c r="D851" s="29" t="s">
        <v>31123</v>
      </c>
      <c r="E851" s="29" t="s">
        <v>43926</v>
      </c>
      <c r="F851" s="36" t="s">
        <v>54401</v>
      </c>
      <c r="G851" s="39">
        <v>248158.92</v>
      </c>
      <c r="H851" s="42">
        <v>211</v>
      </c>
    </row>
    <row r="852" spans="1:8" ht="15" customHeight="1">
      <c r="A852" s="26">
        <v>7164569</v>
      </c>
      <c r="B852" s="29" t="s">
        <v>3094</v>
      </c>
      <c r="C852" s="29" t="s">
        <v>17969</v>
      </c>
      <c r="D852" s="29" t="s">
        <v>31124</v>
      </c>
      <c r="E852" s="29" t="s">
        <v>44615</v>
      </c>
      <c r="F852" s="36" t="s">
        <v>54401</v>
      </c>
      <c r="G852" s="39">
        <f>1270005.71+222999</f>
        <v>1493004.71</v>
      </c>
      <c r="H852" s="42">
        <v>211</v>
      </c>
    </row>
    <row r="853" spans="1:8" ht="15" customHeight="1">
      <c r="A853" s="26">
        <v>7164714</v>
      </c>
      <c r="B853" s="29" t="s">
        <v>3095</v>
      </c>
      <c r="C853" s="29" t="s">
        <v>17970</v>
      </c>
      <c r="D853" s="29" t="s">
        <v>31125</v>
      </c>
      <c r="E853" s="29" t="s">
        <v>44616</v>
      </c>
      <c r="F853" s="36" t="s">
        <v>54401</v>
      </c>
      <c r="G853" s="39">
        <v>530492.96</v>
      </c>
      <c r="H853" s="42">
        <v>211</v>
      </c>
    </row>
    <row r="854" spans="1:8" ht="15" customHeight="1">
      <c r="A854" s="26">
        <v>7164734</v>
      </c>
      <c r="B854" s="29" t="s">
        <v>3096</v>
      </c>
      <c r="C854" s="29" t="s">
        <v>17971</v>
      </c>
      <c r="D854" s="29" t="s">
        <v>31126</v>
      </c>
      <c r="E854" s="29" t="s">
        <v>44617</v>
      </c>
      <c r="F854" s="36" t="s">
        <v>54401</v>
      </c>
      <c r="G854" s="39">
        <v>99951.27</v>
      </c>
      <c r="H854" s="42">
        <v>211</v>
      </c>
    </row>
    <row r="855" spans="1:8" ht="15" customHeight="1">
      <c r="A855" s="26">
        <v>7165266</v>
      </c>
      <c r="B855" s="29" t="s">
        <v>3097</v>
      </c>
      <c r="C855" s="29" t="s">
        <v>17972</v>
      </c>
      <c r="D855" s="29" t="s">
        <v>31127</v>
      </c>
      <c r="E855" s="29" t="s">
        <v>44618</v>
      </c>
      <c r="F855" s="36" t="s">
        <v>54413</v>
      </c>
      <c r="G855" s="39">
        <f>14231816.79-203857</f>
        <v>14027959.789999999</v>
      </c>
      <c r="H855" s="42">
        <v>211</v>
      </c>
    </row>
    <row r="856" spans="1:8" ht="15" customHeight="1">
      <c r="A856" s="26">
        <v>7165278</v>
      </c>
      <c r="B856" s="29" t="s">
        <v>3098</v>
      </c>
      <c r="C856" s="29" t="s">
        <v>17973</v>
      </c>
      <c r="D856" s="29" t="s">
        <v>31128</v>
      </c>
      <c r="E856" s="29" t="s">
        <v>44619</v>
      </c>
      <c r="F856" s="36" t="s">
        <v>54401</v>
      </c>
      <c r="G856" s="39">
        <v>4480711.8</v>
      </c>
      <c r="H856" s="42">
        <v>211</v>
      </c>
    </row>
    <row r="857" spans="1:8" ht="15" customHeight="1">
      <c r="A857" s="26">
        <v>7165442</v>
      </c>
      <c r="B857" s="29" t="s">
        <v>3099</v>
      </c>
      <c r="C857" s="29" t="s">
        <v>17974</v>
      </c>
      <c r="D857" s="29" t="s">
        <v>31129</v>
      </c>
      <c r="E857" s="29" t="s">
        <v>44620</v>
      </c>
      <c r="F857" s="36" t="s">
        <v>54401</v>
      </c>
      <c r="G857" s="39">
        <f>2168805.31+231217+42588</f>
        <v>2442610.31</v>
      </c>
      <c r="H857" s="42">
        <v>211</v>
      </c>
    </row>
    <row r="858" spans="1:8" ht="15" customHeight="1">
      <c r="A858" s="26">
        <v>7165624</v>
      </c>
      <c r="B858" s="29" t="s">
        <v>3100</v>
      </c>
      <c r="C858" s="29" t="s">
        <v>17975</v>
      </c>
      <c r="D858" s="29" t="s">
        <v>31130</v>
      </c>
      <c r="E858" s="29" t="s">
        <v>44621</v>
      </c>
      <c r="F858" s="36" t="s">
        <v>54401</v>
      </c>
      <c r="G858" s="39">
        <v>1175607.92</v>
      </c>
      <c r="H858" s="42">
        <v>211</v>
      </c>
    </row>
    <row r="859" spans="1:8" ht="15" customHeight="1">
      <c r="A859" s="26">
        <v>7165815</v>
      </c>
      <c r="B859" s="29" t="s">
        <v>3101</v>
      </c>
      <c r="C859" s="29" t="s">
        <v>17976</v>
      </c>
      <c r="D859" s="29" t="s">
        <v>31131</v>
      </c>
      <c r="E859" s="29" t="s">
        <v>44622</v>
      </c>
      <c r="F859" s="36" t="s">
        <v>54401</v>
      </c>
      <c r="G859" s="39">
        <v>1874837.51</v>
      </c>
      <c r="H859" s="42">
        <v>211</v>
      </c>
    </row>
    <row r="860" spans="1:8" ht="15" customHeight="1">
      <c r="A860" s="26">
        <v>7165849</v>
      </c>
      <c r="B860" s="29" t="s">
        <v>3102</v>
      </c>
      <c r="C860" s="29" t="s">
        <v>17977</v>
      </c>
      <c r="D860" s="29" t="s">
        <v>31132</v>
      </c>
      <c r="E860" s="29" t="s">
        <v>44623</v>
      </c>
      <c r="F860" s="36" t="s">
        <v>54401</v>
      </c>
      <c r="G860" s="39">
        <v>996391.09</v>
      </c>
      <c r="H860" s="42">
        <v>211</v>
      </c>
    </row>
    <row r="861" spans="1:8" ht="15" customHeight="1">
      <c r="A861" s="26">
        <v>7166075</v>
      </c>
      <c r="B861" s="29" t="s">
        <v>3103</v>
      </c>
      <c r="C861" s="29" t="s">
        <v>17978</v>
      </c>
      <c r="D861" s="29" t="s">
        <v>31133</v>
      </c>
      <c r="E861" s="29" t="s">
        <v>44624</v>
      </c>
      <c r="F861" s="36" t="s">
        <v>54401</v>
      </c>
      <c r="G861" s="39">
        <v>3056770.1</v>
      </c>
      <c r="H861" s="42">
        <v>211</v>
      </c>
    </row>
    <row r="862" spans="1:8" ht="15" customHeight="1">
      <c r="A862" s="26">
        <v>7166126</v>
      </c>
      <c r="B862" s="29" t="s">
        <v>3104</v>
      </c>
      <c r="C862" s="29" t="s">
        <v>17979</v>
      </c>
      <c r="D862" s="29" t="s">
        <v>31134</v>
      </c>
      <c r="E862" s="29" t="s">
        <v>44625</v>
      </c>
      <c r="F862" s="36" t="s">
        <v>54401</v>
      </c>
      <c r="G862" s="39">
        <v>4643675.1900000004</v>
      </c>
      <c r="H862" s="42">
        <v>211</v>
      </c>
    </row>
    <row r="863" spans="1:8" ht="15" customHeight="1">
      <c r="A863" s="26">
        <v>7166181</v>
      </c>
      <c r="B863" s="29" t="s">
        <v>3105</v>
      </c>
      <c r="C863" s="29" t="s">
        <v>17980</v>
      </c>
      <c r="D863" s="29" t="s">
        <v>31135</v>
      </c>
      <c r="E863" s="29" t="s">
        <v>44626</v>
      </c>
      <c r="F863" s="36" t="s">
        <v>54401</v>
      </c>
      <c r="G863" s="39">
        <v>376723.27</v>
      </c>
      <c r="H863" s="42">
        <v>211</v>
      </c>
    </row>
    <row r="864" spans="1:8" ht="15" customHeight="1">
      <c r="A864" s="26">
        <v>7166524</v>
      </c>
      <c r="B864" s="29" t="s">
        <v>3106</v>
      </c>
      <c r="C864" s="29" t="s">
        <v>17981</v>
      </c>
      <c r="D864" s="29" t="s">
        <v>31136</v>
      </c>
      <c r="E864" s="29" t="s">
        <v>43926</v>
      </c>
      <c r="F864" s="36" t="s">
        <v>54401</v>
      </c>
      <c r="G864" s="39">
        <v>22040.720000000001</v>
      </c>
      <c r="H864" s="42">
        <v>211</v>
      </c>
    </row>
    <row r="865" spans="1:8" ht="15" customHeight="1">
      <c r="A865" s="26">
        <v>7167046</v>
      </c>
      <c r="B865" s="29" t="s">
        <v>3107</v>
      </c>
      <c r="C865" s="29" t="s">
        <v>17982</v>
      </c>
      <c r="D865" s="29" t="s">
        <v>31137</v>
      </c>
      <c r="E865" s="29" t="s">
        <v>44627</v>
      </c>
      <c r="F865" s="36" t="s">
        <v>54401</v>
      </c>
      <c r="G865" s="39">
        <f>2178568.51+141458</f>
        <v>2320026.5099999998</v>
      </c>
      <c r="H865" s="42">
        <v>211</v>
      </c>
    </row>
    <row r="866" spans="1:8" ht="15" customHeight="1">
      <c r="A866" s="26">
        <v>7167180</v>
      </c>
      <c r="B866" s="29" t="s">
        <v>3108</v>
      </c>
      <c r="C866" s="29" t="s">
        <v>17983</v>
      </c>
      <c r="D866" s="29" t="s">
        <v>31138</v>
      </c>
      <c r="E866" s="29" t="s">
        <v>44628</v>
      </c>
      <c r="F866" s="36" t="s">
        <v>54401</v>
      </c>
      <c r="G866" s="39">
        <v>526247.52</v>
      </c>
      <c r="H866" s="42">
        <v>211</v>
      </c>
    </row>
    <row r="867" spans="1:8" ht="15" customHeight="1">
      <c r="A867" s="26">
        <v>7167391</v>
      </c>
      <c r="B867" s="29" t="s">
        <v>3109</v>
      </c>
      <c r="C867" s="29" t="s">
        <v>17984</v>
      </c>
      <c r="D867" s="29" t="s">
        <v>31139</v>
      </c>
      <c r="E867" s="29" t="s">
        <v>44629</v>
      </c>
      <c r="F867" s="36" t="s">
        <v>54401</v>
      </c>
      <c r="G867" s="39">
        <v>136269.72</v>
      </c>
      <c r="H867" s="42">
        <v>211</v>
      </c>
    </row>
    <row r="868" spans="1:8" ht="15" customHeight="1">
      <c r="A868" s="26">
        <v>7167738</v>
      </c>
      <c r="B868" s="29" t="s">
        <v>3110</v>
      </c>
      <c r="C868" s="29" t="s">
        <v>17985</v>
      </c>
      <c r="D868" s="29" t="s">
        <v>31140</v>
      </c>
      <c r="E868" s="29" t="s">
        <v>44630</v>
      </c>
      <c r="F868" s="36" t="s">
        <v>54401</v>
      </c>
      <c r="G868" s="39">
        <v>3588175.99</v>
      </c>
      <c r="H868" s="42">
        <v>211</v>
      </c>
    </row>
    <row r="869" spans="1:8" ht="15" customHeight="1">
      <c r="A869" s="26">
        <v>7168246</v>
      </c>
      <c r="B869" s="29" t="s">
        <v>3111</v>
      </c>
      <c r="C869" s="29" t="s">
        <v>17986</v>
      </c>
      <c r="D869" s="29" t="s">
        <v>31141</v>
      </c>
      <c r="E869" s="29" t="s">
        <v>43926</v>
      </c>
      <c r="F869" s="36" t="s">
        <v>54401</v>
      </c>
      <c r="G869" s="39">
        <v>428512.34</v>
      </c>
      <c r="H869" s="42">
        <v>211</v>
      </c>
    </row>
    <row r="870" spans="1:8" ht="15" customHeight="1">
      <c r="A870" s="26">
        <v>7168342</v>
      </c>
      <c r="B870" s="29" t="s">
        <v>3112</v>
      </c>
      <c r="C870" s="29" t="s">
        <v>17987</v>
      </c>
      <c r="D870" s="29" t="s">
        <v>31142</v>
      </c>
      <c r="E870" s="29" t="s">
        <v>44631</v>
      </c>
      <c r="F870" s="36" t="s">
        <v>54401</v>
      </c>
      <c r="G870" s="39">
        <v>546062.42000000004</v>
      </c>
      <c r="H870" s="42">
        <v>211</v>
      </c>
    </row>
    <row r="871" spans="1:8" ht="15" customHeight="1">
      <c r="A871" s="26">
        <v>7168660</v>
      </c>
      <c r="B871" s="29" t="s">
        <v>3113</v>
      </c>
      <c r="C871" s="29" t="s">
        <v>17988</v>
      </c>
      <c r="D871" s="29" t="s">
        <v>31143</v>
      </c>
      <c r="E871" s="29" t="s">
        <v>44524</v>
      </c>
      <c r="F871" s="36" t="s">
        <v>54401</v>
      </c>
      <c r="G871" s="39">
        <v>1028381.45</v>
      </c>
      <c r="H871" s="42">
        <v>211</v>
      </c>
    </row>
    <row r="872" spans="1:8" ht="15" customHeight="1">
      <c r="A872" s="26">
        <v>7169035</v>
      </c>
      <c r="B872" s="29" t="s">
        <v>3114</v>
      </c>
      <c r="C872" s="29" t="s">
        <v>17989</v>
      </c>
      <c r="D872" s="29" t="s">
        <v>31144</v>
      </c>
      <c r="E872" s="29" t="s">
        <v>44632</v>
      </c>
      <c r="F872" s="36" t="s">
        <v>54412</v>
      </c>
      <c r="G872" s="39">
        <f>2991727.42-180500</f>
        <v>2811227.42</v>
      </c>
      <c r="H872" s="42">
        <v>211</v>
      </c>
    </row>
    <row r="873" spans="1:8" ht="15" customHeight="1">
      <c r="A873" s="26">
        <v>7169661</v>
      </c>
      <c r="B873" s="29" t="s">
        <v>3115</v>
      </c>
      <c r="C873" s="29" t="s">
        <v>17990</v>
      </c>
      <c r="D873" s="29" t="s">
        <v>31145</v>
      </c>
      <c r="E873" s="29" t="s">
        <v>44633</v>
      </c>
      <c r="F873" s="36" t="s">
        <v>54401</v>
      </c>
      <c r="G873" s="39">
        <v>4764.71</v>
      </c>
      <c r="H873" s="42">
        <v>211</v>
      </c>
    </row>
    <row r="874" spans="1:8" ht="15" customHeight="1">
      <c r="A874" s="26">
        <v>7169908</v>
      </c>
      <c r="B874" s="29" t="s">
        <v>3116</v>
      </c>
      <c r="C874" s="29" t="s">
        <v>17991</v>
      </c>
      <c r="D874" s="29" t="s">
        <v>31146</v>
      </c>
      <c r="E874" s="29" t="s">
        <v>44634</v>
      </c>
      <c r="F874" s="36" t="s">
        <v>54401</v>
      </c>
      <c r="G874" s="39">
        <v>1080582.23</v>
      </c>
      <c r="H874" s="42">
        <v>211</v>
      </c>
    </row>
    <row r="875" spans="1:8" ht="15" customHeight="1">
      <c r="A875" s="26">
        <v>7169939</v>
      </c>
      <c r="B875" s="29" t="s">
        <v>3117</v>
      </c>
      <c r="C875" s="29" t="s">
        <v>17992</v>
      </c>
      <c r="D875" s="29" t="s">
        <v>31147</v>
      </c>
      <c r="E875" s="29" t="s">
        <v>44635</v>
      </c>
      <c r="F875" s="36" t="s">
        <v>54412</v>
      </c>
      <c r="G875" s="39">
        <v>382731.61</v>
      </c>
      <c r="H875" s="42">
        <v>211</v>
      </c>
    </row>
    <row r="876" spans="1:8" ht="15" customHeight="1">
      <c r="A876" s="26">
        <v>7170117</v>
      </c>
      <c r="B876" s="29" t="s">
        <v>3118</v>
      </c>
      <c r="C876" s="29" t="s">
        <v>17993</v>
      </c>
      <c r="D876" s="29" t="s">
        <v>31148</v>
      </c>
      <c r="E876" s="29" t="s">
        <v>44636</v>
      </c>
      <c r="F876" s="36" t="s">
        <v>54401</v>
      </c>
      <c r="G876" s="39">
        <v>175147.98</v>
      </c>
      <c r="H876" s="42">
        <v>211</v>
      </c>
    </row>
    <row r="877" spans="1:8" ht="15" customHeight="1">
      <c r="A877" s="26">
        <v>7170592</v>
      </c>
      <c r="B877" s="29" t="s">
        <v>3119</v>
      </c>
      <c r="C877" s="29" t="s">
        <v>17994</v>
      </c>
      <c r="D877" s="29" t="s">
        <v>31149</v>
      </c>
      <c r="E877" s="29" t="s">
        <v>44637</v>
      </c>
      <c r="F877" s="36" t="s">
        <v>54401</v>
      </c>
      <c r="G877" s="39">
        <v>4581194.28</v>
      </c>
      <c r="H877" s="42">
        <v>211</v>
      </c>
    </row>
    <row r="878" spans="1:8" ht="15" customHeight="1">
      <c r="A878" s="26">
        <v>7171180</v>
      </c>
      <c r="B878" s="29" t="s">
        <v>3120</v>
      </c>
      <c r="C878" s="29" t="s">
        <v>17995</v>
      </c>
      <c r="D878" s="29" t="s">
        <v>31150</v>
      </c>
      <c r="E878" s="29" t="s">
        <v>44638</v>
      </c>
      <c r="F878" s="36" t="s">
        <v>54401</v>
      </c>
      <c r="G878" s="39">
        <v>576038.47</v>
      </c>
      <c r="H878" s="42">
        <v>211</v>
      </c>
    </row>
    <row r="879" spans="1:8" ht="15" customHeight="1">
      <c r="A879" s="26">
        <v>7171686</v>
      </c>
      <c r="B879" s="29" t="s">
        <v>3121</v>
      </c>
      <c r="C879" s="29" t="s">
        <v>17996</v>
      </c>
      <c r="D879" s="29" t="s">
        <v>31151</v>
      </c>
      <c r="E879" s="29" t="s">
        <v>44639</v>
      </c>
      <c r="F879" s="36" t="s">
        <v>54401</v>
      </c>
      <c r="G879" s="39">
        <v>5525238.6500000004</v>
      </c>
      <c r="H879" s="42">
        <v>211</v>
      </c>
    </row>
    <row r="880" spans="1:8" ht="15" customHeight="1">
      <c r="A880" s="26">
        <v>7172069</v>
      </c>
      <c r="B880" s="29" t="s">
        <v>3122</v>
      </c>
      <c r="C880" s="29" t="s">
        <v>17997</v>
      </c>
      <c r="D880" s="29" t="s">
        <v>31152</v>
      </c>
      <c r="E880" s="29" t="s">
        <v>44640</v>
      </c>
      <c r="F880" s="36" t="s">
        <v>54401</v>
      </c>
      <c r="G880" s="39">
        <v>718483.36</v>
      </c>
      <c r="H880" s="42">
        <v>211</v>
      </c>
    </row>
    <row r="881" spans="1:8" ht="15" customHeight="1">
      <c r="A881" s="26">
        <v>7172141</v>
      </c>
      <c r="B881" s="29" t="s">
        <v>3123</v>
      </c>
      <c r="C881" s="29" t="s">
        <v>17998</v>
      </c>
      <c r="D881" s="29" t="s">
        <v>31153</v>
      </c>
      <c r="E881" s="29" t="s">
        <v>44641</v>
      </c>
      <c r="F881" s="36" t="s">
        <v>54401</v>
      </c>
      <c r="G881" s="39">
        <v>3861675.64</v>
      </c>
      <c r="H881" s="42">
        <v>211</v>
      </c>
    </row>
    <row r="882" spans="1:8" ht="15" customHeight="1">
      <c r="A882" s="26">
        <v>7172649</v>
      </c>
      <c r="B882" s="29" t="s">
        <v>3124</v>
      </c>
      <c r="C882" s="29" t="s">
        <v>17204</v>
      </c>
      <c r="D882" s="29" t="s">
        <v>30349</v>
      </c>
      <c r="E882" s="29" t="s">
        <v>43926</v>
      </c>
      <c r="F882" s="36" t="s">
        <v>54401</v>
      </c>
      <c r="G882" s="39">
        <v>529054.52</v>
      </c>
      <c r="H882" s="42">
        <v>211</v>
      </c>
    </row>
    <row r="883" spans="1:8" ht="15" customHeight="1">
      <c r="A883" s="26">
        <v>7173280</v>
      </c>
      <c r="B883" s="29" t="s">
        <v>3125</v>
      </c>
      <c r="C883" s="29" t="s">
        <v>17999</v>
      </c>
      <c r="D883" s="29" t="s">
        <v>31154</v>
      </c>
      <c r="E883" s="29" t="s">
        <v>44642</v>
      </c>
      <c r="F883" s="36" t="s">
        <v>54401</v>
      </c>
      <c r="G883" s="39">
        <v>88932.79</v>
      </c>
      <c r="H883" s="42">
        <v>211</v>
      </c>
    </row>
    <row r="884" spans="1:8" ht="15" customHeight="1">
      <c r="A884" s="26">
        <v>7173426</v>
      </c>
      <c r="B884" s="29" t="s">
        <v>3126</v>
      </c>
      <c r="C884" s="29" t="s">
        <v>18000</v>
      </c>
      <c r="D884" s="29" t="s">
        <v>31155</v>
      </c>
      <c r="E884" s="29" t="s">
        <v>44643</v>
      </c>
      <c r="F884" s="36" t="s">
        <v>54401</v>
      </c>
      <c r="G884" s="39">
        <v>157240.12</v>
      </c>
      <c r="H884" s="42">
        <v>211</v>
      </c>
    </row>
    <row r="885" spans="1:8" ht="15" customHeight="1">
      <c r="A885" s="26">
        <v>7174077</v>
      </c>
      <c r="B885" s="29" t="s">
        <v>3127</v>
      </c>
      <c r="C885" s="29" t="s">
        <v>18001</v>
      </c>
      <c r="D885" s="29" t="s">
        <v>31156</v>
      </c>
      <c r="E885" s="29" t="s">
        <v>44644</v>
      </c>
      <c r="F885" s="36" t="s">
        <v>54401</v>
      </c>
      <c r="G885" s="39">
        <v>5015964.2</v>
      </c>
      <c r="H885" s="42">
        <v>211</v>
      </c>
    </row>
    <row r="886" spans="1:8" ht="15" customHeight="1">
      <c r="A886" s="26">
        <v>7174164</v>
      </c>
      <c r="B886" s="29" t="s">
        <v>3128</v>
      </c>
      <c r="C886" s="29" t="s">
        <v>18002</v>
      </c>
      <c r="D886" s="29" t="s">
        <v>31157</v>
      </c>
      <c r="E886" s="29" t="s">
        <v>44645</v>
      </c>
      <c r="F886" s="36" t="s">
        <v>54401</v>
      </c>
      <c r="G886" s="39">
        <v>410468.54</v>
      </c>
      <c r="H886" s="42">
        <v>211</v>
      </c>
    </row>
    <row r="887" spans="1:8" ht="15" customHeight="1">
      <c r="A887" s="26">
        <v>7176488</v>
      </c>
      <c r="B887" s="29" t="s">
        <v>3129</v>
      </c>
      <c r="C887" s="29" t="s">
        <v>18003</v>
      </c>
      <c r="D887" s="29" t="s">
        <v>31158</v>
      </c>
      <c r="E887" s="29" t="s">
        <v>44646</v>
      </c>
      <c r="F887" s="36" t="s">
        <v>54401</v>
      </c>
      <c r="G887" s="39">
        <v>18477338.260000002</v>
      </c>
      <c r="H887" s="42">
        <v>211</v>
      </c>
    </row>
    <row r="888" spans="1:8" ht="15" customHeight="1">
      <c r="A888" s="26">
        <v>7176541</v>
      </c>
      <c r="B888" s="29" t="s">
        <v>3130</v>
      </c>
      <c r="C888" s="29" t="s">
        <v>18004</v>
      </c>
      <c r="D888" s="29" t="s">
        <v>31159</v>
      </c>
      <c r="E888" s="29" t="s">
        <v>44647</v>
      </c>
      <c r="F888" s="36" t="s">
        <v>54402</v>
      </c>
      <c r="G888" s="39">
        <v>542101.82999999996</v>
      </c>
      <c r="H888" s="42">
        <v>211</v>
      </c>
    </row>
    <row r="889" spans="1:8" ht="15" customHeight="1">
      <c r="A889" s="26">
        <v>7176712</v>
      </c>
      <c r="B889" s="29" t="s">
        <v>3131</v>
      </c>
      <c r="C889" s="29" t="s">
        <v>18005</v>
      </c>
      <c r="D889" s="29" t="s">
        <v>31160</v>
      </c>
      <c r="E889" s="29" t="s">
        <v>44648</v>
      </c>
      <c r="F889" s="36" t="s">
        <v>54401</v>
      </c>
      <c r="G889" s="39">
        <v>477191.52</v>
      </c>
      <c r="H889" s="42">
        <v>211</v>
      </c>
    </row>
    <row r="890" spans="1:8" ht="15" customHeight="1">
      <c r="A890" s="26">
        <v>7176918</v>
      </c>
      <c r="B890" s="29" t="s">
        <v>3132</v>
      </c>
      <c r="C890" s="26" t="s">
        <v>18006</v>
      </c>
      <c r="D890" s="26" t="s">
        <v>31161</v>
      </c>
      <c r="E890" s="26" t="s">
        <v>43926</v>
      </c>
      <c r="F890" s="37" t="s">
        <v>54401</v>
      </c>
      <c r="G890" s="39">
        <v>112821.14</v>
      </c>
      <c r="H890" s="42">
        <v>211</v>
      </c>
    </row>
    <row r="891" spans="1:8" ht="15" customHeight="1">
      <c r="A891" s="26">
        <v>7177058</v>
      </c>
      <c r="B891" s="29" t="s">
        <v>3133</v>
      </c>
      <c r="C891" s="29" t="s">
        <v>18007</v>
      </c>
      <c r="D891" s="29" t="s">
        <v>31162</v>
      </c>
      <c r="E891" s="29" t="s">
        <v>44649</v>
      </c>
      <c r="F891" s="36" t="s">
        <v>54401</v>
      </c>
      <c r="G891" s="39">
        <v>1105109.5900000001</v>
      </c>
      <c r="H891" s="42">
        <v>211</v>
      </c>
    </row>
    <row r="892" spans="1:8" ht="15" customHeight="1">
      <c r="A892" s="26">
        <v>7177139</v>
      </c>
      <c r="B892" s="29" t="s">
        <v>3134</v>
      </c>
      <c r="C892" s="29" t="s">
        <v>18008</v>
      </c>
      <c r="D892" s="29" t="s">
        <v>31163</v>
      </c>
      <c r="E892" s="29" t="s">
        <v>44650</v>
      </c>
      <c r="F892" s="36" t="s">
        <v>54401</v>
      </c>
      <c r="G892" s="39">
        <f>1152152.38+285631</f>
        <v>1437783.38</v>
      </c>
      <c r="H892" s="42">
        <v>211</v>
      </c>
    </row>
    <row r="893" spans="1:8" ht="15" customHeight="1">
      <c r="A893" s="26">
        <v>7177430</v>
      </c>
      <c r="B893" s="29" t="s">
        <v>3135</v>
      </c>
      <c r="C893" s="29" t="s">
        <v>18009</v>
      </c>
      <c r="D893" s="29" t="s">
        <v>31164</v>
      </c>
      <c r="E893" s="29" t="s">
        <v>44651</v>
      </c>
      <c r="F893" s="36" t="s">
        <v>54401</v>
      </c>
      <c r="G893" s="39">
        <v>6046313.0999999996</v>
      </c>
      <c r="H893" s="42">
        <v>211</v>
      </c>
    </row>
    <row r="894" spans="1:8" ht="15" customHeight="1">
      <c r="A894" s="26">
        <v>7177636</v>
      </c>
      <c r="B894" s="29" t="s">
        <v>3136</v>
      </c>
      <c r="C894" s="29" t="s">
        <v>18010</v>
      </c>
      <c r="D894" s="29" t="s">
        <v>31165</v>
      </c>
      <c r="E894" s="29" t="s">
        <v>44652</v>
      </c>
      <c r="F894" s="36" t="s">
        <v>54401</v>
      </c>
      <c r="G894" s="39">
        <v>356100.39</v>
      </c>
      <c r="H894" s="42">
        <v>211</v>
      </c>
    </row>
    <row r="895" spans="1:8" ht="15" customHeight="1">
      <c r="A895" s="26">
        <v>7178359</v>
      </c>
      <c r="B895" s="29" t="s">
        <v>3137</v>
      </c>
      <c r="C895" s="29" t="s">
        <v>18011</v>
      </c>
      <c r="D895" s="29" t="s">
        <v>31166</v>
      </c>
      <c r="E895" s="29" t="s">
        <v>44653</v>
      </c>
      <c r="F895" s="36" t="s">
        <v>54401</v>
      </c>
      <c r="G895" s="39">
        <f>3295659.31+572508</f>
        <v>3868167.31</v>
      </c>
      <c r="H895" s="42">
        <v>211</v>
      </c>
    </row>
    <row r="896" spans="1:8" ht="15" customHeight="1">
      <c r="A896" s="26">
        <v>7178498</v>
      </c>
      <c r="B896" s="29" t="s">
        <v>3138</v>
      </c>
      <c r="C896" s="29" t="s">
        <v>18012</v>
      </c>
      <c r="D896" s="29" t="s">
        <v>31167</v>
      </c>
      <c r="E896" s="29" t="s">
        <v>44654</v>
      </c>
      <c r="F896" s="36" t="s">
        <v>54401</v>
      </c>
      <c r="G896" s="39">
        <v>4752857.57</v>
      </c>
      <c r="H896" s="42">
        <v>211</v>
      </c>
    </row>
    <row r="897" spans="1:8" ht="15" customHeight="1">
      <c r="A897" s="26">
        <v>7178524</v>
      </c>
      <c r="B897" s="29" t="s">
        <v>3139</v>
      </c>
      <c r="C897" s="29" t="s">
        <v>18013</v>
      </c>
      <c r="D897" s="29" t="s">
        <v>31168</v>
      </c>
      <c r="E897" s="29" t="s">
        <v>44655</v>
      </c>
      <c r="F897" s="36" t="s">
        <v>54401</v>
      </c>
      <c r="G897" s="39">
        <v>955244.49</v>
      </c>
      <c r="H897" s="42">
        <v>211</v>
      </c>
    </row>
    <row r="898" spans="1:8" ht="15" customHeight="1">
      <c r="A898" s="26">
        <v>7178722</v>
      </c>
      <c r="B898" s="29" t="s">
        <v>3140</v>
      </c>
      <c r="C898" s="29" t="s">
        <v>17204</v>
      </c>
      <c r="D898" s="29" t="s">
        <v>30349</v>
      </c>
      <c r="E898" s="29" t="s">
        <v>43926</v>
      </c>
      <c r="F898" s="36" t="s">
        <v>54401</v>
      </c>
      <c r="G898" s="39">
        <v>47237.47</v>
      </c>
      <c r="H898" s="42">
        <v>211</v>
      </c>
    </row>
    <row r="899" spans="1:8" ht="15" customHeight="1">
      <c r="A899" s="26">
        <v>7178850</v>
      </c>
      <c r="B899" s="29" t="s">
        <v>3141</v>
      </c>
      <c r="C899" s="29" t="s">
        <v>18014</v>
      </c>
      <c r="D899" s="29" t="s">
        <v>31169</v>
      </c>
      <c r="E899" s="29" t="s">
        <v>44656</v>
      </c>
      <c r="F899" s="36" t="s">
        <v>54401</v>
      </c>
      <c r="G899" s="39">
        <v>2699032.38</v>
      </c>
      <c r="H899" s="42">
        <v>211</v>
      </c>
    </row>
    <row r="900" spans="1:8" ht="15" customHeight="1">
      <c r="A900" s="26">
        <v>7178880</v>
      </c>
      <c r="B900" s="29" t="s">
        <v>3142</v>
      </c>
      <c r="C900" s="29" t="s">
        <v>18015</v>
      </c>
      <c r="D900" s="29" t="s">
        <v>31170</v>
      </c>
      <c r="E900" s="29" t="s">
        <v>44657</v>
      </c>
      <c r="F900" s="36" t="s">
        <v>54401</v>
      </c>
      <c r="G900" s="39">
        <v>1015782.4</v>
      </c>
      <c r="H900" s="42">
        <v>211</v>
      </c>
    </row>
    <row r="901" spans="1:8" ht="15" customHeight="1">
      <c r="A901" s="26">
        <v>7179204</v>
      </c>
      <c r="B901" s="29" t="s">
        <v>3143</v>
      </c>
      <c r="C901" s="29" t="s">
        <v>18016</v>
      </c>
      <c r="D901" s="29" t="s">
        <v>31171</v>
      </c>
      <c r="E901" s="29" t="s">
        <v>44658</v>
      </c>
      <c r="F901" s="36" t="s">
        <v>54412</v>
      </c>
      <c r="G901" s="39">
        <v>904501.18</v>
      </c>
      <c r="H901" s="42">
        <v>211</v>
      </c>
    </row>
    <row r="902" spans="1:8" ht="15" customHeight="1">
      <c r="A902" s="26">
        <v>7179290</v>
      </c>
      <c r="B902" s="29" t="s">
        <v>3144</v>
      </c>
      <c r="C902" s="29" t="s">
        <v>18017</v>
      </c>
      <c r="D902" s="29" t="s">
        <v>31172</v>
      </c>
      <c r="E902" s="29" t="s">
        <v>44659</v>
      </c>
      <c r="F902" s="36" t="s">
        <v>54401</v>
      </c>
      <c r="G902" s="39">
        <v>1793108.34</v>
      </c>
      <c r="H902" s="42">
        <v>211</v>
      </c>
    </row>
    <row r="903" spans="1:8" ht="15" customHeight="1">
      <c r="A903" s="26">
        <v>7179575</v>
      </c>
      <c r="B903" s="29" t="s">
        <v>3145</v>
      </c>
      <c r="C903" s="29" t="s">
        <v>18018</v>
      </c>
      <c r="D903" s="29" t="s">
        <v>31173</v>
      </c>
      <c r="E903" s="29" t="s">
        <v>43926</v>
      </c>
      <c r="F903" s="36" t="s">
        <v>54401</v>
      </c>
      <c r="G903" s="39">
        <v>286958.57</v>
      </c>
      <c r="H903" s="42">
        <v>211</v>
      </c>
    </row>
    <row r="904" spans="1:8" ht="15" customHeight="1">
      <c r="A904" s="26">
        <v>7179612</v>
      </c>
      <c r="B904" s="29" t="s">
        <v>3146</v>
      </c>
      <c r="C904" s="29" t="s">
        <v>18019</v>
      </c>
      <c r="D904" s="29" t="s">
        <v>31174</v>
      </c>
      <c r="E904" s="29" t="s">
        <v>44660</v>
      </c>
      <c r="F904" s="36" t="s">
        <v>54401</v>
      </c>
      <c r="G904" s="39">
        <v>2019862.52</v>
      </c>
      <c r="H904" s="42">
        <v>211</v>
      </c>
    </row>
    <row r="905" spans="1:8" ht="15" customHeight="1">
      <c r="A905" s="26">
        <v>7179945</v>
      </c>
      <c r="B905" s="29" t="s">
        <v>3147</v>
      </c>
      <c r="C905" s="29" t="s">
        <v>18020</v>
      </c>
      <c r="D905" s="29" t="s">
        <v>31175</v>
      </c>
      <c r="E905" s="29" t="s">
        <v>44661</v>
      </c>
      <c r="F905" s="36" t="s">
        <v>54401</v>
      </c>
      <c r="G905" s="39">
        <v>849235.12</v>
      </c>
      <c r="H905" s="42">
        <v>211</v>
      </c>
    </row>
    <row r="906" spans="1:8" ht="15" customHeight="1">
      <c r="A906" s="26">
        <v>7179948</v>
      </c>
      <c r="B906" s="29" t="s">
        <v>3148</v>
      </c>
      <c r="C906" s="29" t="s">
        <v>18021</v>
      </c>
      <c r="D906" s="29" t="s">
        <v>31176</v>
      </c>
      <c r="E906" s="29" t="s">
        <v>44662</v>
      </c>
      <c r="F906" s="36" t="s">
        <v>54401</v>
      </c>
      <c r="G906" s="39">
        <v>3646749.14</v>
      </c>
      <c r="H906" s="42">
        <v>211</v>
      </c>
    </row>
    <row r="907" spans="1:8" ht="15" customHeight="1">
      <c r="A907" s="26">
        <v>7180202</v>
      </c>
      <c r="B907" s="29" t="s">
        <v>3149</v>
      </c>
      <c r="C907" s="29" t="s">
        <v>18022</v>
      </c>
      <c r="D907" s="29" t="s">
        <v>31177</v>
      </c>
      <c r="E907" s="29" t="s">
        <v>44663</v>
      </c>
      <c r="F907" s="36" t="s">
        <v>54401</v>
      </c>
      <c r="G907" s="39">
        <v>683037.72</v>
      </c>
      <c r="H907" s="42">
        <v>211</v>
      </c>
    </row>
    <row r="908" spans="1:8" ht="15" customHeight="1">
      <c r="A908" s="26">
        <v>7180297</v>
      </c>
      <c r="B908" s="29" t="s">
        <v>3150</v>
      </c>
      <c r="C908" s="26" t="s">
        <v>17204</v>
      </c>
      <c r="D908" s="26" t="s">
        <v>30349</v>
      </c>
      <c r="E908" s="26" t="s">
        <v>43926</v>
      </c>
      <c r="F908" s="37" t="s">
        <v>54401</v>
      </c>
      <c r="G908" s="39">
        <v>337775.43</v>
      </c>
      <c r="H908" s="42">
        <v>211</v>
      </c>
    </row>
    <row r="909" spans="1:8" ht="15" customHeight="1">
      <c r="A909" s="26">
        <v>7180298</v>
      </c>
      <c r="B909" s="29" t="s">
        <v>3151</v>
      </c>
      <c r="C909" s="29" t="s">
        <v>18023</v>
      </c>
      <c r="D909" s="29" t="s">
        <v>31178</v>
      </c>
      <c r="E909" s="29" t="s">
        <v>44664</v>
      </c>
      <c r="F909" s="36" t="s">
        <v>54401</v>
      </c>
      <c r="G909" s="39">
        <v>3293777.02</v>
      </c>
      <c r="H909" s="42">
        <v>211</v>
      </c>
    </row>
    <row r="910" spans="1:8" ht="15" customHeight="1">
      <c r="A910" s="26">
        <v>7180436</v>
      </c>
      <c r="B910" s="29" t="s">
        <v>3152</v>
      </c>
      <c r="C910" s="29" t="s">
        <v>18024</v>
      </c>
      <c r="D910" s="29" t="s">
        <v>31179</v>
      </c>
      <c r="E910" s="29" t="s">
        <v>44665</v>
      </c>
      <c r="F910" s="36" t="s">
        <v>54412</v>
      </c>
      <c r="G910" s="39">
        <v>458347.24</v>
      </c>
      <c r="H910" s="42">
        <v>211</v>
      </c>
    </row>
    <row r="911" spans="1:8" ht="15" customHeight="1">
      <c r="A911" s="26">
        <v>7180539</v>
      </c>
      <c r="B911" s="29" t="s">
        <v>3153</v>
      </c>
      <c r="C911" s="29" t="s">
        <v>18025</v>
      </c>
      <c r="D911" s="29" t="s">
        <v>31180</v>
      </c>
      <c r="E911" s="29" t="s">
        <v>44666</v>
      </c>
      <c r="F911" s="36" t="s">
        <v>54401</v>
      </c>
      <c r="G911" s="39">
        <v>1735406.63</v>
      </c>
      <c r="H911" s="42">
        <v>211</v>
      </c>
    </row>
    <row r="912" spans="1:8" ht="15" customHeight="1">
      <c r="A912" s="26">
        <v>7180768</v>
      </c>
      <c r="B912" s="29" t="s">
        <v>3154</v>
      </c>
      <c r="C912" s="29" t="s">
        <v>18026</v>
      </c>
      <c r="D912" s="29" t="s">
        <v>31181</v>
      </c>
      <c r="E912" s="29" t="s">
        <v>44667</v>
      </c>
      <c r="F912" s="36" t="s">
        <v>54401</v>
      </c>
      <c r="G912" s="39">
        <v>1183351.51</v>
      </c>
      <c r="H912" s="42">
        <v>211</v>
      </c>
    </row>
    <row r="913" spans="1:8" ht="15" customHeight="1">
      <c r="A913" s="26">
        <v>7181093</v>
      </c>
      <c r="B913" s="29" t="s">
        <v>3155</v>
      </c>
      <c r="C913" s="29" t="s">
        <v>18027</v>
      </c>
      <c r="D913" s="29" t="s">
        <v>31182</v>
      </c>
      <c r="E913" s="29" t="s">
        <v>44668</v>
      </c>
      <c r="F913" s="36" t="s">
        <v>54401</v>
      </c>
      <c r="G913" s="39">
        <v>230794.93</v>
      </c>
      <c r="H913" s="42">
        <v>211</v>
      </c>
    </row>
    <row r="914" spans="1:8" ht="15" customHeight="1">
      <c r="A914" s="26">
        <v>7181138</v>
      </c>
      <c r="B914" s="29" t="s">
        <v>3156</v>
      </c>
      <c r="C914" s="26" t="s">
        <v>18028</v>
      </c>
      <c r="D914" s="26" t="s">
        <v>31183</v>
      </c>
      <c r="E914" s="26" t="s">
        <v>44669</v>
      </c>
      <c r="F914" s="37" t="s">
        <v>54401</v>
      </c>
      <c r="G914" s="39">
        <v>2358215.36</v>
      </c>
      <c r="H914" s="42">
        <v>211</v>
      </c>
    </row>
    <row r="915" spans="1:8" ht="15" customHeight="1">
      <c r="A915" s="26">
        <v>7181261</v>
      </c>
      <c r="B915" s="29" t="s">
        <v>3157</v>
      </c>
      <c r="C915" s="29" t="s">
        <v>18029</v>
      </c>
      <c r="D915" s="29" t="s">
        <v>31184</v>
      </c>
      <c r="E915" s="29" t="s">
        <v>44670</v>
      </c>
      <c r="F915" s="36" t="s">
        <v>54402</v>
      </c>
      <c r="G915" s="39">
        <v>2354162.64</v>
      </c>
      <c r="H915" s="42">
        <v>211</v>
      </c>
    </row>
    <row r="916" spans="1:8" ht="15" customHeight="1">
      <c r="A916" s="26">
        <v>7181331</v>
      </c>
      <c r="B916" s="29" t="s">
        <v>3158</v>
      </c>
      <c r="C916" s="29" t="s">
        <v>18030</v>
      </c>
      <c r="D916" s="29" t="s">
        <v>31185</v>
      </c>
      <c r="E916" s="29" t="s">
        <v>43926</v>
      </c>
      <c r="F916" s="36" t="s">
        <v>54401</v>
      </c>
      <c r="G916" s="39">
        <v>130719.74</v>
      </c>
      <c r="H916" s="42">
        <v>211</v>
      </c>
    </row>
    <row r="917" spans="1:8" ht="15" customHeight="1">
      <c r="A917" s="26">
        <v>7181381</v>
      </c>
      <c r="B917" s="29" t="s">
        <v>3159</v>
      </c>
      <c r="C917" s="29" t="s">
        <v>18031</v>
      </c>
      <c r="D917" s="29" t="s">
        <v>31186</v>
      </c>
      <c r="E917" s="29" t="s">
        <v>44671</v>
      </c>
      <c r="F917" s="36" t="s">
        <v>54401</v>
      </c>
      <c r="G917" s="39">
        <v>2202013.04</v>
      </c>
      <c r="H917" s="42">
        <v>211</v>
      </c>
    </row>
    <row r="918" spans="1:8" ht="15" customHeight="1">
      <c r="A918" s="26">
        <v>7181964</v>
      </c>
      <c r="B918" s="29" t="s">
        <v>3160</v>
      </c>
      <c r="C918" s="29" t="s">
        <v>18032</v>
      </c>
      <c r="D918" s="29" t="s">
        <v>30349</v>
      </c>
      <c r="E918" s="29" t="s">
        <v>44672</v>
      </c>
      <c r="F918" s="36" t="s">
        <v>54401</v>
      </c>
      <c r="G918" s="39">
        <v>401975.11</v>
      </c>
      <c r="H918" s="42">
        <v>211</v>
      </c>
    </row>
    <row r="919" spans="1:8" ht="15" customHeight="1">
      <c r="A919" s="26">
        <v>7182387</v>
      </c>
      <c r="B919" s="29" t="s">
        <v>3161</v>
      </c>
      <c r="C919" s="26" t="s">
        <v>18033</v>
      </c>
      <c r="D919" s="26" t="s">
        <v>31187</v>
      </c>
      <c r="E919" s="26" t="s">
        <v>44673</v>
      </c>
      <c r="F919" s="37" t="s">
        <v>54401</v>
      </c>
      <c r="G919" s="39">
        <v>535691.49</v>
      </c>
      <c r="H919" s="42">
        <v>211</v>
      </c>
    </row>
    <row r="920" spans="1:8" ht="15" customHeight="1">
      <c r="A920" s="26">
        <v>7182895</v>
      </c>
      <c r="B920" s="29" t="s">
        <v>3162</v>
      </c>
      <c r="C920" s="29" t="s">
        <v>18034</v>
      </c>
      <c r="D920" s="29" t="s">
        <v>31188</v>
      </c>
      <c r="E920" s="29" t="s">
        <v>44674</v>
      </c>
      <c r="F920" s="36" t="s">
        <v>54413</v>
      </c>
      <c r="G920" s="39">
        <v>664494.51</v>
      </c>
      <c r="H920" s="42">
        <v>211</v>
      </c>
    </row>
    <row r="921" spans="1:8" ht="15" customHeight="1">
      <c r="A921" s="26">
        <v>7183263</v>
      </c>
      <c r="B921" s="29" t="s">
        <v>3163</v>
      </c>
      <c r="C921" s="29" t="s">
        <v>18035</v>
      </c>
      <c r="D921" s="29" t="s">
        <v>31189</v>
      </c>
      <c r="E921" s="29" t="s">
        <v>44675</v>
      </c>
      <c r="F921" s="36" t="s">
        <v>54401</v>
      </c>
      <c r="G921" s="39">
        <v>2432299.33</v>
      </c>
      <c r="H921" s="42">
        <v>211</v>
      </c>
    </row>
    <row r="922" spans="1:8" ht="15" customHeight="1">
      <c r="A922" s="26">
        <v>7183552</v>
      </c>
      <c r="B922" s="29" t="s">
        <v>3164</v>
      </c>
      <c r="C922" s="29" t="s">
        <v>18036</v>
      </c>
      <c r="D922" s="29" t="s">
        <v>31190</v>
      </c>
      <c r="E922" s="29" t="s">
        <v>44676</v>
      </c>
      <c r="F922" s="36" t="s">
        <v>54401</v>
      </c>
      <c r="G922" s="39">
        <v>373147.57</v>
      </c>
      <c r="H922" s="42">
        <v>211</v>
      </c>
    </row>
    <row r="923" spans="1:8" ht="15" customHeight="1">
      <c r="A923" s="26">
        <v>7183615</v>
      </c>
      <c r="B923" s="29" t="s">
        <v>3165</v>
      </c>
      <c r="C923" s="29" t="s">
        <v>18037</v>
      </c>
      <c r="D923" s="29" t="s">
        <v>31191</v>
      </c>
      <c r="E923" s="29" t="s">
        <v>44677</v>
      </c>
      <c r="F923" s="36" t="s">
        <v>54401</v>
      </c>
      <c r="G923" s="39">
        <v>609958.80000000005</v>
      </c>
      <c r="H923" s="42">
        <v>211</v>
      </c>
    </row>
    <row r="924" spans="1:8" ht="15" customHeight="1">
      <c r="A924" s="26">
        <v>7183618</v>
      </c>
      <c r="B924" s="29" t="s">
        <v>3166</v>
      </c>
      <c r="C924" s="29" t="s">
        <v>17204</v>
      </c>
      <c r="D924" s="29" t="s">
        <v>30349</v>
      </c>
      <c r="E924" s="29" t="s">
        <v>43926</v>
      </c>
      <c r="F924" s="36" t="s">
        <v>54401</v>
      </c>
      <c r="G924" s="39">
        <v>87342.34</v>
      </c>
      <c r="H924" s="42">
        <v>211</v>
      </c>
    </row>
    <row r="925" spans="1:8" ht="15" customHeight="1">
      <c r="A925" s="26">
        <v>7184130</v>
      </c>
      <c r="B925" s="29" t="s">
        <v>3167</v>
      </c>
      <c r="C925" s="26" t="s">
        <v>18038</v>
      </c>
      <c r="D925" s="26" t="s">
        <v>31192</v>
      </c>
      <c r="E925" s="26" t="s">
        <v>44678</v>
      </c>
      <c r="F925" s="37" t="s">
        <v>54401</v>
      </c>
      <c r="G925" s="39">
        <v>314404.34000000003</v>
      </c>
      <c r="H925" s="42">
        <v>211</v>
      </c>
    </row>
    <row r="926" spans="1:8" ht="15" customHeight="1">
      <c r="A926" s="26">
        <v>7184624</v>
      </c>
      <c r="B926" s="29" t="s">
        <v>3168</v>
      </c>
      <c r="C926" s="29" t="s">
        <v>18039</v>
      </c>
      <c r="D926" s="29" t="s">
        <v>31193</v>
      </c>
      <c r="E926" s="29" t="s">
        <v>44679</v>
      </c>
      <c r="F926" s="36" t="s">
        <v>54408</v>
      </c>
      <c r="G926" s="39">
        <v>4252975.9400000004</v>
      </c>
      <c r="H926" s="42">
        <v>211</v>
      </c>
    </row>
    <row r="927" spans="1:8" ht="15" customHeight="1">
      <c r="A927" s="26">
        <v>7185128</v>
      </c>
      <c r="B927" s="29" t="s">
        <v>3169</v>
      </c>
      <c r="C927" s="29" t="s">
        <v>18040</v>
      </c>
      <c r="D927" s="29" t="s">
        <v>31194</v>
      </c>
      <c r="E927" s="29" t="s">
        <v>44680</v>
      </c>
      <c r="F927" s="36" t="s">
        <v>54401</v>
      </c>
      <c r="G927" s="39">
        <v>560213.88</v>
      </c>
      <c r="H927" s="42">
        <v>211</v>
      </c>
    </row>
    <row r="928" spans="1:8" ht="15" customHeight="1">
      <c r="A928" s="26">
        <v>7185283</v>
      </c>
      <c r="B928" s="29" t="s">
        <v>3170</v>
      </c>
      <c r="C928" s="29" t="s">
        <v>18041</v>
      </c>
      <c r="D928" s="29" t="s">
        <v>31195</v>
      </c>
      <c r="E928" s="29" t="s">
        <v>44681</v>
      </c>
      <c r="F928" s="36" t="s">
        <v>54401</v>
      </c>
      <c r="G928" s="39">
        <v>440193.14</v>
      </c>
      <c r="H928" s="42">
        <v>211</v>
      </c>
    </row>
    <row r="929" spans="1:8" ht="15" customHeight="1">
      <c r="A929" s="26">
        <v>7185455</v>
      </c>
      <c r="B929" s="29" t="s">
        <v>3171</v>
      </c>
      <c r="C929" s="29" t="s">
        <v>18042</v>
      </c>
      <c r="D929" s="29" t="s">
        <v>31196</v>
      </c>
      <c r="E929" s="29" t="s">
        <v>43926</v>
      </c>
      <c r="F929" s="36" t="s">
        <v>54401</v>
      </c>
      <c r="G929" s="39">
        <v>1071230.8700000001</v>
      </c>
      <c r="H929" s="42">
        <v>211</v>
      </c>
    </row>
    <row r="930" spans="1:8" ht="15" customHeight="1">
      <c r="A930" s="26">
        <v>7185494</v>
      </c>
      <c r="B930" s="29" t="s">
        <v>3172</v>
      </c>
      <c r="C930" s="29" t="s">
        <v>18043</v>
      </c>
      <c r="D930" s="29" t="s">
        <v>31197</v>
      </c>
      <c r="E930" s="29" t="s">
        <v>44682</v>
      </c>
      <c r="F930" s="36" t="s">
        <v>54401</v>
      </c>
      <c r="G930" s="39">
        <v>2770032.18</v>
      </c>
      <c r="H930" s="42">
        <v>211</v>
      </c>
    </row>
    <row r="931" spans="1:8" ht="15" customHeight="1">
      <c r="A931" s="26">
        <v>7185847</v>
      </c>
      <c r="B931" s="29" t="s">
        <v>3173</v>
      </c>
      <c r="C931" s="29" t="s">
        <v>18044</v>
      </c>
      <c r="D931" s="29" t="s">
        <v>30349</v>
      </c>
      <c r="E931" s="29" t="s">
        <v>44683</v>
      </c>
      <c r="F931" s="36" t="s">
        <v>54401</v>
      </c>
      <c r="G931" s="39">
        <v>299986.51</v>
      </c>
      <c r="H931" s="42">
        <v>211</v>
      </c>
    </row>
    <row r="932" spans="1:8" ht="15" customHeight="1">
      <c r="A932" s="26">
        <v>7186627</v>
      </c>
      <c r="B932" s="29" t="s">
        <v>3174</v>
      </c>
      <c r="C932" s="29" t="s">
        <v>18045</v>
      </c>
      <c r="D932" s="29" t="s">
        <v>31198</v>
      </c>
      <c r="E932" s="29" t="s">
        <v>44684</v>
      </c>
      <c r="F932" s="36" t="s">
        <v>54401</v>
      </c>
      <c r="G932" s="39">
        <f>1403882.99-14630</f>
        <v>1389252.99</v>
      </c>
      <c r="H932" s="42">
        <v>211</v>
      </c>
    </row>
    <row r="933" spans="1:8" ht="15" customHeight="1">
      <c r="A933" s="26">
        <v>7187056</v>
      </c>
      <c r="B933" s="29" t="s">
        <v>3175</v>
      </c>
      <c r="C933" s="29" t="s">
        <v>18046</v>
      </c>
      <c r="D933" s="29" t="s">
        <v>31199</v>
      </c>
      <c r="E933" s="29" t="s">
        <v>43926</v>
      </c>
      <c r="F933" s="36" t="s">
        <v>54401</v>
      </c>
      <c r="G933" s="39">
        <v>124855.63</v>
      </c>
      <c r="H933" s="42">
        <v>211</v>
      </c>
    </row>
    <row r="934" spans="1:8" ht="15" customHeight="1">
      <c r="A934" s="26">
        <v>7187279</v>
      </c>
      <c r="B934" s="29" t="s">
        <v>3176</v>
      </c>
      <c r="C934" s="26" t="s">
        <v>17204</v>
      </c>
      <c r="D934" s="26" t="s">
        <v>31200</v>
      </c>
      <c r="E934" s="26" t="s">
        <v>43926</v>
      </c>
      <c r="F934" s="37" t="s">
        <v>54401</v>
      </c>
      <c r="G934" s="39">
        <v>96325.28</v>
      </c>
      <c r="H934" s="42">
        <v>211</v>
      </c>
    </row>
    <row r="935" spans="1:8" ht="15" customHeight="1">
      <c r="A935" s="26">
        <v>7187631</v>
      </c>
      <c r="B935" s="29" t="s">
        <v>3177</v>
      </c>
      <c r="C935" s="29" t="s">
        <v>17204</v>
      </c>
      <c r="D935" s="29" t="s">
        <v>30349</v>
      </c>
      <c r="E935" s="29" t="s">
        <v>43926</v>
      </c>
      <c r="F935" s="36" t="s">
        <v>54401</v>
      </c>
      <c r="G935" s="39">
        <v>49851.29</v>
      </c>
      <c r="H935" s="42">
        <v>211</v>
      </c>
    </row>
    <row r="936" spans="1:8" ht="15" customHeight="1">
      <c r="A936" s="26">
        <v>7187648</v>
      </c>
      <c r="B936" s="29" t="s">
        <v>3178</v>
      </c>
      <c r="C936" s="29" t="s">
        <v>18047</v>
      </c>
      <c r="D936" s="29" t="s">
        <v>31201</v>
      </c>
      <c r="E936" s="29" t="s">
        <v>44685</v>
      </c>
      <c r="F936" s="36" t="s">
        <v>54401</v>
      </c>
      <c r="G936" s="39">
        <f>610338.37+77716</f>
        <v>688054.37</v>
      </c>
      <c r="H936" s="42">
        <v>211</v>
      </c>
    </row>
    <row r="937" spans="1:8" ht="15" customHeight="1">
      <c r="A937" s="26">
        <v>7187843</v>
      </c>
      <c r="B937" s="29" t="s">
        <v>3179</v>
      </c>
      <c r="C937" s="29" t="s">
        <v>18048</v>
      </c>
      <c r="D937" s="29" t="s">
        <v>31202</v>
      </c>
      <c r="E937" s="29" t="s">
        <v>44686</v>
      </c>
      <c r="F937" s="36" t="s">
        <v>54401</v>
      </c>
      <c r="G937" s="39">
        <f>375669.82+1530178+193654</f>
        <v>2099501.8200000003</v>
      </c>
      <c r="H937" s="42">
        <v>211</v>
      </c>
    </row>
    <row r="938" spans="1:8" ht="15" customHeight="1">
      <c r="A938" s="26">
        <v>7187994</v>
      </c>
      <c r="B938" s="29" t="s">
        <v>3180</v>
      </c>
      <c r="C938" s="29" t="s">
        <v>18049</v>
      </c>
      <c r="D938" s="29" t="s">
        <v>30376</v>
      </c>
      <c r="E938" s="29" t="s">
        <v>43926</v>
      </c>
      <c r="F938" s="36" t="s">
        <v>54401</v>
      </c>
      <c r="G938" s="39">
        <f>817382.96+135138</f>
        <v>952520.96</v>
      </c>
      <c r="H938" s="42">
        <v>211</v>
      </c>
    </row>
    <row r="939" spans="1:8" ht="15" customHeight="1">
      <c r="A939" s="26">
        <v>7188003</v>
      </c>
      <c r="B939" s="29" t="s">
        <v>3181</v>
      </c>
      <c r="C939" s="29" t="s">
        <v>18050</v>
      </c>
      <c r="D939" s="29" t="s">
        <v>31203</v>
      </c>
      <c r="E939" s="29" t="s">
        <v>44687</v>
      </c>
      <c r="F939" s="36" t="s">
        <v>54423</v>
      </c>
      <c r="G939" s="39">
        <v>702495.35</v>
      </c>
      <c r="H939" s="42">
        <v>211</v>
      </c>
    </row>
    <row r="940" spans="1:8" ht="15" customHeight="1">
      <c r="A940" s="26">
        <v>7188087</v>
      </c>
      <c r="B940" s="29" t="s">
        <v>3182</v>
      </c>
      <c r="C940" s="29" t="s">
        <v>18051</v>
      </c>
      <c r="D940" s="29" t="s">
        <v>31204</v>
      </c>
      <c r="E940" s="29" t="s">
        <v>44688</v>
      </c>
      <c r="F940" s="36" t="s">
        <v>54401</v>
      </c>
      <c r="G940" s="39">
        <f>1994186.82+274529</f>
        <v>2268715.8200000003</v>
      </c>
      <c r="H940" s="42">
        <v>211</v>
      </c>
    </row>
    <row r="941" spans="1:8" ht="15" customHeight="1">
      <c r="A941" s="26">
        <v>7188183</v>
      </c>
      <c r="B941" s="29" t="s">
        <v>3183</v>
      </c>
      <c r="C941" s="29" t="s">
        <v>18052</v>
      </c>
      <c r="D941" s="29" t="s">
        <v>31205</v>
      </c>
      <c r="E941" s="29" t="s">
        <v>44689</v>
      </c>
      <c r="F941" s="36" t="s">
        <v>54401</v>
      </c>
      <c r="G941" s="39">
        <v>1778079.19</v>
      </c>
      <c r="H941" s="42">
        <v>211</v>
      </c>
    </row>
    <row r="942" spans="1:8" ht="15" customHeight="1">
      <c r="A942" s="26">
        <v>7210010</v>
      </c>
      <c r="B942" s="29" t="s">
        <v>3184</v>
      </c>
      <c r="C942" s="29" t="s">
        <v>18053</v>
      </c>
      <c r="D942" s="29" t="s">
        <v>31206</v>
      </c>
      <c r="E942" s="29" t="s">
        <v>44690</v>
      </c>
      <c r="F942" s="36" t="s">
        <v>54401</v>
      </c>
      <c r="G942" s="39">
        <v>690451.68</v>
      </c>
      <c r="H942" s="42">
        <v>211</v>
      </c>
    </row>
    <row r="943" spans="1:8" ht="15" customHeight="1">
      <c r="A943" s="26">
        <v>7210527</v>
      </c>
      <c r="B943" s="29" t="s">
        <v>3185</v>
      </c>
      <c r="C943" s="29" t="s">
        <v>18054</v>
      </c>
      <c r="D943" s="29" t="s">
        <v>31207</v>
      </c>
      <c r="E943" s="29" t="s">
        <v>44691</v>
      </c>
      <c r="F943" s="36" t="s">
        <v>54409</v>
      </c>
      <c r="G943" s="39">
        <v>2573452.81</v>
      </c>
      <c r="H943" s="42">
        <v>211</v>
      </c>
    </row>
    <row r="944" spans="1:8" ht="15" customHeight="1">
      <c r="A944" s="26">
        <v>7210570</v>
      </c>
      <c r="B944" s="29" t="s">
        <v>3186</v>
      </c>
      <c r="C944" s="29" t="s">
        <v>18055</v>
      </c>
      <c r="D944" s="29" t="s">
        <v>31208</v>
      </c>
      <c r="E944" s="29" t="s">
        <v>44692</v>
      </c>
      <c r="F944" s="36" t="s">
        <v>54401</v>
      </c>
      <c r="G944" s="39">
        <v>1176679.6299999999</v>
      </c>
      <c r="H944" s="42">
        <v>211</v>
      </c>
    </row>
    <row r="945" spans="1:8" ht="15" customHeight="1">
      <c r="A945" s="26">
        <v>7210629</v>
      </c>
      <c r="B945" s="29" t="s">
        <v>3187</v>
      </c>
      <c r="C945" s="29" t="s">
        <v>18056</v>
      </c>
      <c r="D945" s="29" t="s">
        <v>31209</v>
      </c>
      <c r="E945" s="29" t="s">
        <v>44693</v>
      </c>
      <c r="F945" s="36" t="s">
        <v>54401</v>
      </c>
      <c r="G945" s="39">
        <f>3159965.52+2203231</f>
        <v>5363196.5199999996</v>
      </c>
      <c r="H945" s="42">
        <v>211</v>
      </c>
    </row>
    <row r="946" spans="1:8" ht="15" customHeight="1">
      <c r="A946" s="26">
        <v>7210823</v>
      </c>
      <c r="B946" s="29" t="s">
        <v>3188</v>
      </c>
      <c r="C946" s="29" t="s">
        <v>18057</v>
      </c>
      <c r="D946" s="29" t="s">
        <v>31210</v>
      </c>
      <c r="E946" s="29" t="s">
        <v>44694</v>
      </c>
      <c r="F946" s="36" t="s">
        <v>54401</v>
      </c>
      <c r="G946" s="39">
        <f>416720.01+142713+23023</f>
        <v>582456.01</v>
      </c>
      <c r="H946" s="42">
        <v>211</v>
      </c>
    </row>
    <row r="947" spans="1:8" ht="15" customHeight="1">
      <c r="A947" s="26">
        <v>7210835</v>
      </c>
      <c r="B947" s="29" t="s">
        <v>3189</v>
      </c>
      <c r="C947" s="29" t="s">
        <v>18058</v>
      </c>
      <c r="D947" s="29" t="s">
        <v>31211</v>
      </c>
      <c r="E947" s="29" t="s">
        <v>44695</v>
      </c>
      <c r="F947" s="36" t="s">
        <v>54401</v>
      </c>
      <c r="G947" s="39">
        <v>1726402.4</v>
      </c>
      <c r="H947" s="42">
        <v>211</v>
      </c>
    </row>
    <row r="948" spans="1:8" ht="15" customHeight="1">
      <c r="A948" s="26">
        <v>7210863</v>
      </c>
      <c r="B948" s="29" t="s">
        <v>3190</v>
      </c>
      <c r="C948" s="29" t="s">
        <v>18059</v>
      </c>
      <c r="D948" s="29" t="s">
        <v>31212</v>
      </c>
      <c r="E948" s="29" t="s">
        <v>44696</v>
      </c>
      <c r="F948" s="36" t="s">
        <v>54401</v>
      </c>
      <c r="G948" s="39">
        <v>282920.63</v>
      </c>
      <c r="H948" s="42">
        <v>211</v>
      </c>
    </row>
    <row r="949" spans="1:8" ht="15" customHeight="1">
      <c r="A949" s="26">
        <v>7210905</v>
      </c>
      <c r="B949" s="29" t="s">
        <v>3191</v>
      </c>
      <c r="C949" s="29" t="s">
        <v>18060</v>
      </c>
      <c r="D949" s="29" t="s">
        <v>31213</v>
      </c>
      <c r="E949" s="29" t="s">
        <v>44697</v>
      </c>
      <c r="F949" s="36" t="s">
        <v>54418</v>
      </c>
      <c r="G949" s="39">
        <v>2363399.16</v>
      </c>
      <c r="H949" s="42">
        <v>211</v>
      </c>
    </row>
    <row r="950" spans="1:8" ht="15" customHeight="1">
      <c r="A950" s="26">
        <v>7210941</v>
      </c>
      <c r="B950" s="29" t="s">
        <v>3192</v>
      </c>
      <c r="C950" s="29" t="s">
        <v>18061</v>
      </c>
      <c r="D950" s="29" t="s">
        <v>31214</v>
      </c>
      <c r="E950" s="29" t="s">
        <v>44698</v>
      </c>
      <c r="F950" s="36" t="s">
        <v>54401</v>
      </c>
      <c r="G950" s="39">
        <f>3064805.98+1599150</f>
        <v>4663955.9800000004</v>
      </c>
      <c r="H950" s="42">
        <v>211</v>
      </c>
    </row>
    <row r="951" spans="1:8" ht="15" customHeight="1">
      <c r="A951" s="26">
        <v>7210981</v>
      </c>
      <c r="B951" s="29" t="s">
        <v>3193</v>
      </c>
      <c r="C951" s="29" t="s">
        <v>17204</v>
      </c>
      <c r="D951" s="29" t="s">
        <v>31215</v>
      </c>
      <c r="E951" s="29" t="s">
        <v>43926</v>
      </c>
      <c r="F951" s="36" t="s">
        <v>54401</v>
      </c>
      <c r="G951" s="39">
        <v>329815.52</v>
      </c>
      <c r="H951" s="42">
        <v>211</v>
      </c>
    </row>
    <row r="952" spans="1:8" ht="15" customHeight="1">
      <c r="A952" s="26">
        <v>7211014</v>
      </c>
      <c r="B952" s="29" t="s">
        <v>3194</v>
      </c>
      <c r="C952" s="29" t="s">
        <v>17204</v>
      </c>
      <c r="D952" s="29" t="s">
        <v>30511</v>
      </c>
      <c r="E952" s="29" t="s">
        <v>43926</v>
      </c>
      <c r="F952" s="36" t="s">
        <v>54401</v>
      </c>
      <c r="G952" s="39">
        <v>317756.63</v>
      </c>
      <c r="H952" s="42">
        <v>211</v>
      </c>
    </row>
    <row r="953" spans="1:8" ht="15" customHeight="1">
      <c r="A953" s="26">
        <v>7211070</v>
      </c>
      <c r="B953" s="29" t="s">
        <v>3195</v>
      </c>
      <c r="C953" s="29" t="s">
        <v>18062</v>
      </c>
      <c r="D953" s="29" t="s">
        <v>31216</v>
      </c>
      <c r="E953" s="29" t="s">
        <v>44699</v>
      </c>
      <c r="F953" s="36" t="s">
        <v>54401</v>
      </c>
      <c r="G953" s="39">
        <f>210548.25+1592355</f>
        <v>1802903.25</v>
      </c>
      <c r="H953" s="42">
        <v>211</v>
      </c>
    </row>
    <row r="954" spans="1:8" ht="15" customHeight="1">
      <c r="A954" s="26">
        <v>7211108</v>
      </c>
      <c r="B954" s="29" t="s">
        <v>3196</v>
      </c>
      <c r="C954" s="29" t="s">
        <v>18063</v>
      </c>
      <c r="D954" s="29" t="s">
        <v>31217</v>
      </c>
      <c r="E954" s="29" t="s">
        <v>44005</v>
      </c>
      <c r="F954" s="36" t="s">
        <v>54401</v>
      </c>
      <c r="G954" s="39">
        <v>42249.16</v>
      </c>
      <c r="H954" s="42">
        <v>211</v>
      </c>
    </row>
    <row r="955" spans="1:8" ht="15" customHeight="1">
      <c r="A955" s="26">
        <v>7211246</v>
      </c>
      <c r="B955" s="29" t="s">
        <v>3197</v>
      </c>
      <c r="C955" s="29" t="s">
        <v>18064</v>
      </c>
      <c r="D955" s="29" t="s">
        <v>31218</v>
      </c>
      <c r="E955" s="29" t="s">
        <v>44700</v>
      </c>
      <c r="F955" s="36" t="s">
        <v>54401</v>
      </c>
      <c r="G955" s="39">
        <v>2303101.5</v>
      </c>
      <c r="H955" s="42">
        <v>211</v>
      </c>
    </row>
    <row r="956" spans="1:8" ht="15" customHeight="1">
      <c r="A956" s="26">
        <v>7211263</v>
      </c>
      <c r="B956" s="29" t="s">
        <v>3198</v>
      </c>
      <c r="C956" s="29" t="s">
        <v>18065</v>
      </c>
      <c r="D956" s="29" t="s">
        <v>31219</v>
      </c>
      <c r="E956" s="29" t="s">
        <v>44701</v>
      </c>
      <c r="F956" s="36" t="s">
        <v>54401</v>
      </c>
      <c r="G956" s="39">
        <f>193109.24+201129</f>
        <v>394238.24</v>
      </c>
      <c r="H956" s="42">
        <v>211</v>
      </c>
    </row>
    <row r="957" spans="1:8" ht="15" customHeight="1">
      <c r="A957" s="26">
        <v>7211336</v>
      </c>
      <c r="B957" s="29" t="s">
        <v>3199</v>
      </c>
      <c r="C957" s="29" t="s">
        <v>18066</v>
      </c>
      <c r="D957" s="29" t="s">
        <v>31220</v>
      </c>
      <c r="E957" s="29" t="s">
        <v>44702</v>
      </c>
      <c r="F957" s="36" t="s">
        <v>54401</v>
      </c>
      <c r="G957" s="39">
        <v>493792.25</v>
      </c>
      <c r="H957" s="42">
        <v>211</v>
      </c>
    </row>
    <row r="958" spans="1:8" ht="15" customHeight="1">
      <c r="A958" s="26">
        <v>7211370</v>
      </c>
      <c r="B958" s="29" t="s">
        <v>3200</v>
      </c>
      <c r="C958" s="29" t="s">
        <v>18067</v>
      </c>
      <c r="D958" s="29" t="s">
        <v>31221</v>
      </c>
      <c r="E958" s="29" t="s">
        <v>43926</v>
      </c>
      <c r="F958" s="36" t="s">
        <v>54401</v>
      </c>
      <c r="G958" s="39">
        <v>50110.84</v>
      </c>
      <c r="H958" s="42">
        <v>211</v>
      </c>
    </row>
    <row r="959" spans="1:8" ht="15" customHeight="1">
      <c r="A959" s="26">
        <v>7211442</v>
      </c>
      <c r="B959" s="29" t="s">
        <v>3201</v>
      </c>
      <c r="C959" s="26" t="s">
        <v>18068</v>
      </c>
      <c r="D959" s="26" t="s">
        <v>31222</v>
      </c>
      <c r="E959" s="26" t="s">
        <v>44703</v>
      </c>
      <c r="F959" s="37" t="s">
        <v>54401</v>
      </c>
      <c r="G959" s="39">
        <v>289691.02</v>
      </c>
      <c r="H959" s="42">
        <v>211</v>
      </c>
    </row>
    <row r="960" spans="1:8" ht="15" customHeight="1">
      <c r="A960" s="26">
        <v>7211516</v>
      </c>
      <c r="B960" s="29" t="s">
        <v>3202</v>
      </c>
      <c r="C960" s="29" t="s">
        <v>18069</v>
      </c>
      <c r="D960" s="29" t="s">
        <v>31223</v>
      </c>
      <c r="E960" s="29" t="s">
        <v>44704</v>
      </c>
      <c r="F960" s="36" t="s">
        <v>54401</v>
      </c>
      <c r="G960" s="39">
        <f>2289882.63+398998</f>
        <v>2688880.63</v>
      </c>
      <c r="H960" s="42">
        <v>211</v>
      </c>
    </row>
    <row r="961" spans="1:8" ht="15" customHeight="1">
      <c r="A961" s="26">
        <v>7211590</v>
      </c>
      <c r="B961" s="29" t="s">
        <v>3203</v>
      </c>
      <c r="C961" s="29" t="s">
        <v>18070</v>
      </c>
      <c r="D961" s="29" t="s">
        <v>30511</v>
      </c>
      <c r="E961" s="29" t="s">
        <v>43926</v>
      </c>
      <c r="F961" s="36" t="s">
        <v>54401</v>
      </c>
      <c r="G961" s="39">
        <v>22771.43</v>
      </c>
      <c r="H961" s="42">
        <v>211</v>
      </c>
    </row>
    <row r="962" spans="1:8" ht="15" customHeight="1">
      <c r="A962" s="26">
        <v>7211609</v>
      </c>
      <c r="B962" s="29" t="s">
        <v>3204</v>
      </c>
      <c r="C962" s="29" t="s">
        <v>18071</v>
      </c>
      <c r="D962" s="29" t="s">
        <v>31224</v>
      </c>
      <c r="E962" s="29" t="s">
        <v>44705</v>
      </c>
      <c r="F962" s="36" t="s">
        <v>54401</v>
      </c>
      <c r="G962" s="39">
        <v>3269248.3</v>
      </c>
      <c r="H962" s="42">
        <v>211</v>
      </c>
    </row>
    <row r="963" spans="1:8" ht="15" customHeight="1">
      <c r="A963" s="26">
        <v>7211678</v>
      </c>
      <c r="B963" s="29" t="s">
        <v>3205</v>
      </c>
      <c r="C963" s="29" t="s">
        <v>18072</v>
      </c>
      <c r="D963" s="29" t="s">
        <v>31225</v>
      </c>
      <c r="E963" s="29" t="s">
        <v>44706</v>
      </c>
      <c r="F963" s="36" t="s">
        <v>54401</v>
      </c>
      <c r="G963" s="39">
        <v>2141302.6800000002</v>
      </c>
      <c r="H963" s="42">
        <v>211</v>
      </c>
    </row>
    <row r="964" spans="1:8" ht="15" customHeight="1">
      <c r="A964" s="26">
        <v>7211744</v>
      </c>
      <c r="B964" s="29" t="s">
        <v>3206</v>
      </c>
      <c r="C964" s="29" t="s">
        <v>18073</v>
      </c>
      <c r="D964" s="29" t="s">
        <v>31226</v>
      </c>
      <c r="E964" s="29" t="s">
        <v>44707</v>
      </c>
      <c r="F964" s="36" t="s">
        <v>54401</v>
      </c>
      <c r="G964" s="39">
        <v>12931.43</v>
      </c>
      <c r="H964" s="42">
        <v>211</v>
      </c>
    </row>
    <row r="965" spans="1:8" ht="15" customHeight="1">
      <c r="A965" s="26">
        <v>7211751</v>
      </c>
      <c r="B965" s="29" t="s">
        <v>3207</v>
      </c>
      <c r="C965" s="29" t="s">
        <v>18074</v>
      </c>
      <c r="D965" s="29" t="s">
        <v>31227</v>
      </c>
      <c r="E965" s="29" t="s">
        <v>44708</v>
      </c>
      <c r="F965" s="36" t="s">
        <v>54401</v>
      </c>
      <c r="G965" s="39">
        <v>753259.66</v>
      </c>
      <c r="H965" s="42">
        <v>211</v>
      </c>
    </row>
    <row r="966" spans="1:8" ht="15" customHeight="1">
      <c r="A966" s="26">
        <v>7211853</v>
      </c>
      <c r="B966" s="29" t="s">
        <v>3208</v>
      </c>
      <c r="C966" s="29" t="s">
        <v>18075</v>
      </c>
      <c r="D966" s="29" t="s">
        <v>31228</v>
      </c>
      <c r="E966" s="29" t="s">
        <v>44709</v>
      </c>
      <c r="F966" s="36" t="s">
        <v>54401</v>
      </c>
      <c r="G966" s="39">
        <v>650426.96</v>
      </c>
      <c r="H966" s="42">
        <v>211</v>
      </c>
    </row>
    <row r="967" spans="1:8" ht="15" customHeight="1">
      <c r="A967" s="26">
        <v>7211936</v>
      </c>
      <c r="B967" s="29" t="s">
        <v>3209</v>
      </c>
      <c r="C967" s="29" t="s">
        <v>18076</v>
      </c>
      <c r="D967" s="29" t="s">
        <v>31229</v>
      </c>
      <c r="E967" s="29" t="s">
        <v>44710</v>
      </c>
      <c r="F967" s="36" t="s">
        <v>54401</v>
      </c>
      <c r="G967" s="39">
        <v>41890.75</v>
      </c>
      <c r="H967" s="42">
        <v>211</v>
      </c>
    </row>
    <row r="968" spans="1:8" ht="15" customHeight="1">
      <c r="A968" s="26">
        <v>7212181</v>
      </c>
      <c r="B968" s="29" t="s">
        <v>3210</v>
      </c>
      <c r="C968" s="29" t="s">
        <v>18077</v>
      </c>
      <c r="D968" s="29" t="s">
        <v>31230</v>
      </c>
      <c r="E968" s="29" t="s">
        <v>44711</v>
      </c>
      <c r="F968" s="36" t="s">
        <v>54401</v>
      </c>
      <c r="G968" s="39">
        <f>507727.6+22731</f>
        <v>530458.6</v>
      </c>
      <c r="H968" s="42">
        <v>211</v>
      </c>
    </row>
    <row r="969" spans="1:8" ht="15" customHeight="1">
      <c r="A969" s="26">
        <v>7212261</v>
      </c>
      <c r="B969" s="29" t="s">
        <v>3211</v>
      </c>
      <c r="C969" s="29" t="s">
        <v>18078</v>
      </c>
      <c r="D969" s="29" t="s">
        <v>31231</v>
      </c>
      <c r="E969" s="29" t="s">
        <v>44712</v>
      </c>
      <c r="F969" s="36" t="s">
        <v>54401</v>
      </c>
      <c r="G969" s="39">
        <v>257988.3</v>
      </c>
      <c r="H969" s="42">
        <v>211</v>
      </c>
    </row>
    <row r="970" spans="1:8" ht="15" customHeight="1">
      <c r="A970" s="26">
        <v>7212296</v>
      </c>
      <c r="B970" s="29" t="s">
        <v>3212</v>
      </c>
      <c r="C970" s="29" t="s">
        <v>18079</v>
      </c>
      <c r="D970" s="29" t="s">
        <v>31232</v>
      </c>
      <c r="E970" s="29" t="s">
        <v>44713</v>
      </c>
      <c r="F970" s="36" t="s">
        <v>54401</v>
      </c>
      <c r="G970" s="39">
        <f>89912.18+60394</f>
        <v>150306.18</v>
      </c>
      <c r="H970" s="42">
        <v>211</v>
      </c>
    </row>
    <row r="971" spans="1:8" ht="15" customHeight="1">
      <c r="A971" s="26">
        <v>7212509</v>
      </c>
      <c r="B971" s="29" t="s">
        <v>3213</v>
      </c>
      <c r="C971" s="29" t="s">
        <v>18080</v>
      </c>
      <c r="D971" s="29" t="s">
        <v>31233</v>
      </c>
      <c r="E971" s="29" t="s">
        <v>44714</v>
      </c>
      <c r="F971" s="36" t="s">
        <v>54401</v>
      </c>
      <c r="G971" s="39">
        <v>754465.54</v>
      </c>
      <c r="H971" s="42">
        <v>211</v>
      </c>
    </row>
    <row r="972" spans="1:8" ht="15" customHeight="1">
      <c r="A972" s="26">
        <v>7212515</v>
      </c>
      <c r="B972" s="29" t="s">
        <v>3214</v>
      </c>
      <c r="C972" s="29" t="s">
        <v>18081</v>
      </c>
      <c r="D972" s="29" t="s">
        <v>31234</v>
      </c>
      <c r="E972" s="29" t="s">
        <v>44715</v>
      </c>
      <c r="F972" s="36" t="s">
        <v>54401</v>
      </c>
      <c r="G972" s="39">
        <v>161604.23000000001</v>
      </c>
      <c r="H972" s="42">
        <v>211</v>
      </c>
    </row>
    <row r="973" spans="1:8" ht="15" customHeight="1">
      <c r="A973" s="26">
        <v>7212563</v>
      </c>
      <c r="B973" s="29" t="s">
        <v>3215</v>
      </c>
      <c r="C973" s="26" t="s">
        <v>18082</v>
      </c>
      <c r="D973" s="26" t="s">
        <v>31235</v>
      </c>
      <c r="E973" s="26" t="s">
        <v>44716</v>
      </c>
      <c r="F973" s="37" t="s">
        <v>54401</v>
      </c>
      <c r="G973" s="39">
        <f>11331862.9-74086</f>
        <v>11257776.9</v>
      </c>
      <c r="H973" s="42">
        <v>211</v>
      </c>
    </row>
    <row r="974" spans="1:8" ht="15" customHeight="1">
      <c r="A974" s="26">
        <v>7212633</v>
      </c>
      <c r="B974" s="29" t="s">
        <v>3216</v>
      </c>
      <c r="C974" s="29" t="s">
        <v>18083</v>
      </c>
      <c r="D974" s="29" t="s">
        <v>31236</v>
      </c>
      <c r="E974" s="29" t="s">
        <v>44717</v>
      </c>
      <c r="F974" s="36" t="s">
        <v>54401</v>
      </c>
      <c r="G974" s="39">
        <v>1019397.39</v>
      </c>
      <c r="H974" s="42">
        <v>211</v>
      </c>
    </row>
    <row r="975" spans="1:8" ht="15" customHeight="1">
      <c r="A975" s="26">
        <v>7212710</v>
      </c>
      <c r="B975" s="29" t="s">
        <v>3217</v>
      </c>
      <c r="C975" s="29" t="s">
        <v>18084</v>
      </c>
      <c r="D975" s="29" t="s">
        <v>31237</v>
      </c>
      <c r="E975" s="29" t="s">
        <v>43926</v>
      </c>
      <c r="F975" s="36" t="s">
        <v>54401</v>
      </c>
      <c r="G975" s="39">
        <v>30547.98</v>
      </c>
      <c r="H975" s="42">
        <v>211</v>
      </c>
    </row>
    <row r="976" spans="1:8" ht="15" customHeight="1">
      <c r="A976" s="26">
        <v>7212785</v>
      </c>
      <c r="B976" s="29" t="s">
        <v>3218</v>
      </c>
      <c r="C976" s="29" t="s">
        <v>18085</v>
      </c>
      <c r="D976" s="29" t="s">
        <v>31238</v>
      </c>
      <c r="E976" s="29" t="s">
        <v>44718</v>
      </c>
      <c r="F976" s="36" t="s">
        <v>54401</v>
      </c>
      <c r="G976" s="39">
        <v>93354.79</v>
      </c>
      <c r="H976" s="42">
        <v>211</v>
      </c>
    </row>
    <row r="977" spans="1:8" ht="15" customHeight="1">
      <c r="A977" s="26">
        <v>7212797</v>
      </c>
      <c r="B977" s="29" t="s">
        <v>3219</v>
      </c>
      <c r="C977" s="29" t="s">
        <v>18086</v>
      </c>
      <c r="D977" s="29" t="s">
        <v>31239</v>
      </c>
      <c r="E977" s="29" t="s">
        <v>44719</v>
      </c>
      <c r="F977" s="36" t="s">
        <v>54401</v>
      </c>
      <c r="G977" s="39">
        <f>554557.96+124090+241871</f>
        <v>920518.96</v>
      </c>
      <c r="H977" s="42">
        <v>211</v>
      </c>
    </row>
    <row r="978" spans="1:8" ht="15" customHeight="1">
      <c r="A978" s="26">
        <v>7212809</v>
      </c>
      <c r="B978" s="29" t="s">
        <v>3220</v>
      </c>
      <c r="C978" s="26" t="s">
        <v>18087</v>
      </c>
      <c r="D978" s="26" t="s">
        <v>31240</v>
      </c>
      <c r="E978" s="26" t="s">
        <v>44720</v>
      </c>
      <c r="F978" s="37" t="s">
        <v>54401</v>
      </c>
      <c r="G978" s="39">
        <v>582355.6</v>
      </c>
      <c r="H978" s="42">
        <v>211</v>
      </c>
    </row>
    <row r="979" spans="1:8" ht="15" customHeight="1">
      <c r="A979" s="26">
        <v>7212829</v>
      </c>
      <c r="B979" s="29" t="s">
        <v>3221</v>
      </c>
      <c r="C979" s="29" t="s">
        <v>18088</v>
      </c>
      <c r="D979" s="29" t="s">
        <v>31241</v>
      </c>
      <c r="E979" s="29" t="s">
        <v>44721</v>
      </c>
      <c r="F979" s="36" t="s">
        <v>54401</v>
      </c>
      <c r="G979" s="39">
        <f>12232624.36+892441</f>
        <v>13125065.359999999</v>
      </c>
      <c r="H979" s="42">
        <v>211</v>
      </c>
    </row>
    <row r="980" spans="1:8" ht="15" customHeight="1">
      <c r="A980" s="26">
        <v>7212849</v>
      </c>
      <c r="B980" s="29" t="s">
        <v>3222</v>
      </c>
      <c r="C980" s="29" t="s">
        <v>18089</v>
      </c>
      <c r="D980" s="29" t="s">
        <v>31242</v>
      </c>
      <c r="E980" s="29" t="s">
        <v>44722</v>
      </c>
      <c r="F980" s="36" t="s">
        <v>54401</v>
      </c>
      <c r="G980" s="39">
        <v>1371318.77</v>
      </c>
      <c r="H980" s="42">
        <v>211</v>
      </c>
    </row>
    <row r="981" spans="1:8" ht="15" customHeight="1">
      <c r="A981" s="26">
        <v>7212858</v>
      </c>
      <c r="B981" s="29" t="s">
        <v>3223</v>
      </c>
      <c r="C981" s="29" t="s">
        <v>17204</v>
      </c>
      <c r="D981" s="29" t="s">
        <v>31243</v>
      </c>
      <c r="E981" s="29" t="s">
        <v>43926</v>
      </c>
      <c r="F981" s="36" t="s">
        <v>54401</v>
      </c>
      <c r="G981" s="39">
        <v>376021.9</v>
      </c>
      <c r="H981" s="42">
        <v>211</v>
      </c>
    </row>
    <row r="982" spans="1:8" ht="15" customHeight="1">
      <c r="A982" s="26">
        <v>7212860</v>
      </c>
      <c r="B982" s="29" t="s">
        <v>3224</v>
      </c>
      <c r="C982" s="29" t="s">
        <v>18090</v>
      </c>
      <c r="D982" s="29" t="s">
        <v>31244</v>
      </c>
      <c r="E982" s="29" t="s">
        <v>44723</v>
      </c>
      <c r="F982" s="36" t="s">
        <v>54401</v>
      </c>
      <c r="G982" s="39">
        <v>74117.64</v>
      </c>
      <c r="H982" s="42">
        <v>211</v>
      </c>
    </row>
    <row r="983" spans="1:8" ht="15" customHeight="1">
      <c r="A983" s="26">
        <v>7212876</v>
      </c>
      <c r="B983" s="29" t="s">
        <v>3225</v>
      </c>
      <c r="C983" s="29" t="s">
        <v>18091</v>
      </c>
      <c r="D983" s="29" t="s">
        <v>31245</v>
      </c>
      <c r="E983" s="29" t="s">
        <v>44724</v>
      </c>
      <c r="F983" s="36" t="s">
        <v>54401</v>
      </c>
      <c r="G983" s="39">
        <v>2581006.3199999998</v>
      </c>
      <c r="H983" s="42">
        <v>211</v>
      </c>
    </row>
    <row r="984" spans="1:8" ht="15" customHeight="1">
      <c r="A984" s="26">
        <v>7212896</v>
      </c>
      <c r="B984" s="29" t="s">
        <v>3226</v>
      </c>
      <c r="C984" s="29" t="s">
        <v>18092</v>
      </c>
      <c r="D984" s="29" t="s">
        <v>31246</v>
      </c>
      <c r="E984" s="29" t="s">
        <v>44725</v>
      </c>
      <c r="F984" s="36" t="s">
        <v>54401</v>
      </c>
      <c r="G984" s="39">
        <v>638901.05000000005</v>
      </c>
      <c r="H984" s="42">
        <v>211</v>
      </c>
    </row>
    <row r="985" spans="1:8" ht="15" customHeight="1">
      <c r="A985" s="26">
        <v>7212915</v>
      </c>
      <c r="B985" s="29" t="s">
        <v>3227</v>
      </c>
      <c r="C985" s="29" t="s">
        <v>18093</v>
      </c>
      <c r="D985" s="29" t="s">
        <v>31247</v>
      </c>
      <c r="E985" s="29" t="s">
        <v>44726</v>
      </c>
      <c r="F985" s="36" t="s">
        <v>54401</v>
      </c>
      <c r="G985" s="39">
        <f>187269.92+91602</f>
        <v>278871.92000000004</v>
      </c>
      <c r="H985" s="42">
        <v>211</v>
      </c>
    </row>
    <row r="986" spans="1:8" ht="15" customHeight="1">
      <c r="A986" s="26">
        <v>7212935</v>
      </c>
      <c r="B986" s="29" t="s">
        <v>3228</v>
      </c>
      <c r="C986" s="29" t="s">
        <v>18094</v>
      </c>
      <c r="D986" s="29" t="s">
        <v>31248</v>
      </c>
      <c r="E986" s="29" t="s">
        <v>44727</v>
      </c>
      <c r="F986" s="36" t="s">
        <v>54412</v>
      </c>
      <c r="G986" s="39">
        <f>254162.99+199964+124274</f>
        <v>578400.99</v>
      </c>
      <c r="H986" s="42">
        <v>211</v>
      </c>
    </row>
    <row r="987" spans="1:8" ht="15" customHeight="1">
      <c r="A987" s="26">
        <v>7212941</v>
      </c>
      <c r="B987" s="29" t="s">
        <v>3229</v>
      </c>
      <c r="C987" s="29" t="s">
        <v>18095</v>
      </c>
      <c r="D987" s="29" t="s">
        <v>31249</v>
      </c>
      <c r="E987" s="29" t="s">
        <v>44728</v>
      </c>
      <c r="F987" s="36" t="s">
        <v>54401</v>
      </c>
      <c r="G987" s="39">
        <v>172107.93</v>
      </c>
      <c r="H987" s="42">
        <v>211</v>
      </c>
    </row>
    <row r="988" spans="1:8" ht="15" customHeight="1">
      <c r="A988" s="26">
        <v>7212963</v>
      </c>
      <c r="B988" s="29" t="s">
        <v>3230</v>
      </c>
      <c r="C988" s="29" t="s">
        <v>18096</v>
      </c>
      <c r="D988" s="29" t="s">
        <v>31250</v>
      </c>
      <c r="E988" s="29" t="s">
        <v>44729</v>
      </c>
      <c r="F988" s="36" t="s">
        <v>54401</v>
      </c>
      <c r="G988" s="39">
        <f>2400000+21058</f>
        <v>2421058</v>
      </c>
      <c r="H988" s="42">
        <v>211</v>
      </c>
    </row>
    <row r="989" spans="1:8" ht="15" customHeight="1">
      <c r="A989" s="26">
        <v>7212973</v>
      </c>
      <c r="B989" s="29" t="s">
        <v>3231</v>
      </c>
      <c r="C989" s="29" t="s">
        <v>18097</v>
      </c>
      <c r="D989" s="29" t="s">
        <v>31251</v>
      </c>
      <c r="E989" s="29" t="s">
        <v>44730</v>
      </c>
      <c r="F989" s="36" t="s">
        <v>54401</v>
      </c>
      <c r="G989" s="39">
        <v>3407587.03</v>
      </c>
      <c r="H989" s="42">
        <v>211</v>
      </c>
    </row>
    <row r="990" spans="1:8" ht="15" customHeight="1">
      <c r="A990" s="26">
        <v>7212989</v>
      </c>
      <c r="B990" s="29" t="s">
        <v>3232</v>
      </c>
      <c r="C990" s="29" t="s">
        <v>18098</v>
      </c>
      <c r="D990" s="29" t="s">
        <v>31252</v>
      </c>
      <c r="E990" s="29" t="s">
        <v>44731</v>
      </c>
      <c r="F990" s="36" t="s">
        <v>54401</v>
      </c>
      <c r="G990" s="39">
        <f>967126.77+183590</f>
        <v>1150716.77</v>
      </c>
      <c r="H990" s="42">
        <v>211</v>
      </c>
    </row>
    <row r="991" spans="1:8" ht="15" customHeight="1">
      <c r="A991" s="26">
        <v>7212996</v>
      </c>
      <c r="B991" s="29" t="s">
        <v>3233</v>
      </c>
      <c r="C991" s="26" t="s">
        <v>18099</v>
      </c>
      <c r="D991" s="26" t="s">
        <v>31253</v>
      </c>
      <c r="E991" s="26" t="s">
        <v>44732</v>
      </c>
      <c r="F991" s="37" t="s">
        <v>54401</v>
      </c>
      <c r="G991" s="39">
        <f>1713001.84+56042</f>
        <v>1769043.84</v>
      </c>
      <c r="H991" s="42">
        <v>211</v>
      </c>
    </row>
    <row r="992" spans="1:8" ht="15" customHeight="1">
      <c r="A992" s="26">
        <v>7213020</v>
      </c>
      <c r="B992" s="29" t="s">
        <v>3234</v>
      </c>
      <c r="C992" s="29" t="s">
        <v>18100</v>
      </c>
      <c r="D992" s="29" t="s">
        <v>31254</v>
      </c>
      <c r="E992" s="29" t="s">
        <v>44733</v>
      </c>
      <c r="F992" s="36" t="s">
        <v>54401</v>
      </c>
      <c r="G992" s="39">
        <v>56226.89</v>
      </c>
      <c r="H992" s="42">
        <v>211</v>
      </c>
    </row>
    <row r="993" spans="1:8" ht="15" customHeight="1">
      <c r="A993" s="26">
        <v>7213026</v>
      </c>
      <c r="B993" s="29" t="s">
        <v>3235</v>
      </c>
      <c r="C993" s="29" t="s">
        <v>18101</v>
      </c>
      <c r="D993" s="29" t="s">
        <v>31255</v>
      </c>
      <c r="E993" s="29" t="s">
        <v>43926</v>
      </c>
      <c r="F993" s="36" t="s">
        <v>54401</v>
      </c>
      <c r="G993" s="39">
        <v>209490.55</v>
      </c>
      <c r="H993" s="42">
        <v>211</v>
      </c>
    </row>
    <row r="994" spans="1:8" ht="15" customHeight="1">
      <c r="A994" s="26">
        <v>7213046</v>
      </c>
      <c r="B994" s="29" t="s">
        <v>3236</v>
      </c>
      <c r="C994" s="29" t="s">
        <v>18102</v>
      </c>
      <c r="D994" s="29" t="s">
        <v>31256</v>
      </c>
      <c r="E994" s="29" t="s">
        <v>44734</v>
      </c>
      <c r="F994" s="36" t="s">
        <v>54401</v>
      </c>
      <c r="G994" s="39">
        <v>376922.78</v>
      </c>
      <c r="H994" s="42">
        <v>211</v>
      </c>
    </row>
    <row r="995" spans="1:8" ht="15" customHeight="1">
      <c r="A995" s="26">
        <v>7213052</v>
      </c>
      <c r="B995" s="29" t="s">
        <v>3237</v>
      </c>
      <c r="C995" s="29" t="s">
        <v>18103</v>
      </c>
      <c r="D995" s="29" t="s">
        <v>31257</v>
      </c>
      <c r="E995" s="29" t="s">
        <v>44735</v>
      </c>
      <c r="F995" s="36" t="s">
        <v>54401</v>
      </c>
      <c r="G995" s="39">
        <v>4187388.5</v>
      </c>
      <c r="H995" s="42">
        <v>211</v>
      </c>
    </row>
    <row r="996" spans="1:8" ht="15" customHeight="1">
      <c r="A996" s="26">
        <v>7213076</v>
      </c>
      <c r="B996" s="29" t="s">
        <v>3238</v>
      </c>
      <c r="C996" s="29" t="s">
        <v>18104</v>
      </c>
      <c r="D996" s="29" t="s">
        <v>30376</v>
      </c>
      <c r="E996" s="29" t="s">
        <v>43926</v>
      </c>
      <c r="F996" s="36" t="s">
        <v>54401</v>
      </c>
      <c r="G996" s="39">
        <v>210728.57</v>
      </c>
      <c r="H996" s="42">
        <v>211</v>
      </c>
    </row>
    <row r="997" spans="1:8" ht="15" customHeight="1">
      <c r="A997" s="26">
        <v>7213090</v>
      </c>
      <c r="B997" s="29" t="s">
        <v>3239</v>
      </c>
      <c r="C997" s="29" t="s">
        <v>18105</v>
      </c>
      <c r="D997" s="29" t="s">
        <v>31258</v>
      </c>
      <c r="E997" s="29" t="s">
        <v>44736</v>
      </c>
      <c r="F997" s="36" t="s">
        <v>54401</v>
      </c>
      <c r="G997" s="39">
        <f>2036945.83+307222</f>
        <v>2344167.83</v>
      </c>
      <c r="H997" s="42">
        <v>211</v>
      </c>
    </row>
    <row r="998" spans="1:8" ht="15" customHeight="1">
      <c r="A998" s="26">
        <v>7213171</v>
      </c>
      <c r="B998" s="29" t="s">
        <v>3240</v>
      </c>
      <c r="C998" s="29" t="s">
        <v>18106</v>
      </c>
      <c r="D998" s="29" t="s">
        <v>31259</v>
      </c>
      <c r="E998" s="29" t="s">
        <v>44737</v>
      </c>
      <c r="F998" s="36" t="s">
        <v>54401</v>
      </c>
      <c r="G998" s="39">
        <v>1432486.94</v>
      </c>
      <c r="H998" s="42">
        <v>211</v>
      </c>
    </row>
    <row r="999" spans="1:8" ht="15" customHeight="1">
      <c r="A999" s="26">
        <v>7213200</v>
      </c>
      <c r="B999" s="29" t="s">
        <v>3241</v>
      </c>
      <c r="C999" s="29" t="s">
        <v>18107</v>
      </c>
      <c r="D999" s="29" t="s">
        <v>31260</v>
      </c>
      <c r="E999" s="29" t="s">
        <v>44738</v>
      </c>
      <c r="F999" s="36" t="s">
        <v>54401</v>
      </c>
      <c r="G999" s="39">
        <v>138262.99</v>
      </c>
      <c r="H999" s="42">
        <v>211</v>
      </c>
    </row>
    <row r="1000" spans="1:8" ht="15" customHeight="1">
      <c r="A1000" s="26">
        <v>7213220</v>
      </c>
      <c r="B1000" s="29" t="s">
        <v>3242</v>
      </c>
      <c r="C1000" s="29" t="s">
        <v>18108</v>
      </c>
      <c r="D1000" s="29" t="s">
        <v>31261</v>
      </c>
      <c r="E1000" s="29" t="s">
        <v>44739</v>
      </c>
      <c r="F1000" s="36" t="s">
        <v>54401</v>
      </c>
      <c r="G1000" s="39">
        <f>760413.06+26415</f>
        <v>786828.06</v>
      </c>
      <c r="H1000" s="42">
        <v>211</v>
      </c>
    </row>
    <row r="1001" spans="1:8" ht="15" customHeight="1">
      <c r="A1001" s="26">
        <v>7213223</v>
      </c>
      <c r="B1001" s="29" t="s">
        <v>3243</v>
      </c>
      <c r="C1001" s="29" t="s">
        <v>17337</v>
      </c>
      <c r="D1001" s="29" t="s">
        <v>30349</v>
      </c>
      <c r="E1001" s="29" t="s">
        <v>43926</v>
      </c>
      <c r="F1001" s="36" t="s">
        <v>54401</v>
      </c>
      <c r="G1001" s="39">
        <v>9857.14</v>
      </c>
      <c r="H1001" s="42">
        <v>211</v>
      </c>
    </row>
    <row r="1002" spans="1:8" ht="15" customHeight="1">
      <c r="A1002" s="26">
        <v>7213265</v>
      </c>
      <c r="B1002" s="29" t="s">
        <v>3244</v>
      </c>
      <c r="C1002" s="29" t="s">
        <v>18109</v>
      </c>
      <c r="D1002" s="29" t="s">
        <v>31262</v>
      </c>
      <c r="E1002" s="29" t="s">
        <v>44740</v>
      </c>
      <c r="F1002" s="36" t="s">
        <v>54401</v>
      </c>
      <c r="G1002" s="39">
        <v>5427942.4000000004</v>
      </c>
      <c r="H1002" s="42">
        <v>211</v>
      </c>
    </row>
    <row r="1003" spans="1:8" ht="15" customHeight="1">
      <c r="A1003" s="26">
        <v>7213284</v>
      </c>
      <c r="B1003" s="29" t="s">
        <v>3245</v>
      </c>
      <c r="C1003" s="29" t="s">
        <v>18110</v>
      </c>
      <c r="D1003" s="29" t="s">
        <v>31263</v>
      </c>
      <c r="E1003" s="29" t="s">
        <v>44741</v>
      </c>
      <c r="F1003" s="36" t="s">
        <v>54409</v>
      </c>
      <c r="G1003" s="39">
        <v>396470.51</v>
      </c>
      <c r="H1003" s="42">
        <v>211</v>
      </c>
    </row>
    <row r="1004" spans="1:8" ht="15" customHeight="1">
      <c r="A1004" s="26">
        <v>7213359</v>
      </c>
      <c r="B1004" s="29" t="s">
        <v>3246</v>
      </c>
      <c r="C1004" s="26" t="s">
        <v>18111</v>
      </c>
      <c r="D1004" s="26" t="s">
        <v>31264</v>
      </c>
      <c r="E1004" s="26" t="s">
        <v>44742</v>
      </c>
      <c r="F1004" s="37" t="s">
        <v>54401</v>
      </c>
      <c r="G1004" s="39">
        <v>238663.6</v>
      </c>
      <c r="H1004" s="42">
        <v>211</v>
      </c>
    </row>
    <row r="1005" spans="1:8" ht="15" customHeight="1">
      <c r="A1005" s="26">
        <v>7213435</v>
      </c>
      <c r="B1005" s="29" t="s">
        <v>3247</v>
      </c>
      <c r="C1005" s="29" t="s">
        <v>18112</v>
      </c>
      <c r="D1005" s="29" t="s">
        <v>31265</v>
      </c>
      <c r="E1005" s="29" t="s">
        <v>44743</v>
      </c>
      <c r="F1005" s="36" t="s">
        <v>54401</v>
      </c>
      <c r="G1005" s="39">
        <v>30016.81</v>
      </c>
      <c r="H1005" s="42">
        <v>211</v>
      </c>
    </row>
    <row r="1006" spans="1:8" ht="15" customHeight="1">
      <c r="A1006" s="26">
        <v>7213475</v>
      </c>
      <c r="B1006" s="29" t="s">
        <v>3248</v>
      </c>
      <c r="C1006" s="29" t="s">
        <v>18113</v>
      </c>
      <c r="D1006" s="29" t="s">
        <v>31266</v>
      </c>
      <c r="E1006" s="29" t="s">
        <v>44744</v>
      </c>
      <c r="F1006" s="36" t="s">
        <v>54401</v>
      </c>
      <c r="G1006" s="39">
        <f>2343916.17+2957385+740951</f>
        <v>6042252.1699999999</v>
      </c>
      <c r="H1006" s="42">
        <v>211</v>
      </c>
    </row>
    <row r="1007" spans="1:8" ht="15" customHeight="1">
      <c r="A1007" s="26">
        <v>7213476</v>
      </c>
      <c r="B1007" s="29" t="s">
        <v>3249</v>
      </c>
      <c r="C1007" s="29" t="s">
        <v>18114</v>
      </c>
      <c r="D1007" s="29" t="s">
        <v>31267</v>
      </c>
      <c r="E1007" s="29" t="s">
        <v>44745</v>
      </c>
      <c r="F1007" s="36" t="s">
        <v>54401</v>
      </c>
      <c r="G1007" s="39">
        <v>530703.57999999996</v>
      </c>
      <c r="H1007" s="42">
        <v>211</v>
      </c>
    </row>
    <row r="1008" spans="1:8" ht="15" customHeight="1">
      <c r="A1008" s="26">
        <v>7213494</v>
      </c>
      <c r="B1008" s="29" t="s">
        <v>3250</v>
      </c>
      <c r="C1008" s="29" t="s">
        <v>18115</v>
      </c>
      <c r="D1008" s="29" t="s">
        <v>31268</v>
      </c>
      <c r="E1008" s="29" t="s">
        <v>44746</v>
      </c>
      <c r="F1008" s="36" t="s">
        <v>54401</v>
      </c>
      <c r="G1008" s="39">
        <v>489370.35</v>
      </c>
      <c r="H1008" s="42">
        <v>211</v>
      </c>
    </row>
    <row r="1009" spans="1:8" ht="15" customHeight="1">
      <c r="A1009" s="26">
        <v>7213506</v>
      </c>
      <c r="B1009" s="29" t="s">
        <v>3251</v>
      </c>
      <c r="C1009" s="29" t="s">
        <v>18116</v>
      </c>
      <c r="D1009" s="29" t="s">
        <v>31269</v>
      </c>
      <c r="E1009" s="29" t="s">
        <v>44747</v>
      </c>
      <c r="F1009" s="36" t="s">
        <v>54401</v>
      </c>
      <c r="G1009" s="39">
        <v>580000.5</v>
      </c>
      <c r="H1009" s="42">
        <v>211</v>
      </c>
    </row>
    <row r="1010" spans="1:8" ht="15" customHeight="1">
      <c r="A1010" s="26">
        <v>7213530</v>
      </c>
      <c r="B1010" s="29" t="s">
        <v>3252</v>
      </c>
      <c r="C1010" s="29" t="s">
        <v>18117</v>
      </c>
      <c r="D1010" s="29" t="s">
        <v>31270</v>
      </c>
      <c r="E1010" s="29" t="s">
        <v>43926</v>
      </c>
      <c r="F1010" s="36" t="s">
        <v>54401</v>
      </c>
      <c r="G1010" s="39">
        <v>143226.84</v>
      </c>
      <c r="H1010" s="42">
        <v>211</v>
      </c>
    </row>
    <row r="1011" spans="1:8" ht="15" customHeight="1">
      <c r="A1011" s="26">
        <v>7213531</v>
      </c>
      <c r="B1011" s="29" t="s">
        <v>3253</v>
      </c>
      <c r="C1011" s="29" t="s">
        <v>18118</v>
      </c>
      <c r="D1011" s="29" t="s">
        <v>31271</v>
      </c>
      <c r="E1011" s="29" t="s">
        <v>44748</v>
      </c>
      <c r="F1011" s="36" t="s">
        <v>54401</v>
      </c>
      <c r="G1011" s="39">
        <v>15546.22</v>
      </c>
      <c r="H1011" s="42">
        <v>211</v>
      </c>
    </row>
    <row r="1012" spans="1:8" ht="15" customHeight="1">
      <c r="A1012" s="26">
        <v>7213571</v>
      </c>
      <c r="B1012" s="29" t="s">
        <v>3254</v>
      </c>
      <c r="C1012" s="29" t="s">
        <v>18119</v>
      </c>
      <c r="D1012" s="29" t="s">
        <v>31272</v>
      </c>
      <c r="E1012" s="29" t="s">
        <v>44749</v>
      </c>
      <c r="F1012" s="36" t="s">
        <v>54401</v>
      </c>
      <c r="G1012" s="39">
        <v>357254.36</v>
      </c>
      <c r="H1012" s="42">
        <v>211</v>
      </c>
    </row>
    <row r="1013" spans="1:8" ht="15" customHeight="1">
      <c r="A1013" s="26">
        <v>7213641</v>
      </c>
      <c r="B1013" s="29" t="s">
        <v>3255</v>
      </c>
      <c r="C1013" s="29" t="s">
        <v>18120</v>
      </c>
      <c r="D1013" s="29" t="s">
        <v>31273</v>
      </c>
      <c r="E1013" s="29" t="s">
        <v>44750</v>
      </c>
      <c r="F1013" s="36" t="s">
        <v>54401</v>
      </c>
      <c r="G1013" s="39">
        <f>2419106.48-181338</f>
        <v>2237768.48</v>
      </c>
      <c r="H1013" s="42">
        <v>211</v>
      </c>
    </row>
    <row r="1014" spans="1:8" ht="15" customHeight="1">
      <c r="A1014" s="26">
        <v>7213668</v>
      </c>
      <c r="B1014" s="29" t="s">
        <v>3256</v>
      </c>
      <c r="C1014" s="29" t="s">
        <v>18121</v>
      </c>
      <c r="D1014" s="29" t="s">
        <v>31274</v>
      </c>
      <c r="E1014" s="29" t="s">
        <v>44324</v>
      </c>
      <c r="F1014" s="36" t="s">
        <v>54401</v>
      </c>
      <c r="G1014" s="39">
        <v>2099815.7400000002</v>
      </c>
      <c r="H1014" s="42">
        <v>211</v>
      </c>
    </row>
    <row r="1015" spans="1:8" ht="15" customHeight="1">
      <c r="A1015" s="26">
        <v>7213723</v>
      </c>
      <c r="B1015" s="29" t="s">
        <v>3257</v>
      </c>
      <c r="C1015" s="29" t="s">
        <v>18122</v>
      </c>
      <c r="D1015" s="29" t="s">
        <v>31275</v>
      </c>
      <c r="E1015" s="29" t="s">
        <v>44751</v>
      </c>
      <c r="F1015" s="36" t="s">
        <v>54401</v>
      </c>
      <c r="G1015" s="39">
        <v>216292.6</v>
      </c>
      <c r="H1015" s="42">
        <v>211</v>
      </c>
    </row>
    <row r="1016" spans="1:8" ht="15" customHeight="1">
      <c r="A1016" s="26">
        <v>7213758</v>
      </c>
      <c r="B1016" s="29" t="s">
        <v>3258</v>
      </c>
      <c r="C1016" s="29" t="s">
        <v>18123</v>
      </c>
      <c r="D1016" s="29" t="s">
        <v>31276</v>
      </c>
      <c r="E1016" s="29" t="s">
        <v>44752</v>
      </c>
      <c r="F1016" s="36" t="s">
        <v>54401</v>
      </c>
      <c r="G1016" s="39">
        <v>4823617.8</v>
      </c>
      <c r="H1016" s="42">
        <v>211</v>
      </c>
    </row>
    <row r="1017" spans="1:8" ht="15" customHeight="1">
      <c r="A1017" s="26">
        <v>7213779</v>
      </c>
      <c r="B1017" s="29" t="s">
        <v>3259</v>
      </c>
      <c r="C1017" s="29" t="s">
        <v>18124</v>
      </c>
      <c r="D1017" s="29" t="s">
        <v>31277</v>
      </c>
      <c r="E1017" s="29" t="s">
        <v>44753</v>
      </c>
      <c r="F1017" s="36" t="s">
        <v>54401</v>
      </c>
      <c r="G1017" s="39">
        <f>826575.62+416010</f>
        <v>1242585.6200000001</v>
      </c>
      <c r="H1017" s="42">
        <v>211</v>
      </c>
    </row>
    <row r="1018" spans="1:8" ht="15" customHeight="1">
      <c r="A1018" s="26">
        <v>7213791</v>
      </c>
      <c r="B1018" s="29" t="s">
        <v>3260</v>
      </c>
      <c r="C1018" s="29" t="s">
        <v>18125</v>
      </c>
      <c r="D1018" s="29" t="s">
        <v>31278</v>
      </c>
      <c r="E1018" s="29" t="s">
        <v>44754</v>
      </c>
      <c r="F1018" s="36" t="s">
        <v>54401</v>
      </c>
      <c r="G1018" s="39">
        <f>896193.83+265282</f>
        <v>1161475.83</v>
      </c>
      <c r="H1018" s="42">
        <v>211</v>
      </c>
    </row>
    <row r="1019" spans="1:8" ht="15" customHeight="1">
      <c r="A1019" s="26">
        <v>7213932</v>
      </c>
      <c r="B1019" s="29" t="s">
        <v>3261</v>
      </c>
      <c r="C1019" s="29" t="s">
        <v>18126</v>
      </c>
      <c r="D1019" s="29" t="s">
        <v>31279</v>
      </c>
      <c r="E1019" s="29" t="s">
        <v>44755</v>
      </c>
      <c r="F1019" s="36" t="s">
        <v>54401</v>
      </c>
      <c r="G1019" s="39">
        <f>3144097.92+295574</f>
        <v>3439671.92</v>
      </c>
      <c r="H1019" s="42">
        <v>211</v>
      </c>
    </row>
    <row r="1020" spans="1:8" ht="15" customHeight="1">
      <c r="A1020" s="26">
        <v>7213967</v>
      </c>
      <c r="B1020" s="29" t="s">
        <v>3262</v>
      </c>
      <c r="C1020" s="29" t="s">
        <v>18127</v>
      </c>
      <c r="D1020" s="29" t="s">
        <v>31280</v>
      </c>
      <c r="E1020" s="29" t="s">
        <v>44756</v>
      </c>
      <c r="F1020" s="36" t="s">
        <v>54401</v>
      </c>
      <c r="G1020" s="39">
        <f>1863762.87+244297</f>
        <v>2108059.87</v>
      </c>
      <c r="H1020" s="42">
        <v>211</v>
      </c>
    </row>
    <row r="1021" spans="1:8" ht="15" customHeight="1">
      <c r="A1021" s="26">
        <v>7214050</v>
      </c>
      <c r="B1021" s="29" t="s">
        <v>3263</v>
      </c>
      <c r="C1021" s="29" t="s">
        <v>18128</v>
      </c>
      <c r="D1021" s="29" t="s">
        <v>31281</v>
      </c>
      <c r="E1021" s="29" t="s">
        <v>44757</v>
      </c>
      <c r="F1021" s="36" t="s">
        <v>54401</v>
      </c>
      <c r="G1021" s="39">
        <v>278146.07</v>
      </c>
      <c r="H1021" s="42">
        <v>211</v>
      </c>
    </row>
    <row r="1022" spans="1:8" ht="15" customHeight="1">
      <c r="A1022" s="26">
        <v>7214052</v>
      </c>
      <c r="B1022" s="29" t="s">
        <v>3264</v>
      </c>
      <c r="C1022" s="29" t="s">
        <v>18129</v>
      </c>
      <c r="D1022" s="29" t="s">
        <v>31282</v>
      </c>
      <c r="E1022" s="29" t="s">
        <v>44758</v>
      </c>
      <c r="F1022" s="36" t="s">
        <v>54401</v>
      </c>
      <c r="G1022" s="39">
        <v>1226810.2</v>
      </c>
      <c r="H1022" s="42">
        <v>211</v>
      </c>
    </row>
    <row r="1023" spans="1:8" ht="15" customHeight="1">
      <c r="A1023" s="26">
        <v>7214055</v>
      </c>
      <c r="B1023" s="29" t="s">
        <v>3265</v>
      </c>
      <c r="C1023" s="29" t="s">
        <v>18130</v>
      </c>
      <c r="D1023" s="29" t="s">
        <v>31283</v>
      </c>
      <c r="E1023" s="29" t="s">
        <v>44759</v>
      </c>
      <c r="F1023" s="36" t="s">
        <v>54401</v>
      </c>
      <c r="G1023" s="39">
        <f>617504.21+5461820-18151</f>
        <v>6061173.21</v>
      </c>
      <c r="H1023" s="42">
        <v>211</v>
      </c>
    </row>
    <row r="1024" spans="1:8" ht="15" customHeight="1">
      <c r="A1024" s="26">
        <v>7214057</v>
      </c>
      <c r="B1024" s="29" t="s">
        <v>3266</v>
      </c>
      <c r="C1024" s="26" t="s">
        <v>18131</v>
      </c>
      <c r="D1024" s="26" t="s">
        <v>31284</v>
      </c>
      <c r="E1024" s="26" t="s">
        <v>44760</v>
      </c>
      <c r="F1024" s="37" t="s">
        <v>54401</v>
      </c>
      <c r="G1024" s="39">
        <v>6308475.6200000001</v>
      </c>
      <c r="H1024" s="42">
        <v>211</v>
      </c>
    </row>
    <row r="1025" spans="1:8" ht="15" customHeight="1">
      <c r="A1025" s="26">
        <v>7214122</v>
      </c>
      <c r="B1025" s="29" t="s">
        <v>3267</v>
      </c>
      <c r="C1025" s="29" t="s">
        <v>18132</v>
      </c>
      <c r="D1025" s="29" t="s">
        <v>31285</v>
      </c>
      <c r="E1025" s="29" t="s">
        <v>44761</v>
      </c>
      <c r="F1025" s="36" t="s">
        <v>54401</v>
      </c>
      <c r="G1025" s="39">
        <v>773680.44</v>
      </c>
      <c r="H1025" s="42">
        <v>211</v>
      </c>
    </row>
    <row r="1026" spans="1:8" ht="15" customHeight="1">
      <c r="A1026" s="26">
        <v>7214134</v>
      </c>
      <c r="B1026" s="29" t="s">
        <v>3268</v>
      </c>
      <c r="C1026" s="29" t="s">
        <v>18133</v>
      </c>
      <c r="D1026" s="29" t="s">
        <v>31286</v>
      </c>
      <c r="E1026" s="29" t="s">
        <v>44762</v>
      </c>
      <c r="F1026" s="36" t="s">
        <v>54401</v>
      </c>
      <c r="G1026" s="39">
        <v>2964111.66</v>
      </c>
      <c r="H1026" s="42">
        <v>211</v>
      </c>
    </row>
    <row r="1027" spans="1:8" ht="15" customHeight="1">
      <c r="A1027" s="26">
        <v>7214153</v>
      </c>
      <c r="B1027" s="29" t="s">
        <v>3269</v>
      </c>
      <c r="C1027" s="29" t="s">
        <v>18134</v>
      </c>
      <c r="D1027" s="29" t="s">
        <v>31287</v>
      </c>
      <c r="E1027" s="29" t="s">
        <v>44763</v>
      </c>
      <c r="F1027" s="36" t="s">
        <v>54401</v>
      </c>
      <c r="G1027" s="39">
        <v>1442109.59</v>
      </c>
      <c r="H1027" s="42">
        <v>211</v>
      </c>
    </row>
    <row r="1028" spans="1:8" ht="15" customHeight="1">
      <c r="A1028" s="26">
        <v>7214233</v>
      </c>
      <c r="B1028" s="29" t="s">
        <v>3270</v>
      </c>
      <c r="C1028" s="29" t="s">
        <v>18135</v>
      </c>
      <c r="D1028" s="29" t="s">
        <v>31288</v>
      </c>
      <c r="E1028" s="29" t="s">
        <v>44764</v>
      </c>
      <c r="F1028" s="36" t="s">
        <v>54401</v>
      </c>
      <c r="G1028" s="39">
        <f>4303980.98-34047</f>
        <v>4269933.9800000004</v>
      </c>
      <c r="H1028" s="42">
        <v>211</v>
      </c>
    </row>
    <row r="1029" spans="1:8" ht="15" customHeight="1">
      <c r="A1029" s="26">
        <v>7214243</v>
      </c>
      <c r="B1029" s="29" t="s">
        <v>3271</v>
      </c>
      <c r="C1029" s="26" t="s">
        <v>18136</v>
      </c>
      <c r="D1029" s="26" t="s">
        <v>31289</v>
      </c>
      <c r="E1029" s="26" t="s">
        <v>44765</v>
      </c>
      <c r="F1029" s="37" t="s">
        <v>54401</v>
      </c>
      <c r="G1029" s="39">
        <v>4034776.21</v>
      </c>
      <c r="H1029" s="42">
        <v>211</v>
      </c>
    </row>
    <row r="1030" spans="1:8" ht="15" customHeight="1">
      <c r="A1030" s="26">
        <v>7214335</v>
      </c>
      <c r="B1030" s="29" t="s">
        <v>3272</v>
      </c>
      <c r="C1030" s="29" t="s">
        <v>18137</v>
      </c>
      <c r="D1030" s="29" t="s">
        <v>31290</v>
      </c>
      <c r="E1030" s="29" t="s">
        <v>44766</v>
      </c>
      <c r="F1030" s="36" t="s">
        <v>54412</v>
      </c>
      <c r="G1030" s="39">
        <v>105114.29</v>
      </c>
      <c r="H1030" s="42">
        <v>211</v>
      </c>
    </row>
    <row r="1031" spans="1:8" ht="15" customHeight="1">
      <c r="A1031" s="26">
        <v>7214388</v>
      </c>
      <c r="B1031" s="29" t="s">
        <v>3273</v>
      </c>
      <c r="C1031" s="29" t="s">
        <v>18138</v>
      </c>
      <c r="D1031" s="29" t="s">
        <v>31291</v>
      </c>
      <c r="E1031" s="29" t="s">
        <v>44767</v>
      </c>
      <c r="F1031" s="36" t="s">
        <v>54401</v>
      </c>
      <c r="G1031" s="39">
        <f>846910.99+25142</f>
        <v>872052.99</v>
      </c>
      <c r="H1031" s="42">
        <v>211</v>
      </c>
    </row>
    <row r="1032" spans="1:8" ht="15" customHeight="1">
      <c r="A1032" s="26">
        <v>7214419</v>
      </c>
      <c r="B1032" s="29" t="s">
        <v>3274</v>
      </c>
      <c r="C1032" s="29" t="s">
        <v>18139</v>
      </c>
      <c r="D1032" s="29" t="s">
        <v>31265</v>
      </c>
      <c r="E1032" s="29" t="s">
        <v>44768</v>
      </c>
      <c r="F1032" s="36" t="s">
        <v>54401</v>
      </c>
      <c r="G1032" s="39">
        <v>684946.96</v>
      </c>
      <c r="H1032" s="42">
        <v>211</v>
      </c>
    </row>
    <row r="1033" spans="1:8" ht="15" customHeight="1">
      <c r="A1033" s="26">
        <v>7214426</v>
      </c>
      <c r="B1033" s="29" t="s">
        <v>3275</v>
      </c>
      <c r="C1033" s="29" t="s">
        <v>18140</v>
      </c>
      <c r="D1033" s="29" t="s">
        <v>31292</v>
      </c>
      <c r="E1033" s="29" t="s">
        <v>44769</v>
      </c>
      <c r="F1033" s="36" t="s">
        <v>54401</v>
      </c>
      <c r="G1033" s="39">
        <v>4637817.12</v>
      </c>
      <c r="H1033" s="42">
        <v>211</v>
      </c>
    </row>
    <row r="1034" spans="1:8" ht="15" customHeight="1">
      <c r="A1034" s="26">
        <v>7214516</v>
      </c>
      <c r="B1034" s="29" t="s">
        <v>3276</v>
      </c>
      <c r="C1034" s="29" t="s">
        <v>18141</v>
      </c>
      <c r="D1034" s="29" t="s">
        <v>31293</v>
      </c>
      <c r="E1034" s="29" t="s">
        <v>44770</v>
      </c>
      <c r="F1034" s="36" t="s">
        <v>54401</v>
      </c>
      <c r="G1034" s="39">
        <f>2766218.5+151640</f>
        <v>2917858.5</v>
      </c>
      <c r="H1034" s="42">
        <v>211</v>
      </c>
    </row>
    <row r="1035" spans="1:8" ht="15" customHeight="1">
      <c r="A1035" s="26">
        <v>7214524</v>
      </c>
      <c r="B1035" s="29" t="s">
        <v>3277</v>
      </c>
      <c r="C1035" s="29" t="s">
        <v>18142</v>
      </c>
      <c r="D1035" s="29" t="s">
        <v>31294</v>
      </c>
      <c r="E1035" s="29" t="s">
        <v>44771</v>
      </c>
      <c r="F1035" s="36" t="s">
        <v>54401</v>
      </c>
      <c r="G1035" s="39">
        <v>31771.5</v>
      </c>
      <c r="H1035" s="42">
        <v>211</v>
      </c>
    </row>
    <row r="1036" spans="1:8" ht="15" customHeight="1">
      <c r="A1036" s="26">
        <v>7214555</v>
      </c>
      <c r="B1036" s="29" t="s">
        <v>3278</v>
      </c>
      <c r="C1036" s="29" t="s">
        <v>18143</v>
      </c>
      <c r="D1036" s="29" t="s">
        <v>31295</v>
      </c>
      <c r="E1036" s="29" t="s">
        <v>44772</v>
      </c>
      <c r="F1036" s="36" t="s">
        <v>54401</v>
      </c>
      <c r="G1036" s="39">
        <v>70363.31</v>
      </c>
      <c r="H1036" s="42">
        <v>211</v>
      </c>
    </row>
    <row r="1037" spans="1:8" ht="15" customHeight="1">
      <c r="A1037" s="26">
        <v>7214574</v>
      </c>
      <c r="B1037" s="29" t="s">
        <v>3279</v>
      </c>
      <c r="C1037" s="29" t="s">
        <v>18144</v>
      </c>
      <c r="D1037" s="29" t="s">
        <v>30376</v>
      </c>
      <c r="E1037" s="29" t="s">
        <v>44773</v>
      </c>
      <c r="F1037" s="36" t="s">
        <v>54401</v>
      </c>
      <c r="G1037" s="39">
        <v>2155078.79</v>
      </c>
      <c r="H1037" s="42">
        <v>211</v>
      </c>
    </row>
    <row r="1038" spans="1:8" ht="15" customHeight="1">
      <c r="A1038" s="26">
        <v>7214587</v>
      </c>
      <c r="B1038" s="29" t="s">
        <v>3280</v>
      </c>
      <c r="C1038" s="29" t="s">
        <v>18145</v>
      </c>
      <c r="D1038" s="29" t="s">
        <v>31296</v>
      </c>
      <c r="E1038" s="29" t="s">
        <v>44774</v>
      </c>
      <c r="F1038" s="36" t="s">
        <v>54401</v>
      </c>
      <c r="G1038" s="39">
        <v>165215.79999999999</v>
      </c>
      <c r="H1038" s="42">
        <v>211</v>
      </c>
    </row>
    <row r="1039" spans="1:8" ht="15" customHeight="1">
      <c r="A1039" s="26">
        <v>7214624</v>
      </c>
      <c r="B1039" s="29" t="s">
        <v>3281</v>
      </c>
      <c r="C1039" s="29" t="s">
        <v>18146</v>
      </c>
      <c r="D1039" s="29" t="s">
        <v>31297</v>
      </c>
      <c r="E1039" s="29" t="s">
        <v>44775</v>
      </c>
      <c r="F1039" s="36" t="s">
        <v>54401</v>
      </c>
      <c r="G1039" s="39">
        <v>84203.27</v>
      </c>
      <c r="H1039" s="42">
        <v>211</v>
      </c>
    </row>
    <row r="1040" spans="1:8" ht="15" customHeight="1">
      <c r="A1040" s="26">
        <v>7214655</v>
      </c>
      <c r="B1040" s="29" t="s">
        <v>3282</v>
      </c>
      <c r="C1040" s="29" t="s">
        <v>18147</v>
      </c>
      <c r="D1040" s="29" t="s">
        <v>31298</v>
      </c>
      <c r="E1040" s="29" t="s">
        <v>44776</v>
      </c>
      <c r="F1040" s="36" t="s">
        <v>54401</v>
      </c>
      <c r="G1040" s="39">
        <f>1208580.32+51979</f>
        <v>1260559.32</v>
      </c>
      <c r="H1040" s="42">
        <v>211</v>
      </c>
    </row>
    <row r="1041" spans="1:8" ht="15" customHeight="1">
      <c r="A1041" s="26">
        <v>7214661</v>
      </c>
      <c r="B1041" s="29" t="s">
        <v>3283</v>
      </c>
      <c r="C1041" s="29" t="s">
        <v>18148</v>
      </c>
      <c r="D1041" s="29" t="s">
        <v>31299</v>
      </c>
      <c r="E1041" s="29" t="s">
        <v>44777</v>
      </c>
      <c r="F1041" s="36" t="s">
        <v>54401</v>
      </c>
      <c r="G1041" s="39">
        <v>1312082.02</v>
      </c>
      <c r="H1041" s="42">
        <v>211</v>
      </c>
    </row>
    <row r="1042" spans="1:8" ht="15" customHeight="1">
      <c r="A1042" s="26">
        <v>7214664</v>
      </c>
      <c r="B1042" s="29" t="s">
        <v>3284</v>
      </c>
      <c r="C1042" s="29" t="s">
        <v>17204</v>
      </c>
      <c r="D1042" s="29" t="s">
        <v>31300</v>
      </c>
      <c r="E1042" s="29" t="s">
        <v>44778</v>
      </c>
      <c r="F1042" s="36" t="s">
        <v>54401</v>
      </c>
      <c r="G1042" s="39">
        <v>152602.59</v>
      </c>
      <c r="H1042" s="42">
        <v>211</v>
      </c>
    </row>
    <row r="1043" spans="1:8" ht="15" customHeight="1">
      <c r="A1043" s="26">
        <v>7214707</v>
      </c>
      <c r="B1043" s="29" t="s">
        <v>3285</v>
      </c>
      <c r="C1043" s="29" t="s">
        <v>18149</v>
      </c>
      <c r="D1043" s="29" t="s">
        <v>31301</v>
      </c>
      <c r="E1043" s="29" t="s">
        <v>44779</v>
      </c>
      <c r="F1043" s="36" t="s">
        <v>54401</v>
      </c>
      <c r="G1043" s="39">
        <v>644339.28</v>
      </c>
      <c r="H1043" s="42">
        <v>211</v>
      </c>
    </row>
    <row r="1044" spans="1:8" ht="15" customHeight="1">
      <c r="A1044" s="26">
        <v>7214715</v>
      </c>
      <c r="B1044" s="29" t="s">
        <v>3286</v>
      </c>
      <c r="C1044" s="29" t="s">
        <v>18150</v>
      </c>
      <c r="D1044" s="29" t="s">
        <v>31302</v>
      </c>
      <c r="E1044" s="29" t="s">
        <v>43926</v>
      </c>
      <c r="F1044" s="36" t="s">
        <v>54401</v>
      </c>
      <c r="G1044" s="39">
        <v>37352.94</v>
      </c>
      <c r="H1044" s="42">
        <v>211</v>
      </c>
    </row>
    <row r="1045" spans="1:8" ht="15" customHeight="1">
      <c r="A1045" s="26">
        <v>7214719</v>
      </c>
      <c r="B1045" s="29" t="s">
        <v>3287</v>
      </c>
      <c r="C1045" s="29" t="s">
        <v>18151</v>
      </c>
      <c r="D1045" s="29" t="s">
        <v>31303</v>
      </c>
      <c r="E1045" s="29" t="s">
        <v>870</v>
      </c>
      <c r="F1045" s="36" t="s">
        <v>54401</v>
      </c>
      <c r="G1045" s="39">
        <v>333291.03000000003</v>
      </c>
      <c r="H1045" s="42">
        <v>211</v>
      </c>
    </row>
    <row r="1046" spans="1:8" ht="15" customHeight="1">
      <c r="A1046" s="26">
        <v>7214780</v>
      </c>
      <c r="B1046" s="29" t="s">
        <v>3288</v>
      </c>
      <c r="C1046" s="29" t="s">
        <v>18152</v>
      </c>
      <c r="D1046" s="29" t="s">
        <v>31304</v>
      </c>
      <c r="E1046" s="29" t="s">
        <v>44019</v>
      </c>
      <c r="F1046" s="36" t="s">
        <v>54401</v>
      </c>
      <c r="G1046" s="39">
        <v>168511.94</v>
      </c>
      <c r="H1046" s="42">
        <v>211</v>
      </c>
    </row>
    <row r="1047" spans="1:8" ht="15" customHeight="1">
      <c r="A1047" s="26">
        <v>7214911</v>
      </c>
      <c r="B1047" s="29" t="s">
        <v>3289</v>
      </c>
      <c r="C1047" s="26" t="s">
        <v>18153</v>
      </c>
      <c r="D1047" s="26" t="s">
        <v>31305</v>
      </c>
      <c r="E1047" s="26" t="s">
        <v>44780</v>
      </c>
      <c r="F1047" s="37" t="s">
        <v>54401</v>
      </c>
      <c r="G1047" s="39">
        <f>181140.25+32170+64638</f>
        <v>277948.25</v>
      </c>
      <c r="H1047" s="42">
        <v>211</v>
      </c>
    </row>
    <row r="1048" spans="1:8" ht="15" customHeight="1">
      <c r="A1048" s="26">
        <v>7214938</v>
      </c>
      <c r="B1048" s="29" t="s">
        <v>3290</v>
      </c>
      <c r="C1048" s="29" t="s">
        <v>18154</v>
      </c>
      <c r="D1048" s="29" t="s">
        <v>31306</v>
      </c>
      <c r="E1048" s="29" t="s">
        <v>44781</v>
      </c>
      <c r="F1048" s="36" t="s">
        <v>54401</v>
      </c>
      <c r="G1048" s="39">
        <f>3761827.67+364283</f>
        <v>4126110.67</v>
      </c>
      <c r="H1048" s="42">
        <v>211</v>
      </c>
    </row>
    <row r="1049" spans="1:8" ht="15" customHeight="1">
      <c r="A1049" s="26">
        <v>7214948</v>
      </c>
      <c r="B1049" s="29" t="s">
        <v>3291</v>
      </c>
      <c r="C1049" s="29" t="s">
        <v>18155</v>
      </c>
      <c r="D1049" s="29" t="s">
        <v>31307</v>
      </c>
      <c r="E1049" s="29" t="s">
        <v>44782</v>
      </c>
      <c r="F1049" s="36" t="s">
        <v>54401</v>
      </c>
      <c r="G1049" s="39">
        <v>90436.98</v>
      </c>
      <c r="H1049" s="42">
        <v>211</v>
      </c>
    </row>
    <row r="1050" spans="1:8" ht="15" customHeight="1">
      <c r="A1050" s="26">
        <v>7214964</v>
      </c>
      <c r="B1050" s="29" t="s">
        <v>3292</v>
      </c>
      <c r="C1050" s="29" t="s">
        <v>18156</v>
      </c>
      <c r="D1050" s="29" t="s">
        <v>31308</v>
      </c>
      <c r="E1050" s="29" t="s">
        <v>44783</v>
      </c>
      <c r="F1050" s="36" t="s">
        <v>54401</v>
      </c>
      <c r="G1050" s="39">
        <f>3700680.31+6840</f>
        <v>3707520.31</v>
      </c>
      <c r="H1050" s="42">
        <v>211</v>
      </c>
    </row>
    <row r="1051" spans="1:8" ht="15" customHeight="1">
      <c r="A1051" s="26">
        <v>7214965</v>
      </c>
      <c r="B1051" s="29" t="s">
        <v>3293</v>
      </c>
      <c r="C1051" s="29" t="s">
        <v>18157</v>
      </c>
      <c r="D1051" s="29" t="s">
        <v>31309</v>
      </c>
      <c r="E1051" s="29" t="s">
        <v>44784</v>
      </c>
      <c r="F1051" s="36" t="s">
        <v>54401</v>
      </c>
      <c r="G1051" s="39">
        <v>5734703.8899999997</v>
      </c>
      <c r="H1051" s="42">
        <v>211</v>
      </c>
    </row>
    <row r="1052" spans="1:8" ht="15" customHeight="1">
      <c r="A1052" s="26">
        <v>7214969</v>
      </c>
      <c r="B1052" s="29" t="s">
        <v>3294</v>
      </c>
      <c r="C1052" s="29" t="s">
        <v>18158</v>
      </c>
      <c r="D1052" s="29" t="s">
        <v>31310</v>
      </c>
      <c r="E1052" s="29" t="s">
        <v>44785</v>
      </c>
      <c r="F1052" s="36" t="s">
        <v>54401</v>
      </c>
      <c r="G1052" s="39">
        <v>45442.01</v>
      </c>
      <c r="H1052" s="42">
        <v>211</v>
      </c>
    </row>
    <row r="1053" spans="1:8" ht="15" customHeight="1">
      <c r="A1053" s="26">
        <v>7214992</v>
      </c>
      <c r="B1053" s="29" t="s">
        <v>3295</v>
      </c>
      <c r="C1053" s="29" t="s">
        <v>18159</v>
      </c>
      <c r="D1053" s="29" t="s">
        <v>31311</v>
      </c>
      <c r="E1053" s="29" t="s">
        <v>44786</v>
      </c>
      <c r="F1053" s="36" t="s">
        <v>54401</v>
      </c>
      <c r="G1053" s="39">
        <v>66806.720000000001</v>
      </c>
      <c r="H1053" s="42">
        <v>211</v>
      </c>
    </row>
    <row r="1054" spans="1:8" ht="15" customHeight="1">
      <c r="A1054" s="26">
        <v>7215008</v>
      </c>
      <c r="B1054" s="29" t="s">
        <v>3296</v>
      </c>
      <c r="C1054" s="29" t="s">
        <v>18160</v>
      </c>
      <c r="D1054" s="29" t="s">
        <v>31312</v>
      </c>
      <c r="E1054" s="29" t="s">
        <v>44787</v>
      </c>
      <c r="F1054" s="36" t="s">
        <v>54401</v>
      </c>
      <c r="G1054" s="39">
        <f>1448681.41+268907</f>
        <v>1717588.41</v>
      </c>
      <c r="H1054" s="42">
        <v>211</v>
      </c>
    </row>
    <row r="1055" spans="1:8" ht="15" customHeight="1">
      <c r="A1055" s="26">
        <v>7215016</v>
      </c>
      <c r="B1055" s="29" t="s">
        <v>3297</v>
      </c>
      <c r="C1055" s="29" t="s">
        <v>18161</v>
      </c>
      <c r="D1055" s="29" t="s">
        <v>31313</v>
      </c>
      <c r="E1055" s="29" t="s">
        <v>44788</v>
      </c>
      <c r="F1055" s="36" t="s">
        <v>54401</v>
      </c>
      <c r="G1055" s="39">
        <f>720901.6+9069526+900643</f>
        <v>10691070.6</v>
      </c>
      <c r="H1055" s="42">
        <v>211</v>
      </c>
    </row>
    <row r="1056" spans="1:8" ht="15" customHeight="1">
      <c r="A1056" s="26">
        <v>7215103</v>
      </c>
      <c r="B1056" s="29" t="s">
        <v>3298</v>
      </c>
      <c r="C1056" s="29" t="s">
        <v>18162</v>
      </c>
      <c r="D1056" s="29" t="s">
        <v>31314</v>
      </c>
      <c r="E1056" s="29" t="s">
        <v>44789</v>
      </c>
      <c r="F1056" s="36" t="s">
        <v>54401</v>
      </c>
      <c r="G1056" s="39">
        <v>239117.65</v>
      </c>
      <c r="H1056" s="42">
        <v>211</v>
      </c>
    </row>
    <row r="1057" spans="1:8" ht="15" customHeight="1">
      <c r="A1057" s="26">
        <v>7215127</v>
      </c>
      <c r="B1057" s="29" t="s">
        <v>3299</v>
      </c>
      <c r="C1057" s="29" t="s">
        <v>18163</v>
      </c>
      <c r="D1057" s="29" t="s">
        <v>31315</v>
      </c>
      <c r="E1057" s="29" t="s">
        <v>44790</v>
      </c>
      <c r="F1057" s="36" t="s">
        <v>54401</v>
      </c>
      <c r="G1057" s="39">
        <v>107220.4</v>
      </c>
      <c r="H1057" s="42">
        <v>211</v>
      </c>
    </row>
    <row r="1058" spans="1:8" ht="15" customHeight="1">
      <c r="A1058" s="26">
        <v>7215157</v>
      </c>
      <c r="B1058" s="29" t="s">
        <v>3300</v>
      </c>
      <c r="C1058" s="29" t="s">
        <v>18164</v>
      </c>
      <c r="D1058" s="29" t="s">
        <v>31316</v>
      </c>
      <c r="E1058" s="29" t="s">
        <v>44264</v>
      </c>
      <c r="F1058" s="36" t="s">
        <v>54401</v>
      </c>
      <c r="G1058" s="39">
        <v>4846822.3</v>
      </c>
      <c r="H1058" s="42">
        <v>211</v>
      </c>
    </row>
    <row r="1059" spans="1:8" ht="15" customHeight="1">
      <c r="A1059" s="26">
        <v>7215274</v>
      </c>
      <c r="B1059" s="29" t="s">
        <v>3301</v>
      </c>
      <c r="C1059" s="29" t="s">
        <v>18165</v>
      </c>
      <c r="D1059" s="29" t="s">
        <v>31317</v>
      </c>
      <c r="E1059" s="29" t="s">
        <v>44791</v>
      </c>
      <c r="F1059" s="36" t="s">
        <v>54401</v>
      </c>
      <c r="G1059" s="39">
        <v>852360.47</v>
      </c>
      <c r="H1059" s="42">
        <v>211</v>
      </c>
    </row>
    <row r="1060" spans="1:8" ht="15" customHeight="1">
      <c r="A1060" s="26">
        <v>7215335</v>
      </c>
      <c r="B1060" s="29" t="s">
        <v>3302</v>
      </c>
      <c r="C1060" s="29" t="s">
        <v>18166</v>
      </c>
      <c r="D1060" s="29" t="s">
        <v>31318</v>
      </c>
      <c r="E1060" s="29" t="s">
        <v>44023</v>
      </c>
      <c r="F1060" s="36" t="s">
        <v>54401</v>
      </c>
      <c r="G1060" s="39">
        <f>889093.02+76189</f>
        <v>965282.02</v>
      </c>
      <c r="H1060" s="42">
        <v>211</v>
      </c>
    </row>
    <row r="1061" spans="1:8" ht="15" customHeight="1">
      <c r="A1061" s="26">
        <v>7215369</v>
      </c>
      <c r="B1061" s="29" t="s">
        <v>3303</v>
      </c>
      <c r="C1061" s="29" t="s">
        <v>18167</v>
      </c>
      <c r="D1061" s="29" t="s">
        <v>31319</v>
      </c>
      <c r="E1061" s="29" t="s">
        <v>44792</v>
      </c>
      <c r="F1061" s="36" t="s">
        <v>54401</v>
      </c>
      <c r="G1061" s="39">
        <f>2266843.58+646394</f>
        <v>2913237.58</v>
      </c>
      <c r="H1061" s="42">
        <v>211</v>
      </c>
    </row>
    <row r="1062" spans="1:8" ht="15" customHeight="1">
      <c r="A1062" s="26">
        <v>7215378</v>
      </c>
      <c r="B1062" s="29" t="s">
        <v>3304</v>
      </c>
      <c r="C1062" s="29" t="s">
        <v>18168</v>
      </c>
      <c r="D1062" s="29" t="s">
        <v>31320</v>
      </c>
      <c r="E1062" s="29" t="s">
        <v>44793</v>
      </c>
      <c r="F1062" s="36" t="s">
        <v>54401</v>
      </c>
      <c r="G1062" s="39">
        <f>565251.96+10372-10235</f>
        <v>565388.96</v>
      </c>
      <c r="H1062" s="42">
        <v>211</v>
      </c>
    </row>
    <row r="1063" spans="1:8" ht="15" customHeight="1">
      <c r="A1063" s="26">
        <v>7215435</v>
      </c>
      <c r="B1063" s="29" t="s">
        <v>3305</v>
      </c>
      <c r="C1063" s="29" t="s">
        <v>18169</v>
      </c>
      <c r="D1063" s="29" t="s">
        <v>31321</v>
      </c>
      <c r="E1063" s="29" t="s">
        <v>44794</v>
      </c>
      <c r="F1063" s="36" t="s">
        <v>54401</v>
      </c>
      <c r="G1063" s="39">
        <v>20805.55</v>
      </c>
      <c r="H1063" s="42">
        <v>211</v>
      </c>
    </row>
    <row r="1064" spans="1:8" ht="15" customHeight="1">
      <c r="A1064" s="26">
        <v>7215479</v>
      </c>
      <c r="B1064" s="29" t="s">
        <v>3306</v>
      </c>
      <c r="C1064" s="29" t="s">
        <v>18170</v>
      </c>
      <c r="D1064" s="29" t="s">
        <v>31322</v>
      </c>
      <c r="E1064" s="29" t="s">
        <v>44795</v>
      </c>
      <c r="F1064" s="36" t="s">
        <v>54401</v>
      </c>
      <c r="G1064" s="39">
        <v>494478.88</v>
      </c>
      <c r="H1064" s="42">
        <v>211</v>
      </c>
    </row>
    <row r="1065" spans="1:8" ht="15" customHeight="1">
      <c r="A1065" s="26">
        <v>7215689</v>
      </c>
      <c r="B1065" s="29" t="s">
        <v>3307</v>
      </c>
      <c r="C1065" s="29" t="s">
        <v>18171</v>
      </c>
      <c r="D1065" s="29" t="s">
        <v>31323</v>
      </c>
      <c r="E1065" s="29" t="s">
        <v>44796</v>
      </c>
      <c r="F1065" s="36" t="s">
        <v>54401</v>
      </c>
      <c r="G1065" s="39">
        <f>37836.41+134343</f>
        <v>172179.41</v>
      </c>
      <c r="H1065" s="42">
        <v>211</v>
      </c>
    </row>
    <row r="1066" spans="1:8" ht="15" customHeight="1">
      <c r="A1066" s="26">
        <v>7215747</v>
      </c>
      <c r="B1066" s="29" t="s">
        <v>3308</v>
      </c>
      <c r="C1066" s="29" t="s">
        <v>18172</v>
      </c>
      <c r="D1066" s="29" t="s">
        <v>31324</v>
      </c>
      <c r="E1066" s="29" t="s">
        <v>44797</v>
      </c>
      <c r="F1066" s="36" t="s">
        <v>54401</v>
      </c>
      <c r="G1066" s="39">
        <v>50065.919999999998</v>
      </c>
      <c r="H1066" s="42">
        <v>211</v>
      </c>
    </row>
    <row r="1067" spans="1:8" ht="15" customHeight="1">
      <c r="A1067" s="26">
        <v>7215749</v>
      </c>
      <c r="B1067" s="29" t="s">
        <v>3309</v>
      </c>
      <c r="C1067" s="29" t="s">
        <v>18173</v>
      </c>
      <c r="D1067" s="29" t="s">
        <v>31325</v>
      </c>
      <c r="E1067" s="29" t="s">
        <v>44798</v>
      </c>
      <c r="F1067" s="36" t="s">
        <v>54401</v>
      </c>
      <c r="G1067" s="39">
        <f>3521375.67-7797</f>
        <v>3513578.67</v>
      </c>
      <c r="H1067" s="42">
        <v>211</v>
      </c>
    </row>
    <row r="1068" spans="1:8" ht="15" customHeight="1">
      <c r="A1068" s="26">
        <v>7215761</v>
      </c>
      <c r="B1068" s="29" t="s">
        <v>3310</v>
      </c>
      <c r="C1068" s="29" t="s">
        <v>18174</v>
      </c>
      <c r="D1068" s="29" t="s">
        <v>31326</v>
      </c>
      <c r="E1068" s="29" t="s">
        <v>44799</v>
      </c>
      <c r="F1068" s="36" t="s">
        <v>54401</v>
      </c>
      <c r="G1068" s="39">
        <v>981439.06</v>
      </c>
      <c r="H1068" s="42">
        <v>211</v>
      </c>
    </row>
    <row r="1069" spans="1:8" ht="15" customHeight="1">
      <c r="A1069" s="26">
        <v>7215796</v>
      </c>
      <c r="B1069" s="29" t="s">
        <v>3311</v>
      </c>
      <c r="C1069" s="29" t="s">
        <v>18175</v>
      </c>
      <c r="D1069" s="29" t="s">
        <v>31327</v>
      </c>
      <c r="E1069" s="29" t="s">
        <v>44800</v>
      </c>
      <c r="F1069" s="36" t="s">
        <v>54401</v>
      </c>
      <c r="G1069" s="39">
        <v>630880.12</v>
      </c>
      <c r="H1069" s="42">
        <v>211</v>
      </c>
    </row>
    <row r="1070" spans="1:8" ht="15" customHeight="1">
      <c r="A1070" s="26">
        <v>7215826</v>
      </c>
      <c r="B1070" s="29" t="s">
        <v>3312</v>
      </c>
      <c r="C1070" s="29" t="s">
        <v>18176</v>
      </c>
      <c r="D1070" s="29" t="s">
        <v>31328</v>
      </c>
      <c r="E1070" s="29" t="s">
        <v>44801</v>
      </c>
      <c r="F1070" s="36" t="s">
        <v>54401</v>
      </c>
      <c r="G1070" s="39">
        <v>8138819.2800000003</v>
      </c>
      <c r="H1070" s="42">
        <v>211</v>
      </c>
    </row>
    <row r="1071" spans="1:8" ht="15" customHeight="1">
      <c r="A1071" s="26">
        <v>7215861</v>
      </c>
      <c r="B1071" s="29" t="s">
        <v>3313</v>
      </c>
      <c r="C1071" s="29" t="s">
        <v>18177</v>
      </c>
      <c r="D1071" s="29" t="s">
        <v>31329</v>
      </c>
      <c r="E1071" s="29" t="s">
        <v>44802</v>
      </c>
      <c r="F1071" s="36" t="s">
        <v>54401</v>
      </c>
      <c r="G1071" s="39">
        <f>8656017.59+89590</f>
        <v>8745607.5899999999</v>
      </c>
      <c r="H1071" s="42">
        <v>211</v>
      </c>
    </row>
    <row r="1072" spans="1:8" ht="15" customHeight="1">
      <c r="A1072" s="26">
        <v>7215881</v>
      </c>
      <c r="B1072" s="29" t="s">
        <v>3314</v>
      </c>
      <c r="C1072" s="29" t="s">
        <v>18178</v>
      </c>
      <c r="D1072" s="29" t="s">
        <v>31330</v>
      </c>
      <c r="E1072" s="29" t="s">
        <v>44803</v>
      </c>
      <c r="F1072" s="36" t="s">
        <v>54401</v>
      </c>
      <c r="G1072" s="39">
        <f>1467147.55+64295+59127</f>
        <v>1590569.55</v>
      </c>
      <c r="H1072" s="42">
        <v>211</v>
      </c>
    </row>
    <row r="1073" spans="1:8" ht="15" customHeight="1">
      <c r="A1073" s="26">
        <v>7215883</v>
      </c>
      <c r="B1073" s="29" t="s">
        <v>3315</v>
      </c>
      <c r="C1073" s="29" t="s">
        <v>18179</v>
      </c>
      <c r="D1073" s="29" t="s">
        <v>31331</v>
      </c>
      <c r="E1073" s="29" t="s">
        <v>44804</v>
      </c>
      <c r="F1073" s="36" t="s">
        <v>54401</v>
      </c>
      <c r="G1073" s="39">
        <v>282806.46000000002</v>
      </c>
      <c r="H1073" s="42">
        <v>211</v>
      </c>
    </row>
    <row r="1074" spans="1:8" ht="15" customHeight="1">
      <c r="A1074" s="26">
        <v>7215892</v>
      </c>
      <c r="B1074" s="29" t="s">
        <v>3316</v>
      </c>
      <c r="C1074" s="26" t="s">
        <v>18180</v>
      </c>
      <c r="D1074" s="26" t="s">
        <v>31332</v>
      </c>
      <c r="E1074" s="26" t="s">
        <v>43926</v>
      </c>
      <c r="F1074" s="37" t="s">
        <v>54401</v>
      </c>
      <c r="G1074" s="39">
        <v>3526.05</v>
      </c>
      <c r="H1074" s="42">
        <v>211</v>
      </c>
    </row>
    <row r="1075" spans="1:8" ht="15" customHeight="1">
      <c r="A1075" s="26">
        <v>7215906</v>
      </c>
      <c r="B1075" s="29" t="s">
        <v>3317</v>
      </c>
      <c r="C1075" s="29" t="s">
        <v>18181</v>
      </c>
      <c r="D1075" s="29" t="s">
        <v>31333</v>
      </c>
      <c r="E1075" s="29" t="s">
        <v>44805</v>
      </c>
      <c r="F1075" s="36" t="s">
        <v>54401</v>
      </c>
      <c r="G1075" s="39">
        <v>91482.16</v>
      </c>
      <c r="H1075" s="42">
        <v>211</v>
      </c>
    </row>
    <row r="1076" spans="1:8" ht="15" customHeight="1">
      <c r="A1076" s="26">
        <v>7216003</v>
      </c>
      <c r="B1076" s="29" t="s">
        <v>3318</v>
      </c>
      <c r="C1076" s="29" t="s">
        <v>18182</v>
      </c>
      <c r="D1076" s="29" t="s">
        <v>31334</v>
      </c>
      <c r="E1076" s="29" t="s">
        <v>44806</v>
      </c>
      <c r="F1076" s="36" t="s">
        <v>54401</v>
      </c>
      <c r="G1076" s="39">
        <v>1348269.48</v>
      </c>
      <c r="H1076" s="42">
        <v>211</v>
      </c>
    </row>
    <row r="1077" spans="1:8" ht="15" customHeight="1">
      <c r="A1077" s="26">
        <v>7216039</v>
      </c>
      <c r="B1077" s="29" t="s">
        <v>3319</v>
      </c>
      <c r="C1077" s="29" t="s">
        <v>18183</v>
      </c>
      <c r="D1077" s="29" t="s">
        <v>31335</v>
      </c>
      <c r="E1077" s="29" t="s">
        <v>44807</v>
      </c>
      <c r="F1077" s="36" t="s">
        <v>54401</v>
      </c>
      <c r="G1077" s="39">
        <f>801568.97+264324</f>
        <v>1065892.97</v>
      </c>
      <c r="H1077" s="42">
        <v>211</v>
      </c>
    </row>
    <row r="1078" spans="1:8" ht="15" customHeight="1">
      <c r="A1078" s="26">
        <v>7216059</v>
      </c>
      <c r="B1078" s="29" t="s">
        <v>3320</v>
      </c>
      <c r="C1078" s="29" t="s">
        <v>18184</v>
      </c>
      <c r="D1078" s="29" t="s">
        <v>31336</v>
      </c>
      <c r="E1078" s="29" t="s">
        <v>44808</v>
      </c>
      <c r="F1078" s="36" t="s">
        <v>54401</v>
      </c>
      <c r="G1078" s="39">
        <v>157433.95000000001</v>
      </c>
      <c r="H1078" s="42">
        <v>211</v>
      </c>
    </row>
    <row r="1079" spans="1:8" ht="15" customHeight="1">
      <c r="A1079" s="26">
        <v>7216090</v>
      </c>
      <c r="B1079" s="29" t="s">
        <v>3321</v>
      </c>
      <c r="C1079" s="29" t="s">
        <v>18185</v>
      </c>
      <c r="D1079" s="29" t="s">
        <v>31337</v>
      </c>
      <c r="E1079" s="29" t="s">
        <v>44809</v>
      </c>
      <c r="F1079" s="36" t="s">
        <v>54401</v>
      </c>
      <c r="G1079" s="39">
        <v>52678.29</v>
      </c>
      <c r="H1079" s="42">
        <v>211</v>
      </c>
    </row>
    <row r="1080" spans="1:8" ht="15" customHeight="1">
      <c r="A1080" s="26">
        <v>7216091</v>
      </c>
      <c r="B1080" s="29" t="s">
        <v>3322</v>
      </c>
      <c r="C1080" s="29" t="s">
        <v>18186</v>
      </c>
      <c r="D1080" s="29" t="s">
        <v>30349</v>
      </c>
      <c r="E1080" s="29" t="s">
        <v>44810</v>
      </c>
      <c r="F1080" s="36" t="s">
        <v>54401</v>
      </c>
      <c r="G1080" s="39">
        <v>111977.69</v>
      </c>
      <c r="H1080" s="42">
        <v>211</v>
      </c>
    </row>
    <row r="1081" spans="1:8" ht="15" customHeight="1">
      <c r="A1081" s="26">
        <v>7216095</v>
      </c>
      <c r="B1081" s="29" t="s">
        <v>3323</v>
      </c>
      <c r="C1081" s="29" t="s">
        <v>18187</v>
      </c>
      <c r="D1081" s="29" t="s">
        <v>31338</v>
      </c>
      <c r="E1081" s="29" t="s">
        <v>44811</v>
      </c>
      <c r="F1081" s="36" t="s">
        <v>54401</v>
      </c>
      <c r="G1081" s="39">
        <v>493525.38</v>
      </c>
      <c r="H1081" s="42">
        <v>211</v>
      </c>
    </row>
    <row r="1082" spans="1:8" ht="15" customHeight="1">
      <c r="A1082" s="26">
        <v>7216105</v>
      </c>
      <c r="B1082" s="29" t="s">
        <v>3324</v>
      </c>
      <c r="C1082" s="29" t="s">
        <v>18188</v>
      </c>
      <c r="D1082" s="29" t="s">
        <v>31339</v>
      </c>
      <c r="E1082" s="29" t="s">
        <v>44812</v>
      </c>
      <c r="F1082" s="36" t="s">
        <v>54401</v>
      </c>
      <c r="G1082" s="39">
        <f>579268.22-16672</f>
        <v>562596.22</v>
      </c>
      <c r="H1082" s="42">
        <v>211</v>
      </c>
    </row>
    <row r="1083" spans="1:8" ht="15" customHeight="1">
      <c r="A1083" s="26">
        <v>7216121</v>
      </c>
      <c r="B1083" s="29" t="s">
        <v>3325</v>
      </c>
      <c r="C1083" s="26" t="s">
        <v>18189</v>
      </c>
      <c r="D1083" s="26" t="s">
        <v>31340</v>
      </c>
      <c r="E1083" s="26" t="s">
        <v>44813</v>
      </c>
      <c r="F1083" s="37" t="s">
        <v>54401</v>
      </c>
      <c r="G1083" s="39">
        <v>2668434.11</v>
      </c>
      <c r="H1083" s="42">
        <v>211</v>
      </c>
    </row>
    <row r="1084" spans="1:8" ht="15" customHeight="1">
      <c r="A1084" s="26">
        <v>7216129</v>
      </c>
      <c r="B1084" s="29" t="s">
        <v>3326</v>
      </c>
      <c r="C1084" s="29" t="s">
        <v>18190</v>
      </c>
      <c r="D1084" s="29" t="s">
        <v>31341</v>
      </c>
      <c r="E1084" s="29" t="s">
        <v>44814</v>
      </c>
      <c r="F1084" s="36" t="s">
        <v>54401</v>
      </c>
      <c r="G1084" s="39">
        <f>4549255.21+390774</f>
        <v>4940029.21</v>
      </c>
      <c r="H1084" s="42">
        <v>211</v>
      </c>
    </row>
    <row r="1085" spans="1:8" ht="15" customHeight="1">
      <c r="A1085" s="26">
        <v>7216133</v>
      </c>
      <c r="B1085" s="29" t="s">
        <v>3327</v>
      </c>
      <c r="C1085" s="29" t="s">
        <v>18191</v>
      </c>
      <c r="D1085" s="29" t="s">
        <v>31342</v>
      </c>
      <c r="E1085" s="29" t="s">
        <v>44815</v>
      </c>
      <c r="F1085" s="36" t="s">
        <v>54401</v>
      </c>
      <c r="G1085" s="39">
        <v>253020.66</v>
      </c>
      <c r="H1085" s="42">
        <v>211</v>
      </c>
    </row>
    <row r="1086" spans="1:8" ht="15" customHeight="1">
      <c r="A1086" s="26">
        <v>7216268</v>
      </c>
      <c r="B1086" s="29" t="s">
        <v>3328</v>
      </c>
      <c r="C1086" s="29" t="s">
        <v>17204</v>
      </c>
      <c r="D1086" s="29" t="s">
        <v>30349</v>
      </c>
      <c r="E1086" s="29" t="s">
        <v>43926</v>
      </c>
      <c r="F1086" s="36" t="s">
        <v>54401</v>
      </c>
      <c r="G1086" s="39">
        <v>315231.92</v>
      </c>
      <c r="H1086" s="42">
        <v>211</v>
      </c>
    </row>
    <row r="1087" spans="1:8" ht="15" customHeight="1">
      <c r="A1087" s="26">
        <v>7216270</v>
      </c>
      <c r="B1087" s="29" t="s">
        <v>3329</v>
      </c>
      <c r="C1087" s="29" t="s">
        <v>18192</v>
      </c>
      <c r="D1087" s="29" t="s">
        <v>31343</v>
      </c>
      <c r="E1087" s="29" t="s">
        <v>44816</v>
      </c>
      <c r="F1087" s="36" t="s">
        <v>54401</v>
      </c>
      <c r="G1087" s="39">
        <v>413267.46</v>
      </c>
      <c r="H1087" s="42">
        <v>211</v>
      </c>
    </row>
    <row r="1088" spans="1:8" ht="15" customHeight="1">
      <c r="A1088" s="26">
        <v>7216295</v>
      </c>
      <c r="B1088" s="29" t="s">
        <v>3330</v>
      </c>
      <c r="C1088" s="29" t="s">
        <v>18193</v>
      </c>
      <c r="D1088" s="29" t="s">
        <v>31344</v>
      </c>
      <c r="E1088" s="29" t="s">
        <v>44817</v>
      </c>
      <c r="F1088" s="36" t="s">
        <v>54401</v>
      </c>
      <c r="G1088" s="39">
        <v>332400.61</v>
      </c>
      <c r="H1088" s="42">
        <v>211</v>
      </c>
    </row>
    <row r="1089" spans="1:8" ht="15" customHeight="1">
      <c r="A1089" s="26">
        <v>7216320</v>
      </c>
      <c r="B1089" s="29" t="s">
        <v>3331</v>
      </c>
      <c r="C1089" s="29" t="s">
        <v>18194</v>
      </c>
      <c r="D1089" s="29" t="s">
        <v>30714</v>
      </c>
      <c r="E1089" s="29" t="s">
        <v>44818</v>
      </c>
      <c r="F1089" s="36" t="s">
        <v>54401</v>
      </c>
      <c r="G1089" s="39">
        <v>737028.13</v>
      </c>
      <c r="H1089" s="42">
        <v>211</v>
      </c>
    </row>
    <row r="1090" spans="1:8" ht="15" customHeight="1">
      <c r="A1090" s="26">
        <v>7216408</v>
      </c>
      <c r="B1090" s="29" t="s">
        <v>3332</v>
      </c>
      <c r="C1090" s="29" t="s">
        <v>18195</v>
      </c>
      <c r="D1090" s="29" t="s">
        <v>31345</v>
      </c>
      <c r="E1090" s="29" t="s">
        <v>44819</v>
      </c>
      <c r="F1090" s="36" t="s">
        <v>54423</v>
      </c>
      <c r="G1090" s="39">
        <v>272894.96999999997</v>
      </c>
      <c r="H1090" s="42">
        <v>211</v>
      </c>
    </row>
    <row r="1091" spans="1:8" ht="15" customHeight="1">
      <c r="A1091" s="26">
        <v>7216423</v>
      </c>
      <c r="B1091" s="29" t="s">
        <v>3333</v>
      </c>
      <c r="C1091" s="29" t="s">
        <v>18196</v>
      </c>
      <c r="D1091" s="29" t="s">
        <v>31346</v>
      </c>
      <c r="E1091" s="29" t="s">
        <v>44820</v>
      </c>
      <c r="F1091" s="36" t="s">
        <v>54401</v>
      </c>
      <c r="G1091" s="39">
        <v>88810</v>
      </c>
      <c r="H1091" s="42">
        <v>211</v>
      </c>
    </row>
    <row r="1092" spans="1:8" ht="15" customHeight="1">
      <c r="A1092" s="26">
        <v>7216436</v>
      </c>
      <c r="B1092" s="29" t="s">
        <v>3334</v>
      </c>
      <c r="C1092" s="29" t="s">
        <v>18197</v>
      </c>
      <c r="D1092" s="29" t="s">
        <v>31347</v>
      </c>
      <c r="E1092" s="29" t="s">
        <v>44821</v>
      </c>
      <c r="F1092" s="36" t="s">
        <v>54401</v>
      </c>
      <c r="G1092" s="39">
        <f>6880935.66+55375+235901</f>
        <v>7172211.6600000001</v>
      </c>
      <c r="H1092" s="42">
        <v>211</v>
      </c>
    </row>
    <row r="1093" spans="1:8" ht="15" customHeight="1">
      <c r="A1093" s="26">
        <v>7216502</v>
      </c>
      <c r="B1093" s="29" t="s">
        <v>3335</v>
      </c>
      <c r="C1093" s="29" t="s">
        <v>17204</v>
      </c>
      <c r="D1093" s="29" t="s">
        <v>30349</v>
      </c>
      <c r="E1093" s="29" t="s">
        <v>43926</v>
      </c>
      <c r="F1093" s="36" t="s">
        <v>54401</v>
      </c>
      <c r="G1093" s="39">
        <f>189214.54+46967</f>
        <v>236181.54</v>
      </c>
      <c r="H1093" s="42">
        <v>211</v>
      </c>
    </row>
    <row r="1094" spans="1:8" ht="15" customHeight="1">
      <c r="A1094" s="26">
        <v>7216508</v>
      </c>
      <c r="B1094" s="29" t="s">
        <v>3336</v>
      </c>
      <c r="C1094" s="26" t="s">
        <v>18198</v>
      </c>
      <c r="D1094" s="26" t="s">
        <v>31348</v>
      </c>
      <c r="E1094" s="26" t="s">
        <v>43926</v>
      </c>
      <c r="F1094" s="37" t="s">
        <v>54401</v>
      </c>
      <c r="G1094" s="39">
        <v>451506.38</v>
      </c>
      <c r="H1094" s="42">
        <v>211</v>
      </c>
    </row>
    <row r="1095" spans="1:8" ht="15" customHeight="1">
      <c r="A1095" s="26">
        <v>7216526</v>
      </c>
      <c r="B1095" s="29" t="s">
        <v>3337</v>
      </c>
      <c r="C1095" s="26" t="s">
        <v>18199</v>
      </c>
      <c r="D1095" s="26" t="s">
        <v>30376</v>
      </c>
      <c r="E1095" s="26" t="s">
        <v>44822</v>
      </c>
      <c r="F1095" s="37" t="s">
        <v>54401</v>
      </c>
      <c r="G1095" s="39">
        <v>2063971.82</v>
      </c>
      <c r="H1095" s="42">
        <v>211</v>
      </c>
    </row>
    <row r="1096" spans="1:8" ht="15" customHeight="1">
      <c r="A1096" s="26">
        <v>7216599</v>
      </c>
      <c r="B1096" s="29" t="s">
        <v>3338</v>
      </c>
      <c r="C1096" s="29" t="s">
        <v>18200</v>
      </c>
      <c r="D1096" s="29" t="s">
        <v>31349</v>
      </c>
      <c r="E1096" s="29" t="s">
        <v>44823</v>
      </c>
      <c r="F1096" s="36" t="s">
        <v>54401</v>
      </c>
      <c r="G1096" s="39">
        <f>312378.39+103730+26212</f>
        <v>442320.39</v>
      </c>
      <c r="H1096" s="42">
        <v>211</v>
      </c>
    </row>
    <row r="1097" spans="1:8" ht="15" customHeight="1">
      <c r="A1097" s="26">
        <v>7216668</v>
      </c>
      <c r="B1097" s="29" t="s">
        <v>3339</v>
      </c>
      <c r="C1097" s="29" t="s">
        <v>17204</v>
      </c>
      <c r="D1097" s="29" t="s">
        <v>31350</v>
      </c>
      <c r="E1097" s="29" t="s">
        <v>43926</v>
      </c>
      <c r="F1097" s="36" t="s">
        <v>54401</v>
      </c>
      <c r="G1097" s="39">
        <v>232256.57</v>
      </c>
      <c r="H1097" s="42">
        <v>211</v>
      </c>
    </row>
    <row r="1098" spans="1:8" ht="15" customHeight="1">
      <c r="A1098" s="26">
        <v>7216692</v>
      </c>
      <c r="B1098" s="29" t="s">
        <v>3340</v>
      </c>
      <c r="C1098" s="29" t="s">
        <v>18201</v>
      </c>
      <c r="D1098" s="29" t="s">
        <v>31351</v>
      </c>
      <c r="E1098" s="29" t="s">
        <v>44749</v>
      </c>
      <c r="F1098" s="36" t="s">
        <v>54401</v>
      </c>
      <c r="G1098" s="39">
        <v>19153.78</v>
      </c>
      <c r="H1098" s="42">
        <v>211</v>
      </c>
    </row>
    <row r="1099" spans="1:8" ht="15" customHeight="1">
      <c r="A1099" s="26">
        <v>7216697</v>
      </c>
      <c r="B1099" s="29" t="s">
        <v>3341</v>
      </c>
      <c r="C1099" s="29" t="s">
        <v>18202</v>
      </c>
      <c r="D1099" s="29" t="s">
        <v>31352</v>
      </c>
      <c r="E1099" s="29" t="s">
        <v>44824</v>
      </c>
      <c r="F1099" s="36" t="s">
        <v>54401</v>
      </c>
      <c r="G1099" s="39">
        <v>1552638.64</v>
      </c>
      <c r="H1099" s="42">
        <v>211</v>
      </c>
    </row>
    <row r="1100" spans="1:8" ht="15" customHeight="1">
      <c r="A1100" s="26">
        <v>7216707</v>
      </c>
      <c r="B1100" s="29" t="s">
        <v>3342</v>
      </c>
      <c r="C1100" s="29" t="s">
        <v>18203</v>
      </c>
      <c r="D1100" s="29" t="s">
        <v>31353</v>
      </c>
      <c r="E1100" s="29" t="s">
        <v>44825</v>
      </c>
      <c r="F1100" s="36" t="s">
        <v>54401</v>
      </c>
      <c r="G1100" s="39">
        <v>2563684.79</v>
      </c>
      <c r="H1100" s="42">
        <v>211</v>
      </c>
    </row>
    <row r="1101" spans="1:8" ht="15" customHeight="1">
      <c r="A1101" s="26">
        <v>7216716</v>
      </c>
      <c r="B1101" s="29" t="s">
        <v>3343</v>
      </c>
      <c r="C1101" s="26" t="s">
        <v>18204</v>
      </c>
      <c r="D1101" s="26" t="s">
        <v>31354</v>
      </c>
      <c r="E1101" s="26" t="s">
        <v>44826</v>
      </c>
      <c r="F1101" s="37" t="s">
        <v>54401</v>
      </c>
      <c r="G1101" s="39">
        <v>154898.04999999999</v>
      </c>
      <c r="H1101" s="42">
        <v>211</v>
      </c>
    </row>
    <row r="1102" spans="1:8" ht="15" customHeight="1">
      <c r="A1102" s="26">
        <v>7216722</v>
      </c>
      <c r="B1102" s="29" t="s">
        <v>3344</v>
      </c>
      <c r="C1102" s="29" t="s">
        <v>18205</v>
      </c>
      <c r="D1102" s="29" t="s">
        <v>31355</v>
      </c>
      <c r="E1102" s="29" t="s">
        <v>44559</v>
      </c>
      <c r="F1102" s="36" t="s">
        <v>54409</v>
      </c>
      <c r="G1102" s="39">
        <f>3097772.8+54561+116572-12773</f>
        <v>3256132.8</v>
      </c>
      <c r="H1102" s="42">
        <v>211</v>
      </c>
    </row>
    <row r="1103" spans="1:8" ht="15" customHeight="1">
      <c r="A1103" s="26">
        <v>7216754</v>
      </c>
      <c r="B1103" s="29" t="s">
        <v>3345</v>
      </c>
      <c r="C1103" s="29" t="s">
        <v>18206</v>
      </c>
      <c r="D1103" s="29" t="s">
        <v>31356</v>
      </c>
      <c r="E1103" s="29" t="s">
        <v>44022</v>
      </c>
      <c r="F1103" s="36" t="s">
        <v>54401</v>
      </c>
      <c r="G1103" s="39">
        <v>701578.94</v>
      </c>
      <c r="H1103" s="42">
        <v>211</v>
      </c>
    </row>
    <row r="1104" spans="1:8" ht="15" customHeight="1">
      <c r="A1104" s="26">
        <v>7216847</v>
      </c>
      <c r="B1104" s="29" t="s">
        <v>3346</v>
      </c>
      <c r="C1104" s="26" t="s">
        <v>18207</v>
      </c>
      <c r="D1104" s="26" t="s">
        <v>31357</v>
      </c>
      <c r="E1104" s="26" t="s">
        <v>44827</v>
      </c>
      <c r="F1104" s="37" t="s">
        <v>54401</v>
      </c>
      <c r="G1104" s="39">
        <v>317978.28000000003</v>
      </c>
      <c r="H1104" s="42">
        <v>211</v>
      </c>
    </row>
    <row r="1105" spans="1:8" ht="15" customHeight="1">
      <c r="A1105" s="26">
        <v>7216850</v>
      </c>
      <c r="B1105" s="29" t="s">
        <v>3347</v>
      </c>
      <c r="C1105" s="29" t="s">
        <v>18208</v>
      </c>
      <c r="D1105" s="29" t="s">
        <v>31358</v>
      </c>
      <c r="E1105" s="29" t="s">
        <v>44828</v>
      </c>
      <c r="F1105" s="36" t="s">
        <v>54401</v>
      </c>
      <c r="G1105" s="39">
        <v>2891687</v>
      </c>
      <c r="H1105" s="42">
        <v>211</v>
      </c>
    </row>
    <row r="1106" spans="1:8" ht="15" customHeight="1">
      <c r="A1106" s="26">
        <v>7216854</v>
      </c>
      <c r="B1106" s="29" t="s">
        <v>3348</v>
      </c>
      <c r="C1106" s="29" t="s">
        <v>18209</v>
      </c>
      <c r="D1106" s="29" t="s">
        <v>31359</v>
      </c>
      <c r="E1106" s="29" t="s">
        <v>44829</v>
      </c>
      <c r="F1106" s="36" t="s">
        <v>54401</v>
      </c>
      <c r="G1106" s="39">
        <f>124470.41+107335</f>
        <v>231805.41</v>
      </c>
      <c r="H1106" s="42">
        <v>211</v>
      </c>
    </row>
    <row r="1107" spans="1:8" ht="15" customHeight="1">
      <c r="A1107" s="26">
        <v>7216882</v>
      </c>
      <c r="B1107" s="29" t="s">
        <v>3349</v>
      </c>
      <c r="C1107" s="29" t="s">
        <v>17846</v>
      </c>
      <c r="D1107" s="29" t="s">
        <v>31360</v>
      </c>
      <c r="E1107" s="29" t="s">
        <v>44830</v>
      </c>
      <c r="F1107" s="36" t="s">
        <v>54401</v>
      </c>
      <c r="G1107" s="39">
        <v>157177.54</v>
      </c>
      <c r="H1107" s="42">
        <v>211</v>
      </c>
    </row>
    <row r="1108" spans="1:8" ht="15" customHeight="1">
      <c r="A1108" s="26">
        <v>7216904</v>
      </c>
      <c r="B1108" s="29" t="s">
        <v>3350</v>
      </c>
      <c r="C1108" s="29" t="s">
        <v>18210</v>
      </c>
      <c r="D1108" s="29" t="s">
        <v>31361</v>
      </c>
      <c r="E1108" s="29" t="s">
        <v>44831</v>
      </c>
      <c r="F1108" s="36" t="s">
        <v>54401</v>
      </c>
      <c r="G1108" s="39">
        <v>272801.57</v>
      </c>
      <c r="H1108" s="42">
        <v>211</v>
      </c>
    </row>
    <row r="1109" spans="1:8" ht="15" customHeight="1">
      <c r="A1109" s="26">
        <v>7216921</v>
      </c>
      <c r="B1109" s="29" t="s">
        <v>3351</v>
      </c>
      <c r="C1109" s="29" t="s">
        <v>18211</v>
      </c>
      <c r="D1109" s="29" t="s">
        <v>31362</v>
      </c>
      <c r="E1109" s="29" t="s">
        <v>44832</v>
      </c>
      <c r="F1109" s="36" t="s">
        <v>54401</v>
      </c>
      <c r="G1109" s="39">
        <f>300497.36+357664</f>
        <v>658161.36</v>
      </c>
      <c r="H1109" s="42">
        <v>211</v>
      </c>
    </row>
    <row r="1110" spans="1:8" ht="15" customHeight="1">
      <c r="A1110" s="26">
        <v>7216931</v>
      </c>
      <c r="B1110" s="29" t="s">
        <v>3352</v>
      </c>
      <c r="C1110" s="29" t="s">
        <v>18212</v>
      </c>
      <c r="D1110" s="29" t="s">
        <v>31363</v>
      </c>
      <c r="E1110" s="29" t="s">
        <v>44833</v>
      </c>
      <c r="F1110" s="36" t="s">
        <v>54401</v>
      </c>
      <c r="G1110" s="39">
        <v>79268.89</v>
      </c>
      <c r="H1110" s="42">
        <v>211</v>
      </c>
    </row>
    <row r="1111" spans="1:8" ht="15" customHeight="1">
      <c r="A1111" s="26">
        <v>7216935</v>
      </c>
      <c r="B1111" s="29" t="s">
        <v>3353</v>
      </c>
      <c r="C1111" s="29" t="s">
        <v>17204</v>
      </c>
      <c r="D1111" s="29" t="s">
        <v>30349</v>
      </c>
      <c r="E1111" s="29" t="s">
        <v>43926</v>
      </c>
      <c r="F1111" s="36" t="s">
        <v>54401</v>
      </c>
      <c r="G1111" s="39">
        <v>64145.38</v>
      </c>
      <c r="H1111" s="42">
        <v>211</v>
      </c>
    </row>
    <row r="1112" spans="1:8" ht="15" customHeight="1">
      <c r="A1112" s="26">
        <v>7217035</v>
      </c>
      <c r="B1112" s="29" t="s">
        <v>3354</v>
      </c>
      <c r="C1112" s="26" t="s">
        <v>18213</v>
      </c>
      <c r="D1112" s="26" t="s">
        <v>31364</v>
      </c>
      <c r="E1112" s="26" t="s">
        <v>44834</v>
      </c>
      <c r="F1112" s="37" t="s">
        <v>54401</v>
      </c>
      <c r="G1112" s="39">
        <v>4275554.09</v>
      </c>
      <c r="H1112" s="42">
        <v>211</v>
      </c>
    </row>
    <row r="1113" spans="1:8" ht="15" customHeight="1">
      <c r="A1113" s="26">
        <v>7217061</v>
      </c>
      <c r="B1113" s="29" t="s">
        <v>3355</v>
      </c>
      <c r="C1113" s="29" t="s">
        <v>18214</v>
      </c>
      <c r="D1113" s="29" t="s">
        <v>31365</v>
      </c>
      <c r="E1113" s="29" t="s">
        <v>44835</v>
      </c>
      <c r="F1113" s="36" t="s">
        <v>54401</v>
      </c>
      <c r="G1113" s="39">
        <v>25802.080000000002</v>
      </c>
      <c r="H1113" s="42">
        <v>211</v>
      </c>
    </row>
    <row r="1114" spans="1:8" ht="15" customHeight="1">
      <c r="A1114" s="26">
        <v>7217088</v>
      </c>
      <c r="B1114" s="29" t="s">
        <v>3356</v>
      </c>
      <c r="C1114" s="29" t="s">
        <v>18215</v>
      </c>
      <c r="D1114" s="29" t="s">
        <v>31366</v>
      </c>
      <c r="E1114" s="29" t="s">
        <v>44836</v>
      </c>
      <c r="F1114" s="36" t="s">
        <v>54401</v>
      </c>
      <c r="G1114" s="39">
        <f>1873082.82+60923</f>
        <v>1934005.82</v>
      </c>
      <c r="H1114" s="42">
        <v>211</v>
      </c>
    </row>
    <row r="1115" spans="1:8" ht="15" customHeight="1">
      <c r="A1115" s="26">
        <v>7217160</v>
      </c>
      <c r="B1115" s="29" t="s">
        <v>3357</v>
      </c>
      <c r="C1115" s="29" t="s">
        <v>18216</v>
      </c>
      <c r="D1115" s="29" t="s">
        <v>31367</v>
      </c>
      <c r="E1115" s="29" t="s">
        <v>44837</v>
      </c>
      <c r="F1115" s="36" t="s">
        <v>54401</v>
      </c>
      <c r="G1115" s="39">
        <v>172124.07</v>
      </c>
      <c r="H1115" s="42">
        <v>211</v>
      </c>
    </row>
    <row r="1116" spans="1:8" ht="15" customHeight="1">
      <c r="A1116" s="26">
        <v>7217163</v>
      </c>
      <c r="B1116" s="29" t="s">
        <v>3358</v>
      </c>
      <c r="C1116" s="29" t="s">
        <v>18217</v>
      </c>
      <c r="D1116" s="29" t="s">
        <v>31368</v>
      </c>
      <c r="E1116" s="29" t="s">
        <v>44838</v>
      </c>
      <c r="F1116" s="36" t="s">
        <v>54401</v>
      </c>
      <c r="G1116" s="39">
        <v>49098.91</v>
      </c>
      <c r="H1116" s="42">
        <v>211</v>
      </c>
    </row>
    <row r="1117" spans="1:8" ht="15" customHeight="1">
      <c r="A1117" s="26">
        <v>7217172</v>
      </c>
      <c r="B1117" s="29" t="s">
        <v>3359</v>
      </c>
      <c r="C1117" s="29" t="s">
        <v>18218</v>
      </c>
      <c r="D1117" s="29" t="s">
        <v>31369</v>
      </c>
      <c r="E1117" s="29" t="s">
        <v>44839</v>
      </c>
      <c r="F1117" s="36" t="s">
        <v>54401</v>
      </c>
      <c r="G1117" s="39">
        <v>3340725.52</v>
      </c>
      <c r="H1117" s="42">
        <v>211</v>
      </c>
    </row>
    <row r="1118" spans="1:8" ht="15" customHeight="1">
      <c r="A1118" s="26">
        <v>7217175</v>
      </c>
      <c r="B1118" s="29" t="s">
        <v>3360</v>
      </c>
      <c r="C1118" s="29" t="s">
        <v>18219</v>
      </c>
      <c r="D1118" s="29" t="s">
        <v>31370</v>
      </c>
      <c r="E1118" s="29" t="s">
        <v>44840</v>
      </c>
      <c r="F1118" s="36" t="s">
        <v>54401</v>
      </c>
      <c r="G1118" s="39">
        <f>176540.23+163913</f>
        <v>340453.23</v>
      </c>
      <c r="H1118" s="42">
        <v>211</v>
      </c>
    </row>
    <row r="1119" spans="1:8" ht="15" customHeight="1">
      <c r="A1119" s="26">
        <v>7217184</v>
      </c>
      <c r="B1119" s="29" t="s">
        <v>3361</v>
      </c>
      <c r="C1119" s="29" t="s">
        <v>18220</v>
      </c>
      <c r="D1119" s="29" t="s">
        <v>31371</v>
      </c>
      <c r="E1119" s="29" t="s">
        <v>44841</v>
      </c>
      <c r="F1119" s="36" t="s">
        <v>54401</v>
      </c>
      <c r="G1119" s="39">
        <f>3254352.27-125647</f>
        <v>3128705.27</v>
      </c>
      <c r="H1119" s="42">
        <v>211</v>
      </c>
    </row>
    <row r="1120" spans="1:8" ht="15" customHeight="1">
      <c r="A1120" s="26">
        <v>7217205</v>
      </c>
      <c r="B1120" s="29" t="s">
        <v>3362</v>
      </c>
      <c r="C1120" s="29" t="s">
        <v>17204</v>
      </c>
      <c r="D1120" s="29" t="s">
        <v>30349</v>
      </c>
      <c r="E1120" s="29" t="s">
        <v>43926</v>
      </c>
      <c r="F1120" s="36" t="s">
        <v>54401</v>
      </c>
      <c r="G1120" s="39">
        <f>5450993.72+65135</f>
        <v>5516128.7199999997</v>
      </c>
      <c r="H1120" s="42">
        <v>211</v>
      </c>
    </row>
    <row r="1121" spans="1:8" ht="15" customHeight="1">
      <c r="A1121" s="26">
        <v>7217224</v>
      </c>
      <c r="B1121" s="29" t="s">
        <v>3363</v>
      </c>
      <c r="C1121" s="29" t="s">
        <v>18221</v>
      </c>
      <c r="D1121" s="29" t="s">
        <v>31372</v>
      </c>
      <c r="E1121" s="29" t="s">
        <v>44842</v>
      </c>
      <c r="F1121" s="36" t="s">
        <v>54401</v>
      </c>
      <c r="G1121" s="39">
        <v>3066034.04</v>
      </c>
      <c r="H1121" s="42">
        <v>211</v>
      </c>
    </row>
    <row r="1122" spans="1:8" ht="15" customHeight="1">
      <c r="A1122" s="26">
        <v>7217256</v>
      </c>
      <c r="B1122" s="29" t="s">
        <v>3364</v>
      </c>
      <c r="C1122" s="29" t="s">
        <v>18222</v>
      </c>
      <c r="D1122" s="29" t="s">
        <v>31373</v>
      </c>
      <c r="E1122" s="29" t="s">
        <v>44843</v>
      </c>
      <c r="F1122" s="36" t="s">
        <v>54401</v>
      </c>
      <c r="G1122" s="39">
        <v>1945385.19</v>
      </c>
      <c r="H1122" s="42">
        <v>211</v>
      </c>
    </row>
    <row r="1123" spans="1:8" ht="15" customHeight="1">
      <c r="A1123" s="26">
        <v>7217262</v>
      </c>
      <c r="B1123" s="29" t="s">
        <v>3365</v>
      </c>
      <c r="C1123" s="29" t="s">
        <v>18223</v>
      </c>
      <c r="D1123" s="29" t="s">
        <v>31374</v>
      </c>
      <c r="E1123" s="29" t="s">
        <v>43926</v>
      </c>
      <c r="F1123" s="36" t="s">
        <v>54401</v>
      </c>
      <c r="G1123" s="39">
        <v>147830.91</v>
      </c>
      <c r="H1123" s="42">
        <v>211</v>
      </c>
    </row>
    <row r="1124" spans="1:8" ht="15" customHeight="1">
      <c r="A1124" s="26">
        <v>7217289</v>
      </c>
      <c r="B1124" s="29" t="s">
        <v>3366</v>
      </c>
      <c r="C1124" s="29" t="s">
        <v>18224</v>
      </c>
      <c r="D1124" s="29" t="s">
        <v>31375</v>
      </c>
      <c r="E1124" s="29" t="s">
        <v>44844</v>
      </c>
      <c r="F1124" s="36" t="s">
        <v>54401</v>
      </c>
      <c r="G1124" s="39">
        <f>113858.18+590813</f>
        <v>704671.17999999993</v>
      </c>
      <c r="H1124" s="42">
        <v>211</v>
      </c>
    </row>
    <row r="1125" spans="1:8" ht="15" customHeight="1">
      <c r="A1125" s="26">
        <v>7217294</v>
      </c>
      <c r="B1125" s="30" t="s">
        <v>3367</v>
      </c>
      <c r="C1125" s="26" t="s">
        <v>18225</v>
      </c>
      <c r="D1125" s="26" t="s">
        <v>31376</v>
      </c>
      <c r="E1125" s="26" t="s">
        <v>44845</v>
      </c>
      <c r="F1125" s="37" t="s">
        <v>54401</v>
      </c>
      <c r="G1125" s="39">
        <v>3425507.27</v>
      </c>
      <c r="H1125" s="42">
        <v>211</v>
      </c>
    </row>
    <row r="1126" spans="1:8" ht="15" customHeight="1">
      <c r="A1126" s="26">
        <v>7217314</v>
      </c>
      <c r="B1126" s="30" t="s">
        <v>3368</v>
      </c>
      <c r="C1126" s="29" t="s">
        <v>18226</v>
      </c>
      <c r="D1126" s="29" t="s">
        <v>31377</v>
      </c>
      <c r="E1126" s="29" t="s">
        <v>44846</v>
      </c>
      <c r="F1126" s="36" t="s">
        <v>54401</v>
      </c>
      <c r="G1126" s="39">
        <v>100029.53</v>
      </c>
      <c r="H1126" s="42">
        <v>211</v>
      </c>
    </row>
    <row r="1127" spans="1:8" ht="15" customHeight="1">
      <c r="A1127" s="26">
        <v>7217327</v>
      </c>
      <c r="B1127" s="30" t="s">
        <v>3369</v>
      </c>
      <c r="C1127" s="29" t="s">
        <v>18227</v>
      </c>
      <c r="D1127" s="29" t="s">
        <v>31378</v>
      </c>
      <c r="E1127" s="29" t="s">
        <v>44847</v>
      </c>
      <c r="F1127" s="36" t="s">
        <v>54401</v>
      </c>
      <c r="G1127" s="39">
        <v>97126.65</v>
      </c>
      <c r="H1127" s="42">
        <v>211</v>
      </c>
    </row>
    <row r="1128" spans="1:8" ht="15" customHeight="1">
      <c r="A1128" s="26">
        <v>7217362</v>
      </c>
      <c r="B1128" s="30" t="s">
        <v>3370</v>
      </c>
      <c r="C1128" s="29" t="s">
        <v>18228</v>
      </c>
      <c r="D1128" s="29" t="s">
        <v>31379</v>
      </c>
      <c r="E1128" s="29" t="s">
        <v>44848</v>
      </c>
      <c r="F1128" s="36" t="s">
        <v>54401</v>
      </c>
      <c r="G1128" s="39">
        <v>254274.79</v>
      </c>
      <c r="H1128" s="42">
        <v>211</v>
      </c>
    </row>
    <row r="1129" spans="1:8" ht="15" customHeight="1">
      <c r="A1129" s="26">
        <v>7217369</v>
      </c>
      <c r="B1129" s="30" t="s">
        <v>3371</v>
      </c>
      <c r="C1129" s="29" t="s">
        <v>18229</v>
      </c>
      <c r="D1129" s="29" t="s">
        <v>31380</v>
      </c>
      <c r="E1129" s="29" t="s">
        <v>44849</v>
      </c>
      <c r="F1129" s="36" t="s">
        <v>54401</v>
      </c>
      <c r="G1129" s="39">
        <v>72243.199999999997</v>
      </c>
      <c r="H1129" s="42">
        <v>211</v>
      </c>
    </row>
    <row r="1130" spans="1:8" ht="15" customHeight="1">
      <c r="A1130" s="26">
        <v>7217383</v>
      </c>
      <c r="B1130" s="30" t="s">
        <v>3372</v>
      </c>
      <c r="C1130" s="29" t="s">
        <v>18230</v>
      </c>
      <c r="D1130" s="29" t="s">
        <v>31381</v>
      </c>
      <c r="E1130" s="29" t="s">
        <v>44850</v>
      </c>
      <c r="F1130" s="36" t="s">
        <v>54401</v>
      </c>
      <c r="G1130" s="39">
        <f>251533.44+176912+128838</f>
        <v>557283.43999999994</v>
      </c>
      <c r="H1130" s="42">
        <v>211</v>
      </c>
    </row>
    <row r="1131" spans="1:8" ht="15" customHeight="1">
      <c r="A1131" s="26">
        <v>7217392</v>
      </c>
      <c r="B1131" s="30" t="s">
        <v>3373</v>
      </c>
      <c r="C1131" s="29" t="s">
        <v>18231</v>
      </c>
      <c r="D1131" s="29" t="s">
        <v>31382</v>
      </c>
      <c r="E1131" s="29" t="s">
        <v>44200</v>
      </c>
      <c r="F1131" s="36" t="s">
        <v>54406</v>
      </c>
      <c r="G1131" s="39">
        <v>2520222.66</v>
      </c>
      <c r="H1131" s="42">
        <v>211</v>
      </c>
    </row>
    <row r="1132" spans="1:8" ht="15" customHeight="1">
      <c r="A1132" s="26">
        <v>7217407</v>
      </c>
      <c r="B1132" s="30" t="s">
        <v>3374</v>
      </c>
      <c r="C1132" s="29" t="s">
        <v>18232</v>
      </c>
      <c r="D1132" s="29" t="s">
        <v>31383</v>
      </c>
      <c r="E1132" s="29" t="s">
        <v>44851</v>
      </c>
      <c r="F1132" s="36" t="s">
        <v>54401</v>
      </c>
      <c r="G1132" s="39">
        <v>2315978.59</v>
      </c>
      <c r="H1132" s="42">
        <v>211</v>
      </c>
    </row>
    <row r="1133" spans="1:8" ht="15" customHeight="1">
      <c r="A1133" s="26">
        <v>7217422</v>
      </c>
      <c r="B1133" s="30" t="s">
        <v>3375</v>
      </c>
      <c r="C1133" s="29" t="s">
        <v>18233</v>
      </c>
      <c r="D1133" s="29" t="s">
        <v>31384</v>
      </c>
      <c r="E1133" s="29" t="s">
        <v>44852</v>
      </c>
      <c r="F1133" s="36" t="s">
        <v>54401</v>
      </c>
      <c r="G1133" s="39">
        <v>122831.2</v>
      </c>
      <c r="H1133" s="42">
        <v>211</v>
      </c>
    </row>
    <row r="1134" spans="1:8" ht="15" customHeight="1">
      <c r="A1134" s="26">
        <v>7217460</v>
      </c>
      <c r="B1134" s="30" t="s">
        <v>3376</v>
      </c>
      <c r="C1134" s="29" t="s">
        <v>18234</v>
      </c>
      <c r="D1134" s="29" t="s">
        <v>31385</v>
      </c>
      <c r="E1134" s="29" t="s">
        <v>43926</v>
      </c>
      <c r="F1134" s="36" t="s">
        <v>54401</v>
      </c>
      <c r="G1134" s="39">
        <v>924724.34</v>
      </c>
      <c r="H1134" s="42">
        <v>211</v>
      </c>
    </row>
    <row r="1135" spans="1:8" ht="15" customHeight="1">
      <c r="A1135" s="26">
        <v>7217467</v>
      </c>
      <c r="B1135" s="30" t="s">
        <v>3377</v>
      </c>
      <c r="C1135" s="29" t="s">
        <v>18235</v>
      </c>
      <c r="D1135" s="29" t="s">
        <v>31386</v>
      </c>
      <c r="E1135" s="29" t="s">
        <v>44853</v>
      </c>
      <c r="F1135" s="36" t="s">
        <v>54406</v>
      </c>
      <c r="G1135" s="39">
        <v>5823448.4500000002</v>
      </c>
      <c r="H1135" s="42">
        <v>211</v>
      </c>
    </row>
    <row r="1136" spans="1:8" ht="15" customHeight="1">
      <c r="A1136" s="26">
        <v>7217496</v>
      </c>
      <c r="B1136" s="30" t="s">
        <v>3378</v>
      </c>
      <c r="C1136" s="29" t="s">
        <v>18236</v>
      </c>
      <c r="D1136" s="29" t="s">
        <v>31387</v>
      </c>
      <c r="E1136" s="29" t="s">
        <v>44854</v>
      </c>
      <c r="F1136" s="36" t="s">
        <v>54401</v>
      </c>
      <c r="G1136" s="39">
        <v>2684011.2200000002</v>
      </c>
      <c r="H1136" s="42">
        <v>211</v>
      </c>
    </row>
    <row r="1137" spans="1:8" ht="15" customHeight="1">
      <c r="A1137" s="26">
        <v>7217545</v>
      </c>
      <c r="B1137" s="30" t="s">
        <v>3379</v>
      </c>
      <c r="C1137" s="29" t="s">
        <v>18237</v>
      </c>
      <c r="D1137" s="29" t="s">
        <v>31388</v>
      </c>
      <c r="E1137" s="29" t="s">
        <v>44855</v>
      </c>
      <c r="F1137" s="36" t="s">
        <v>54401</v>
      </c>
      <c r="G1137" s="39">
        <f>4458597.19+82948</f>
        <v>4541545.1900000004</v>
      </c>
      <c r="H1137" s="42">
        <v>211</v>
      </c>
    </row>
    <row r="1138" spans="1:8" ht="15" customHeight="1">
      <c r="A1138" s="26">
        <v>7217589</v>
      </c>
      <c r="B1138" s="30" t="s">
        <v>3380</v>
      </c>
      <c r="C1138" s="29" t="s">
        <v>18238</v>
      </c>
      <c r="D1138" s="29" t="s">
        <v>31389</v>
      </c>
      <c r="E1138" s="29" t="s">
        <v>44856</v>
      </c>
      <c r="F1138" s="36" t="s">
        <v>54401</v>
      </c>
      <c r="G1138" s="39">
        <v>417053.54</v>
      </c>
      <c r="H1138" s="42">
        <v>211</v>
      </c>
    </row>
    <row r="1139" spans="1:8" ht="15" customHeight="1">
      <c r="A1139" s="26">
        <v>7217596</v>
      </c>
      <c r="B1139" s="30" t="s">
        <v>3381</v>
      </c>
      <c r="C1139" s="29" t="s">
        <v>18239</v>
      </c>
      <c r="D1139" s="29" t="s">
        <v>31390</v>
      </c>
      <c r="E1139" s="29" t="s">
        <v>44857</v>
      </c>
      <c r="F1139" s="36" t="s">
        <v>54401</v>
      </c>
      <c r="G1139" s="39">
        <f>1898576.78+1702357</f>
        <v>3600933.7800000003</v>
      </c>
      <c r="H1139" s="42">
        <v>211</v>
      </c>
    </row>
    <row r="1140" spans="1:8" ht="15" customHeight="1">
      <c r="A1140" s="26">
        <v>7217632</v>
      </c>
      <c r="B1140" s="30" t="s">
        <v>3382</v>
      </c>
      <c r="C1140" s="29" t="s">
        <v>18240</v>
      </c>
      <c r="D1140" s="29" t="s">
        <v>31391</v>
      </c>
      <c r="E1140" s="29" t="s">
        <v>44858</v>
      </c>
      <c r="F1140" s="36" t="s">
        <v>54401</v>
      </c>
      <c r="G1140" s="39">
        <f>4080937.94+329433</f>
        <v>4410370.9399999995</v>
      </c>
      <c r="H1140" s="42">
        <v>211</v>
      </c>
    </row>
    <row r="1141" spans="1:8" ht="15" customHeight="1">
      <c r="A1141" s="26">
        <v>7217654</v>
      </c>
      <c r="B1141" s="30" t="s">
        <v>3383</v>
      </c>
      <c r="C1141" s="29" t="s">
        <v>18241</v>
      </c>
      <c r="D1141" s="29" t="s">
        <v>31392</v>
      </c>
      <c r="E1141" s="29" t="s">
        <v>44769</v>
      </c>
      <c r="F1141" s="36" t="s">
        <v>54401</v>
      </c>
      <c r="G1141" s="39">
        <f>145737.78+37409</f>
        <v>183146.78</v>
      </c>
      <c r="H1141" s="42">
        <v>211</v>
      </c>
    </row>
    <row r="1142" spans="1:8" ht="15" customHeight="1">
      <c r="A1142" s="26">
        <v>7217671</v>
      </c>
      <c r="B1142" s="30" t="s">
        <v>3384</v>
      </c>
      <c r="C1142" s="29" t="s">
        <v>18242</v>
      </c>
      <c r="D1142" s="29" t="s">
        <v>31393</v>
      </c>
      <c r="E1142" s="29" t="s">
        <v>44859</v>
      </c>
      <c r="F1142" s="36" t="s">
        <v>54401</v>
      </c>
      <c r="G1142" s="39">
        <f>3139136.01+1092864+37924+1098616</f>
        <v>5368540.01</v>
      </c>
      <c r="H1142" s="42">
        <v>211</v>
      </c>
    </row>
    <row r="1143" spans="1:8" ht="15" customHeight="1">
      <c r="A1143" s="26">
        <v>7217683</v>
      </c>
      <c r="B1143" s="30" t="s">
        <v>3385</v>
      </c>
      <c r="C1143" s="29" t="s">
        <v>18243</v>
      </c>
      <c r="D1143" s="29" t="s">
        <v>31394</v>
      </c>
      <c r="E1143" s="29" t="s">
        <v>44860</v>
      </c>
      <c r="F1143" s="36" t="s">
        <v>54401</v>
      </c>
      <c r="G1143" s="39">
        <v>3765374.87</v>
      </c>
      <c r="H1143" s="42">
        <v>211</v>
      </c>
    </row>
    <row r="1144" spans="1:8" ht="15" customHeight="1">
      <c r="A1144" s="26">
        <v>7217690</v>
      </c>
      <c r="B1144" s="30" t="s">
        <v>3386</v>
      </c>
      <c r="C1144" s="26" t="s">
        <v>18244</v>
      </c>
      <c r="D1144" s="26" t="s">
        <v>31395</v>
      </c>
      <c r="E1144" s="26" t="s">
        <v>44861</v>
      </c>
      <c r="F1144" s="37" t="s">
        <v>54401</v>
      </c>
      <c r="G1144" s="39">
        <f>722827.47+35351</f>
        <v>758178.47</v>
      </c>
      <c r="H1144" s="42">
        <v>211</v>
      </c>
    </row>
    <row r="1145" spans="1:8" ht="15" customHeight="1">
      <c r="A1145" s="26">
        <v>7217727</v>
      </c>
      <c r="B1145" s="30" t="s">
        <v>3387</v>
      </c>
      <c r="C1145" s="29" t="s">
        <v>18245</v>
      </c>
      <c r="D1145" s="29" t="s">
        <v>31396</v>
      </c>
      <c r="E1145" s="29" t="s">
        <v>44862</v>
      </c>
      <c r="F1145" s="36" t="s">
        <v>54401</v>
      </c>
      <c r="G1145" s="39">
        <f>5215996.06+1916794+279434</f>
        <v>7412224.0599999996</v>
      </c>
      <c r="H1145" s="42">
        <v>211</v>
      </c>
    </row>
    <row r="1146" spans="1:8" ht="15" customHeight="1">
      <c r="A1146" s="26">
        <v>7217755</v>
      </c>
      <c r="B1146" s="30" t="s">
        <v>3388</v>
      </c>
      <c r="C1146" s="29" t="s">
        <v>18246</v>
      </c>
      <c r="D1146" s="29" t="s">
        <v>31397</v>
      </c>
      <c r="E1146" s="29" t="s">
        <v>43926</v>
      </c>
      <c r="F1146" s="36" t="s">
        <v>54401</v>
      </c>
      <c r="G1146" s="39">
        <f>1156981.46+112585+164321</f>
        <v>1433887.46</v>
      </c>
      <c r="H1146" s="42">
        <v>211</v>
      </c>
    </row>
    <row r="1147" spans="1:8" ht="15" customHeight="1">
      <c r="A1147" s="26">
        <v>7217767</v>
      </c>
      <c r="B1147" s="30" t="s">
        <v>3389</v>
      </c>
      <c r="C1147" s="29" t="s">
        <v>18247</v>
      </c>
      <c r="D1147" s="29" t="s">
        <v>31398</v>
      </c>
      <c r="E1147" s="29" t="s">
        <v>44863</v>
      </c>
      <c r="F1147" s="36" t="s">
        <v>54401</v>
      </c>
      <c r="G1147" s="39">
        <v>825102.92</v>
      </c>
      <c r="H1147" s="42">
        <v>211</v>
      </c>
    </row>
    <row r="1148" spans="1:8" ht="15" customHeight="1">
      <c r="A1148" s="26">
        <v>7217815</v>
      </c>
      <c r="B1148" s="30" t="s">
        <v>3390</v>
      </c>
      <c r="C1148" s="29" t="s">
        <v>18248</v>
      </c>
      <c r="D1148" s="29" t="s">
        <v>31399</v>
      </c>
      <c r="E1148" s="29" t="s">
        <v>44864</v>
      </c>
      <c r="F1148" s="36" t="s">
        <v>54401</v>
      </c>
      <c r="G1148" s="39">
        <v>2172117.27</v>
      </c>
      <c r="H1148" s="42">
        <v>211</v>
      </c>
    </row>
    <row r="1149" spans="1:8" ht="15" customHeight="1">
      <c r="A1149" s="26">
        <v>7217918</v>
      </c>
      <c r="B1149" s="30" t="s">
        <v>3391</v>
      </c>
      <c r="C1149" s="26" t="s">
        <v>17204</v>
      </c>
      <c r="D1149" s="26" t="s">
        <v>31400</v>
      </c>
      <c r="E1149" s="26" t="s">
        <v>43926</v>
      </c>
      <c r="F1149" s="37" t="s">
        <v>54401</v>
      </c>
      <c r="G1149" s="39">
        <v>169871.77</v>
      </c>
      <c r="H1149" s="42">
        <v>211</v>
      </c>
    </row>
    <row r="1150" spans="1:8" ht="15" customHeight="1">
      <c r="A1150" s="26">
        <v>7217985</v>
      </c>
      <c r="B1150" s="30" t="s">
        <v>3392</v>
      </c>
      <c r="C1150" s="29" t="s">
        <v>18249</v>
      </c>
      <c r="D1150" s="29" t="s">
        <v>31401</v>
      </c>
      <c r="E1150" s="29" t="s">
        <v>44865</v>
      </c>
      <c r="F1150" s="36" t="s">
        <v>54423</v>
      </c>
      <c r="G1150" s="39">
        <v>233426.89</v>
      </c>
      <c r="H1150" s="42">
        <v>211</v>
      </c>
    </row>
    <row r="1151" spans="1:8" ht="15" customHeight="1">
      <c r="A1151" s="26">
        <v>7217987</v>
      </c>
      <c r="B1151" s="30" t="s">
        <v>3393</v>
      </c>
      <c r="C1151" s="29" t="s">
        <v>18250</v>
      </c>
      <c r="D1151" s="29" t="s">
        <v>31402</v>
      </c>
      <c r="E1151" s="29" t="s">
        <v>43926</v>
      </c>
      <c r="F1151" s="36" t="s">
        <v>54401</v>
      </c>
      <c r="G1151" s="39">
        <v>347792.9</v>
      </c>
      <c r="H1151" s="42">
        <v>211</v>
      </c>
    </row>
    <row r="1152" spans="1:8" ht="15" customHeight="1">
      <c r="A1152" s="26">
        <v>7218003</v>
      </c>
      <c r="B1152" s="30" t="s">
        <v>3394</v>
      </c>
      <c r="C1152" s="29" t="s">
        <v>18251</v>
      </c>
      <c r="D1152" s="29" t="s">
        <v>31403</v>
      </c>
      <c r="E1152" s="29" t="s">
        <v>44866</v>
      </c>
      <c r="F1152" s="36" t="s">
        <v>54401</v>
      </c>
      <c r="G1152" s="39">
        <v>758262.69</v>
      </c>
      <c r="H1152" s="42">
        <v>211</v>
      </c>
    </row>
    <row r="1153" spans="1:8" ht="15" customHeight="1">
      <c r="A1153" s="26">
        <v>7218009</v>
      </c>
      <c r="B1153" s="30" t="s">
        <v>3395</v>
      </c>
      <c r="C1153" s="29" t="s">
        <v>18252</v>
      </c>
      <c r="D1153" s="29" t="s">
        <v>31404</v>
      </c>
      <c r="E1153" s="29" t="s">
        <v>44867</v>
      </c>
      <c r="F1153" s="36" t="s">
        <v>54401</v>
      </c>
      <c r="G1153" s="39">
        <v>4218714.76</v>
      </c>
      <c r="H1153" s="42">
        <v>211</v>
      </c>
    </row>
    <row r="1154" spans="1:8" ht="15" customHeight="1">
      <c r="A1154" s="26">
        <v>7218029</v>
      </c>
      <c r="B1154" s="30" t="s">
        <v>3396</v>
      </c>
      <c r="C1154" s="29" t="s">
        <v>18253</v>
      </c>
      <c r="D1154" s="29" t="s">
        <v>31405</v>
      </c>
      <c r="E1154" s="29" t="s">
        <v>44868</v>
      </c>
      <c r="F1154" s="36" t="s">
        <v>54401</v>
      </c>
      <c r="G1154" s="39">
        <v>7058.82</v>
      </c>
      <c r="H1154" s="42">
        <v>211</v>
      </c>
    </row>
    <row r="1155" spans="1:8" ht="15" customHeight="1">
      <c r="A1155" s="26">
        <v>7218055</v>
      </c>
      <c r="B1155" s="30" t="s">
        <v>3397</v>
      </c>
      <c r="C1155" s="29" t="s">
        <v>18254</v>
      </c>
      <c r="D1155" s="29" t="s">
        <v>31406</v>
      </c>
      <c r="E1155" s="29" t="s">
        <v>44869</v>
      </c>
      <c r="F1155" s="36" t="s">
        <v>54401</v>
      </c>
      <c r="G1155" s="39">
        <f>1280019.13+61109</f>
        <v>1341128.1299999999</v>
      </c>
      <c r="H1155" s="42">
        <v>211</v>
      </c>
    </row>
    <row r="1156" spans="1:8" ht="15" customHeight="1">
      <c r="A1156" s="26">
        <v>7218059</v>
      </c>
      <c r="B1156" s="30" t="s">
        <v>3398</v>
      </c>
      <c r="C1156" s="29" t="s">
        <v>17337</v>
      </c>
      <c r="D1156" s="29" t="s">
        <v>31407</v>
      </c>
      <c r="E1156" s="29" t="s">
        <v>43926</v>
      </c>
      <c r="F1156" s="36" t="s">
        <v>54401</v>
      </c>
      <c r="G1156" s="39">
        <v>101322.35</v>
      </c>
      <c r="H1156" s="42">
        <v>211</v>
      </c>
    </row>
    <row r="1157" spans="1:8" ht="15" customHeight="1">
      <c r="A1157" s="26">
        <v>7218101</v>
      </c>
      <c r="B1157" s="30" t="s">
        <v>3399</v>
      </c>
      <c r="C1157" s="29" t="s">
        <v>17204</v>
      </c>
      <c r="D1157" s="29" t="s">
        <v>30349</v>
      </c>
      <c r="E1157" s="29" t="s">
        <v>43926</v>
      </c>
      <c r="F1157" s="36" t="s">
        <v>54401</v>
      </c>
      <c r="G1157" s="39">
        <v>371677.11</v>
      </c>
      <c r="H1157" s="42">
        <v>211</v>
      </c>
    </row>
    <row r="1158" spans="1:8" ht="15" customHeight="1">
      <c r="A1158" s="26">
        <v>7218109</v>
      </c>
      <c r="B1158" s="30" t="s">
        <v>3400</v>
      </c>
      <c r="C1158" s="29" t="s">
        <v>18255</v>
      </c>
      <c r="D1158" s="29" t="s">
        <v>31408</v>
      </c>
      <c r="E1158" s="29" t="s">
        <v>44870</v>
      </c>
      <c r="F1158" s="36" t="s">
        <v>54401</v>
      </c>
      <c r="G1158" s="39">
        <v>1945683.02</v>
      </c>
      <c r="H1158" s="42">
        <v>211</v>
      </c>
    </row>
    <row r="1159" spans="1:8" ht="15" customHeight="1">
      <c r="A1159" s="26">
        <v>7218159</v>
      </c>
      <c r="B1159" s="30" t="s">
        <v>3401</v>
      </c>
      <c r="C1159" s="29" t="s">
        <v>18256</v>
      </c>
      <c r="D1159" s="29" t="s">
        <v>31409</v>
      </c>
      <c r="E1159" s="29" t="s">
        <v>44871</v>
      </c>
      <c r="F1159" s="36" t="s">
        <v>54401</v>
      </c>
      <c r="G1159" s="39">
        <v>40216.19</v>
      </c>
      <c r="H1159" s="42">
        <v>211</v>
      </c>
    </row>
    <row r="1160" spans="1:8" ht="15" customHeight="1">
      <c r="A1160" s="26">
        <v>7218164</v>
      </c>
      <c r="B1160" s="30" t="s">
        <v>3402</v>
      </c>
      <c r="C1160" s="29" t="s">
        <v>18257</v>
      </c>
      <c r="D1160" s="29" t="s">
        <v>31410</v>
      </c>
      <c r="E1160" s="29" t="s">
        <v>44872</v>
      </c>
      <c r="F1160" s="36" t="s">
        <v>54401</v>
      </c>
      <c r="G1160" s="39">
        <v>5927100.9000000004</v>
      </c>
      <c r="H1160" s="42">
        <v>211</v>
      </c>
    </row>
    <row r="1161" spans="1:8" ht="15" customHeight="1">
      <c r="A1161" s="26">
        <v>7218170</v>
      </c>
      <c r="B1161" s="30" t="s">
        <v>3403</v>
      </c>
      <c r="C1161" s="29" t="s">
        <v>18258</v>
      </c>
      <c r="D1161" s="29" t="s">
        <v>31411</v>
      </c>
      <c r="E1161" s="29" t="s">
        <v>44873</v>
      </c>
      <c r="F1161" s="36" t="s">
        <v>54401</v>
      </c>
      <c r="G1161" s="39">
        <v>388072.95</v>
      </c>
      <c r="H1161" s="42">
        <v>211</v>
      </c>
    </row>
    <row r="1162" spans="1:8" ht="15" customHeight="1">
      <c r="A1162" s="26">
        <v>7218175</v>
      </c>
      <c r="B1162" s="30" t="s">
        <v>3404</v>
      </c>
      <c r="C1162" s="29" t="s">
        <v>18259</v>
      </c>
      <c r="D1162" s="29" t="s">
        <v>31412</v>
      </c>
      <c r="E1162" s="29" t="s">
        <v>44874</v>
      </c>
      <c r="F1162" s="36" t="s">
        <v>54401</v>
      </c>
      <c r="G1162" s="39">
        <v>535069.73</v>
      </c>
      <c r="H1162" s="42">
        <v>211</v>
      </c>
    </row>
    <row r="1163" spans="1:8" ht="15" customHeight="1">
      <c r="A1163" s="26">
        <v>7218183</v>
      </c>
      <c r="B1163" s="30" t="s">
        <v>3405</v>
      </c>
      <c r="C1163" s="29" t="s">
        <v>18260</v>
      </c>
      <c r="D1163" s="29" t="s">
        <v>31413</v>
      </c>
      <c r="E1163" s="29" t="s">
        <v>44875</v>
      </c>
      <c r="F1163" s="36" t="s">
        <v>54401</v>
      </c>
      <c r="G1163" s="39">
        <v>754170.03</v>
      </c>
      <c r="H1163" s="42">
        <v>211</v>
      </c>
    </row>
    <row r="1164" spans="1:8" ht="15" customHeight="1">
      <c r="A1164" s="26">
        <v>7218213</v>
      </c>
      <c r="B1164" s="30" t="s">
        <v>3406</v>
      </c>
      <c r="C1164" s="29" t="s">
        <v>18261</v>
      </c>
      <c r="D1164" s="29" t="s">
        <v>30376</v>
      </c>
      <c r="E1164" s="29" t="s">
        <v>44876</v>
      </c>
      <c r="F1164" s="36" t="s">
        <v>54401</v>
      </c>
      <c r="G1164" s="39">
        <v>303960.73</v>
      </c>
      <c r="H1164" s="42">
        <v>211</v>
      </c>
    </row>
    <row r="1165" spans="1:8" ht="15" customHeight="1">
      <c r="A1165" s="26">
        <v>7218217</v>
      </c>
      <c r="B1165" s="30" t="s">
        <v>3407</v>
      </c>
      <c r="C1165" s="26" t="s">
        <v>18262</v>
      </c>
      <c r="D1165" s="26" t="s">
        <v>31414</v>
      </c>
      <c r="E1165" s="26" t="s">
        <v>44501</v>
      </c>
      <c r="F1165" s="37" t="s">
        <v>54401</v>
      </c>
      <c r="G1165" s="39">
        <v>5817573.0700000003</v>
      </c>
      <c r="H1165" s="42">
        <v>211</v>
      </c>
    </row>
    <row r="1166" spans="1:8" ht="15" customHeight="1">
      <c r="A1166" s="26">
        <v>7218244</v>
      </c>
      <c r="B1166" s="30" t="s">
        <v>3408</v>
      </c>
      <c r="C1166" s="29" t="s">
        <v>18263</v>
      </c>
      <c r="D1166" s="29" t="s">
        <v>31415</v>
      </c>
      <c r="E1166" s="29" t="s">
        <v>44877</v>
      </c>
      <c r="F1166" s="36" t="s">
        <v>54401</v>
      </c>
      <c r="G1166" s="39">
        <f>252523.33+144869</f>
        <v>397392.32999999996</v>
      </c>
      <c r="H1166" s="42">
        <v>211</v>
      </c>
    </row>
    <row r="1167" spans="1:8" ht="15" customHeight="1">
      <c r="A1167" s="26">
        <v>7218263</v>
      </c>
      <c r="B1167" s="30" t="s">
        <v>3409</v>
      </c>
      <c r="C1167" s="29" t="s">
        <v>18264</v>
      </c>
      <c r="D1167" s="29" t="s">
        <v>31416</v>
      </c>
      <c r="E1167" s="29" t="s">
        <v>44878</v>
      </c>
      <c r="F1167" s="36" t="s">
        <v>54401</v>
      </c>
      <c r="G1167" s="39">
        <v>392672.52</v>
      </c>
      <c r="H1167" s="42">
        <v>211</v>
      </c>
    </row>
    <row r="1168" spans="1:8" ht="15" customHeight="1">
      <c r="A1168" s="26">
        <v>7218279</v>
      </c>
      <c r="B1168" s="30" t="s">
        <v>3410</v>
      </c>
      <c r="C1168" s="26" t="s">
        <v>18265</v>
      </c>
      <c r="D1168" s="26" t="s">
        <v>31417</v>
      </c>
      <c r="E1168" s="26" t="s">
        <v>44879</v>
      </c>
      <c r="F1168" s="37" t="s">
        <v>54401</v>
      </c>
      <c r="G1168" s="39">
        <f>265375.89+2689097</f>
        <v>2954472.89</v>
      </c>
      <c r="H1168" s="42">
        <v>211</v>
      </c>
    </row>
    <row r="1169" spans="1:8" ht="15" customHeight="1">
      <c r="A1169" s="26">
        <v>7218299</v>
      </c>
      <c r="B1169" s="30" t="s">
        <v>3411</v>
      </c>
      <c r="C1169" s="29" t="s">
        <v>18266</v>
      </c>
      <c r="D1169" s="29" t="s">
        <v>31418</v>
      </c>
      <c r="E1169" s="29" t="s">
        <v>43948</v>
      </c>
      <c r="F1169" s="36" t="s">
        <v>54401</v>
      </c>
      <c r="G1169" s="39">
        <f>317797.45+4694754</f>
        <v>5012551.45</v>
      </c>
      <c r="H1169" s="42">
        <v>211</v>
      </c>
    </row>
    <row r="1170" spans="1:8" ht="15" customHeight="1">
      <c r="A1170" s="26">
        <v>7218316</v>
      </c>
      <c r="B1170" s="30" t="s">
        <v>3412</v>
      </c>
      <c r="C1170" s="29" t="s">
        <v>18267</v>
      </c>
      <c r="D1170" s="29" t="s">
        <v>31419</v>
      </c>
      <c r="E1170" s="29" t="s">
        <v>44880</v>
      </c>
      <c r="F1170" s="36" t="s">
        <v>54401</v>
      </c>
      <c r="G1170" s="39">
        <f>3815058.29+400285</f>
        <v>4215343.29</v>
      </c>
      <c r="H1170" s="42">
        <v>211</v>
      </c>
    </row>
    <row r="1171" spans="1:8" ht="15" customHeight="1">
      <c r="A1171" s="26">
        <v>7218372</v>
      </c>
      <c r="B1171" s="30" t="s">
        <v>3413</v>
      </c>
      <c r="C1171" s="29" t="s">
        <v>18268</v>
      </c>
      <c r="D1171" s="29" t="s">
        <v>31420</v>
      </c>
      <c r="E1171" s="29" t="s">
        <v>870</v>
      </c>
      <c r="F1171" s="36" t="s">
        <v>54401</v>
      </c>
      <c r="G1171" s="39">
        <f>457861.07+172130</f>
        <v>629991.07000000007</v>
      </c>
      <c r="H1171" s="42">
        <v>211</v>
      </c>
    </row>
    <row r="1172" spans="1:8" ht="15" customHeight="1">
      <c r="A1172" s="26">
        <v>7218396</v>
      </c>
      <c r="B1172" s="30" t="s">
        <v>3414</v>
      </c>
      <c r="C1172" s="29" t="s">
        <v>18269</v>
      </c>
      <c r="D1172" s="29" t="s">
        <v>31421</v>
      </c>
      <c r="E1172" s="29" t="s">
        <v>44881</v>
      </c>
      <c r="F1172" s="36" t="s">
        <v>54401</v>
      </c>
      <c r="G1172" s="39">
        <v>1164439.06</v>
      </c>
      <c r="H1172" s="42">
        <v>211</v>
      </c>
    </row>
    <row r="1173" spans="1:8" ht="15" customHeight="1">
      <c r="A1173" s="26">
        <v>7218422</v>
      </c>
      <c r="B1173" s="30" t="s">
        <v>3415</v>
      </c>
      <c r="C1173" s="29" t="s">
        <v>18270</v>
      </c>
      <c r="D1173" s="29" t="s">
        <v>31422</v>
      </c>
      <c r="E1173" s="29" t="s">
        <v>44882</v>
      </c>
      <c r="F1173" s="36" t="s">
        <v>54401</v>
      </c>
      <c r="G1173" s="39">
        <v>22915.96</v>
      </c>
      <c r="H1173" s="42">
        <v>211</v>
      </c>
    </row>
    <row r="1174" spans="1:8" ht="15" customHeight="1">
      <c r="A1174" s="26">
        <v>7218445</v>
      </c>
      <c r="B1174" s="30" t="s">
        <v>3416</v>
      </c>
      <c r="C1174" s="29" t="s">
        <v>18271</v>
      </c>
      <c r="D1174" s="29" t="s">
        <v>31423</v>
      </c>
      <c r="E1174" s="29" t="s">
        <v>44883</v>
      </c>
      <c r="F1174" s="36" t="s">
        <v>54401</v>
      </c>
      <c r="G1174" s="39">
        <v>524654.13</v>
      </c>
      <c r="H1174" s="42">
        <v>211</v>
      </c>
    </row>
    <row r="1175" spans="1:8" ht="15" customHeight="1">
      <c r="A1175" s="26">
        <v>7218460</v>
      </c>
      <c r="B1175" s="30" t="s">
        <v>3417</v>
      </c>
      <c r="C1175" s="29" t="s">
        <v>18272</v>
      </c>
      <c r="D1175" s="29" t="s">
        <v>31424</v>
      </c>
      <c r="E1175" s="29" t="s">
        <v>44884</v>
      </c>
      <c r="F1175" s="36" t="s">
        <v>54401</v>
      </c>
      <c r="G1175" s="39">
        <v>3447826.45</v>
      </c>
      <c r="H1175" s="42">
        <v>211</v>
      </c>
    </row>
    <row r="1176" spans="1:8" ht="15" customHeight="1">
      <c r="A1176" s="26">
        <v>7218471</v>
      </c>
      <c r="B1176" s="30" t="s">
        <v>3418</v>
      </c>
      <c r="C1176" s="29" t="s">
        <v>18273</v>
      </c>
      <c r="D1176" s="29" t="s">
        <v>31425</v>
      </c>
      <c r="E1176" s="29" t="s">
        <v>44885</v>
      </c>
      <c r="F1176" s="36" t="s">
        <v>54401</v>
      </c>
      <c r="G1176" s="39">
        <v>288591.55</v>
      </c>
      <c r="H1176" s="42">
        <v>211</v>
      </c>
    </row>
    <row r="1177" spans="1:8" ht="15" customHeight="1">
      <c r="A1177" s="26">
        <v>7218489</v>
      </c>
      <c r="B1177" s="30" t="s">
        <v>3419</v>
      </c>
      <c r="C1177" s="29" t="s">
        <v>18274</v>
      </c>
      <c r="D1177" s="29" t="s">
        <v>31426</v>
      </c>
      <c r="E1177" s="29" t="s">
        <v>43926</v>
      </c>
      <c r="F1177" s="36" t="s">
        <v>54401</v>
      </c>
      <c r="G1177" s="39">
        <v>126254.98</v>
      </c>
      <c r="H1177" s="42">
        <v>211</v>
      </c>
    </row>
    <row r="1178" spans="1:8" ht="15" customHeight="1">
      <c r="A1178" s="26">
        <v>7218495</v>
      </c>
      <c r="B1178" s="30" t="s">
        <v>3420</v>
      </c>
      <c r="C1178" s="29" t="s">
        <v>17204</v>
      </c>
      <c r="D1178" s="29" t="s">
        <v>30349</v>
      </c>
      <c r="E1178" s="29" t="s">
        <v>43926</v>
      </c>
      <c r="F1178" s="36" t="s">
        <v>54401</v>
      </c>
      <c r="G1178" s="39">
        <v>831520.44</v>
      </c>
      <c r="H1178" s="42">
        <v>211</v>
      </c>
    </row>
    <row r="1179" spans="1:8" ht="15" customHeight="1">
      <c r="A1179" s="26">
        <v>7218554</v>
      </c>
      <c r="B1179" s="30" t="s">
        <v>3421</v>
      </c>
      <c r="C1179" s="29" t="s">
        <v>17204</v>
      </c>
      <c r="D1179" s="29" t="s">
        <v>31427</v>
      </c>
      <c r="E1179" s="29" t="s">
        <v>43926</v>
      </c>
      <c r="F1179" s="36" t="s">
        <v>54401</v>
      </c>
      <c r="G1179" s="39">
        <v>132012.25</v>
      </c>
      <c r="H1179" s="42">
        <v>211</v>
      </c>
    </row>
    <row r="1180" spans="1:8" ht="15" customHeight="1">
      <c r="A1180" s="26">
        <v>7218563</v>
      </c>
      <c r="B1180" s="30" t="s">
        <v>3422</v>
      </c>
      <c r="C1180" s="29" t="s">
        <v>18275</v>
      </c>
      <c r="D1180" s="29" t="s">
        <v>31428</v>
      </c>
      <c r="E1180" s="29" t="s">
        <v>44886</v>
      </c>
      <c r="F1180" s="36" t="s">
        <v>54401</v>
      </c>
      <c r="G1180" s="39">
        <f>60413.43+116816</f>
        <v>177229.43</v>
      </c>
      <c r="H1180" s="42">
        <v>211</v>
      </c>
    </row>
    <row r="1181" spans="1:8" ht="15" customHeight="1">
      <c r="A1181" s="26">
        <v>7218578</v>
      </c>
      <c r="B1181" s="30" t="s">
        <v>3423</v>
      </c>
      <c r="C1181" s="29" t="s">
        <v>18276</v>
      </c>
      <c r="D1181" s="29" t="s">
        <v>31429</v>
      </c>
      <c r="E1181" s="29" t="s">
        <v>44887</v>
      </c>
      <c r="F1181" s="36" t="s">
        <v>54401</v>
      </c>
      <c r="G1181" s="39">
        <v>26941.18</v>
      </c>
      <c r="H1181" s="42">
        <v>211</v>
      </c>
    </row>
    <row r="1182" spans="1:8" ht="15" customHeight="1">
      <c r="A1182" s="26">
        <v>7218589</v>
      </c>
      <c r="B1182" s="30" t="s">
        <v>3424</v>
      </c>
      <c r="C1182" s="29" t="s">
        <v>18277</v>
      </c>
      <c r="D1182" s="29" t="s">
        <v>31430</v>
      </c>
      <c r="E1182" s="29" t="s">
        <v>44888</v>
      </c>
      <c r="F1182" s="36" t="s">
        <v>54401</v>
      </c>
      <c r="G1182" s="39">
        <v>358021.29</v>
      </c>
      <c r="H1182" s="42">
        <v>211</v>
      </c>
    </row>
    <row r="1183" spans="1:8" ht="15" customHeight="1">
      <c r="A1183" s="26">
        <v>7218611</v>
      </c>
      <c r="B1183" s="30" t="s">
        <v>3425</v>
      </c>
      <c r="C1183" s="29" t="s">
        <v>18278</v>
      </c>
      <c r="D1183" s="29" t="s">
        <v>31431</v>
      </c>
      <c r="E1183" s="29" t="s">
        <v>43926</v>
      </c>
      <c r="F1183" s="36" t="s">
        <v>54401</v>
      </c>
      <c r="G1183" s="39">
        <v>207396.5</v>
      </c>
      <c r="H1183" s="42">
        <v>211</v>
      </c>
    </row>
    <row r="1184" spans="1:8" ht="15" customHeight="1">
      <c r="A1184" s="26">
        <v>7218616</v>
      </c>
      <c r="B1184" s="30" t="s">
        <v>3426</v>
      </c>
      <c r="C1184" s="29" t="s">
        <v>17204</v>
      </c>
      <c r="D1184" s="29" t="s">
        <v>31432</v>
      </c>
      <c r="E1184" s="29" t="s">
        <v>43926</v>
      </c>
      <c r="F1184" s="36" t="s">
        <v>54401</v>
      </c>
      <c r="G1184" s="39">
        <v>222531.07</v>
      </c>
      <c r="H1184" s="42">
        <v>211</v>
      </c>
    </row>
    <row r="1185" spans="1:8" ht="15" customHeight="1">
      <c r="A1185" s="26">
        <v>7218632</v>
      </c>
      <c r="B1185" s="30" t="s">
        <v>3427</v>
      </c>
      <c r="C1185" s="29" t="s">
        <v>18279</v>
      </c>
      <c r="D1185" s="29" t="s">
        <v>31433</v>
      </c>
      <c r="E1185" s="29" t="s">
        <v>44889</v>
      </c>
      <c r="F1185" s="36" t="s">
        <v>54401</v>
      </c>
      <c r="G1185" s="39">
        <v>73926.83</v>
      </c>
      <c r="H1185" s="42">
        <v>211</v>
      </c>
    </row>
    <row r="1186" spans="1:8" ht="15" customHeight="1">
      <c r="A1186" s="26">
        <v>7218658</v>
      </c>
      <c r="B1186" s="30" t="s">
        <v>3428</v>
      </c>
      <c r="C1186" s="29" t="s">
        <v>18280</v>
      </c>
      <c r="D1186" s="29" t="s">
        <v>31434</v>
      </c>
      <c r="E1186" s="29" t="s">
        <v>44890</v>
      </c>
      <c r="F1186" s="36" t="s">
        <v>54401</v>
      </c>
      <c r="G1186" s="39">
        <f>239561.05+124516</f>
        <v>364077.05</v>
      </c>
      <c r="H1186" s="42">
        <v>211</v>
      </c>
    </row>
    <row r="1187" spans="1:8" ht="15" customHeight="1">
      <c r="A1187" s="26">
        <v>7218668</v>
      </c>
      <c r="B1187" s="30" t="s">
        <v>3429</v>
      </c>
      <c r="C1187" s="29" t="s">
        <v>18281</v>
      </c>
      <c r="D1187" s="29" t="s">
        <v>31435</v>
      </c>
      <c r="E1187" s="29" t="s">
        <v>44891</v>
      </c>
      <c r="F1187" s="36" t="s">
        <v>54401</v>
      </c>
      <c r="G1187" s="39">
        <v>434518.41</v>
      </c>
      <c r="H1187" s="42">
        <v>211</v>
      </c>
    </row>
    <row r="1188" spans="1:8" ht="15" customHeight="1">
      <c r="A1188" s="26">
        <v>7218696</v>
      </c>
      <c r="B1188" s="30" t="s">
        <v>3430</v>
      </c>
      <c r="C1188" s="29" t="s">
        <v>18282</v>
      </c>
      <c r="D1188" s="29" t="s">
        <v>30349</v>
      </c>
      <c r="E1188" s="29" t="s">
        <v>44892</v>
      </c>
      <c r="F1188" s="36" t="s">
        <v>54401</v>
      </c>
      <c r="G1188" s="39">
        <f>148150.05+281444</f>
        <v>429594.05</v>
      </c>
      <c r="H1188" s="42">
        <v>211</v>
      </c>
    </row>
    <row r="1189" spans="1:8" ht="15" customHeight="1">
      <c r="A1189" s="26">
        <v>7218703</v>
      </c>
      <c r="B1189" s="30" t="s">
        <v>3431</v>
      </c>
      <c r="C1189" s="29" t="s">
        <v>18283</v>
      </c>
      <c r="D1189" s="29" t="s">
        <v>31436</v>
      </c>
      <c r="E1189" s="29" t="s">
        <v>44893</v>
      </c>
      <c r="F1189" s="36" t="s">
        <v>54401</v>
      </c>
      <c r="G1189" s="39">
        <v>28453.34</v>
      </c>
      <c r="H1189" s="42">
        <v>211</v>
      </c>
    </row>
    <row r="1190" spans="1:8" ht="15" customHeight="1">
      <c r="A1190" s="26">
        <v>7218753</v>
      </c>
      <c r="B1190" s="30" t="s">
        <v>3432</v>
      </c>
      <c r="C1190" s="29" t="s">
        <v>18284</v>
      </c>
      <c r="D1190" s="29" t="s">
        <v>31437</v>
      </c>
      <c r="E1190" s="29" t="s">
        <v>44894</v>
      </c>
      <c r="F1190" s="36" t="s">
        <v>54401</v>
      </c>
      <c r="G1190" s="39">
        <f>1948206.35+407217</f>
        <v>2355423.35</v>
      </c>
      <c r="H1190" s="42">
        <v>211</v>
      </c>
    </row>
    <row r="1191" spans="1:8" ht="15" customHeight="1">
      <c r="A1191" s="26">
        <v>7218800</v>
      </c>
      <c r="B1191" s="30" t="s">
        <v>3433</v>
      </c>
      <c r="C1191" s="29" t="s">
        <v>18285</v>
      </c>
      <c r="D1191" s="29" t="s">
        <v>31438</v>
      </c>
      <c r="E1191" s="29" t="s">
        <v>44895</v>
      </c>
      <c r="F1191" s="36" t="s">
        <v>54401</v>
      </c>
      <c r="G1191" s="39">
        <v>140680.65</v>
      </c>
      <c r="H1191" s="42">
        <v>211</v>
      </c>
    </row>
    <row r="1192" spans="1:8" ht="15" customHeight="1">
      <c r="A1192" s="26">
        <v>7218851</v>
      </c>
      <c r="B1192" s="30" t="s">
        <v>3434</v>
      </c>
      <c r="C1192" s="29" t="s">
        <v>18286</v>
      </c>
      <c r="D1192" s="29" t="s">
        <v>31439</v>
      </c>
      <c r="E1192" s="29" t="s">
        <v>44896</v>
      </c>
      <c r="F1192" s="36" t="s">
        <v>54401</v>
      </c>
      <c r="G1192" s="39">
        <v>2221317.44</v>
      </c>
      <c r="H1192" s="42">
        <v>211</v>
      </c>
    </row>
    <row r="1193" spans="1:8" ht="15" customHeight="1">
      <c r="A1193" s="26">
        <v>7218865</v>
      </c>
      <c r="B1193" s="30" t="s">
        <v>3435</v>
      </c>
      <c r="C1193" s="29" t="s">
        <v>18287</v>
      </c>
      <c r="D1193" s="29" t="s">
        <v>31440</v>
      </c>
      <c r="E1193" s="29" t="s">
        <v>44897</v>
      </c>
      <c r="F1193" s="36" t="s">
        <v>54401</v>
      </c>
      <c r="G1193" s="39">
        <f>4798177.56+537560</f>
        <v>5335737.5599999996</v>
      </c>
      <c r="H1193" s="42">
        <v>211</v>
      </c>
    </row>
    <row r="1194" spans="1:8" ht="15" customHeight="1">
      <c r="A1194" s="26">
        <v>7218907</v>
      </c>
      <c r="B1194" s="30" t="s">
        <v>3436</v>
      </c>
      <c r="C1194" s="29" t="s">
        <v>18288</v>
      </c>
      <c r="D1194" s="29" t="s">
        <v>31441</v>
      </c>
      <c r="E1194" s="29" t="s">
        <v>44898</v>
      </c>
      <c r="F1194" s="36" t="s">
        <v>54401</v>
      </c>
      <c r="G1194" s="39">
        <f>1392866.35+75547</f>
        <v>1468413.35</v>
      </c>
      <c r="H1194" s="42">
        <v>211</v>
      </c>
    </row>
    <row r="1195" spans="1:8" ht="15" customHeight="1">
      <c r="A1195" s="26">
        <v>7218916</v>
      </c>
      <c r="B1195" s="30" t="s">
        <v>3437</v>
      </c>
      <c r="C1195" s="29" t="s">
        <v>18289</v>
      </c>
      <c r="D1195" s="29" t="s">
        <v>31442</v>
      </c>
      <c r="E1195" s="29" t="s">
        <v>44899</v>
      </c>
      <c r="F1195" s="36" t="s">
        <v>54401</v>
      </c>
      <c r="G1195" s="39">
        <f>3479067.26+1016688+50980</f>
        <v>4546735.26</v>
      </c>
      <c r="H1195" s="42">
        <v>211</v>
      </c>
    </row>
    <row r="1196" spans="1:8" ht="15" customHeight="1">
      <c r="A1196" s="26">
        <v>7218931</v>
      </c>
      <c r="B1196" s="30" t="s">
        <v>3438</v>
      </c>
      <c r="C1196" s="29" t="s">
        <v>18290</v>
      </c>
      <c r="D1196" s="29" t="s">
        <v>31363</v>
      </c>
      <c r="E1196" s="29" t="s">
        <v>44900</v>
      </c>
      <c r="F1196" s="36" t="s">
        <v>54401</v>
      </c>
      <c r="G1196" s="39">
        <v>44268.91</v>
      </c>
      <c r="H1196" s="42">
        <v>211</v>
      </c>
    </row>
    <row r="1197" spans="1:8" ht="15" customHeight="1">
      <c r="A1197" s="26">
        <v>7218941</v>
      </c>
      <c r="B1197" s="30" t="s">
        <v>3439</v>
      </c>
      <c r="C1197" s="29" t="s">
        <v>18291</v>
      </c>
      <c r="D1197" s="29" t="s">
        <v>31443</v>
      </c>
      <c r="E1197" s="29" t="s">
        <v>44901</v>
      </c>
      <c r="F1197" s="36" t="s">
        <v>54401</v>
      </c>
      <c r="G1197" s="39">
        <v>3985405.42</v>
      </c>
      <c r="H1197" s="42">
        <v>211</v>
      </c>
    </row>
    <row r="1198" spans="1:8" ht="15" customHeight="1">
      <c r="A1198" s="26">
        <v>7218950</v>
      </c>
      <c r="B1198" s="30" t="s">
        <v>3440</v>
      </c>
      <c r="C1198" s="29" t="s">
        <v>18292</v>
      </c>
      <c r="D1198" s="29" t="s">
        <v>31444</v>
      </c>
      <c r="E1198" s="29" t="s">
        <v>44902</v>
      </c>
      <c r="F1198" s="36" t="s">
        <v>54401</v>
      </c>
      <c r="G1198" s="39">
        <v>460838.27</v>
      </c>
      <c r="H1198" s="42">
        <v>211</v>
      </c>
    </row>
    <row r="1199" spans="1:8" ht="15" customHeight="1">
      <c r="A1199" s="26">
        <v>7218954</v>
      </c>
      <c r="B1199" s="30" t="s">
        <v>3441</v>
      </c>
      <c r="C1199" s="26" t="s">
        <v>18293</v>
      </c>
      <c r="D1199" s="26" t="s">
        <v>31445</v>
      </c>
      <c r="E1199" s="26" t="s">
        <v>44903</v>
      </c>
      <c r="F1199" s="37" t="s">
        <v>54401</v>
      </c>
      <c r="G1199" s="39">
        <f>313656.47+286975</f>
        <v>600631.47</v>
      </c>
      <c r="H1199" s="42">
        <v>211</v>
      </c>
    </row>
    <row r="1200" spans="1:8" ht="15" customHeight="1">
      <c r="A1200" s="26">
        <v>7218968</v>
      </c>
      <c r="B1200" s="30" t="s">
        <v>3442</v>
      </c>
      <c r="C1200" s="29" t="s">
        <v>18294</v>
      </c>
      <c r="D1200" s="29" t="s">
        <v>31446</v>
      </c>
      <c r="E1200" s="29" t="s">
        <v>44904</v>
      </c>
      <c r="F1200" s="36" t="s">
        <v>54401</v>
      </c>
      <c r="G1200" s="39">
        <v>273267.11</v>
      </c>
      <c r="H1200" s="42">
        <v>211</v>
      </c>
    </row>
    <row r="1201" spans="1:8" ht="15" customHeight="1">
      <c r="A1201" s="26">
        <v>7218971</v>
      </c>
      <c r="B1201" s="30" t="s">
        <v>3443</v>
      </c>
      <c r="C1201" s="29" t="s">
        <v>18295</v>
      </c>
      <c r="D1201" s="29" t="s">
        <v>31447</v>
      </c>
      <c r="E1201" s="29" t="s">
        <v>44905</v>
      </c>
      <c r="F1201" s="36" t="s">
        <v>54401</v>
      </c>
      <c r="G1201" s="39">
        <v>370495.04</v>
      </c>
      <c r="H1201" s="42">
        <v>211</v>
      </c>
    </row>
    <row r="1202" spans="1:8" ht="15" customHeight="1">
      <c r="A1202" s="26">
        <v>7218974</v>
      </c>
      <c r="B1202" s="30" t="s">
        <v>3444</v>
      </c>
      <c r="C1202" s="29" t="s">
        <v>18296</v>
      </c>
      <c r="D1202" s="29" t="s">
        <v>31448</v>
      </c>
      <c r="E1202" s="29" t="s">
        <v>44906</v>
      </c>
      <c r="F1202" s="36" t="s">
        <v>54401</v>
      </c>
      <c r="G1202" s="39">
        <f>4896193.72+31394</f>
        <v>4927587.72</v>
      </c>
      <c r="H1202" s="42">
        <v>211</v>
      </c>
    </row>
    <row r="1203" spans="1:8" ht="15" customHeight="1">
      <c r="A1203" s="26">
        <v>7218978</v>
      </c>
      <c r="B1203" s="30" t="s">
        <v>3445</v>
      </c>
      <c r="C1203" s="29" t="s">
        <v>18297</v>
      </c>
      <c r="D1203" s="29" t="s">
        <v>31265</v>
      </c>
      <c r="E1203" s="29" t="s">
        <v>44907</v>
      </c>
      <c r="F1203" s="36" t="s">
        <v>54401</v>
      </c>
      <c r="G1203" s="39">
        <v>184381.67</v>
      </c>
      <c r="H1203" s="42">
        <v>211</v>
      </c>
    </row>
    <row r="1204" spans="1:8" ht="15" customHeight="1">
      <c r="A1204" s="26">
        <v>7218991</v>
      </c>
      <c r="B1204" s="30" t="s">
        <v>3446</v>
      </c>
      <c r="C1204" s="29" t="s">
        <v>18298</v>
      </c>
      <c r="D1204" s="29" t="s">
        <v>31449</v>
      </c>
      <c r="E1204" s="29" t="s">
        <v>44908</v>
      </c>
      <c r="F1204" s="36" t="s">
        <v>54401</v>
      </c>
      <c r="G1204" s="39">
        <v>986422.46</v>
      </c>
      <c r="H1204" s="42">
        <v>211</v>
      </c>
    </row>
    <row r="1205" spans="1:8" ht="15" customHeight="1">
      <c r="A1205" s="26">
        <v>7219002</v>
      </c>
      <c r="B1205" s="30" t="s">
        <v>3447</v>
      </c>
      <c r="C1205" s="29" t="s">
        <v>18299</v>
      </c>
      <c r="D1205" s="29" t="s">
        <v>31450</v>
      </c>
      <c r="E1205" s="29" t="s">
        <v>44909</v>
      </c>
      <c r="F1205" s="36" t="s">
        <v>54401</v>
      </c>
      <c r="G1205" s="39">
        <v>1195181.17</v>
      </c>
      <c r="H1205" s="42">
        <v>211</v>
      </c>
    </row>
    <row r="1206" spans="1:8" ht="15" customHeight="1">
      <c r="A1206" s="26">
        <v>7219014</v>
      </c>
      <c r="B1206" s="30" t="s">
        <v>3448</v>
      </c>
      <c r="C1206" s="29" t="s">
        <v>18300</v>
      </c>
      <c r="D1206" s="29" t="s">
        <v>31451</v>
      </c>
      <c r="E1206" s="29" t="s">
        <v>44910</v>
      </c>
      <c r="F1206" s="36" t="s">
        <v>54401</v>
      </c>
      <c r="G1206" s="39">
        <v>160151.85</v>
      </c>
      <c r="H1206" s="42">
        <v>211</v>
      </c>
    </row>
    <row r="1207" spans="1:8" ht="15" customHeight="1">
      <c r="A1207" s="26">
        <v>7219028</v>
      </c>
      <c r="B1207" s="30" t="s">
        <v>3449</v>
      </c>
      <c r="C1207" s="29" t="s">
        <v>18301</v>
      </c>
      <c r="D1207" s="29" t="s">
        <v>31452</v>
      </c>
      <c r="E1207" s="29" t="s">
        <v>44911</v>
      </c>
      <c r="F1207" s="36" t="s">
        <v>54401</v>
      </c>
      <c r="G1207" s="39">
        <v>214945.09</v>
      </c>
      <c r="H1207" s="42">
        <v>211</v>
      </c>
    </row>
    <row r="1208" spans="1:8" ht="15" customHeight="1">
      <c r="A1208" s="26">
        <v>7219035</v>
      </c>
      <c r="B1208" s="30" t="s">
        <v>3450</v>
      </c>
      <c r="C1208" s="29" t="s">
        <v>18302</v>
      </c>
      <c r="D1208" s="29" t="s">
        <v>31453</v>
      </c>
      <c r="E1208" s="29" t="s">
        <v>44912</v>
      </c>
      <c r="F1208" s="36" t="s">
        <v>54401</v>
      </c>
      <c r="G1208" s="39">
        <v>265640.5</v>
      </c>
      <c r="H1208" s="42">
        <v>211</v>
      </c>
    </row>
    <row r="1209" spans="1:8" ht="15" customHeight="1">
      <c r="A1209" s="26">
        <v>7219092</v>
      </c>
      <c r="B1209" s="30" t="s">
        <v>3451</v>
      </c>
      <c r="C1209" s="29" t="s">
        <v>18303</v>
      </c>
      <c r="D1209" s="29" t="s">
        <v>31454</v>
      </c>
      <c r="E1209" s="29" t="s">
        <v>44913</v>
      </c>
      <c r="F1209" s="36" t="s">
        <v>54401</v>
      </c>
      <c r="G1209" s="39">
        <v>168433.76</v>
      </c>
      <c r="H1209" s="42">
        <v>211</v>
      </c>
    </row>
    <row r="1210" spans="1:8" ht="15" customHeight="1">
      <c r="A1210" s="26">
        <v>7219096</v>
      </c>
      <c r="B1210" s="30" t="s">
        <v>3452</v>
      </c>
      <c r="C1210" s="29" t="s">
        <v>18304</v>
      </c>
      <c r="D1210" s="29" t="s">
        <v>31455</v>
      </c>
      <c r="E1210" s="29" t="s">
        <v>44360</v>
      </c>
      <c r="F1210" s="36" t="s">
        <v>54402</v>
      </c>
      <c r="G1210" s="39">
        <v>12531.1</v>
      </c>
      <c r="H1210" s="42">
        <v>211</v>
      </c>
    </row>
    <row r="1211" spans="1:8" ht="15" customHeight="1">
      <c r="A1211" s="26">
        <v>7219123</v>
      </c>
      <c r="B1211" s="30" t="s">
        <v>3453</v>
      </c>
      <c r="C1211" s="29" t="s">
        <v>18305</v>
      </c>
      <c r="D1211" s="29" t="s">
        <v>31456</v>
      </c>
      <c r="E1211" s="29" t="s">
        <v>44914</v>
      </c>
      <c r="F1211" s="36" t="s">
        <v>54401</v>
      </c>
      <c r="G1211" s="39">
        <v>270607.84999999998</v>
      </c>
      <c r="H1211" s="42">
        <v>211</v>
      </c>
    </row>
    <row r="1212" spans="1:8" ht="15" customHeight="1">
      <c r="A1212" s="26">
        <v>7219236</v>
      </c>
      <c r="B1212" s="30" t="s">
        <v>3454</v>
      </c>
      <c r="C1212" s="29" t="s">
        <v>18306</v>
      </c>
      <c r="D1212" s="29" t="s">
        <v>31457</v>
      </c>
      <c r="E1212" s="29" t="s">
        <v>44915</v>
      </c>
      <c r="F1212" s="36" t="s">
        <v>54401</v>
      </c>
      <c r="G1212" s="39">
        <v>2773044.29</v>
      </c>
      <c r="H1212" s="42">
        <v>211</v>
      </c>
    </row>
    <row r="1213" spans="1:8" ht="15" customHeight="1">
      <c r="A1213" s="26">
        <v>7219245</v>
      </c>
      <c r="B1213" s="30" t="s">
        <v>3455</v>
      </c>
      <c r="C1213" s="29" t="s">
        <v>18307</v>
      </c>
      <c r="D1213" s="29" t="s">
        <v>31458</v>
      </c>
      <c r="E1213" s="29" t="s">
        <v>44916</v>
      </c>
      <c r="F1213" s="36" t="s">
        <v>54401</v>
      </c>
      <c r="G1213" s="39">
        <v>14677396.65</v>
      </c>
      <c r="H1213" s="42">
        <v>211</v>
      </c>
    </row>
    <row r="1214" spans="1:8" ht="15" customHeight="1">
      <c r="A1214" s="26">
        <v>7219250</v>
      </c>
      <c r="B1214" s="30" t="s">
        <v>3456</v>
      </c>
      <c r="C1214" s="29" t="s">
        <v>18308</v>
      </c>
      <c r="D1214" s="29" t="s">
        <v>31459</v>
      </c>
      <c r="E1214" s="29" t="s">
        <v>44917</v>
      </c>
      <c r="F1214" s="36" t="s">
        <v>54401</v>
      </c>
      <c r="G1214" s="39">
        <f>1290644.36+51972</f>
        <v>1342616.36</v>
      </c>
      <c r="H1214" s="42">
        <v>211</v>
      </c>
    </row>
    <row r="1215" spans="1:8" ht="15" customHeight="1">
      <c r="A1215" s="26">
        <v>7219252</v>
      </c>
      <c r="B1215" s="30" t="s">
        <v>3457</v>
      </c>
      <c r="C1215" s="29" t="s">
        <v>18309</v>
      </c>
      <c r="D1215" s="29" t="s">
        <v>31460</v>
      </c>
      <c r="E1215" s="29" t="s">
        <v>44918</v>
      </c>
      <c r="F1215" s="36" t="s">
        <v>54401</v>
      </c>
      <c r="G1215" s="39">
        <f>4334103.35+280346+5695662-2300</f>
        <v>10307811.35</v>
      </c>
      <c r="H1215" s="42">
        <v>211</v>
      </c>
    </row>
    <row r="1216" spans="1:8" ht="15" customHeight="1">
      <c r="A1216" s="26">
        <v>7219257</v>
      </c>
      <c r="B1216" s="30" t="s">
        <v>3458</v>
      </c>
      <c r="C1216" s="29" t="s">
        <v>18310</v>
      </c>
      <c r="D1216" s="29" t="s">
        <v>31461</v>
      </c>
      <c r="E1216" s="29" t="s">
        <v>44919</v>
      </c>
      <c r="F1216" s="36" t="s">
        <v>54401</v>
      </c>
      <c r="G1216" s="39">
        <v>1163795.25</v>
      </c>
      <c r="H1216" s="42">
        <v>211</v>
      </c>
    </row>
    <row r="1217" spans="1:8" ht="15" customHeight="1">
      <c r="A1217" s="26">
        <v>7219271</v>
      </c>
      <c r="B1217" s="30" t="s">
        <v>3459</v>
      </c>
      <c r="C1217" s="29" t="s">
        <v>18311</v>
      </c>
      <c r="D1217" s="29" t="s">
        <v>31462</v>
      </c>
      <c r="E1217" s="29" t="s">
        <v>44920</v>
      </c>
      <c r="F1217" s="36" t="s">
        <v>54401</v>
      </c>
      <c r="G1217" s="39">
        <v>151321.82999999999</v>
      </c>
      <c r="H1217" s="42">
        <v>211</v>
      </c>
    </row>
    <row r="1218" spans="1:8" ht="15" customHeight="1">
      <c r="A1218" s="26">
        <v>7219297</v>
      </c>
      <c r="B1218" s="30" t="s">
        <v>3460</v>
      </c>
      <c r="C1218" s="26" t="s">
        <v>18312</v>
      </c>
      <c r="D1218" s="26" t="s">
        <v>31463</v>
      </c>
      <c r="E1218" s="26" t="s">
        <v>43926</v>
      </c>
      <c r="F1218" s="37" t="s">
        <v>54401</v>
      </c>
      <c r="G1218" s="39">
        <v>370496.6</v>
      </c>
      <c r="H1218" s="42">
        <v>211</v>
      </c>
    </row>
    <row r="1219" spans="1:8" ht="15" customHeight="1">
      <c r="A1219" s="26">
        <v>7219298</v>
      </c>
      <c r="B1219" s="30" t="s">
        <v>3461</v>
      </c>
      <c r="C1219" s="29" t="s">
        <v>18313</v>
      </c>
      <c r="D1219" s="29" t="s">
        <v>31464</v>
      </c>
      <c r="E1219" s="29" t="s">
        <v>44921</v>
      </c>
      <c r="F1219" s="36" t="s">
        <v>54401</v>
      </c>
      <c r="G1219" s="39">
        <v>2284726.31</v>
      </c>
      <c r="H1219" s="42">
        <v>211</v>
      </c>
    </row>
    <row r="1220" spans="1:8" ht="15" customHeight="1">
      <c r="A1220" s="26">
        <v>7219314</v>
      </c>
      <c r="B1220" s="30" t="s">
        <v>3462</v>
      </c>
      <c r="C1220" s="29" t="s">
        <v>18314</v>
      </c>
      <c r="D1220" s="29" t="s">
        <v>31465</v>
      </c>
      <c r="E1220" s="29" t="s">
        <v>44922</v>
      </c>
      <c r="F1220" s="36" t="s">
        <v>54401</v>
      </c>
      <c r="G1220" s="39">
        <v>431628.27</v>
      </c>
      <c r="H1220" s="42">
        <v>211</v>
      </c>
    </row>
    <row r="1221" spans="1:8" ht="15" customHeight="1">
      <c r="A1221" s="26">
        <v>7219325</v>
      </c>
      <c r="B1221" s="30" t="s">
        <v>3463</v>
      </c>
      <c r="C1221" s="29" t="s">
        <v>18315</v>
      </c>
      <c r="D1221" s="29" t="s">
        <v>31466</v>
      </c>
      <c r="E1221" s="29" t="s">
        <v>44736</v>
      </c>
      <c r="F1221" s="36" t="s">
        <v>54401</v>
      </c>
      <c r="G1221" s="39">
        <v>186339.20000000001</v>
      </c>
      <c r="H1221" s="42">
        <v>211</v>
      </c>
    </row>
    <row r="1222" spans="1:8" ht="15" customHeight="1">
      <c r="A1222" s="26">
        <v>7219349</v>
      </c>
      <c r="B1222" s="30" t="s">
        <v>3464</v>
      </c>
      <c r="C1222" s="29" t="s">
        <v>18316</v>
      </c>
      <c r="D1222" s="29" t="s">
        <v>31467</v>
      </c>
      <c r="E1222" s="29" t="s">
        <v>44923</v>
      </c>
      <c r="F1222" s="36" t="s">
        <v>54401</v>
      </c>
      <c r="G1222" s="39">
        <f>6927153.28+9810+46848</f>
        <v>6983811.2800000003</v>
      </c>
      <c r="H1222" s="42">
        <v>211</v>
      </c>
    </row>
    <row r="1223" spans="1:8" ht="15" customHeight="1">
      <c r="A1223" s="26">
        <v>7219360</v>
      </c>
      <c r="B1223" s="30" t="s">
        <v>3465</v>
      </c>
      <c r="C1223" s="29" t="s">
        <v>18317</v>
      </c>
      <c r="D1223" s="29" t="s">
        <v>30376</v>
      </c>
      <c r="E1223" s="29" t="s">
        <v>44924</v>
      </c>
      <c r="F1223" s="36" t="s">
        <v>54401</v>
      </c>
      <c r="G1223" s="39">
        <v>739175.22</v>
      </c>
      <c r="H1223" s="42">
        <v>211</v>
      </c>
    </row>
    <row r="1224" spans="1:8" ht="15" customHeight="1">
      <c r="A1224" s="26">
        <v>7219378</v>
      </c>
      <c r="B1224" s="30" t="s">
        <v>3466</v>
      </c>
      <c r="C1224" s="29" t="s">
        <v>18318</v>
      </c>
      <c r="D1224" s="29" t="s">
        <v>31468</v>
      </c>
      <c r="E1224" s="29" t="s">
        <v>44925</v>
      </c>
      <c r="F1224" s="36" t="s">
        <v>54401</v>
      </c>
      <c r="G1224" s="39">
        <v>862244.74</v>
      </c>
      <c r="H1224" s="42">
        <v>211</v>
      </c>
    </row>
    <row r="1225" spans="1:8" ht="15" customHeight="1">
      <c r="A1225" s="26">
        <v>7219386</v>
      </c>
      <c r="B1225" s="30" t="s">
        <v>3467</v>
      </c>
      <c r="C1225" s="29" t="s">
        <v>18319</v>
      </c>
      <c r="D1225" s="29" t="s">
        <v>31469</v>
      </c>
      <c r="E1225" s="29" t="s">
        <v>44926</v>
      </c>
      <c r="F1225" s="36" t="s">
        <v>54401</v>
      </c>
      <c r="G1225" s="39">
        <v>403547.85</v>
      </c>
      <c r="H1225" s="42">
        <v>211</v>
      </c>
    </row>
    <row r="1226" spans="1:8" ht="15" customHeight="1">
      <c r="A1226" s="26">
        <v>7219410</v>
      </c>
      <c r="B1226" s="30" t="s">
        <v>3468</v>
      </c>
      <c r="C1226" s="29" t="s">
        <v>18320</v>
      </c>
      <c r="D1226" s="29" t="s">
        <v>31470</v>
      </c>
      <c r="E1226" s="29" t="s">
        <v>44927</v>
      </c>
      <c r="F1226" s="36" t="s">
        <v>54401</v>
      </c>
      <c r="G1226" s="39">
        <v>438997.63</v>
      </c>
      <c r="H1226" s="42">
        <v>211</v>
      </c>
    </row>
    <row r="1227" spans="1:8" ht="15" customHeight="1">
      <c r="A1227" s="26">
        <v>7219439</v>
      </c>
      <c r="B1227" s="30" t="s">
        <v>3469</v>
      </c>
      <c r="C1227" s="29" t="s">
        <v>18321</v>
      </c>
      <c r="D1227" s="29" t="s">
        <v>31471</v>
      </c>
      <c r="E1227" s="29" t="s">
        <v>44928</v>
      </c>
      <c r="F1227" s="36" t="s">
        <v>54401</v>
      </c>
      <c r="G1227" s="39">
        <f>3385321.4-14596</f>
        <v>3370725.4</v>
      </c>
      <c r="H1227" s="42">
        <v>211</v>
      </c>
    </row>
    <row r="1228" spans="1:8" ht="15" customHeight="1">
      <c r="A1228" s="26">
        <v>7219448</v>
      </c>
      <c r="B1228" s="30" t="s">
        <v>3470</v>
      </c>
      <c r="C1228" s="26" t="s">
        <v>17204</v>
      </c>
      <c r="D1228" s="26" t="s">
        <v>30349</v>
      </c>
      <c r="E1228" s="26" t="s">
        <v>43926</v>
      </c>
      <c r="F1228" s="37" t="s">
        <v>54401</v>
      </c>
      <c r="G1228" s="39">
        <v>178845.64</v>
      </c>
      <c r="H1228" s="42">
        <v>211</v>
      </c>
    </row>
    <row r="1229" spans="1:8" ht="15" customHeight="1">
      <c r="A1229" s="26">
        <v>7219462</v>
      </c>
      <c r="B1229" s="30" t="s">
        <v>3471</v>
      </c>
      <c r="C1229" s="26" t="s">
        <v>18322</v>
      </c>
      <c r="D1229" s="26" t="s">
        <v>31472</v>
      </c>
      <c r="E1229" s="26" t="s">
        <v>44929</v>
      </c>
      <c r="F1229" s="37" t="s">
        <v>54401</v>
      </c>
      <c r="G1229" s="39">
        <f>699701.18+127692</f>
        <v>827393.18</v>
      </c>
      <c r="H1229" s="42">
        <v>211</v>
      </c>
    </row>
    <row r="1230" spans="1:8" ht="15" customHeight="1">
      <c r="A1230" s="26">
        <v>7219502</v>
      </c>
      <c r="B1230" s="30" t="s">
        <v>3472</v>
      </c>
      <c r="C1230" s="29" t="s">
        <v>18323</v>
      </c>
      <c r="D1230" s="29" t="s">
        <v>31473</v>
      </c>
      <c r="E1230" s="29" t="s">
        <v>44930</v>
      </c>
      <c r="F1230" s="36" t="s">
        <v>54401</v>
      </c>
      <c r="G1230" s="39">
        <v>271668.74</v>
      </c>
      <c r="H1230" s="42">
        <v>211</v>
      </c>
    </row>
    <row r="1231" spans="1:8" ht="15" customHeight="1">
      <c r="A1231" s="26">
        <v>7219567</v>
      </c>
      <c r="B1231" s="30" t="s">
        <v>3473</v>
      </c>
      <c r="C1231" s="29" t="s">
        <v>18324</v>
      </c>
      <c r="D1231" s="29" t="s">
        <v>31474</v>
      </c>
      <c r="E1231" s="29" t="s">
        <v>44931</v>
      </c>
      <c r="F1231" s="36" t="s">
        <v>54401</v>
      </c>
      <c r="G1231" s="39">
        <f>402657.44+165961+481199</f>
        <v>1049817.44</v>
      </c>
      <c r="H1231" s="42">
        <v>211</v>
      </c>
    </row>
    <row r="1232" spans="1:8" ht="15" customHeight="1">
      <c r="A1232" s="26">
        <v>7219570</v>
      </c>
      <c r="B1232" s="30" t="s">
        <v>3474</v>
      </c>
      <c r="C1232" s="29" t="s">
        <v>18325</v>
      </c>
      <c r="D1232" s="29" t="s">
        <v>31475</v>
      </c>
      <c r="E1232" s="29" t="s">
        <v>44932</v>
      </c>
      <c r="F1232" s="36" t="s">
        <v>54401</v>
      </c>
      <c r="G1232" s="39">
        <v>147705.51</v>
      </c>
      <c r="H1232" s="42">
        <v>211</v>
      </c>
    </row>
    <row r="1233" spans="1:8" ht="15" customHeight="1">
      <c r="A1233" s="26">
        <v>7219581</v>
      </c>
      <c r="B1233" s="30" t="s">
        <v>3475</v>
      </c>
      <c r="C1233" s="29" t="s">
        <v>18326</v>
      </c>
      <c r="D1233" s="29" t="s">
        <v>31476</v>
      </c>
      <c r="E1233" s="29" t="s">
        <v>44933</v>
      </c>
      <c r="F1233" s="36" t="s">
        <v>54401</v>
      </c>
      <c r="G1233" s="39">
        <f>6276816.04+57057</f>
        <v>6333873.04</v>
      </c>
      <c r="H1233" s="42">
        <v>211</v>
      </c>
    </row>
    <row r="1234" spans="1:8" ht="15" customHeight="1">
      <c r="A1234" s="26">
        <v>7219601</v>
      </c>
      <c r="B1234" s="30" t="s">
        <v>3476</v>
      </c>
      <c r="C1234" s="29" t="s">
        <v>18327</v>
      </c>
      <c r="D1234" s="29" t="s">
        <v>31477</v>
      </c>
      <c r="E1234" s="29" t="s">
        <v>44934</v>
      </c>
      <c r="F1234" s="36" t="s">
        <v>54401</v>
      </c>
      <c r="G1234" s="39">
        <v>1567595.8</v>
      </c>
      <c r="H1234" s="42">
        <v>211</v>
      </c>
    </row>
    <row r="1235" spans="1:8" ht="15" customHeight="1">
      <c r="A1235" s="26">
        <v>7219606</v>
      </c>
      <c r="B1235" s="30" t="s">
        <v>3477</v>
      </c>
      <c r="C1235" s="29" t="s">
        <v>18328</v>
      </c>
      <c r="D1235" s="29" t="s">
        <v>31478</v>
      </c>
      <c r="E1235" s="29" t="s">
        <v>44935</v>
      </c>
      <c r="F1235" s="36" t="s">
        <v>54401</v>
      </c>
      <c r="G1235" s="39">
        <f>254334.37+220835+226412</f>
        <v>701581.37</v>
      </c>
      <c r="H1235" s="42">
        <v>211</v>
      </c>
    </row>
    <row r="1236" spans="1:8" ht="15" customHeight="1">
      <c r="A1236" s="26">
        <v>7219607</v>
      </c>
      <c r="B1236" s="30" t="s">
        <v>3478</v>
      </c>
      <c r="C1236" s="29" t="s">
        <v>18329</v>
      </c>
      <c r="D1236" s="29" t="s">
        <v>31479</v>
      </c>
      <c r="E1236" s="29" t="s">
        <v>44936</v>
      </c>
      <c r="F1236" s="36" t="s">
        <v>54401</v>
      </c>
      <c r="G1236" s="39">
        <v>843893.37</v>
      </c>
      <c r="H1236" s="42">
        <v>211</v>
      </c>
    </row>
    <row r="1237" spans="1:8" ht="15" customHeight="1">
      <c r="A1237" s="26">
        <v>7219631</v>
      </c>
      <c r="B1237" s="30" t="s">
        <v>3479</v>
      </c>
      <c r="C1237" s="26" t="s">
        <v>18330</v>
      </c>
      <c r="D1237" s="26" t="s">
        <v>31480</v>
      </c>
      <c r="E1237" s="26" t="s">
        <v>44937</v>
      </c>
      <c r="F1237" s="37" t="s">
        <v>54401</v>
      </c>
      <c r="G1237" s="39">
        <v>419194.29</v>
      </c>
      <c r="H1237" s="42">
        <v>211</v>
      </c>
    </row>
    <row r="1238" spans="1:8" ht="15" customHeight="1">
      <c r="A1238" s="26">
        <v>7219638</v>
      </c>
      <c r="B1238" s="30" t="s">
        <v>3480</v>
      </c>
      <c r="C1238" s="29" t="s">
        <v>18331</v>
      </c>
      <c r="D1238" s="29" t="s">
        <v>31481</v>
      </c>
      <c r="E1238" s="29" t="s">
        <v>44938</v>
      </c>
      <c r="F1238" s="36" t="s">
        <v>54401</v>
      </c>
      <c r="G1238" s="39">
        <f>2637582.36+25457</f>
        <v>2663039.36</v>
      </c>
      <c r="H1238" s="42">
        <v>211</v>
      </c>
    </row>
    <row r="1239" spans="1:8" ht="15" customHeight="1">
      <c r="A1239" s="26">
        <v>7219643</v>
      </c>
      <c r="B1239" s="30" t="s">
        <v>3481</v>
      </c>
      <c r="C1239" s="29" t="s">
        <v>18332</v>
      </c>
      <c r="D1239" s="29" t="s">
        <v>31482</v>
      </c>
      <c r="E1239" s="29" t="s">
        <v>44939</v>
      </c>
      <c r="F1239" s="36" t="s">
        <v>54401</v>
      </c>
      <c r="G1239" s="39">
        <v>5781172.3799999999</v>
      </c>
      <c r="H1239" s="42">
        <v>211</v>
      </c>
    </row>
    <row r="1240" spans="1:8" ht="15" customHeight="1">
      <c r="A1240" s="26">
        <v>7219661</v>
      </c>
      <c r="B1240" s="30" t="s">
        <v>3482</v>
      </c>
      <c r="C1240" s="29" t="s">
        <v>18333</v>
      </c>
      <c r="D1240" s="29" t="s">
        <v>31483</v>
      </c>
      <c r="E1240" s="29" t="s">
        <v>44940</v>
      </c>
      <c r="F1240" s="36" t="s">
        <v>54401</v>
      </c>
      <c r="G1240" s="39">
        <v>4352</v>
      </c>
      <c r="H1240" s="42">
        <v>211</v>
      </c>
    </row>
    <row r="1241" spans="1:8" ht="15" customHeight="1">
      <c r="A1241" s="26">
        <v>7219662</v>
      </c>
      <c r="B1241" s="30" t="s">
        <v>3483</v>
      </c>
      <c r="C1241" s="29" t="s">
        <v>18334</v>
      </c>
      <c r="D1241" s="29" t="s">
        <v>31484</v>
      </c>
      <c r="E1241" s="29" t="s">
        <v>44941</v>
      </c>
      <c r="F1241" s="36" t="s">
        <v>54401</v>
      </c>
      <c r="G1241" s="39">
        <v>389698.24</v>
      </c>
      <c r="H1241" s="42">
        <v>211</v>
      </c>
    </row>
    <row r="1242" spans="1:8" ht="15" customHeight="1">
      <c r="A1242" s="26">
        <v>7219664</v>
      </c>
      <c r="B1242" s="30" t="s">
        <v>3484</v>
      </c>
      <c r="C1242" s="29" t="s">
        <v>18335</v>
      </c>
      <c r="D1242" s="29" t="s">
        <v>31485</v>
      </c>
      <c r="E1242" s="29" t="s">
        <v>43926</v>
      </c>
      <c r="F1242" s="36" t="s">
        <v>54401</v>
      </c>
      <c r="G1242" s="39">
        <v>37992</v>
      </c>
      <c r="H1242" s="42">
        <v>211</v>
      </c>
    </row>
    <row r="1243" spans="1:8" ht="15" customHeight="1">
      <c r="A1243" s="26">
        <v>7219678</v>
      </c>
      <c r="B1243" s="30" t="s">
        <v>3485</v>
      </c>
      <c r="C1243" s="29" t="s">
        <v>18336</v>
      </c>
      <c r="D1243" s="29" t="s">
        <v>31486</v>
      </c>
      <c r="E1243" s="29" t="s">
        <v>44559</v>
      </c>
      <c r="F1243" s="36" t="s">
        <v>54409</v>
      </c>
      <c r="G1243" s="39">
        <v>3565204.1</v>
      </c>
      <c r="H1243" s="42">
        <v>211</v>
      </c>
    </row>
    <row r="1244" spans="1:8" ht="15" customHeight="1">
      <c r="A1244" s="26">
        <v>7219705</v>
      </c>
      <c r="B1244" s="30" t="s">
        <v>3486</v>
      </c>
      <c r="C1244" s="29" t="s">
        <v>18337</v>
      </c>
      <c r="D1244" s="29" t="s">
        <v>31487</v>
      </c>
      <c r="E1244" s="29" t="s">
        <v>44942</v>
      </c>
      <c r="F1244" s="36" t="s">
        <v>54401</v>
      </c>
      <c r="G1244" s="39">
        <v>51776.56</v>
      </c>
      <c r="H1244" s="42">
        <v>211</v>
      </c>
    </row>
    <row r="1245" spans="1:8" ht="15" customHeight="1">
      <c r="A1245" s="26">
        <v>7219717</v>
      </c>
      <c r="B1245" s="30" t="s">
        <v>3487</v>
      </c>
      <c r="C1245" s="29" t="s">
        <v>18338</v>
      </c>
      <c r="D1245" s="29" t="s">
        <v>31488</v>
      </c>
      <c r="E1245" s="29" t="s">
        <v>44943</v>
      </c>
      <c r="F1245" s="36" t="s">
        <v>54401</v>
      </c>
      <c r="G1245" s="39">
        <f>4076291.5+69028</f>
        <v>4145319.5</v>
      </c>
      <c r="H1245" s="42">
        <v>211</v>
      </c>
    </row>
    <row r="1246" spans="1:8" ht="15" customHeight="1">
      <c r="A1246" s="26">
        <v>7219754</v>
      </c>
      <c r="B1246" s="30" t="s">
        <v>3488</v>
      </c>
      <c r="C1246" s="29" t="s">
        <v>18339</v>
      </c>
      <c r="D1246" s="29" t="s">
        <v>31489</v>
      </c>
      <c r="E1246" s="29" t="s">
        <v>44944</v>
      </c>
      <c r="F1246" s="36" t="s">
        <v>54401</v>
      </c>
      <c r="G1246" s="39">
        <v>7362262.9000000004</v>
      </c>
      <c r="H1246" s="42">
        <v>211</v>
      </c>
    </row>
    <row r="1247" spans="1:8" ht="15" customHeight="1">
      <c r="A1247" s="26">
        <v>7219759</v>
      </c>
      <c r="B1247" s="30" t="s">
        <v>3489</v>
      </c>
      <c r="C1247" s="29" t="s">
        <v>17204</v>
      </c>
      <c r="D1247" s="29" t="s">
        <v>30349</v>
      </c>
      <c r="E1247" s="29" t="s">
        <v>43926</v>
      </c>
      <c r="F1247" s="36" t="s">
        <v>54401</v>
      </c>
      <c r="G1247" s="39">
        <f>1537884.2+42804</f>
        <v>1580688.2</v>
      </c>
      <c r="H1247" s="42">
        <v>211</v>
      </c>
    </row>
    <row r="1248" spans="1:8" ht="15" customHeight="1">
      <c r="A1248" s="26">
        <v>7219773</v>
      </c>
      <c r="B1248" s="30" t="s">
        <v>3490</v>
      </c>
      <c r="C1248" s="29" t="s">
        <v>18340</v>
      </c>
      <c r="D1248" s="29" t="s">
        <v>31490</v>
      </c>
      <c r="E1248" s="29" t="s">
        <v>44945</v>
      </c>
      <c r="F1248" s="36" t="s">
        <v>54401</v>
      </c>
      <c r="G1248" s="39">
        <v>1834121.4</v>
      </c>
      <c r="H1248" s="42">
        <v>211</v>
      </c>
    </row>
    <row r="1249" spans="1:8" ht="15" customHeight="1">
      <c r="A1249" s="26">
        <v>7219839</v>
      </c>
      <c r="B1249" s="30" t="s">
        <v>3491</v>
      </c>
      <c r="C1249" s="29" t="s">
        <v>18341</v>
      </c>
      <c r="D1249" s="29" t="s">
        <v>31491</v>
      </c>
      <c r="E1249" s="29" t="s">
        <v>44946</v>
      </c>
      <c r="F1249" s="36" t="s">
        <v>54401</v>
      </c>
      <c r="G1249" s="39">
        <v>931152.26</v>
      </c>
      <c r="H1249" s="42">
        <v>211</v>
      </c>
    </row>
    <row r="1250" spans="1:8" ht="15" customHeight="1">
      <c r="A1250" s="26">
        <v>7219854</v>
      </c>
      <c r="B1250" s="30" t="s">
        <v>3492</v>
      </c>
      <c r="C1250" s="29" t="s">
        <v>18342</v>
      </c>
      <c r="D1250" s="29" t="s">
        <v>30376</v>
      </c>
      <c r="E1250" s="29" t="s">
        <v>44947</v>
      </c>
      <c r="F1250" s="36" t="s">
        <v>54401</v>
      </c>
      <c r="G1250" s="39">
        <v>824202.85</v>
      </c>
      <c r="H1250" s="42">
        <v>211</v>
      </c>
    </row>
    <row r="1251" spans="1:8" ht="15" customHeight="1">
      <c r="A1251" s="26">
        <v>7219866</v>
      </c>
      <c r="B1251" s="30" t="s">
        <v>3493</v>
      </c>
      <c r="C1251" s="29" t="s">
        <v>18343</v>
      </c>
      <c r="D1251" s="29" t="s">
        <v>31492</v>
      </c>
      <c r="E1251" s="29" t="s">
        <v>44948</v>
      </c>
      <c r="F1251" s="36" t="s">
        <v>54401</v>
      </c>
      <c r="G1251" s="39">
        <v>2821816.14</v>
      </c>
      <c r="H1251" s="42">
        <v>211</v>
      </c>
    </row>
    <row r="1252" spans="1:8" ht="15" customHeight="1">
      <c r="A1252" s="26">
        <v>7219886</v>
      </c>
      <c r="B1252" s="30" t="s">
        <v>3494</v>
      </c>
      <c r="C1252" s="26" t="s">
        <v>18344</v>
      </c>
      <c r="D1252" s="26" t="s">
        <v>31493</v>
      </c>
      <c r="E1252" s="26" t="s">
        <v>44949</v>
      </c>
      <c r="F1252" s="37" t="s">
        <v>54401</v>
      </c>
      <c r="G1252" s="39">
        <v>32813.53</v>
      </c>
      <c r="H1252" s="42">
        <v>211</v>
      </c>
    </row>
    <row r="1253" spans="1:8" ht="15" customHeight="1">
      <c r="A1253" s="26">
        <v>7219889</v>
      </c>
      <c r="B1253" s="30" t="s">
        <v>3495</v>
      </c>
      <c r="C1253" s="29" t="s">
        <v>18345</v>
      </c>
      <c r="D1253" s="29" t="s">
        <v>31494</v>
      </c>
      <c r="E1253" s="29" t="s">
        <v>44950</v>
      </c>
      <c r="F1253" s="36" t="s">
        <v>54412</v>
      </c>
      <c r="G1253" s="39">
        <v>4310469.82</v>
      </c>
      <c r="H1253" s="42">
        <v>211</v>
      </c>
    </row>
    <row r="1254" spans="1:8" ht="15" customHeight="1">
      <c r="A1254" s="26">
        <v>7219933</v>
      </c>
      <c r="B1254" s="30" t="s">
        <v>3496</v>
      </c>
      <c r="C1254" s="29" t="s">
        <v>18346</v>
      </c>
      <c r="D1254" s="29" t="s">
        <v>31495</v>
      </c>
      <c r="E1254" s="29" t="s">
        <v>44951</v>
      </c>
      <c r="F1254" s="36" t="s">
        <v>54401</v>
      </c>
      <c r="G1254" s="39">
        <v>670189.4</v>
      </c>
      <c r="H1254" s="42">
        <v>211</v>
      </c>
    </row>
    <row r="1255" spans="1:8" ht="15" customHeight="1">
      <c r="A1255" s="26">
        <v>7219938</v>
      </c>
      <c r="B1255" s="30" t="s">
        <v>3497</v>
      </c>
      <c r="C1255" s="29" t="s">
        <v>18347</v>
      </c>
      <c r="D1255" s="29" t="s">
        <v>31496</v>
      </c>
      <c r="E1255" s="29" t="s">
        <v>44952</v>
      </c>
      <c r="F1255" s="36" t="s">
        <v>54401</v>
      </c>
      <c r="G1255" s="39">
        <v>2525477.9700000002</v>
      </c>
      <c r="H1255" s="42">
        <v>211</v>
      </c>
    </row>
    <row r="1256" spans="1:8" ht="15" customHeight="1">
      <c r="A1256" s="26">
        <v>7219944</v>
      </c>
      <c r="B1256" s="30" t="s">
        <v>3498</v>
      </c>
      <c r="C1256" s="29" t="s">
        <v>18348</v>
      </c>
      <c r="D1256" s="29" t="s">
        <v>31497</v>
      </c>
      <c r="E1256" s="29" t="s">
        <v>44953</v>
      </c>
      <c r="F1256" s="36" t="s">
        <v>54401</v>
      </c>
      <c r="G1256" s="39">
        <v>73359.070000000007</v>
      </c>
      <c r="H1256" s="42">
        <v>211</v>
      </c>
    </row>
    <row r="1257" spans="1:8" ht="15" customHeight="1">
      <c r="A1257" s="26">
        <v>7219952</v>
      </c>
      <c r="B1257" s="30" t="s">
        <v>3499</v>
      </c>
      <c r="C1257" s="29" t="s">
        <v>18349</v>
      </c>
      <c r="D1257" s="29" t="s">
        <v>31498</v>
      </c>
      <c r="E1257" s="29" t="s">
        <v>44954</v>
      </c>
      <c r="F1257" s="36" t="s">
        <v>54401</v>
      </c>
      <c r="G1257" s="39">
        <v>5369560.0999999996</v>
      </c>
      <c r="H1257" s="42">
        <v>211</v>
      </c>
    </row>
    <row r="1258" spans="1:8" ht="15" customHeight="1">
      <c r="A1258" s="26">
        <v>7219994</v>
      </c>
      <c r="B1258" s="30" t="s">
        <v>3500</v>
      </c>
      <c r="C1258" s="29" t="s">
        <v>18350</v>
      </c>
      <c r="D1258" s="29" t="s">
        <v>31499</v>
      </c>
      <c r="E1258" s="29" t="s">
        <v>44955</v>
      </c>
      <c r="F1258" s="36" t="s">
        <v>54401</v>
      </c>
      <c r="G1258" s="39">
        <v>252634.88</v>
      </c>
      <c r="H1258" s="42">
        <v>211</v>
      </c>
    </row>
    <row r="1259" spans="1:8" ht="15" customHeight="1">
      <c r="A1259" s="26">
        <v>7220008</v>
      </c>
      <c r="B1259" s="30" t="s">
        <v>3501</v>
      </c>
      <c r="C1259" s="29" t="s">
        <v>18351</v>
      </c>
      <c r="D1259" s="29" t="s">
        <v>31500</v>
      </c>
      <c r="E1259" s="29" t="s">
        <v>44956</v>
      </c>
      <c r="F1259" s="36" t="s">
        <v>54401</v>
      </c>
      <c r="G1259" s="39">
        <f>878285.5+18755</f>
        <v>897040.5</v>
      </c>
      <c r="H1259" s="42">
        <v>211</v>
      </c>
    </row>
    <row r="1260" spans="1:8" ht="15" customHeight="1">
      <c r="A1260" s="26">
        <v>7220013</v>
      </c>
      <c r="B1260" s="30" t="s">
        <v>3502</v>
      </c>
      <c r="C1260" s="29" t="s">
        <v>18352</v>
      </c>
      <c r="D1260" s="29" t="s">
        <v>31501</v>
      </c>
      <c r="E1260" s="29" t="s">
        <v>44957</v>
      </c>
      <c r="F1260" s="36" t="s">
        <v>54401</v>
      </c>
      <c r="G1260" s="39">
        <v>1773988.62</v>
      </c>
      <c r="H1260" s="42">
        <v>211</v>
      </c>
    </row>
    <row r="1261" spans="1:8" ht="15" customHeight="1">
      <c r="A1261" s="26">
        <v>7220014</v>
      </c>
      <c r="B1261" s="30" t="s">
        <v>3503</v>
      </c>
      <c r="C1261" s="29" t="s">
        <v>18353</v>
      </c>
      <c r="D1261" s="29" t="s">
        <v>31502</v>
      </c>
      <c r="E1261" s="29" t="s">
        <v>44958</v>
      </c>
      <c r="F1261" s="36" t="s">
        <v>54401</v>
      </c>
      <c r="G1261" s="39">
        <v>1782362.38</v>
      </c>
      <c r="H1261" s="42">
        <v>211</v>
      </c>
    </row>
    <row r="1262" spans="1:8" ht="15" customHeight="1">
      <c r="A1262" s="26">
        <v>7220060</v>
      </c>
      <c r="B1262" s="30" t="s">
        <v>3504</v>
      </c>
      <c r="C1262" s="29" t="s">
        <v>17204</v>
      </c>
      <c r="D1262" s="29" t="s">
        <v>31503</v>
      </c>
      <c r="E1262" s="29" t="s">
        <v>43926</v>
      </c>
      <c r="F1262" s="36" t="s">
        <v>54401</v>
      </c>
      <c r="G1262" s="39">
        <v>255510.7</v>
      </c>
      <c r="H1262" s="42">
        <v>211</v>
      </c>
    </row>
    <row r="1263" spans="1:8" ht="15" customHeight="1">
      <c r="A1263" s="26">
        <v>7220065</v>
      </c>
      <c r="B1263" s="30" t="s">
        <v>3505</v>
      </c>
      <c r="C1263" s="29" t="s">
        <v>18354</v>
      </c>
      <c r="D1263" s="29" t="s">
        <v>31504</v>
      </c>
      <c r="E1263" s="29" t="s">
        <v>44959</v>
      </c>
      <c r="F1263" s="36" t="s">
        <v>54401</v>
      </c>
      <c r="G1263" s="39">
        <v>164412.68</v>
      </c>
      <c r="H1263" s="42">
        <v>211</v>
      </c>
    </row>
    <row r="1264" spans="1:8" ht="15" customHeight="1">
      <c r="A1264" s="26">
        <v>7220095</v>
      </c>
      <c r="B1264" s="30" t="s">
        <v>3506</v>
      </c>
      <c r="C1264" s="29" t="s">
        <v>18355</v>
      </c>
      <c r="D1264" s="29" t="s">
        <v>31505</v>
      </c>
      <c r="E1264" s="29" t="s">
        <v>44960</v>
      </c>
      <c r="F1264" s="36" t="s">
        <v>54401</v>
      </c>
      <c r="G1264" s="39">
        <v>1840278.53</v>
      </c>
      <c r="H1264" s="42">
        <v>211</v>
      </c>
    </row>
    <row r="1265" spans="1:8" ht="15" customHeight="1">
      <c r="A1265" s="26">
        <v>7220099</v>
      </c>
      <c r="B1265" s="30" t="s">
        <v>3507</v>
      </c>
      <c r="C1265" s="29" t="s">
        <v>17204</v>
      </c>
      <c r="D1265" s="29" t="s">
        <v>30349</v>
      </c>
      <c r="E1265" s="29" t="s">
        <v>43926</v>
      </c>
      <c r="F1265" s="36" t="s">
        <v>54401</v>
      </c>
      <c r="G1265" s="39">
        <f>194735.49+148545+827182</f>
        <v>1170462.49</v>
      </c>
      <c r="H1265" s="42">
        <v>211</v>
      </c>
    </row>
    <row r="1266" spans="1:8" ht="15" customHeight="1">
      <c r="A1266" s="26">
        <v>7220104</v>
      </c>
      <c r="B1266" s="30" t="s">
        <v>3508</v>
      </c>
      <c r="C1266" s="29" t="s">
        <v>18356</v>
      </c>
      <c r="D1266" s="29" t="s">
        <v>31506</v>
      </c>
      <c r="E1266" s="29" t="s">
        <v>44961</v>
      </c>
      <c r="F1266" s="36" t="s">
        <v>54401</v>
      </c>
      <c r="G1266" s="39">
        <v>283395</v>
      </c>
      <c r="H1266" s="42">
        <v>211</v>
      </c>
    </row>
    <row r="1267" spans="1:8" ht="15" customHeight="1">
      <c r="A1267" s="26">
        <v>7220128</v>
      </c>
      <c r="B1267" s="30" t="s">
        <v>3509</v>
      </c>
      <c r="C1267" s="29" t="s">
        <v>18357</v>
      </c>
      <c r="D1267" s="29" t="s">
        <v>31507</v>
      </c>
      <c r="E1267" s="29" t="s">
        <v>44962</v>
      </c>
      <c r="F1267" s="36" t="s">
        <v>54401</v>
      </c>
      <c r="G1267" s="39">
        <f>870376.8+1159060</f>
        <v>2029436.8</v>
      </c>
      <c r="H1267" s="42">
        <v>211</v>
      </c>
    </row>
    <row r="1268" spans="1:8" ht="15" customHeight="1">
      <c r="A1268" s="26">
        <v>7220188</v>
      </c>
      <c r="B1268" s="30" t="s">
        <v>3510</v>
      </c>
      <c r="C1268" s="29" t="s">
        <v>18358</v>
      </c>
      <c r="D1268" s="29" t="s">
        <v>31508</v>
      </c>
      <c r="E1268" s="29" t="s">
        <v>44963</v>
      </c>
      <c r="F1268" s="36" t="s">
        <v>54401</v>
      </c>
      <c r="G1268" s="39">
        <f>858372.55+108685</f>
        <v>967057.55</v>
      </c>
      <c r="H1268" s="42">
        <v>211</v>
      </c>
    </row>
    <row r="1269" spans="1:8" ht="15" customHeight="1">
      <c r="A1269" s="26">
        <v>7220210</v>
      </c>
      <c r="B1269" s="30" t="s">
        <v>3511</v>
      </c>
      <c r="C1269" s="29" t="s">
        <v>18359</v>
      </c>
      <c r="D1269" s="29" t="s">
        <v>31509</v>
      </c>
      <c r="E1269" s="29" t="s">
        <v>44964</v>
      </c>
      <c r="F1269" s="36" t="s">
        <v>54401</v>
      </c>
      <c r="G1269" s="39">
        <v>64863</v>
      </c>
      <c r="H1269" s="42">
        <v>211</v>
      </c>
    </row>
    <row r="1270" spans="1:8" ht="15" customHeight="1">
      <c r="A1270" s="26">
        <v>7220213</v>
      </c>
      <c r="B1270" s="30" t="s">
        <v>3512</v>
      </c>
      <c r="C1270" s="29" t="s">
        <v>18360</v>
      </c>
      <c r="D1270" s="29" t="s">
        <v>31510</v>
      </c>
      <c r="E1270" s="29" t="s">
        <v>44965</v>
      </c>
      <c r="F1270" s="36" t="s">
        <v>54401</v>
      </c>
      <c r="G1270" s="39">
        <v>108679.39</v>
      </c>
      <c r="H1270" s="42">
        <v>211</v>
      </c>
    </row>
    <row r="1271" spans="1:8" ht="15" customHeight="1">
      <c r="A1271" s="26">
        <v>7220230</v>
      </c>
      <c r="B1271" s="30" t="s">
        <v>3513</v>
      </c>
      <c r="C1271" s="29" t="s">
        <v>18361</v>
      </c>
      <c r="D1271" s="29" t="s">
        <v>31511</v>
      </c>
      <c r="E1271" s="29" t="s">
        <v>44966</v>
      </c>
      <c r="F1271" s="36" t="s">
        <v>54412</v>
      </c>
      <c r="G1271" s="39">
        <v>159803.32999999999</v>
      </c>
      <c r="H1271" s="42">
        <v>211</v>
      </c>
    </row>
    <row r="1272" spans="1:8" ht="15" customHeight="1">
      <c r="A1272" s="26">
        <v>7220247</v>
      </c>
      <c r="B1272" s="30" t="s">
        <v>3514</v>
      </c>
      <c r="C1272" s="29" t="s">
        <v>18362</v>
      </c>
      <c r="D1272" s="29" t="s">
        <v>31512</v>
      </c>
      <c r="E1272" s="29" t="s">
        <v>44967</v>
      </c>
      <c r="F1272" s="36" t="s">
        <v>54401</v>
      </c>
      <c r="G1272" s="39">
        <f>258263.48+668214</f>
        <v>926477.48</v>
      </c>
      <c r="H1272" s="42">
        <v>211</v>
      </c>
    </row>
    <row r="1273" spans="1:8" ht="15" customHeight="1">
      <c r="A1273" s="26">
        <v>7220263</v>
      </c>
      <c r="B1273" s="30" t="s">
        <v>3515</v>
      </c>
      <c r="C1273" s="29" t="s">
        <v>18363</v>
      </c>
      <c r="D1273" s="29" t="s">
        <v>31513</v>
      </c>
      <c r="E1273" s="29" t="s">
        <v>44968</v>
      </c>
      <c r="F1273" s="36" t="s">
        <v>54418</v>
      </c>
      <c r="G1273" s="39">
        <f>313322.03+2146241</f>
        <v>2459563.0300000003</v>
      </c>
      <c r="H1273" s="42">
        <v>211</v>
      </c>
    </row>
    <row r="1274" spans="1:8" ht="15" customHeight="1">
      <c r="A1274" s="26">
        <v>7220272</v>
      </c>
      <c r="B1274" s="30" t="s">
        <v>3516</v>
      </c>
      <c r="C1274" s="29" t="s">
        <v>18364</v>
      </c>
      <c r="D1274" s="29" t="s">
        <v>31514</v>
      </c>
      <c r="E1274" s="29" t="s">
        <v>44969</v>
      </c>
      <c r="F1274" s="36" t="s">
        <v>54401</v>
      </c>
      <c r="G1274" s="39">
        <f>1224971.94-49613</f>
        <v>1175358.94</v>
      </c>
      <c r="H1274" s="42">
        <v>211</v>
      </c>
    </row>
    <row r="1275" spans="1:8" ht="15" customHeight="1">
      <c r="A1275" s="26">
        <v>7220277</v>
      </c>
      <c r="B1275" s="30" t="s">
        <v>3517</v>
      </c>
      <c r="C1275" s="29" t="s">
        <v>18365</v>
      </c>
      <c r="D1275" s="29" t="s">
        <v>31515</v>
      </c>
      <c r="E1275" s="29" t="s">
        <v>44970</v>
      </c>
      <c r="F1275" s="36" t="s">
        <v>54406</v>
      </c>
      <c r="G1275" s="39">
        <f>1530567.03+1071632</f>
        <v>2602199.0300000003</v>
      </c>
      <c r="H1275" s="42">
        <v>211</v>
      </c>
    </row>
    <row r="1276" spans="1:8" ht="15" customHeight="1">
      <c r="A1276" s="26">
        <v>7220291</v>
      </c>
      <c r="B1276" s="30" t="s">
        <v>3518</v>
      </c>
      <c r="C1276" s="29" t="s">
        <v>18366</v>
      </c>
      <c r="D1276" s="29" t="s">
        <v>31516</v>
      </c>
      <c r="E1276" s="29" t="s">
        <v>44971</v>
      </c>
      <c r="F1276" s="36" t="s">
        <v>54407</v>
      </c>
      <c r="G1276" s="39">
        <v>478244.31</v>
      </c>
      <c r="H1276" s="42">
        <v>211</v>
      </c>
    </row>
    <row r="1277" spans="1:8" ht="15" customHeight="1">
      <c r="A1277" s="26">
        <v>7220318</v>
      </c>
      <c r="B1277" s="30" t="s">
        <v>3519</v>
      </c>
      <c r="C1277" s="26" t="s">
        <v>18367</v>
      </c>
      <c r="D1277" s="26" t="s">
        <v>31517</v>
      </c>
      <c r="E1277" s="26" t="s">
        <v>44972</v>
      </c>
      <c r="F1277" s="37" t="s">
        <v>54401</v>
      </c>
      <c r="G1277" s="39">
        <f>2162292.92+76449</f>
        <v>2238741.92</v>
      </c>
      <c r="H1277" s="42">
        <v>211</v>
      </c>
    </row>
    <row r="1278" spans="1:8" ht="15" customHeight="1">
      <c r="A1278" s="26">
        <v>7220359</v>
      </c>
      <c r="B1278" s="30" t="s">
        <v>3520</v>
      </c>
      <c r="C1278" s="29" t="s">
        <v>18368</v>
      </c>
      <c r="D1278" s="29" t="s">
        <v>31518</v>
      </c>
      <c r="E1278" s="29" t="s">
        <v>44973</v>
      </c>
      <c r="F1278" s="36" t="s">
        <v>54401</v>
      </c>
      <c r="G1278" s="39">
        <v>2640635.5</v>
      </c>
      <c r="H1278" s="42">
        <v>211</v>
      </c>
    </row>
    <row r="1279" spans="1:8" ht="15" customHeight="1">
      <c r="A1279" s="26">
        <v>7220371</v>
      </c>
      <c r="B1279" s="30" t="s">
        <v>3521</v>
      </c>
      <c r="C1279" s="26" t="s">
        <v>18369</v>
      </c>
      <c r="D1279" s="26" t="s">
        <v>31519</v>
      </c>
      <c r="E1279" s="26" t="s">
        <v>43926</v>
      </c>
      <c r="F1279" s="37" t="s">
        <v>54401</v>
      </c>
      <c r="G1279" s="39">
        <v>292228.56</v>
      </c>
      <c r="H1279" s="42">
        <v>211</v>
      </c>
    </row>
    <row r="1280" spans="1:8" ht="15" customHeight="1">
      <c r="A1280" s="26">
        <v>7220374</v>
      </c>
      <c r="B1280" s="30" t="s">
        <v>3522</v>
      </c>
      <c r="C1280" s="26" t="s">
        <v>18370</v>
      </c>
      <c r="D1280" s="26" t="s">
        <v>31520</v>
      </c>
      <c r="E1280" s="26" t="s">
        <v>44974</v>
      </c>
      <c r="F1280" s="37" t="s">
        <v>54401</v>
      </c>
      <c r="G1280" s="39">
        <f>3133584.19+6260</f>
        <v>3139844.19</v>
      </c>
      <c r="H1280" s="42">
        <v>211</v>
      </c>
    </row>
    <row r="1281" spans="1:8" ht="15" customHeight="1">
      <c r="A1281" s="26">
        <v>7220375</v>
      </c>
      <c r="B1281" s="30" t="s">
        <v>3523</v>
      </c>
      <c r="C1281" s="26" t="s">
        <v>18371</v>
      </c>
      <c r="D1281" s="26" t="s">
        <v>31521</v>
      </c>
      <c r="E1281" s="26" t="s">
        <v>44975</v>
      </c>
      <c r="F1281" s="37" t="s">
        <v>54401</v>
      </c>
      <c r="G1281" s="39">
        <v>24431</v>
      </c>
      <c r="H1281" s="42">
        <v>211</v>
      </c>
    </row>
    <row r="1282" spans="1:8" ht="15" customHeight="1">
      <c r="A1282" s="26">
        <v>7220376</v>
      </c>
      <c r="B1282" s="30" t="s">
        <v>3524</v>
      </c>
      <c r="C1282" s="29" t="s">
        <v>18372</v>
      </c>
      <c r="D1282" s="29" t="s">
        <v>31522</v>
      </c>
      <c r="E1282" s="29" t="s">
        <v>43926</v>
      </c>
      <c r="F1282" s="36" t="s">
        <v>54401</v>
      </c>
      <c r="G1282" s="39">
        <v>4731913.5</v>
      </c>
      <c r="H1282" s="42">
        <v>211</v>
      </c>
    </row>
    <row r="1283" spans="1:8" ht="15" customHeight="1">
      <c r="A1283" s="26">
        <v>7220387</v>
      </c>
      <c r="B1283" s="30" t="s">
        <v>3525</v>
      </c>
      <c r="C1283" s="29" t="s">
        <v>18373</v>
      </c>
      <c r="D1283" s="29" t="s">
        <v>30376</v>
      </c>
      <c r="E1283" s="29" t="s">
        <v>44976</v>
      </c>
      <c r="F1283" s="36" t="s">
        <v>54401</v>
      </c>
      <c r="G1283" s="39">
        <v>1995398.62</v>
      </c>
      <c r="H1283" s="42">
        <v>211</v>
      </c>
    </row>
    <row r="1284" spans="1:8" ht="15" customHeight="1">
      <c r="A1284" s="26">
        <v>7220417</v>
      </c>
      <c r="B1284" s="30" t="s">
        <v>3526</v>
      </c>
      <c r="C1284" s="29" t="s">
        <v>18374</v>
      </c>
      <c r="D1284" s="29" t="s">
        <v>31523</v>
      </c>
      <c r="E1284" s="29" t="s">
        <v>44977</v>
      </c>
      <c r="F1284" s="36" t="s">
        <v>54401</v>
      </c>
      <c r="G1284" s="39">
        <v>2575009.0499999998</v>
      </c>
      <c r="H1284" s="42">
        <v>211</v>
      </c>
    </row>
    <row r="1285" spans="1:8" ht="15" customHeight="1">
      <c r="A1285" s="26">
        <v>7220422</v>
      </c>
      <c r="B1285" s="30" t="s">
        <v>3527</v>
      </c>
      <c r="C1285" s="29" t="s">
        <v>18375</v>
      </c>
      <c r="D1285" s="29" t="s">
        <v>31524</v>
      </c>
      <c r="E1285" s="29" t="s">
        <v>43942</v>
      </c>
      <c r="F1285" s="36" t="s">
        <v>54401</v>
      </c>
      <c r="G1285" s="39">
        <v>4121322.86</v>
      </c>
      <c r="H1285" s="42">
        <v>211</v>
      </c>
    </row>
    <row r="1286" spans="1:8" ht="15" customHeight="1">
      <c r="A1286" s="26">
        <v>7220434</v>
      </c>
      <c r="B1286" s="30" t="s">
        <v>3528</v>
      </c>
      <c r="C1286" s="29" t="s">
        <v>18376</v>
      </c>
      <c r="D1286" s="29" t="s">
        <v>31525</v>
      </c>
      <c r="E1286" s="29" t="s">
        <v>44978</v>
      </c>
      <c r="F1286" s="36" t="s">
        <v>54401</v>
      </c>
      <c r="G1286" s="39">
        <v>6532097.5199999996</v>
      </c>
      <c r="H1286" s="42">
        <v>211</v>
      </c>
    </row>
    <row r="1287" spans="1:8" ht="15" customHeight="1">
      <c r="A1287" s="26">
        <v>7220471</v>
      </c>
      <c r="B1287" s="30" t="s">
        <v>3529</v>
      </c>
      <c r="C1287" s="26" t="s">
        <v>17204</v>
      </c>
      <c r="D1287" s="26" t="s">
        <v>31526</v>
      </c>
      <c r="E1287" s="26" t="s">
        <v>43926</v>
      </c>
      <c r="F1287" s="37" t="s">
        <v>54401</v>
      </c>
      <c r="G1287" s="39">
        <f>1947275.35+234760</f>
        <v>2182035.35</v>
      </c>
      <c r="H1287" s="42">
        <v>211</v>
      </c>
    </row>
    <row r="1288" spans="1:8" ht="15" customHeight="1">
      <c r="A1288" s="26">
        <v>7220473</v>
      </c>
      <c r="B1288" s="30" t="s">
        <v>3530</v>
      </c>
      <c r="C1288" s="29" t="s">
        <v>18377</v>
      </c>
      <c r="D1288" s="29" t="s">
        <v>31527</v>
      </c>
      <c r="E1288" s="29" t="s">
        <v>44979</v>
      </c>
      <c r="F1288" s="36" t="s">
        <v>54401</v>
      </c>
      <c r="G1288" s="39">
        <v>257769.23</v>
      </c>
      <c r="H1288" s="42">
        <v>211</v>
      </c>
    </row>
    <row r="1289" spans="1:8" ht="15" customHeight="1">
      <c r="A1289" s="26">
        <v>7220489</v>
      </c>
      <c r="B1289" s="30" t="s">
        <v>3531</v>
      </c>
      <c r="C1289" s="29" t="s">
        <v>18378</v>
      </c>
      <c r="D1289" s="29" t="s">
        <v>31528</v>
      </c>
      <c r="E1289" s="29" t="s">
        <v>43926</v>
      </c>
      <c r="F1289" s="36" t="s">
        <v>54401</v>
      </c>
      <c r="G1289" s="39">
        <v>197212.43</v>
      </c>
      <c r="H1289" s="42">
        <v>211</v>
      </c>
    </row>
    <row r="1290" spans="1:8" ht="15" customHeight="1">
      <c r="A1290" s="26">
        <v>7220505</v>
      </c>
      <c r="B1290" s="30" t="s">
        <v>3532</v>
      </c>
      <c r="C1290" s="29" t="s">
        <v>18379</v>
      </c>
      <c r="D1290" s="29" t="s">
        <v>31529</v>
      </c>
      <c r="E1290" s="29" t="s">
        <v>44980</v>
      </c>
      <c r="F1290" s="36" t="s">
        <v>54401</v>
      </c>
      <c r="G1290" s="39">
        <v>19950.7</v>
      </c>
      <c r="H1290" s="42">
        <v>211</v>
      </c>
    </row>
    <row r="1291" spans="1:8" ht="15" customHeight="1">
      <c r="A1291" s="26">
        <v>7220524</v>
      </c>
      <c r="B1291" s="30" t="s">
        <v>3533</v>
      </c>
      <c r="C1291" s="29" t="s">
        <v>18380</v>
      </c>
      <c r="D1291" s="29" t="s">
        <v>31530</v>
      </c>
      <c r="E1291" s="29" t="s">
        <v>44981</v>
      </c>
      <c r="F1291" s="36" t="s">
        <v>54401</v>
      </c>
      <c r="G1291" s="39">
        <v>1314245.51</v>
      </c>
      <c r="H1291" s="42">
        <v>211</v>
      </c>
    </row>
    <row r="1292" spans="1:8" ht="15" customHeight="1">
      <c r="A1292" s="26">
        <v>7220534</v>
      </c>
      <c r="B1292" s="30" t="s">
        <v>3534</v>
      </c>
      <c r="C1292" s="26" t="s">
        <v>18381</v>
      </c>
      <c r="D1292" s="26" t="s">
        <v>30376</v>
      </c>
      <c r="E1292" s="26" t="s">
        <v>44982</v>
      </c>
      <c r="F1292" s="37" t="s">
        <v>54401</v>
      </c>
      <c r="G1292" s="39">
        <v>557395.26</v>
      </c>
      <c r="H1292" s="42">
        <v>211</v>
      </c>
    </row>
    <row r="1293" spans="1:8" ht="15" customHeight="1">
      <c r="A1293" s="26">
        <v>7220561</v>
      </c>
      <c r="B1293" s="30" t="s">
        <v>3535</v>
      </c>
      <c r="C1293" s="29" t="s">
        <v>18382</v>
      </c>
      <c r="D1293" s="29" t="s">
        <v>31531</v>
      </c>
      <c r="E1293" s="29" t="s">
        <v>44983</v>
      </c>
      <c r="F1293" s="36" t="s">
        <v>54401</v>
      </c>
      <c r="G1293" s="39">
        <v>4491472.1500000004</v>
      </c>
      <c r="H1293" s="42">
        <v>211</v>
      </c>
    </row>
    <row r="1294" spans="1:8" ht="15" customHeight="1">
      <c r="A1294" s="26">
        <v>7220595</v>
      </c>
      <c r="B1294" s="30" t="s">
        <v>3536</v>
      </c>
      <c r="C1294" s="26" t="s">
        <v>18383</v>
      </c>
      <c r="D1294" s="26" t="s">
        <v>31532</v>
      </c>
      <c r="E1294" s="26" t="s">
        <v>44984</v>
      </c>
      <c r="F1294" s="37" t="s">
        <v>54401</v>
      </c>
      <c r="G1294" s="39">
        <v>789989.77</v>
      </c>
      <c r="H1294" s="42">
        <v>211</v>
      </c>
    </row>
    <row r="1295" spans="1:8" ht="15" customHeight="1">
      <c r="A1295" s="26">
        <v>7220606</v>
      </c>
      <c r="B1295" s="30" t="s">
        <v>3537</v>
      </c>
      <c r="C1295" s="29" t="s">
        <v>18384</v>
      </c>
      <c r="D1295" s="29" t="s">
        <v>31533</v>
      </c>
      <c r="E1295" s="29" t="s">
        <v>44985</v>
      </c>
      <c r="F1295" s="36" t="s">
        <v>54401</v>
      </c>
      <c r="G1295" s="39">
        <v>143255.13</v>
      </c>
      <c r="H1295" s="42">
        <v>211</v>
      </c>
    </row>
    <row r="1296" spans="1:8" ht="15" customHeight="1">
      <c r="A1296" s="26">
        <v>7220607</v>
      </c>
      <c r="B1296" s="30" t="s">
        <v>3538</v>
      </c>
      <c r="C1296" s="29" t="s">
        <v>17204</v>
      </c>
      <c r="D1296" s="29" t="s">
        <v>31534</v>
      </c>
      <c r="E1296" s="29" t="s">
        <v>43926</v>
      </c>
      <c r="F1296" s="36" t="s">
        <v>54401</v>
      </c>
      <c r="G1296" s="39">
        <v>15865.55</v>
      </c>
      <c r="H1296" s="42">
        <v>211</v>
      </c>
    </row>
    <row r="1297" spans="1:8" ht="15" customHeight="1">
      <c r="A1297" s="26">
        <v>7220609</v>
      </c>
      <c r="B1297" s="30" t="s">
        <v>3539</v>
      </c>
      <c r="C1297" s="29" t="s">
        <v>18385</v>
      </c>
      <c r="D1297" s="29" t="s">
        <v>31535</v>
      </c>
      <c r="E1297" s="29" t="s">
        <v>44986</v>
      </c>
      <c r="F1297" s="36" t="s">
        <v>54401</v>
      </c>
      <c r="G1297" s="39">
        <f>11398869.73+62389</f>
        <v>11461258.73</v>
      </c>
      <c r="H1297" s="42">
        <v>211</v>
      </c>
    </row>
    <row r="1298" spans="1:8" ht="15" customHeight="1">
      <c r="A1298" s="26">
        <v>7220613</v>
      </c>
      <c r="B1298" s="30" t="s">
        <v>3540</v>
      </c>
      <c r="C1298" s="29" t="s">
        <v>18386</v>
      </c>
      <c r="D1298" s="29" t="s">
        <v>31536</v>
      </c>
      <c r="E1298" s="29" t="s">
        <v>44987</v>
      </c>
      <c r="F1298" s="36" t="s">
        <v>54401</v>
      </c>
      <c r="G1298" s="39">
        <v>5147356.1399999997</v>
      </c>
      <c r="H1298" s="42">
        <v>211</v>
      </c>
    </row>
    <row r="1299" spans="1:8" ht="15" customHeight="1">
      <c r="A1299" s="26">
        <v>7220624</v>
      </c>
      <c r="B1299" s="30" t="s">
        <v>3541</v>
      </c>
      <c r="C1299" s="29" t="s">
        <v>18387</v>
      </c>
      <c r="D1299" s="29" t="s">
        <v>31537</v>
      </c>
      <c r="E1299" s="29" t="s">
        <v>44988</v>
      </c>
      <c r="F1299" s="36" t="s">
        <v>54401</v>
      </c>
      <c r="G1299" s="39">
        <f>2994998.77+58614-41190</f>
        <v>3012422.77</v>
      </c>
      <c r="H1299" s="42">
        <v>211</v>
      </c>
    </row>
    <row r="1300" spans="1:8" ht="15" customHeight="1">
      <c r="A1300" s="26">
        <v>7220627</v>
      </c>
      <c r="B1300" s="30" t="s">
        <v>3542</v>
      </c>
      <c r="C1300" s="26" t="s">
        <v>18388</v>
      </c>
      <c r="D1300" s="26" t="s">
        <v>31538</v>
      </c>
      <c r="E1300" s="26" t="s">
        <v>44989</v>
      </c>
      <c r="F1300" s="37" t="s">
        <v>54401</v>
      </c>
      <c r="G1300" s="39">
        <v>340664.13</v>
      </c>
      <c r="H1300" s="42">
        <v>211</v>
      </c>
    </row>
    <row r="1301" spans="1:8" ht="15" customHeight="1">
      <c r="A1301" s="26">
        <v>7220632</v>
      </c>
      <c r="B1301" s="30" t="s">
        <v>3543</v>
      </c>
      <c r="C1301" s="29" t="s">
        <v>18389</v>
      </c>
      <c r="D1301" s="29" t="s">
        <v>31539</v>
      </c>
      <c r="E1301" s="29" t="s">
        <v>44990</v>
      </c>
      <c r="F1301" s="36" t="s">
        <v>54401</v>
      </c>
      <c r="G1301" s="39">
        <f>289579.43+130007</f>
        <v>419586.43</v>
      </c>
      <c r="H1301" s="42">
        <v>211</v>
      </c>
    </row>
    <row r="1302" spans="1:8" ht="15" customHeight="1">
      <c r="A1302" s="26">
        <v>7220649</v>
      </c>
      <c r="B1302" s="30" t="s">
        <v>3544</v>
      </c>
      <c r="C1302" s="29" t="s">
        <v>18390</v>
      </c>
      <c r="D1302" s="29" t="s">
        <v>31540</v>
      </c>
      <c r="E1302" s="29" t="s">
        <v>44991</v>
      </c>
      <c r="F1302" s="36" t="s">
        <v>54401</v>
      </c>
      <c r="G1302" s="39">
        <f>2885079.71+30851</f>
        <v>2915930.71</v>
      </c>
      <c r="H1302" s="42">
        <v>211</v>
      </c>
    </row>
    <row r="1303" spans="1:8" ht="15" customHeight="1">
      <c r="A1303" s="26">
        <v>7220685</v>
      </c>
      <c r="B1303" s="30" t="s">
        <v>3545</v>
      </c>
      <c r="C1303" s="29" t="s">
        <v>18391</v>
      </c>
      <c r="D1303" s="29" t="s">
        <v>31541</v>
      </c>
      <c r="E1303" s="29" t="s">
        <v>44992</v>
      </c>
      <c r="F1303" s="36" t="s">
        <v>54401</v>
      </c>
      <c r="G1303" s="39">
        <v>403627.53</v>
      </c>
      <c r="H1303" s="42">
        <v>211</v>
      </c>
    </row>
    <row r="1304" spans="1:8" ht="15" customHeight="1">
      <c r="A1304" s="26">
        <v>7220689</v>
      </c>
      <c r="B1304" s="30" t="s">
        <v>3546</v>
      </c>
      <c r="C1304" s="26" t="s">
        <v>18392</v>
      </c>
      <c r="D1304" s="26" t="s">
        <v>31542</v>
      </c>
      <c r="E1304" s="26" t="s">
        <v>44993</v>
      </c>
      <c r="F1304" s="37" t="s">
        <v>54401</v>
      </c>
      <c r="G1304" s="39">
        <v>1158296.92</v>
      </c>
      <c r="H1304" s="42">
        <v>211</v>
      </c>
    </row>
    <row r="1305" spans="1:8" ht="15" customHeight="1">
      <c r="A1305" s="26">
        <v>7220716</v>
      </c>
      <c r="B1305" s="30" t="s">
        <v>3547</v>
      </c>
      <c r="C1305" s="29" t="s">
        <v>18393</v>
      </c>
      <c r="D1305" s="29" t="s">
        <v>31543</v>
      </c>
      <c r="E1305" s="29" t="s">
        <v>44994</v>
      </c>
      <c r="F1305" s="36" t="s">
        <v>54401</v>
      </c>
      <c r="G1305" s="39">
        <v>857710.26</v>
      </c>
      <c r="H1305" s="42">
        <v>211</v>
      </c>
    </row>
    <row r="1306" spans="1:8" ht="15" customHeight="1">
      <c r="A1306" s="26">
        <v>7220734</v>
      </c>
      <c r="B1306" s="30" t="s">
        <v>3548</v>
      </c>
      <c r="C1306" s="29" t="s">
        <v>18394</v>
      </c>
      <c r="D1306" s="29" t="s">
        <v>31544</v>
      </c>
      <c r="E1306" s="29" t="s">
        <v>44995</v>
      </c>
      <c r="F1306" s="36" t="s">
        <v>54401</v>
      </c>
      <c r="G1306" s="39">
        <v>3335860.74</v>
      </c>
      <c r="H1306" s="42">
        <v>211</v>
      </c>
    </row>
    <row r="1307" spans="1:8" ht="15" customHeight="1">
      <c r="A1307" s="26">
        <v>7220738</v>
      </c>
      <c r="B1307" s="30" t="s">
        <v>3549</v>
      </c>
      <c r="C1307" s="29" t="s">
        <v>18395</v>
      </c>
      <c r="D1307" s="29" t="s">
        <v>31545</v>
      </c>
      <c r="E1307" s="29" t="s">
        <v>44996</v>
      </c>
      <c r="F1307" s="36" t="s">
        <v>54401</v>
      </c>
      <c r="G1307" s="39">
        <f>12404876.23+36323+683962-6805+244210+74475</f>
        <v>13437041.23</v>
      </c>
      <c r="H1307" s="42">
        <v>211</v>
      </c>
    </row>
    <row r="1308" spans="1:8" ht="15" customHeight="1">
      <c r="A1308" s="26">
        <v>7220772</v>
      </c>
      <c r="B1308" s="30" t="s">
        <v>3550</v>
      </c>
      <c r="C1308" s="29" t="s">
        <v>18396</v>
      </c>
      <c r="D1308" s="29" t="s">
        <v>31546</v>
      </c>
      <c r="E1308" s="29" t="s">
        <v>44997</v>
      </c>
      <c r="F1308" s="36" t="s">
        <v>54401</v>
      </c>
      <c r="G1308" s="39">
        <v>1648281.57</v>
      </c>
      <c r="H1308" s="42">
        <v>211</v>
      </c>
    </row>
    <row r="1309" spans="1:8" ht="15" customHeight="1">
      <c r="A1309" s="26">
        <v>7220773</v>
      </c>
      <c r="B1309" s="30" t="s">
        <v>3551</v>
      </c>
      <c r="C1309" s="29" t="s">
        <v>18397</v>
      </c>
      <c r="D1309" s="29" t="s">
        <v>31547</v>
      </c>
      <c r="E1309" s="29" t="s">
        <v>44998</v>
      </c>
      <c r="F1309" s="36" t="s">
        <v>54401</v>
      </c>
      <c r="G1309" s="39">
        <f>308772.72+219362</f>
        <v>528134.72</v>
      </c>
      <c r="H1309" s="42">
        <v>211</v>
      </c>
    </row>
    <row r="1310" spans="1:8" ht="15" customHeight="1">
      <c r="A1310" s="26">
        <v>7220781</v>
      </c>
      <c r="B1310" s="30" t="s">
        <v>3552</v>
      </c>
      <c r="C1310" s="26" t="s">
        <v>18398</v>
      </c>
      <c r="D1310" s="26" t="s">
        <v>31548</v>
      </c>
      <c r="E1310" s="26" t="s">
        <v>44999</v>
      </c>
      <c r="F1310" s="37" t="s">
        <v>54401</v>
      </c>
      <c r="G1310" s="39">
        <f>1427677.2+83080</f>
        <v>1510757.2</v>
      </c>
      <c r="H1310" s="42">
        <v>211</v>
      </c>
    </row>
    <row r="1311" spans="1:8" ht="15" customHeight="1">
      <c r="A1311" s="26">
        <v>7220799</v>
      </c>
      <c r="B1311" s="30" t="s">
        <v>3553</v>
      </c>
      <c r="C1311" s="29" t="s">
        <v>18399</v>
      </c>
      <c r="D1311" s="29" t="s">
        <v>31549</v>
      </c>
      <c r="E1311" s="29" t="s">
        <v>45000</v>
      </c>
      <c r="F1311" s="36" t="s">
        <v>54401</v>
      </c>
      <c r="G1311" s="39">
        <v>18453.78</v>
      </c>
      <c r="H1311" s="42">
        <v>211</v>
      </c>
    </row>
    <row r="1312" spans="1:8" ht="15" customHeight="1">
      <c r="A1312" s="26">
        <v>7220918</v>
      </c>
      <c r="B1312" s="30" t="s">
        <v>3554</v>
      </c>
      <c r="C1312" s="26" t="s">
        <v>17204</v>
      </c>
      <c r="D1312" s="26" t="s">
        <v>31550</v>
      </c>
      <c r="E1312" s="26" t="s">
        <v>43926</v>
      </c>
      <c r="F1312" s="37" t="s">
        <v>54401</v>
      </c>
      <c r="G1312" s="39">
        <v>621959.46</v>
      </c>
      <c r="H1312" s="42">
        <v>211</v>
      </c>
    </row>
    <row r="1313" spans="1:8" ht="15" customHeight="1">
      <c r="A1313" s="26">
        <v>7220943</v>
      </c>
      <c r="B1313" s="30" t="s">
        <v>3555</v>
      </c>
      <c r="C1313" s="29" t="s">
        <v>18400</v>
      </c>
      <c r="D1313" s="29" t="s">
        <v>31551</v>
      </c>
      <c r="E1313" s="29" t="s">
        <v>45001</v>
      </c>
      <c r="F1313" s="36" t="s">
        <v>54401</v>
      </c>
      <c r="G1313" s="39">
        <v>161056.79</v>
      </c>
      <c r="H1313" s="42">
        <v>211</v>
      </c>
    </row>
    <row r="1314" spans="1:8" ht="15" customHeight="1">
      <c r="A1314" s="26">
        <v>7220948</v>
      </c>
      <c r="B1314" s="30" t="s">
        <v>3556</v>
      </c>
      <c r="C1314" s="29" t="s">
        <v>18401</v>
      </c>
      <c r="D1314" s="29" t="s">
        <v>31552</v>
      </c>
      <c r="E1314" s="29" t="s">
        <v>45002</v>
      </c>
      <c r="F1314" s="36" t="s">
        <v>54401</v>
      </c>
      <c r="G1314" s="39">
        <v>1267380.23</v>
      </c>
      <c r="H1314" s="42">
        <v>211</v>
      </c>
    </row>
    <row r="1315" spans="1:8" ht="15" customHeight="1">
      <c r="A1315" s="26">
        <v>7220950</v>
      </c>
      <c r="B1315" s="30" t="s">
        <v>3557</v>
      </c>
      <c r="C1315" s="29" t="s">
        <v>18402</v>
      </c>
      <c r="D1315" s="29" t="s">
        <v>31553</v>
      </c>
      <c r="E1315" s="29" t="s">
        <v>45003</v>
      </c>
      <c r="F1315" s="36" t="s">
        <v>54401</v>
      </c>
      <c r="G1315" s="39">
        <v>3275092</v>
      </c>
      <c r="H1315" s="42">
        <v>211</v>
      </c>
    </row>
    <row r="1316" spans="1:8" ht="15" customHeight="1">
      <c r="A1316" s="26">
        <v>7220970</v>
      </c>
      <c r="B1316" s="30" t="s">
        <v>3558</v>
      </c>
      <c r="C1316" s="29" t="s">
        <v>18403</v>
      </c>
      <c r="D1316" s="29" t="s">
        <v>31554</v>
      </c>
      <c r="E1316" s="29" t="s">
        <v>44446</v>
      </c>
      <c r="F1316" s="36" t="s">
        <v>54401</v>
      </c>
      <c r="G1316" s="39">
        <v>848945.36</v>
      </c>
      <c r="H1316" s="42">
        <v>211</v>
      </c>
    </row>
    <row r="1317" spans="1:8" ht="15" customHeight="1">
      <c r="A1317" s="26">
        <v>7220992</v>
      </c>
      <c r="B1317" s="30" t="s">
        <v>3559</v>
      </c>
      <c r="C1317" s="29" t="s">
        <v>18404</v>
      </c>
      <c r="D1317" s="29" t="s">
        <v>31555</v>
      </c>
      <c r="E1317" s="29" t="s">
        <v>43926</v>
      </c>
      <c r="F1317" s="36" t="s">
        <v>54401</v>
      </c>
      <c r="G1317" s="39">
        <v>277614.13</v>
      </c>
      <c r="H1317" s="42">
        <v>211</v>
      </c>
    </row>
    <row r="1318" spans="1:8" ht="15" customHeight="1">
      <c r="A1318" s="26">
        <v>7220995</v>
      </c>
      <c r="B1318" s="30" t="s">
        <v>3560</v>
      </c>
      <c r="C1318" s="29" t="s">
        <v>18405</v>
      </c>
      <c r="D1318" s="29" t="s">
        <v>31556</v>
      </c>
      <c r="E1318" s="29" t="s">
        <v>45004</v>
      </c>
      <c r="F1318" s="36" t="s">
        <v>54401</v>
      </c>
      <c r="G1318" s="39">
        <v>3416854.99</v>
      </c>
      <c r="H1318" s="42">
        <v>211</v>
      </c>
    </row>
    <row r="1319" spans="1:8" ht="15" customHeight="1">
      <c r="A1319" s="26">
        <v>7221038</v>
      </c>
      <c r="B1319" s="30" t="s">
        <v>3561</v>
      </c>
      <c r="C1319" s="29" t="s">
        <v>18406</v>
      </c>
      <c r="D1319" s="29" t="s">
        <v>31557</v>
      </c>
      <c r="E1319" s="29" t="s">
        <v>45005</v>
      </c>
      <c r="F1319" s="36" t="s">
        <v>54401</v>
      </c>
      <c r="G1319" s="39">
        <f>486596.95+2849764</f>
        <v>3336360.95</v>
      </c>
      <c r="H1319" s="42">
        <v>211</v>
      </c>
    </row>
    <row r="1320" spans="1:8" ht="15" customHeight="1">
      <c r="A1320" s="26">
        <v>7221082</v>
      </c>
      <c r="B1320" s="30" t="s">
        <v>3562</v>
      </c>
      <c r="C1320" s="29" t="s">
        <v>18407</v>
      </c>
      <c r="D1320" s="29" t="s">
        <v>31558</v>
      </c>
      <c r="E1320" s="29" t="s">
        <v>45006</v>
      </c>
      <c r="F1320" s="36" t="s">
        <v>54401</v>
      </c>
      <c r="G1320" s="39">
        <f>3852252.99+2157640</f>
        <v>6009892.9900000002</v>
      </c>
      <c r="H1320" s="42">
        <v>211</v>
      </c>
    </row>
    <row r="1321" spans="1:8" ht="15" customHeight="1">
      <c r="A1321" s="26">
        <v>7221091</v>
      </c>
      <c r="B1321" s="30" t="s">
        <v>3563</v>
      </c>
      <c r="C1321" s="29" t="s">
        <v>18408</v>
      </c>
      <c r="D1321" s="29" t="s">
        <v>31559</v>
      </c>
      <c r="E1321" s="29" t="s">
        <v>45007</v>
      </c>
      <c r="F1321" s="36" t="s">
        <v>54401</v>
      </c>
      <c r="G1321" s="39">
        <v>4569417.0999999996</v>
      </c>
      <c r="H1321" s="42">
        <v>211</v>
      </c>
    </row>
    <row r="1322" spans="1:8" ht="15" customHeight="1">
      <c r="A1322" s="26">
        <v>7221125</v>
      </c>
      <c r="B1322" s="30" t="s">
        <v>3564</v>
      </c>
      <c r="C1322" s="29" t="s">
        <v>18409</v>
      </c>
      <c r="D1322" s="29" t="s">
        <v>31560</v>
      </c>
      <c r="E1322" s="29" t="s">
        <v>45008</v>
      </c>
      <c r="F1322" s="36" t="s">
        <v>54401</v>
      </c>
      <c r="G1322" s="39">
        <v>33912.74</v>
      </c>
      <c r="H1322" s="42">
        <v>211</v>
      </c>
    </row>
    <row r="1323" spans="1:8" ht="15" customHeight="1">
      <c r="A1323" s="26">
        <v>7221158</v>
      </c>
      <c r="B1323" s="30" t="s">
        <v>3565</v>
      </c>
      <c r="C1323" s="29" t="s">
        <v>18410</v>
      </c>
      <c r="D1323" s="29" t="s">
        <v>31561</v>
      </c>
      <c r="E1323" s="29" t="s">
        <v>45009</v>
      </c>
      <c r="F1323" s="36" t="s">
        <v>54401</v>
      </c>
      <c r="G1323" s="39">
        <f>4960034.35+40072</f>
        <v>5000106.3499999996</v>
      </c>
      <c r="H1323" s="42">
        <v>211</v>
      </c>
    </row>
    <row r="1324" spans="1:8" ht="15" customHeight="1">
      <c r="A1324" s="26">
        <v>7221163</v>
      </c>
      <c r="B1324" s="30" t="s">
        <v>3566</v>
      </c>
      <c r="C1324" s="29" t="s">
        <v>18411</v>
      </c>
      <c r="D1324" s="29" t="s">
        <v>31562</v>
      </c>
      <c r="E1324" s="29" t="s">
        <v>45010</v>
      </c>
      <c r="F1324" s="36" t="s">
        <v>54401</v>
      </c>
      <c r="G1324" s="39">
        <f>1894965.08+199262+66140</f>
        <v>2160367.08</v>
      </c>
      <c r="H1324" s="42">
        <v>211</v>
      </c>
    </row>
    <row r="1325" spans="1:8" ht="15" customHeight="1">
      <c r="A1325" s="26">
        <v>7221176</v>
      </c>
      <c r="B1325" s="30" t="s">
        <v>3567</v>
      </c>
      <c r="C1325" s="29" t="s">
        <v>18412</v>
      </c>
      <c r="D1325" s="29" t="s">
        <v>31563</v>
      </c>
      <c r="E1325" s="29" t="s">
        <v>45011</v>
      </c>
      <c r="F1325" s="36" t="s">
        <v>54401</v>
      </c>
      <c r="G1325" s="39">
        <v>2528786.16</v>
      </c>
      <c r="H1325" s="42">
        <v>211</v>
      </c>
    </row>
    <row r="1326" spans="1:8" ht="15" customHeight="1">
      <c r="A1326" s="26">
        <v>7221210</v>
      </c>
      <c r="B1326" s="30" t="s">
        <v>3568</v>
      </c>
      <c r="C1326" s="26" t="s">
        <v>18413</v>
      </c>
      <c r="D1326" s="26" t="s">
        <v>31564</v>
      </c>
      <c r="E1326" s="26" t="s">
        <v>45012</v>
      </c>
      <c r="F1326" s="37" t="s">
        <v>54401</v>
      </c>
      <c r="G1326" s="39">
        <v>778999.12</v>
      </c>
      <c r="H1326" s="42">
        <v>211</v>
      </c>
    </row>
    <row r="1327" spans="1:8" ht="15" customHeight="1">
      <c r="A1327" s="26">
        <v>7221294</v>
      </c>
      <c r="B1327" s="30" t="s">
        <v>3569</v>
      </c>
      <c r="C1327" s="29" t="s">
        <v>18414</v>
      </c>
      <c r="D1327" s="29" t="s">
        <v>31565</v>
      </c>
      <c r="E1327" s="29" t="s">
        <v>45013</v>
      </c>
      <c r="F1327" s="36" t="s">
        <v>54401</v>
      </c>
      <c r="G1327" s="39">
        <v>338397.53</v>
      </c>
      <c r="H1327" s="42">
        <v>211</v>
      </c>
    </row>
    <row r="1328" spans="1:8" ht="15" customHeight="1">
      <c r="A1328" s="26">
        <v>7221299</v>
      </c>
      <c r="B1328" s="30" t="s">
        <v>3570</v>
      </c>
      <c r="C1328" s="29" t="s">
        <v>18415</v>
      </c>
      <c r="D1328" s="29" t="s">
        <v>30349</v>
      </c>
      <c r="E1328" s="29" t="s">
        <v>45014</v>
      </c>
      <c r="F1328" s="36" t="s">
        <v>54401</v>
      </c>
      <c r="G1328" s="39">
        <v>589420.62</v>
      </c>
      <c r="H1328" s="42">
        <v>211</v>
      </c>
    </row>
    <row r="1329" spans="1:8" ht="15" customHeight="1">
      <c r="A1329" s="26">
        <v>7221303</v>
      </c>
      <c r="B1329" s="30" t="s">
        <v>3571</v>
      </c>
      <c r="C1329" s="29" t="s">
        <v>18416</v>
      </c>
      <c r="D1329" s="29" t="s">
        <v>31566</v>
      </c>
      <c r="E1329" s="29" t="s">
        <v>45015</v>
      </c>
      <c r="F1329" s="36" t="s">
        <v>54436</v>
      </c>
      <c r="G1329" s="39">
        <v>191364.43</v>
      </c>
      <c r="H1329" s="42">
        <v>211</v>
      </c>
    </row>
    <row r="1330" spans="1:8" ht="15" customHeight="1">
      <c r="A1330" s="26">
        <v>7221317</v>
      </c>
      <c r="B1330" s="30" t="s">
        <v>3572</v>
      </c>
      <c r="C1330" s="29" t="s">
        <v>18417</v>
      </c>
      <c r="D1330" s="29" t="s">
        <v>31567</v>
      </c>
      <c r="E1330" s="29" t="s">
        <v>45016</v>
      </c>
      <c r="F1330" s="36" t="s">
        <v>54401</v>
      </c>
      <c r="G1330" s="39">
        <v>1149737.43</v>
      </c>
      <c r="H1330" s="42">
        <v>211</v>
      </c>
    </row>
    <row r="1331" spans="1:8" ht="15" customHeight="1">
      <c r="A1331" s="26">
        <v>7221337</v>
      </c>
      <c r="B1331" s="30" t="s">
        <v>3573</v>
      </c>
      <c r="C1331" s="29" t="s">
        <v>18418</v>
      </c>
      <c r="D1331" s="29" t="s">
        <v>31568</v>
      </c>
      <c r="E1331" s="29" t="s">
        <v>45017</v>
      </c>
      <c r="F1331" s="36" t="s">
        <v>54401</v>
      </c>
      <c r="G1331" s="39">
        <f>814327.61+149095</f>
        <v>963422.61</v>
      </c>
      <c r="H1331" s="42">
        <v>211</v>
      </c>
    </row>
    <row r="1332" spans="1:8" ht="15" customHeight="1">
      <c r="A1332" s="26">
        <v>7221351</v>
      </c>
      <c r="B1332" s="30" t="s">
        <v>3574</v>
      </c>
      <c r="C1332" s="29" t="s">
        <v>18419</v>
      </c>
      <c r="D1332" s="29" t="s">
        <v>31569</v>
      </c>
      <c r="E1332" s="29" t="s">
        <v>45018</v>
      </c>
      <c r="F1332" s="36" t="s">
        <v>54401</v>
      </c>
      <c r="G1332" s="39">
        <v>3892672.98</v>
      </c>
      <c r="H1332" s="42">
        <v>211</v>
      </c>
    </row>
    <row r="1333" spans="1:8" ht="15" customHeight="1">
      <c r="A1333" s="26">
        <v>7221406</v>
      </c>
      <c r="B1333" s="30" t="s">
        <v>3575</v>
      </c>
      <c r="C1333" s="29" t="s">
        <v>18420</v>
      </c>
      <c r="D1333" s="29" t="s">
        <v>31570</v>
      </c>
      <c r="E1333" s="29" t="s">
        <v>45019</v>
      </c>
      <c r="F1333" s="36" t="s">
        <v>54401</v>
      </c>
      <c r="G1333" s="39">
        <v>1877173.95</v>
      </c>
      <c r="H1333" s="42">
        <v>211</v>
      </c>
    </row>
    <row r="1334" spans="1:8" ht="15" customHeight="1">
      <c r="A1334" s="26">
        <v>7221437</v>
      </c>
      <c r="B1334" s="30" t="s">
        <v>3576</v>
      </c>
      <c r="C1334" s="29" t="s">
        <v>18421</v>
      </c>
      <c r="D1334" s="29" t="s">
        <v>31571</v>
      </c>
      <c r="E1334" s="29" t="s">
        <v>45020</v>
      </c>
      <c r="F1334" s="36" t="s">
        <v>54401</v>
      </c>
      <c r="G1334" s="39">
        <v>1220011.31</v>
      </c>
      <c r="H1334" s="42">
        <v>211</v>
      </c>
    </row>
    <row r="1335" spans="1:8" ht="15" customHeight="1">
      <c r="A1335" s="26">
        <v>7221489</v>
      </c>
      <c r="B1335" s="30" t="s">
        <v>3577</v>
      </c>
      <c r="C1335" s="29" t="s">
        <v>18422</v>
      </c>
      <c r="D1335" s="29" t="s">
        <v>31572</v>
      </c>
      <c r="E1335" s="29" t="s">
        <v>45021</v>
      </c>
      <c r="F1335" s="36" t="s">
        <v>54401</v>
      </c>
      <c r="G1335" s="39">
        <v>296875.65999999997</v>
      </c>
      <c r="H1335" s="42">
        <v>211</v>
      </c>
    </row>
    <row r="1336" spans="1:8" ht="15" customHeight="1">
      <c r="A1336" s="26">
        <v>7221512</v>
      </c>
      <c r="B1336" s="30" t="s">
        <v>3578</v>
      </c>
      <c r="C1336" s="29" t="s">
        <v>18423</v>
      </c>
      <c r="D1336" s="29" t="s">
        <v>31573</v>
      </c>
      <c r="E1336" s="29" t="s">
        <v>45022</v>
      </c>
      <c r="F1336" s="36" t="s">
        <v>54401</v>
      </c>
      <c r="G1336" s="39">
        <v>1282567.46</v>
      </c>
      <c r="H1336" s="42">
        <v>211</v>
      </c>
    </row>
    <row r="1337" spans="1:8" ht="15" customHeight="1">
      <c r="A1337" s="26">
        <v>7221513</v>
      </c>
      <c r="B1337" s="30" t="s">
        <v>3579</v>
      </c>
      <c r="C1337" s="26" t="s">
        <v>18424</v>
      </c>
      <c r="D1337" s="26" t="s">
        <v>31574</v>
      </c>
      <c r="E1337" s="26" t="s">
        <v>45023</v>
      </c>
      <c r="F1337" s="37" t="s">
        <v>54401</v>
      </c>
      <c r="G1337" s="39">
        <v>1693246.87</v>
      </c>
      <c r="H1337" s="42">
        <v>211</v>
      </c>
    </row>
    <row r="1338" spans="1:8" ht="15" customHeight="1">
      <c r="A1338" s="26">
        <v>7221541</v>
      </c>
      <c r="B1338" s="30" t="s">
        <v>3580</v>
      </c>
      <c r="C1338" s="29" t="s">
        <v>18425</v>
      </c>
      <c r="D1338" s="29" t="s">
        <v>31575</v>
      </c>
      <c r="E1338" s="29" t="s">
        <v>45024</v>
      </c>
      <c r="F1338" s="36" t="s">
        <v>54401</v>
      </c>
      <c r="G1338" s="39">
        <v>377045.41</v>
      </c>
      <c r="H1338" s="42">
        <v>211</v>
      </c>
    </row>
    <row r="1339" spans="1:8" ht="15" customHeight="1">
      <c r="A1339" s="26">
        <v>7221545</v>
      </c>
      <c r="B1339" s="30" t="s">
        <v>3581</v>
      </c>
      <c r="C1339" s="29" t="s">
        <v>18426</v>
      </c>
      <c r="D1339" s="29" t="s">
        <v>31576</v>
      </c>
      <c r="E1339" s="29" t="s">
        <v>45025</v>
      </c>
      <c r="F1339" s="36" t="s">
        <v>54401</v>
      </c>
      <c r="G1339" s="39">
        <v>735431.26</v>
      </c>
      <c r="H1339" s="42">
        <v>211</v>
      </c>
    </row>
    <row r="1340" spans="1:8" ht="15" customHeight="1">
      <c r="A1340" s="26">
        <v>7221559</v>
      </c>
      <c r="B1340" s="30" t="s">
        <v>3582</v>
      </c>
      <c r="C1340" s="29" t="s">
        <v>18427</v>
      </c>
      <c r="D1340" s="29" t="s">
        <v>31577</v>
      </c>
      <c r="E1340" s="29" t="s">
        <v>45026</v>
      </c>
      <c r="F1340" s="36" t="s">
        <v>54401</v>
      </c>
      <c r="G1340" s="39">
        <v>6021389.2199999997</v>
      </c>
      <c r="H1340" s="42">
        <v>211</v>
      </c>
    </row>
    <row r="1341" spans="1:8" ht="15" customHeight="1">
      <c r="A1341" s="26">
        <v>7221565</v>
      </c>
      <c r="B1341" s="30" t="s">
        <v>3583</v>
      </c>
      <c r="C1341" s="26" t="s">
        <v>18428</v>
      </c>
      <c r="D1341" s="26" t="s">
        <v>31578</v>
      </c>
      <c r="E1341" s="26" t="s">
        <v>45027</v>
      </c>
      <c r="F1341" s="37" t="s">
        <v>54401</v>
      </c>
      <c r="G1341" s="39">
        <f>1702336.4+2922108</f>
        <v>4624444.4000000004</v>
      </c>
      <c r="H1341" s="42">
        <v>211</v>
      </c>
    </row>
    <row r="1342" spans="1:8" ht="15" customHeight="1">
      <c r="A1342" s="26">
        <v>7221582</v>
      </c>
      <c r="B1342" s="30" t="s">
        <v>3584</v>
      </c>
      <c r="C1342" s="26" t="s">
        <v>18429</v>
      </c>
      <c r="D1342" s="26" t="s">
        <v>31579</v>
      </c>
      <c r="E1342" s="26" t="s">
        <v>45028</v>
      </c>
      <c r="F1342" s="37" t="s">
        <v>54401</v>
      </c>
      <c r="G1342" s="39">
        <f>4917937.26+393854</f>
        <v>5311791.26</v>
      </c>
      <c r="H1342" s="42">
        <v>211</v>
      </c>
    </row>
    <row r="1343" spans="1:8" ht="15" customHeight="1">
      <c r="A1343" s="26">
        <v>7221595</v>
      </c>
      <c r="B1343" s="30" t="s">
        <v>3585</v>
      </c>
      <c r="C1343" s="29" t="s">
        <v>18430</v>
      </c>
      <c r="D1343" s="29" t="s">
        <v>31580</v>
      </c>
      <c r="E1343" s="29" t="s">
        <v>45029</v>
      </c>
      <c r="F1343" s="36" t="s">
        <v>54401</v>
      </c>
      <c r="G1343" s="39">
        <v>73605.039999999994</v>
      </c>
      <c r="H1343" s="42">
        <v>211</v>
      </c>
    </row>
    <row r="1344" spans="1:8" ht="15" customHeight="1">
      <c r="A1344" s="26">
        <v>7221610</v>
      </c>
      <c r="B1344" s="30" t="s">
        <v>3586</v>
      </c>
      <c r="C1344" s="29" t="s">
        <v>18431</v>
      </c>
      <c r="D1344" s="29" t="s">
        <v>31581</v>
      </c>
      <c r="E1344" s="29" t="s">
        <v>45030</v>
      </c>
      <c r="F1344" s="36" t="s">
        <v>54401</v>
      </c>
      <c r="G1344" s="39">
        <v>58831.94</v>
      </c>
      <c r="H1344" s="42">
        <v>211</v>
      </c>
    </row>
    <row r="1345" spans="1:8" ht="15" customHeight="1">
      <c r="A1345" s="26">
        <v>7221615</v>
      </c>
      <c r="B1345" s="30" t="s">
        <v>3587</v>
      </c>
      <c r="C1345" s="29" t="s">
        <v>18432</v>
      </c>
      <c r="D1345" s="29" t="s">
        <v>31582</v>
      </c>
      <c r="E1345" s="29" t="s">
        <v>45031</v>
      </c>
      <c r="F1345" s="36" t="s">
        <v>54401</v>
      </c>
      <c r="G1345" s="39">
        <v>24415.13</v>
      </c>
      <c r="H1345" s="42">
        <v>211</v>
      </c>
    </row>
    <row r="1346" spans="1:8" ht="15" customHeight="1">
      <c r="A1346" s="26">
        <v>7221701</v>
      </c>
      <c r="B1346" s="30" t="s">
        <v>3588</v>
      </c>
      <c r="C1346" s="29" t="s">
        <v>18433</v>
      </c>
      <c r="D1346" s="29" t="s">
        <v>31583</v>
      </c>
      <c r="E1346" s="29" t="s">
        <v>43926</v>
      </c>
      <c r="F1346" s="36" t="s">
        <v>54401</v>
      </c>
      <c r="G1346" s="39">
        <v>4380.95</v>
      </c>
      <c r="H1346" s="42">
        <v>211</v>
      </c>
    </row>
    <row r="1347" spans="1:8" ht="15" customHeight="1">
      <c r="A1347" s="26">
        <v>7221704</v>
      </c>
      <c r="B1347" s="30" t="s">
        <v>3589</v>
      </c>
      <c r="C1347" s="29" t="s">
        <v>18434</v>
      </c>
      <c r="D1347" s="29" t="s">
        <v>31584</v>
      </c>
      <c r="E1347" s="29" t="s">
        <v>45032</v>
      </c>
      <c r="F1347" s="36" t="s">
        <v>54401</v>
      </c>
      <c r="G1347" s="39">
        <v>114206.02</v>
      </c>
      <c r="H1347" s="42">
        <v>211</v>
      </c>
    </row>
    <row r="1348" spans="1:8" ht="15" customHeight="1">
      <c r="A1348" s="26">
        <v>7221705</v>
      </c>
      <c r="B1348" s="30" t="s">
        <v>3590</v>
      </c>
      <c r="C1348" s="29" t="s">
        <v>18435</v>
      </c>
      <c r="D1348" s="29" t="s">
        <v>31585</v>
      </c>
      <c r="E1348" s="29" t="s">
        <v>45033</v>
      </c>
      <c r="F1348" s="36" t="s">
        <v>54401</v>
      </c>
      <c r="G1348" s="39">
        <v>3087689.27</v>
      </c>
      <c r="H1348" s="42">
        <v>211</v>
      </c>
    </row>
    <row r="1349" spans="1:8" ht="15" customHeight="1">
      <c r="A1349" s="26">
        <v>7221740</v>
      </c>
      <c r="B1349" s="30" t="s">
        <v>3591</v>
      </c>
      <c r="C1349" s="29" t="s">
        <v>17204</v>
      </c>
      <c r="D1349" s="29" t="s">
        <v>30349</v>
      </c>
      <c r="E1349" s="29" t="s">
        <v>43926</v>
      </c>
      <c r="F1349" s="36" t="s">
        <v>54401</v>
      </c>
      <c r="G1349" s="39">
        <v>108163.46</v>
      </c>
      <c r="H1349" s="42">
        <v>211</v>
      </c>
    </row>
    <row r="1350" spans="1:8" ht="15" customHeight="1">
      <c r="A1350" s="26">
        <v>7221742</v>
      </c>
      <c r="B1350" s="30" t="s">
        <v>3592</v>
      </c>
      <c r="C1350" s="29" t="s">
        <v>18436</v>
      </c>
      <c r="D1350" s="29" t="s">
        <v>31586</v>
      </c>
      <c r="E1350" s="29" t="s">
        <v>45034</v>
      </c>
      <c r="F1350" s="36" t="s">
        <v>54401</v>
      </c>
      <c r="G1350" s="39">
        <v>20392.86</v>
      </c>
      <c r="H1350" s="42">
        <v>211</v>
      </c>
    </row>
    <row r="1351" spans="1:8" ht="15" customHeight="1">
      <c r="A1351" s="26">
        <v>7221753</v>
      </c>
      <c r="B1351" s="30" t="s">
        <v>3593</v>
      </c>
      <c r="C1351" s="29" t="s">
        <v>18437</v>
      </c>
      <c r="D1351" s="29" t="s">
        <v>31587</v>
      </c>
      <c r="E1351" s="29" t="s">
        <v>45035</v>
      </c>
      <c r="F1351" s="36" t="s">
        <v>54401</v>
      </c>
      <c r="G1351" s="39">
        <v>3950862.56</v>
      </c>
      <c r="H1351" s="42">
        <v>211</v>
      </c>
    </row>
    <row r="1352" spans="1:8" ht="15" customHeight="1">
      <c r="A1352" s="26">
        <v>7221761</v>
      </c>
      <c r="B1352" s="30" t="s">
        <v>3594</v>
      </c>
      <c r="C1352" s="29" t="s">
        <v>18438</v>
      </c>
      <c r="D1352" s="29" t="s">
        <v>31588</v>
      </c>
      <c r="E1352" s="29" t="s">
        <v>45036</v>
      </c>
      <c r="F1352" s="36" t="s">
        <v>54401</v>
      </c>
      <c r="G1352" s="39">
        <f>2182029.23+192264</f>
        <v>2374293.23</v>
      </c>
      <c r="H1352" s="42">
        <v>211</v>
      </c>
    </row>
    <row r="1353" spans="1:8" ht="15" customHeight="1">
      <c r="A1353" s="26">
        <v>7221769</v>
      </c>
      <c r="B1353" s="30" t="s">
        <v>3595</v>
      </c>
      <c r="C1353" s="29" t="s">
        <v>18439</v>
      </c>
      <c r="D1353" s="29" t="s">
        <v>31589</v>
      </c>
      <c r="E1353" s="29" t="s">
        <v>45037</v>
      </c>
      <c r="F1353" s="36" t="s">
        <v>54401</v>
      </c>
      <c r="G1353" s="39">
        <f>247702.43+21831</f>
        <v>269533.43</v>
      </c>
      <c r="H1353" s="42">
        <v>211</v>
      </c>
    </row>
    <row r="1354" spans="1:8" ht="15" customHeight="1">
      <c r="A1354" s="26">
        <v>7221770</v>
      </c>
      <c r="B1354" s="30" t="s">
        <v>3596</v>
      </c>
      <c r="C1354" s="29" t="s">
        <v>18440</v>
      </c>
      <c r="D1354" s="29" t="s">
        <v>31590</v>
      </c>
      <c r="E1354" s="29" t="s">
        <v>45038</v>
      </c>
      <c r="F1354" s="36" t="s">
        <v>54401</v>
      </c>
      <c r="G1354" s="39">
        <f>1253777.78+244525</f>
        <v>1498302.78</v>
      </c>
      <c r="H1354" s="42">
        <v>211</v>
      </c>
    </row>
    <row r="1355" spans="1:8" ht="15" customHeight="1">
      <c r="A1355" s="26">
        <v>7221777</v>
      </c>
      <c r="B1355" s="30" t="s">
        <v>3597</v>
      </c>
      <c r="C1355" s="29" t="s">
        <v>18441</v>
      </c>
      <c r="D1355" s="29" t="s">
        <v>31591</v>
      </c>
      <c r="E1355" s="29" t="s">
        <v>45039</v>
      </c>
      <c r="F1355" s="36" t="s">
        <v>54401</v>
      </c>
      <c r="G1355" s="39">
        <v>1860549.82</v>
      </c>
      <c r="H1355" s="42">
        <v>211</v>
      </c>
    </row>
    <row r="1356" spans="1:8" ht="15" customHeight="1">
      <c r="A1356" s="26">
        <v>7221778</v>
      </c>
      <c r="B1356" s="30" t="s">
        <v>3598</v>
      </c>
      <c r="C1356" s="29" t="s">
        <v>17204</v>
      </c>
      <c r="D1356" s="29" t="s">
        <v>31592</v>
      </c>
      <c r="E1356" s="29" t="s">
        <v>45040</v>
      </c>
      <c r="F1356" s="36" t="s">
        <v>54401</v>
      </c>
      <c r="G1356" s="39">
        <v>226585.41</v>
      </c>
      <c r="H1356" s="42">
        <v>211</v>
      </c>
    </row>
    <row r="1357" spans="1:8" ht="15" customHeight="1">
      <c r="A1357" s="26">
        <v>7221803</v>
      </c>
      <c r="B1357" s="30" t="s">
        <v>3599</v>
      </c>
      <c r="C1357" s="26" t="s">
        <v>18442</v>
      </c>
      <c r="D1357" s="26" t="s">
        <v>31593</v>
      </c>
      <c r="E1357" s="26" t="s">
        <v>45041</v>
      </c>
      <c r="F1357" s="37" t="s">
        <v>54401</v>
      </c>
      <c r="G1357" s="39">
        <v>280591.96999999997</v>
      </c>
      <c r="H1357" s="42">
        <v>211</v>
      </c>
    </row>
    <row r="1358" spans="1:8" ht="15" customHeight="1">
      <c r="A1358" s="26">
        <v>7221824</v>
      </c>
      <c r="B1358" s="30" t="s">
        <v>3600</v>
      </c>
      <c r="C1358" s="29" t="s">
        <v>18443</v>
      </c>
      <c r="D1358" s="29" t="s">
        <v>31594</v>
      </c>
      <c r="E1358" s="29" t="s">
        <v>45042</v>
      </c>
      <c r="F1358" s="36" t="s">
        <v>54401</v>
      </c>
      <c r="G1358" s="39">
        <f>3536196.1+162586</f>
        <v>3698782.1</v>
      </c>
      <c r="H1358" s="42">
        <v>211</v>
      </c>
    </row>
    <row r="1359" spans="1:8" ht="15" customHeight="1">
      <c r="A1359" s="26">
        <v>7221836</v>
      </c>
      <c r="B1359" s="30" t="s">
        <v>3601</v>
      </c>
      <c r="C1359" s="29" t="s">
        <v>18444</v>
      </c>
      <c r="D1359" s="29" t="s">
        <v>31595</v>
      </c>
      <c r="E1359" s="29" t="s">
        <v>717</v>
      </c>
      <c r="F1359" s="36" t="s">
        <v>54401</v>
      </c>
      <c r="G1359" s="39">
        <f>237347.58+785386+157140</f>
        <v>1179873.58</v>
      </c>
      <c r="H1359" s="42">
        <v>211</v>
      </c>
    </row>
    <row r="1360" spans="1:8" ht="15" customHeight="1">
      <c r="A1360" s="26">
        <v>7221875</v>
      </c>
      <c r="B1360" s="30" t="s">
        <v>3602</v>
      </c>
      <c r="C1360" s="29" t="s">
        <v>18445</v>
      </c>
      <c r="D1360" s="29" t="s">
        <v>31596</v>
      </c>
      <c r="E1360" s="29" t="s">
        <v>45043</v>
      </c>
      <c r="F1360" s="36" t="s">
        <v>54401</v>
      </c>
      <c r="G1360" s="39">
        <f>141628.86+226408</f>
        <v>368036.86</v>
      </c>
      <c r="H1360" s="42">
        <v>211</v>
      </c>
    </row>
    <row r="1361" spans="1:8" ht="15" customHeight="1">
      <c r="A1361" s="26">
        <v>7221915</v>
      </c>
      <c r="B1361" s="30" t="s">
        <v>3603</v>
      </c>
      <c r="C1361" s="29" t="s">
        <v>18446</v>
      </c>
      <c r="D1361" s="29" t="s">
        <v>30521</v>
      </c>
      <c r="E1361" s="29" t="s">
        <v>45044</v>
      </c>
      <c r="F1361" s="36" t="s">
        <v>54401</v>
      </c>
      <c r="G1361" s="39">
        <v>188809.99</v>
      </c>
      <c r="H1361" s="42">
        <v>211</v>
      </c>
    </row>
    <row r="1362" spans="1:8" ht="15" customHeight="1">
      <c r="A1362" s="26">
        <v>7221916</v>
      </c>
      <c r="B1362" s="30" t="s">
        <v>3604</v>
      </c>
      <c r="C1362" s="29" t="s">
        <v>18447</v>
      </c>
      <c r="D1362" s="29" t="s">
        <v>31597</v>
      </c>
      <c r="E1362" s="29" t="s">
        <v>45045</v>
      </c>
      <c r="F1362" s="36" t="s">
        <v>54401</v>
      </c>
      <c r="G1362" s="39">
        <v>189870.98</v>
      </c>
      <c r="H1362" s="42">
        <v>211</v>
      </c>
    </row>
    <row r="1363" spans="1:8" ht="15" customHeight="1">
      <c r="A1363" s="26">
        <v>7221963</v>
      </c>
      <c r="B1363" s="30" t="s">
        <v>3605</v>
      </c>
      <c r="C1363" s="29" t="s">
        <v>18448</v>
      </c>
      <c r="D1363" s="29" t="s">
        <v>31598</v>
      </c>
      <c r="E1363" s="29" t="s">
        <v>45046</v>
      </c>
      <c r="F1363" s="36" t="s">
        <v>54409</v>
      </c>
      <c r="G1363" s="39">
        <f>10393428.36+680770</f>
        <v>11074198.359999999</v>
      </c>
      <c r="H1363" s="42">
        <v>211</v>
      </c>
    </row>
    <row r="1364" spans="1:8" ht="15" customHeight="1">
      <c r="A1364" s="26">
        <v>7222054</v>
      </c>
      <c r="B1364" s="30" t="s">
        <v>3606</v>
      </c>
      <c r="C1364" s="29" t="s">
        <v>18449</v>
      </c>
      <c r="D1364" s="29" t="s">
        <v>31599</v>
      </c>
      <c r="E1364" s="29" t="s">
        <v>45047</v>
      </c>
      <c r="F1364" s="36" t="s">
        <v>54401</v>
      </c>
      <c r="G1364" s="39">
        <v>1032241.8</v>
      </c>
      <c r="H1364" s="42">
        <v>211</v>
      </c>
    </row>
    <row r="1365" spans="1:8" ht="15" customHeight="1">
      <c r="A1365" s="26">
        <v>7222090</v>
      </c>
      <c r="B1365" s="30" t="s">
        <v>3607</v>
      </c>
      <c r="C1365" s="29" t="s">
        <v>18450</v>
      </c>
      <c r="D1365" s="29" t="s">
        <v>31600</v>
      </c>
      <c r="E1365" s="29" t="s">
        <v>44737</v>
      </c>
      <c r="F1365" s="36" t="s">
        <v>54401</v>
      </c>
      <c r="G1365" s="39">
        <v>298263.59000000003</v>
      </c>
      <c r="H1365" s="42">
        <v>211</v>
      </c>
    </row>
    <row r="1366" spans="1:8" ht="15" customHeight="1">
      <c r="A1366" s="26">
        <v>7222109</v>
      </c>
      <c r="B1366" s="30" t="s">
        <v>3608</v>
      </c>
      <c r="C1366" s="29" t="s">
        <v>18451</v>
      </c>
      <c r="D1366" s="29" t="s">
        <v>31601</v>
      </c>
      <c r="E1366" s="29" t="s">
        <v>45048</v>
      </c>
      <c r="F1366" s="36" t="s">
        <v>54401</v>
      </c>
      <c r="G1366" s="39">
        <f>1664409.37+77227</f>
        <v>1741636.37</v>
      </c>
      <c r="H1366" s="42">
        <v>211</v>
      </c>
    </row>
    <row r="1367" spans="1:8" ht="15" customHeight="1">
      <c r="A1367" s="26">
        <v>7222112</v>
      </c>
      <c r="B1367" s="30" t="s">
        <v>3609</v>
      </c>
      <c r="C1367" s="29" t="s">
        <v>18452</v>
      </c>
      <c r="D1367" s="29" t="s">
        <v>31602</v>
      </c>
      <c r="E1367" s="29" t="s">
        <v>45049</v>
      </c>
      <c r="F1367" s="36" t="s">
        <v>54401</v>
      </c>
      <c r="G1367" s="39">
        <v>264180.69</v>
      </c>
      <c r="H1367" s="42">
        <v>211</v>
      </c>
    </row>
    <row r="1368" spans="1:8" ht="15" customHeight="1">
      <c r="A1368" s="26">
        <v>7222130</v>
      </c>
      <c r="B1368" s="30" t="s">
        <v>3610</v>
      </c>
      <c r="C1368" s="29" t="s">
        <v>18453</v>
      </c>
      <c r="D1368" s="29" t="s">
        <v>31603</v>
      </c>
      <c r="E1368" s="29" t="s">
        <v>45050</v>
      </c>
      <c r="F1368" s="36" t="s">
        <v>54401</v>
      </c>
      <c r="G1368" s="39">
        <v>817792.75</v>
      </c>
      <c r="H1368" s="42">
        <v>211</v>
      </c>
    </row>
    <row r="1369" spans="1:8" ht="15" customHeight="1">
      <c r="A1369" s="26">
        <v>7222150</v>
      </c>
      <c r="B1369" s="30" t="s">
        <v>3611</v>
      </c>
      <c r="C1369" s="26" t="s">
        <v>18454</v>
      </c>
      <c r="D1369" s="26" t="s">
        <v>31604</v>
      </c>
      <c r="E1369" s="26" t="s">
        <v>45051</v>
      </c>
      <c r="F1369" s="37" t="s">
        <v>54401</v>
      </c>
      <c r="G1369" s="39">
        <f>2695305.73+427773</f>
        <v>3123078.73</v>
      </c>
      <c r="H1369" s="42">
        <v>211</v>
      </c>
    </row>
    <row r="1370" spans="1:8" ht="15" customHeight="1">
      <c r="A1370" s="26">
        <v>7222159</v>
      </c>
      <c r="B1370" s="30" t="s">
        <v>3612</v>
      </c>
      <c r="C1370" s="29" t="s">
        <v>18455</v>
      </c>
      <c r="D1370" s="29" t="s">
        <v>31605</v>
      </c>
      <c r="E1370" s="29" t="s">
        <v>45052</v>
      </c>
      <c r="F1370" s="36" t="s">
        <v>54401</v>
      </c>
      <c r="G1370" s="39">
        <f>5153029.51+340812</f>
        <v>5493841.5099999998</v>
      </c>
      <c r="H1370" s="42">
        <v>211</v>
      </c>
    </row>
    <row r="1371" spans="1:8" ht="15" customHeight="1">
      <c r="A1371" s="26">
        <v>7222177</v>
      </c>
      <c r="B1371" s="30" t="s">
        <v>3613</v>
      </c>
      <c r="C1371" s="29" t="s">
        <v>18456</v>
      </c>
      <c r="D1371" s="29" t="s">
        <v>31606</v>
      </c>
      <c r="E1371" s="29" t="s">
        <v>45053</v>
      </c>
      <c r="F1371" s="36" t="s">
        <v>54401</v>
      </c>
      <c r="G1371" s="39">
        <f>804485.23+602474</f>
        <v>1406959.23</v>
      </c>
      <c r="H1371" s="42">
        <v>211</v>
      </c>
    </row>
    <row r="1372" spans="1:8" ht="15" customHeight="1">
      <c r="A1372" s="26">
        <v>7222186</v>
      </c>
      <c r="B1372" s="30" t="s">
        <v>3614</v>
      </c>
      <c r="C1372" s="29" t="s">
        <v>17204</v>
      </c>
      <c r="D1372" s="29" t="s">
        <v>31607</v>
      </c>
      <c r="E1372" s="29" t="s">
        <v>43926</v>
      </c>
      <c r="F1372" s="36" t="s">
        <v>54401</v>
      </c>
      <c r="G1372" s="39">
        <v>220744.34</v>
      </c>
      <c r="H1372" s="42">
        <v>211</v>
      </c>
    </row>
    <row r="1373" spans="1:8" ht="15" customHeight="1">
      <c r="A1373" s="26">
        <v>7222204</v>
      </c>
      <c r="B1373" s="30" t="s">
        <v>3615</v>
      </c>
      <c r="C1373" s="29" t="s">
        <v>18457</v>
      </c>
      <c r="D1373" s="29" t="s">
        <v>31608</v>
      </c>
      <c r="E1373" s="29" t="s">
        <v>45054</v>
      </c>
      <c r="F1373" s="36" t="s">
        <v>54401</v>
      </c>
      <c r="G1373" s="39">
        <f>2229545.47+15307963</f>
        <v>17537508.469999999</v>
      </c>
      <c r="H1373" s="42">
        <v>211</v>
      </c>
    </row>
    <row r="1374" spans="1:8" ht="15" customHeight="1">
      <c r="A1374" s="26">
        <v>7222253</v>
      </c>
      <c r="B1374" s="30" t="s">
        <v>3616</v>
      </c>
      <c r="C1374" s="29" t="s">
        <v>17204</v>
      </c>
      <c r="D1374" s="29" t="s">
        <v>31609</v>
      </c>
      <c r="E1374" s="29" t="s">
        <v>43926</v>
      </c>
      <c r="F1374" s="36" t="s">
        <v>54401</v>
      </c>
      <c r="G1374" s="39">
        <v>612191.9</v>
      </c>
      <c r="H1374" s="42">
        <v>211</v>
      </c>
    </row>
    <row r="1375" spans="1:8" ht="15" customHeight="1">
      <c r="A1375" s="26">
        <v>7222263</v>
      </c>
      <c r="B1375" s="30" t="s">
        <v>3617</v>
      </c>
      <c r="C1375" s="29" t="s">
        <v>18458</v>
      </c>
      <c r="D1375" s="29" t="s">
        <v>31610</v>
      </c>
      <c r="E1375" s="29" t="s">
        <v>45055</v>
      </c>
      <c r="F1375" s="36" t="s">
        <v>54401</v>
      </c>
      <c r="G1375" s="39">
        <v>6532541.6900000004</v>
      </c>
      <c r="H1375" s="42">
        <v>211</v>
      </c>
    </row>
    <row r="1376" spans="1:8" ht="15" customHeight="1">
      <c r="A1376" s="26">
        <v>7222265</v>
      </c>
      <c r="B1376" s="30" t="s">
        <v>3618</v>
      </c>
      <c r="C1376" s="29" t="s">
        <v>18459</v>
      </c>
      <c r="D1376" s="29" t="s">
        <v>31611</v>
      </c>
      <c r="E1376" s="29" t="s">
        <v>45056</v>
      </c>
      <c r="F1376" s="36" t="s">
        <v>54401</v>
      </c>
      <c r="G1376" s="39">
        <v>599532.12</v>
      </c>
      <c r="H1376" s="42">
        <v>211</v>
      </c>
    </row>
    <row r="1377" spans="1:8" ht="15" customHeight="1">
      <c r="A1377" s="26">
        <v>7222271</v>
      </c>
      <c r="B1377" s="30" t="s">
        <v>3619</v>
      </c>
      <c r="C1377" s="29" t="s">
        <v>18460</v>
      </c>
      <c r="D1377" s="29" t="s">
        <v>31612</v>
      </c>
      <c r="E1377" s="29" t="s">
        <v>45057</v>
      </c>
      <c r="F1377" s="36" t="s">
        <v>54401</v>
      </c>
      <c r="G1377" s="39">
        <v>5934104.6100000003</v>
      </c>
      <c r="H1377" s="42">
        <v>211</v>
      </c>
    </row>
    <row r="1378" spans="1:8" ht="15" customHeight="1">
      <c r="A1378" s="26">
        <v>7222304</v>
      </c>
      <c r="B1378" s="30" t="s">
        <v>3620</v>
      </c>
      <c r="C1378" s="29" t="s">
        <v>18461</v>
      </c>
      <c r="D1378" s="29" t="s">
        <v>31613</v>
      </c>
      <c r="E1378" s="29" t="s">
        <v>45058</v>
      </c>
      <c r="F1378" s="36" t="s">
        <v>54401</v>
      </c>
      <c r="G1378" s="39">
        <f>826082.22+47500</f>
        <v>873582.22</v>
      </c>
      <c r="H1378" s="42">
        <v>211</v>
      </c>
    </row>
    <row r="1379" spans="1:8" ht="15" customHeight="1">
      <c r="A1379" s="26">
        <v>7222316</v>
      </c>
      <c r="B1379" s="30" t="s">
        <v>3621</v>
      </c>
      <c r="C1379" s="29" t="s">
        <v>18462</v>
      </c>
      <c r="D1379" s="29" t="s">
        <v>31614</v>
      </c>
      <c r="E1379" s="29" t="s">
        <v>45059</v>
      </c>
      <c r="F1379" s="36" t="s">
        <v>54401</v>
      </c>
      <c r="G1379" s="39">
        <v>3216503.46</v>
      </c>
      <c r="H1379" s="42">
        <v>211</v>
      </c>
    </row>
    <row r="1380" spans="1:8" ht="15" customHeight="1">
      <c r="A1380" s="26">
        <v>7222334</v>
      </c>
      <c r="B1380" s="30" t="s">
        <v>3622</v>
      </c>
      <c r="C1380" s="29" t="s">
        <v>18463</v>
      </c>
      <c r="D1380" s="29" t="s">
        <v>31615</v>
      </c>
      <c r="E1380" s="29" t="s">
        <v>45060</v>
      </c>
      <c r="F1380" s="36" t="s">
        <v>54401</v>
      </c>
      <c r="G1380" s="39">
        <v>956943.39</v>
      </c>
      <c r="H1380" s="42">
        <v>211</v>
      </c>
    </row>
    <row r="1381" spans="1:8" ht="15" customHeight="1">
      <c r="A1381" s="26">
        <v>7222340</v>
      </c>
      <c r="B1381" s="30" t="s">
        <v>3623</v>
      </c>
      <c r="C1381" s="29" t="s">
        <v>17204</v>
      </c>
      <c r="D1381" s="29" t="s">
        <v>30349</v>
      </c>
      <c r="E1381" s="29" t="s">
        <v>43926</v>
      </c>
      <c r="F1381" s="36" t="s">
        <v>54401</v>
      </c>
      <c r="G1381" s="39">
        <f>267687.77+280609</f>
        <v>548296.77</v>
      </c>
      <c r="H1381" s="42">
        <v>211</v>
      </c>
    </row>
    <row r="1382" spans="1:8" ht="15" customHeight="1">
      <c r="A1382" s="26">
        <v>7222404</v>
      </c>
      <c r="B1382" s="30" t="s">
        <v>3624</v>
      </c>
      <c r="C1382" s="29" t="s">
        <v>18464</v>
      </c>
      <c r="D1382" s="29" t="s">
        <v>31616</v>
      </c>
      <c r="E1382" s="29" t="s">
        <v>45061</v>
      </c>
      <c r="F1382" s="36" t="s">
        <v>54401</v>
      </c>
      <c r="G1382" s="39">
        <f>12933650.68+17736</f>
        <v>12951386.68</v>
      </c>
      <c r="H1382" s="42">
        <v>211</v>
      </c>
    </row>
    <row r="1383" spans="1:8" ht="15" customHeight="1">
      <c r="A1383" s="26">
        <v>7222407</v>
      </c>
      <c r="B1383" s="30" t="s">
        <v>3625</v>
      </c>
      <c r="C1383" s="29" t="s">
        <v>18465</v>
      </c>
      <c r="D1383" s="29" t="s">
        <v>31617</v>
      </c>
      <c r="E1383" s="29" t="s">
        <v>45062</v>
      </c>
      <c r="F1383" s="36" t="s">
        <v>54401</v>
      </c>
      <c r="G1383" s="39">
        <f>1175949.7+256854</f>
        <v>1432803.7</v>
      </c>
      <c r="H1383" s="42">
        <v>211</v>
      </c>
    </row>
    <row r="1384" spans="1:8" ht="15" customHeight="1">
      <c r="A1384" s="26">
        <v>7222433</v>
      </c>
      <c r="B1384" s="30" t="s">
        <v>3626</v>
      </c>
      <c r="C1384" s="29" t="s">
        <v>18466</v>
      </c>
      <c r="D1384" s="29" t="s">
        <v>31618</v>
      </c>
      <c r="E1384" s="29" t="s">
        <v>45063</v>
      </c>
      <c r="F1384" s="36" t="s">
        <v>54401</v>
      </c>
      <c r="G1384" s="39">
        <f>1728776.27+906353+354179</f>
        <v>2989308.27</v>
      </c>
      <c r="H1384" s="42">
        <v>211</v>
      </c>
    </row>
    <row r="1385" spans="1:8" ht="15" customHeight="1">
      <c r="A1385" s="26">
        <v>7222440</v>
      </c>
      <c r="B1385" s="30" t="s">
        <v>3627</v>
      </c>
      <c r="C1385" s="29" t="s">
        <v>18467</v>
      </c>
      <c r="D1385" s="29" t="s">
        <v>31619</v>
      </c>
      <c r="E1385" s="29" t="s">
        <v>45064</v>
      </c>
      <c r="F1385" s="36" t="s">
        <v>54401</v>
      </c>
      <c r="G1385" s="39">
        <v>582251.4</v>
      </c>
      <c r="H1385" s="42">
        <v>211</v>
      </c>
    </row>
    <row r="1386" spans="1:8" ht="15" customHeight="1">
      <c r="A1386" s="26">
        <v>7222472</v>
      </c>
      <c r="B1386" s="30" t="s">
        <v>3628</v>
      </c>
      <c r="C1386" s="29" t="s">
        <v>18468</v>
      </c>
      <c r="D1386" s="29" t="s">
        <v>31620</v>
      </c>
      <c r="E1386" s="29" t="s">
        <v>45065</v>
      </c>
      <c r="F1386" s="36" t="s">
        <v>54401</v>
      </c>
      <c r="G1386" s="39">
        <v>3811034.46</v>
      </c>
      <c r="H1386" s="42">
        <v>211</v>
      </c>
    </row>
    <row r="1387" spans="1:8" ht="15" customHeight="1">
      <c r="A1387" s="26">
        <v>7222473</v>
      </c>
      <c r="B1387" s="30" t="s">
        <v>3629</v>
      </c>
      <c r="C1387" s="29" t="s">
        <v>18469</v>
      </c>
      <c r="D1387" s="29" t="s">
        <v>31621</v>
      </c>
      <c r="E1387" s="29" t="s">
        <v>45066</v>
      </c>
      <c r="F1387" s="36" t="s">
        <v>54401</v>
      </c>
      <c r="G1387" s="39">
        <v>266812.34000000003</v>
      </c>
      <c r="H1387" s="42">
        <v>211</v>
      </c>
    </row>
    <row r="1388" spans="1:8" ht="15" customHeight="1">
      <c r="A1388" s="26">
        <v>7222498</v>
      </c>
      <c r="B1388" s="30" t="s">
        <v>3630</v>
      </c>
      <c r="C1388" s="29" t="s">
        <v>18470</v>
      </c>
      <c r="D1388" s="29" t="s">
        <v>31622</v>
      </c>
      <c r="E1388" s="29" t="s">
        <v>45067</v>
      </c>
      <c r="F1388" s="36" t="s">
        <v>54401</v>
      </c>
      <c r="G1388" s="39">
        <v>6503264.8899999997</v>
      </c>
      <c r="H1388" s="42">
        <v>211</v>
      </c>
    </row>
    <row r="1389" spans="1:8" ht="15" customHeight="1">
      <c r="A1389" s="26">
        <v>7222502</v>
      </c>
      <c r="B1389" s="30" t="s">
        <v>3631</v>
      </c>
      <c r="C1389" s="29" t="s">
        <v>18471</v>
      </c>
      <c r="D1389" s="29" t="s">
        <v>31623</v>
      </c>
      <c r="E1389" s="29" t="s">
        <v>45068</v>
      </c>
      <c r="F1389" s="36" t="s">
        <v>54401</v>
      </c>
      <c r="G1389" s="39">
        <v>1186027.26</v>
      </c>
      <c r="H1389" s="42">
        <v>211</v>
      </c>
    </row>
    <row r="1390" spans="1:8" ht="15" customHeight="1">
      <c r="A1390" s="26">
        <v>7222504</v>
      </c>
      <c r="B1390" s="30" t="s">
        <v>3632</v>
      </c>
      <c r="C1390" s="29" t="s">
        <v>18472</v>
      </c>
      <c r="D1390" s="29" t="s">
        <v>31624</v>
      </c>
      <c r="E1390" s="29" t="s">
        <v>45069</v>
      </c>
      <c r="F1390" s="36" t="s">
        <v>54401</v>
      </c>
      <c r="G1390" s="39">
        <v>266663.61</v>
      </c>
      <c r="H1390" s="42">
        <v>211</v>
      </c>
    </row>
    <row r="1391" spans="1:8" ht="15" customHeight="1">
      <c r="A1391" s="26">
        <v>7222512</v>
      </c>
      <c r="B1391" s="30" t="s">
        <v>3633</v>
      </c>
      <c r="C1391" s="29" t="s">
        <v>18473</v>
      </c>
      <c r="D1391" s="29" t="s">
        <v>31625</v>
      </c>
      <c r="E1391" s="29" t="s">
        <v>45070</v>
      </c>
      <c r="F1391" s="36" t="s">
        <v>54401</v>
      </c>
      <c r="G1391" s="39">
        <f>881896.95+469019</f>
        <v>1350915.95</v>
      </c>
      <c r="H1391" s="42">
        <v>211</v>
      </c>
    </row>
    <row r="1392" spans="1:8" ht="15" customHeight="1">
      <c r="A1392" s="26">
        <v>7222542</v>
      </c>
      <c r="B1392" s="30" t="s">
        <v>3634</v>
      </c>
      <c r="C1392" s="29" t="s">
        <v>18474</v>
      </c>
      <c r="D1392" s="29" t="s">
        <v>31626</v>
      </c>
      <c r="E1392" s="29" t="s">
        <v>45071</v>
      </c>
      <c r="F1392" s="36" t="s">
        <v>54401</v>
      </c>
      <c r="G1392" s="39">
        <f>527274.55+1943540</f>
        <v>2470814.5499999998</v>
      </c>
      <c r="H1392" s="42">
        <v>211</v>
      </c>
    </row>
    <row r="1393" spans="1:8" ht="15" customHeight="1">
      <c r="A1393" s="26">
        <v>7222604</v>
      </c>
      <c r="B1393" s="30" t="s">
        <v>3635</v>
      </c>
      <c r="C1393" s="29" t="s">
        <v>18475</v>
      </c>
      <c r="D1393" s="29" t="s">
        <v>31627</v>
      </c>
      <c r="E1393" s="29" t="s">
        <v>43942</v>
      </c>
      <c r="F1393" s="36" t="s">
        <v>54401</v>
      </c>
      <c r="G1393" s="39">
        <f>594986.98+29505</f>
        <v>624491.98</v>
      </c>
      <c r="H1393" s="42">
        <v>211</v>
      </c>
    </row>
    <row r="1394" spans="1:8" ht="15" customHeight="1">
      <c r="A1394" s="26">
        <v>7222644</v>
      </c>
      <c r="B1394" s="30" t="s">
        <v>3636</v>
      </c>
      <c r="C1394" s="29" t="s">
        <v>18476</v>
      </c>
      <c r="D1394" s="29" t="s">
        <v>31628</v>
      </c>
      <c r="E1394" s="29" t="s">
        <v>45072</v>
      </c>
      <c r="F1394" s="36" t="s">
        <v>54401</v>
      </c>
      <c r="G1394" s="39">
        <v>5394420.3600000003</v>
      </c>
      <c r="H1394" s="42">
        <v>211</v>
      </c>
    </row>
    <row r="1395" spans="1:8" ht="15" customHeight="1">
      <c r="A1395" s="26">
        <v>7222658</v>
      </c>
      <c r="B1395" s="30" t="s">
        <v>3637</v>
      </c>
      <c r="C1395" s="26" t="s">
        <v>18477</v>
      </c>
      <c r="D1395" s="26" t="s">
        <v>31629</v>
      </c>
      <c r="E1395" s="26" t="s">
        <v>45073</v>
      </c>
      <c r="F1395" s="37" t="s">
        <v>54401</v>
      </c>
      <c r="G1395" s="39">
        <v>26050.42</v>
      </c>
      <c r="H1395" s="42">
        <v>211</v>
      </c>
    </row>
    <row r="1396" spans="1:8" ht="15" customHeight="1">
      <c r="A1396" s="26">
        <v>7222665</v>
      </c>
      <c r="B1396" s="30" t="s">
        <v>3638</v>
      </c>
      <c r="C1396" s="29" t="s">
        <v>18478</v>
      </c>
      <c r="D1396" s="29" t="s">
        <v>31630</v>
      </c>
      <c r="E1396" s="29" t="s">
        <v>45074</v>
      </c>
      <c r="F1396" s="36" t="s">
        <v>54401</v>
      </c>
      <c r="G1396" s="39">
        <v>309512.77</v>
      </c>
      <c r="H1396" s="42">
        <v>211</v>
      </c>
    </row>
    <row r="1397" spans="1:8" ht="15" customHeight="1">
      <c r="A1397" s="26">
        <v>7222675</v>
      </c>
      <c r="B1397" s="30" t="s">
        <v>3639</v>
      </c>
      <c r="C1397" s="29" t="s">
        <v>18479</v>
      </c>
      <c r="D1397" s="29" t="s">
        <v>31631</v>
      </c>
      <c r="E1397" s="29" t="s">
        <v>45075</v>
      </c>
      <c r="F1397" s="36" t="s">
        <v>54412</v>
      </c>
      <c r="G1397" s="39">
        <f>4521082.04+36925</f>
        <v>4558007.04</v>
      </c>
      <c r="H1397" s="42">
        <v>211</v>
      </c>
    </row>
    <row r="1398" spans="1:8" ht="15" customHeight="1">
      <c r="A1398" s="26">
        <v>7222676</v>
      </c>
      <c r="B1398" s="30" t="s">
        <v>3640</v>
      </c>
      <c r="C1398" s="29" t="s">
        <v>18480</v>
      </c>
      <c r="D1398" s="29" t="s">
        <v>31632</v>
      </c>
      <c r="E1398" s="29" t="s">
        <v>45076</v>
      </c>
      <c r="F1398" s="36" t="s">
        <v>54401</v>
      </c>
      <c r="G1398" s="39">
        <v>228754.98</v>
      </c>
      <c r="H1398" s="42">
        <v>211</v>
      </c>
    </row>
    <row r="1399" spans="1:8" ht="15" customHeight="1">
      <c r="A1399" s="26">
        <v>7222726</v>
      </c>
      <c r="B1399" s="30" t="s">
        <v>3641</v>
      </c>
      <c r="C1399" s="29" t="s">
        <v>18481</v>
      </c>
      <c r="D1399" s="29" t="s">
        <v>31633</v>
      </c>
      <c r="E1399" s="29" t="s">
        <v>45077</v>
      </c>
      <c r="F1399" s="36" t="s">
        <v>54401</v>
      </c>
      <c r="G1399" s="39">
        <v>1905999.89</v>
      </c>
      <c r="H1399" s="42">
        <v>211</v>
      </c>
    </row>
    <row r="1400" spans="1:8" ht="15" customHeight="1">
      <c r="A1400" s="26">
        <v>7222728</v>
      </c>
      <c r="B1400" s="30" t="s">
        <v>3642</v>
      </c>
      <c r="C1400" s="29" t="s">
        <v>18482</v>
      </c>
      <c r="D1400" s="29" t="s">
        <v>31634</v>
      </c>
      <c r="E1400" s="29" t="s">
        <v>45078</v>
      </c>
      <c r="F1400" s="36" t="s">
        <v>54401</v>
      </c>
      <c r="G1400" s="39">
        <v>4818212.92</v>
      </c>
      <c r="H1400" s="42">
        <v>211</v>
      </c>
    </row>
    <row r="1401" spans="1:8" ht="15" customHeight="1">
      <c r="A1401" s="26">
        <v>7222730</v>
      </c>
      <c r="B1401" s="30" t="s">
        <v>3643</v>
      </c>
      <c r="C1401" s="29" t="s">
        <v>18483</v>
      </c>
      <c r="D1401" s="29" t="s">
        <v>31635</v>
      </c>
      <c r="E1401" s="29" t="s">
        <v>45079</v>
      </c>
      <c r="F1401" s="36" t="s">
        <v>54401</v>
      </c>
      <c r="G1401" s="39">
        <v>3189407.98</v>
      </c>
      <c r="H1401" s="42">
        <v>211</v>
      </c>
    </row>
    <row r="1402" spans="1:8" ht="15" customHeight="1">
      <c r="A1402" s="26">
        <v>7222744</v>
      </c>
      <c r="B1402" s="30" t="s">
        <v>3644</v>
      </c>
      <c r="C1402" s="29" t="s">
        <v>18484</v>
      </c>
      <c r="D1402" s="29" t="s">
        <v>31636</v>
      </c>
      <c r="E1402" s="29" t="s">
        <v>45080</v>
      </c>
      <c r="F1402" s="36" t="s">
        <v>54401</v>
      </c>
      <c r="G1402" s="39">
        <f>1667390.3+533322+37076</f>
        <v>2237788.2999999998</v>
      </c>
      <c r="H1402" s="42">
        <v>211</v>
      </c>
    </row>
    <row r="1403" spans="1:8" ht="15" customHeight="1">
      <c r="A1403" s="26">
        <v>7222786</v>
      </c>
      <c r="B1403" s="30" t="s">
        <v>3645</v>
      </c>
      <c r="C1403" s="29" t="s">
        <v>18485</v>
      </c>
      <c r="D1403" s="29" t="s">
        <v>31637</v>
      </c>
      <c r="E1403" s="29" t="s">
        <v>45081</v>
      </c>
      <c r="F1403" s="36" t="s">
        <v>54401</v>
      </c>
      <c r="G1403" s="39">
        <v>2086426.86</v>
      </c>
      <c r="H1403" s="42">
        <v>211</v>
      </c>
    </row>
    <row r="1404" spans="1:8" ht="15" customHeight="1">
      <c r="A1404" s="26">
        <v>7222802</v>
      </c>
      <c r="B1404" s="30" t="s">
        <v>3646</v>
      </c>
      <c r="C1404" s="29" t="s">
        <v>18486</v>
      </c>
      <c r="D1404" s="29" t="s">
        <v>31638</v>
      </c>
      <c r="E1404" s="29" t="s">
        <v>45082</v>
      </c>
      <c r="F1404" s="36" t="s">
        <v>54401</v>
      </c>
      <c r="G1404" s="39">
        <v>154875.24</v>
      </c>
      <c r="H1404" s="42">
        <v>211</v>
      </c>
    </row>
    <row r="1405" spans="1:8" ht="15" customHeight="1">
      <c r="A1405" s="26">
        <v>7222849</v>
      </c>
      <c r="B1405" s="30" t="s">
        <v>3647</v>
      </c>
      <c r="C1405" s="29" t="s">
        <v>18487</v>
      </c>
      <c r="D1405" s="29" t="s">
        <v>31639</v>
      </c>
      <c r="E1405" s="29" t="s">
        <v>45083</v>
      </c>
      <c r="F1405" s="36" t="s">
        <v>54401</v>
      </c>
      <c r="G1405" s="39">
        <v>541495.53</v>
      </c>
      <c r="H1405" s="42">
        <v>211</v>
      </c>
    </row>
    <row r="1406" spans="1:8" ht="15" customHeight="1">
      <c r="A1406" s="26">
        <v>7222886</v>
      </c>
      <c r="B1406" s="30" t="s">
        <v>3648</v>
      </c>
      <c r="C1406" s="29" t="s">
        <v>18488</v>
      </c>
      <c r="D1406" s="29" t="s">
        <v>31640</v>
      </c>
      <c r="E1406" s="29" t="s">
        <v>45084</v>
      </c>
      <c r="F1406" s="36" t="s">
        <v>54401</v>
      </c>
      <c r="G1406" s="39">
        <v>269686.42</v>
      </c>
      <c r="H1406" s="42">
        <v>211</v>
      </c>
    </row>
    <row r="1407" spans="1:8" ht="15" customHeight="1">
      <c r="A1407" s="26">
        <v>7222887</v>
      </c>
      <c r="B1407" s="30" t="s">
        <v>3649</v>
      </c>
      <c r="C1407" s="29" t="s">
        <v>18489</v>
      </c>
      <c r="D1407" s="29" t="s">
        <v>31641</v>
      </c>
      <c r="E1407" s="29" t="s">
        <v>45085</v>
      </c>
      <c r="F1407" s="36" t="s">
        <v>54406</v>
      </c>
      <c r="G1407" s="39">
        <v>38952.44</v>
      </c>
      <c r="H1407" s="42">
        <v>211</v>
      </c>
    </row>
    <row r="1408" spans="1:8" ht="15" customHeight="1">
      <c r="A1408" s="26">
        <v>7222890</v>
      </c>
      <c r="B1408" s="30" t="s">
        <v>3650</v>
      </c>
      <c r="C1408" s="29" t="s">
        <v>18490</v>
      </c>
      <c r="D1408" s="29" t="s">
        <v>31642</v>
      </c>
      <c r="E1408" s="29" t="s">
        <v>45086</v>
      </c>
      <c r="F1408" s="36" t="s">
        <v>54401</v>
      </c>
      <c r="G1408" s="39">
        <f>777622.7+244476</f>
        <v>1022098.7</v>
      </c>
      <c r="H1408" s="42">
        <v>211</v>
      </c>
    </row>
    <row r="1409" spans="1:8" ht="15" customHeight="1">
      <c r="A1409" s="26">
        <v>7222901</v>
      </c>
      <c r="B1409" s="30" t="s">
        <v>3651</v>
      </c>
      <c r="C1409" s="26" t="s">
        <v>18491</v>
      </c>
      <c r="D1409" s="26" t="s">
        <v>31643</v>
      </c>
      <c r="E1409" s="26" t="s">
        <v>45087</v>
      </c>
      <c r="F1409" s="37" t="s">
        <v>54401</v>
      </c>
      <c r="G1409" s="39">
        <v>2592416.56</v>
      </c>
      <c r="H1409" s="42">
        <v>211</v>
      </c>
    </row>
    <row r="1410" spans="1:8" ht="15" customHeight="1">
      <c r="A1410" s="26">
        <v>7222913</v>
      </c>
      <c r="B1410" s="30" t="s">
        <v>3652</v>
      </c>
      <c r="C1410" s="29" t="s">
        <v>18492</v>
      </c>
      <c r="D1410" s="29" t="s">
        <v>31644</v>
      </c>
      <c r="E1410" s="29" t="s">
        <v>45088</v>
      </c>
      <c r="F1410" s="36" t="s">
        <v>54401</v>
      </c>
      <c r="G1410" s="39">
        <v>934099.39</v>
      </c>
      <c r="H1410" s="42">
        <v>211</v>
      </c>
    </row>
    <row r="1411" spans="1:8" ht="15" customHeight="1">
      <c r="A1411" s="26">
        <v>7222918</v>
      </c>
      <c r="B1411" s="30" t="s">
        <v>3653</v>
      </c>
      <c r="C1411" s="29" t="s">
        <v>18493</v>
      </c>
      <c r="D1411" s="29" t="s">
        <v>31645</v>
      </c>
      <c r="E1411" s="29" t="s">
        <v>45089</v>
      </c>
      <c r="F1411" s="36" t="s">
        <v>54401</v>
      </c>
      <c r="G1411" s="39">
        <v>18285.71</v>
      </c>
      <c r="H1411" s="42">
        <v>211</v>
      </c>
    </row>
    <row r="1412" spans="1:8" ht="15" customHeight="1">
      <c r="A1412" s="26">
        <v>7222926</v>
      </c>
      <c r="B1412" s="30" t="s">
        <v>3654</v>
      </c>
      <c r="C1412" s="29" t="s">
        <v>17204</v>
      </c>
      <c r="D1412" s="29" t="s">
        <v>31646</v>
      </c>
      <c r="E1412" s="29" t="s">
        <v>43926</v>
      </c>
      <c r="F1412" s="36" t="s">
        <v>54401</v>
      </c>
      <c r="G1412" s="39">
        <v>616994.31000000006</v>
      </c>
      <c r="H1412" s="42">
        <v>211</v>
      </c>
    </row>
    <row r="1413" spans="1:8" ht="15" customHeight="1">
      <c r="A1413" s="26">
        <v>7222937</v>
      </c>
      <c r="B1413" s="30" t="s">
        <v>3655</v>
      </c>
      <c r="C1413" s="29" t="s">
        <v>18494</v>
      </c>
      <c r="D1413" s="29" t="s">
        <v>31647</v>
      </c>
      <c r="E1413" s="29" t="s">
        <v>45090</v>
      </c>
      <c r="F1413" s="36" t="s">
        <v>54401</v>
      </c>
      <c r="G1413" s="39">
        <v>1959471.45</v>
      </c>
      <c r="H1413" s="42">
        <v>211</v>
      </c>
    </row>
    <row r="1414" spans="1:8" ht="15" customHeight="1">
      <c r="A1414" s="26">
        <v>7222941</v>
      </c>
      <c r="B1414" s="30" t="s">
        <v>3656</v>
      </c>
      <c r="C1414" s="29" t="s">
        <v>18495</v>
      </c>
      <c r="D1414" s="29" t="s">
        <v>31648</v>
      </c>
      <c r="E1414" s="29" t="s">
        <v>45091</v>
      </c>
      <c r="F1414" s="36" t="s">
        <v>54401</v>
      </c>
      <c r="G1414" s="39">
        <v>368938.81</v>
      </c>
      <c r="H1414" s="42">
        <v>211</v>
      </c>
    </row>
    <row r="1415" spans="1:8" ht="15" customHeight="1">
      <c r="A1415" s="26">
        <v>7222951</v>
      </c>
      <c r="B1415" s="30" t="s">
        <v>3657</v>
      </c>
      <c r="C1415" s="26" t="s">
        <v>18496</v>
      </c>
      <c r="D1415" s="26" t="s">
        <v>31649</v>
      </c>
      <c r="E1415" s="26" t="s">
        <v>43926</v>
      </c>
      <c r="F1415" s="37" t="s">
        <v>54401</v>
      </c>
      <c r="G1415" s="39">
        <v>270227.27</v>
      </c>
      <c r="H1415" s="42">
        <v>211</v>
      </c>
    </row>
    <row r="1416" spans="1:8" ht="15" customHeight="1">
      <c r="A1416" s="26">
        <v>7222952</v>
      </c>
      <c r="B1416" s="30" t="s">
        <v>3658</v>
      </c>
      <c r="C1416" s="29" t="s">
        <v>18497</v>
      </c>
      <c r="D1416" s="29" t="s">
        <v>31650</v>
      </c>
      <c r="E1416" s="29" t="s">
        <v>45092</v>
      </c>
      <c r="F1416" s="36" t="s">
        <v>54401</v>
      </c>
      <c r="G1416" s="39">
        <f>4153069.16+35299</f>
        <v>4188368.16</v>
      </c>
      <c r="H1416" s="42">
        <v>211</v>
      </c>
    </row>
    <row r="1417" spans="1:8" ht="15" customHeight="1">
      <c r="A1417" s="26">
        <v>7222965</v>
      </c>
      <c r="B1417" s="30" t="s">
        <v>3659</v>
      </c>
      <c r="C1417" s="29" t="s">
        <v>18498</v>
      </c>
      <c r="D1417" s="29" t="s">
        <v>31651</v>
      </c>
      <c r="E1417" s="29" t="s">
        <v>45093</v>
      </c>
      <c r="F1417" s="36" t="s">
        <v>54406</v>
      </c>
      <c r="G1417" s="39">
        <v>2260479.36</v>
      </c>
      <c r="H1417" s="42">
        <v>211</v>
      </c>
    </row>
    <row r="1418" spans="1:8" ht="15" customHeight="1">
      <c r="A1418" s="26">
        <v>7222979</v>
      </c>
      <c r="B1418" s="30" t="s">
        <v>3660</v>
      </c>
      <c r="C1418" s="29" t="s">
        <v>18499</v>
      </c>
      <c r="D1418" s="29" t="s">
        <v>31652</v>
      </c>
      <c r="E1418" s="29" t="s">
        <v>45094</v>
      </c>
      <c r="F1418" s="36" t="s">
        <v>54401</v>
      </c>
      <c r="G1418" s="39">
        <v>700872.06</v>
      </c>
      <c r="H1418" s="42">
        <v>211</v>
      </c>
    </row>
    <row r="1419" spans="1:8" ht="15" customHeight="1">
      <c r="A1419" s="26">
        <v>7222984</v>
      </c>
      <c r="B1419" s="30" t="s">
        <v>3661</v>
      </c>
      <c r="C1419" s="26" t="s">
        <v>18500</v>
      </c>
      <c r="D1419" s="26" t="s">
        <v>31653</v>
      </c>
      <c r="E1419" s="26" t="s">
        <v>45095</v>
      </c>
      <c r="F1419" s="37" t="s">
        <v>54401</v>
      </c>
      <c r="G1419" s="39">
        <v>2608288.7599999998</v>
      </c>
      <c r="H1419" s="42">
        <v>211</v>
      </c>
    </row>
    <row r="1420" spans="1:8" ht="15" customHeight="1">
      <c r="A1420" s="26">
        <v>7222995</v>
      </c>
      <c r="B1420" s="30" t="s">
        <v>3662</v>
      </c>
      <c r="C1420" s="29" t="s">
        <v>18501</v>
      </c>
      <c r="D1420" s="29" t="s">
        <v>31654</v>
      </c>
      <c r="E1420" s="29" t="s">
        <v>45096</v>
      </c>
      <c r="F1420" s="36" t="s">
        <v>54401</v>
      </c>
      <c r="G1420" s="39">
        <f>1118697.54+993283</f>
        <v>2111980.54</v>
      </c>
      <c r="H1420" s="42">
        <v>211</v>
      </c>
    </row>
    <row r="1421" spans="1:8" ht="15" customHeight="1">
      <c r="A1421" s="26">
        <v>7223049</v>
      </c>
      <c r="B1421" s="30" t="s">
        <v>3663</v>
      </c>
      <c r="C1421" s="29" t="s">
        <v>18502</v>
      </c>
      <c r="D1421" s="29" t="s">
        <v>31655</v>
      </c>
      <c r="E1421" s="29" t="s">
        <v>45097</v>
      </c>
      <c r="F1421" s="36" t="s">
        <v>54401</v>
      </c>
      <c r="G1421" s="39">
        <v>124588.94</v>
      </c>
      <c r="H1421" s="42">
        <v>211</v>
      </c>
    </row>
    <row r="1422" spans="1:8" ht="15" customHeight="1">
      <c r="A1422" s="26">
        <v>7223055</v>
      </c>
      <c r="B1422" s="30" t="s">
        <v>3664</v>
      </c>
      <c r="C1422" s="29" t="s">
        <v>18503</v>
      </c>
      <c r="D1422" s="29" t="s">
        <v>31656</v>
      </c>
      <c r="E1422" s="29" t="s">
        <v>45098</v>
      </c>
      <c r="F1422" s="36" t="s">
        <v>54401</v>
      </c>
      <c r="G1422" s="39">
        <f>5095047.75-127462+14459</f>
        <v>4982044.75</v>
      </c>
      <c r="H1422" s="42">
        <v>211</v>
      </c>
    </row>
    <row r="1423" spans="1:8" ht="15" customHeight="1">
      <c r="A1423" s="26">
        <v>7223066</v>
      </c>
      <c r="B1423" s="30" t="s">
        <v>3665</v>
      </c>
      <c r="C1423" s="29" t="s">
        <v>17204</v>
      </c>
      <c r="D1423" s="29" t="s">
        <v>31657</v>
      </c>
      <c r="E1423" s="29" t="s">
        <v>43926</v>
      </c>
      <c r="F1423" s="36" t="s">
        <v>54401</v>
      </c>
      <c r="G1423" s="39">
        <v>223834.33</v>
      </c>
      <c r="H1423" s="42">
        <v>211</v>
      </c>
    </row>
    <row r="1424" spans="1:8" ht="15" customHeight="1">
      <c r="A1424" s="26">
        <v>7223110</v>
      </c>
      <c r="B1424" s="30" t="s">
        <v>3666</v>
      </c>
      <c r="C1424" s="29" t="s">
        <v>18504</v>
      </c>
      <c r="D1424" s="29" t="s">
        <v>31658</v>
      </c>
      <c r="E1424" s="29" t="s">
        <v>45099</v>
      </c>
      <c r="F1424" s="36" t="s">
        <v>54401</v>
      </c>
      <c r="G1424" s="39">
        <v>3237267.77</v>
      </c>
      <c r="H1424" s="42">
        <v>211</v>
      </c>
    </row>
    <row r="1425" spans="1:8" ht="15" customHeight="1">
      <c r="A1425" s="26">
        <v>7223111</v>
      </c>
      <c r="B1425" s="30" t="s">
        <v>3667</v>
      </c>
      <c r="C1425" s="29" t="s">
        <v>17337</v>
      </c>
      <c r="D1425" s="29" t="s">
        <v>31659</v>
      </c>
      <c r="E1425" s="29" t="s">
        <v>45100</v>
      </c>
      <c r="F1425" s="36" t="s">
        <v>54401</v>
      </c>
      <c r="G1425" s="39">
        <v>160121.60000000001</v>
      </c>
      <c r="H1425" s="42">
        <v>211</v>
      </c>
    </row>
    <row r="1426" spans="1:8" ht="15" customHeight="1">
      <c r="A1426" s="26">
        <v>7223114</v>
      </c>
      <c r="B1426" s="30" t="s">
        <v>3668</v>
      </c>
      <c r="C1426" s="29" t="s">
        <v>18505</v>
      </c>
      <c r="D1426" s="29" t="s">
        <v>31660</v>
      </c>
      <c r="E1426" s="29" t="s">
        <v>45101</v>
      </c>
      <c r="F1426" s="36" t="s">
        <v>54401</v>
      </c>
      <c r="G1426" s="39">
        <f>390280.14+66063</f>
        <v>456343.14</v>
      </c>
      <c r="H1426" s="42">
        <v>211</v>
      </c>
    </row>
    <row r="1427" spans="1:8" ht="15" customHeight="1">
      <c r="A1427" s="26">
        <v>7223122</v>
      </c>
      <c r="B1427" s="30" t="s">
        <v>3669</v>
      </c>
      <c r="C1427" s="29" t="s">
        <v>17204</v>
      </c>
      <c r="D1427" s="29" t="s">
        <v>31661</v>
      </c>
      <c r="E1427" s="29" t="s">
        <v>43926</v>
      </c>
      <c r="F1427" s="36" t="s">
        <v>54401</v>
      </c>
      <c r="G1427" s="39">
        <v>355176.42</v>
      </c>
      <c r="H1427" s="42">
        <v>211</v>
      </c>
    </row>
    <row r="1428" spans="1:8" ht="15" customHeight="1">
      <c r="A1428" s="26">
        <v>7223178</v>
      </c>
      <c r="B1428" s="30" t="s">
        <v>3670</v>
      </c>
      <c r="C1428" s="29" t="s">
        <v>18506</v>
      </c>
      <c r="D1428" s="29" t="s">
        <v>31662</v>
      </c>
      <c r="E1428" s="29" t="s">
        <v>45102</v>
      </c>
      <c r="F1428" s="36" t="s">
        <v>54401</v>
      </c>
      <c r="G1428" s="39">
        <f>874646.21+146263</f>
        <v>1020909.21</v>
      </c>
      <c r="H1428" s="42">
        <v>211</v>
      </c>
    </row>
    <row r="1429" spans="1:8" ht="15" customHeight="1">
      <c r="A1429" s="26">
        <v>7223188</v>
      </c>
      <c r="B1429" s="30" t="s">
        <v>3671</v>
      </c>
      <c r="C1429" s="29" t="s">
        <v>18507</v>
      </c>
      <c r="D1429" s="29" t="s">
        <v>31663</v>
      </c>
      <c r="E1429" s="29" t="s">
        <v>45103</v>
      </c>
      <c r="F1429" s="36" t="s">
        <v>54401</v>
      </c>
      <c r="G1429" s="39">
        <v>1884754.32</v>
      </c>
      <c r="H1429" s="42">
        <v>211</v>
      </c>
    </row>
    <row r="1430" spans="1:8" ht="15" customHeight="1">
      <c r="A1430" s="26">
        <v>7223194</v>
      </c>
      <c r="B1430" s="30" t="s">
        <v>3672</v>
      </c>
      <c r="C1430" s="29" t="s">
        <v>18508</v>
      </c>
      <c r="D1430" s="29" t="s">
        <v>31664</v>
      </c>
      <c r="E1430" s="29" t="s">
        <v>45104</v>
      </c>
      <c r="F1430" s="36" t="s">
        <v>54401</v>
      </c>
      <c r="G1430" s="39">
        <v>551143.21</v>
      </c>
      <c r="H1430" s="42">
        <v>211</v>
      </c>
    </row>
    <row r="1431" spans="1:8" ht="15" customHeight="1">
      <c r="A1431" s="26">
        <v>7223205</v>
      </c>
      <c r="B1431" s="30" t="s">
        <v>3673</v>
      </c>
      <c r="C1431" s="29" t="s">
        <v>18509</v>
      </c>
      <c r="D1431" s="29" t="s">
        <v>31665</v>
      </c>
      <c r="E1431" s="29" t="s">
        <v>44802</v>
      </c>
      <c r="F1431" s="36" t="s">
        <v>54401</v>
      </c>
      <c r="G1431" s="39">
        <f>2705191.17+499177</f>
        <v>3204368.17</v>
      </c>
      <c r="H1431" s="42">
        <v>211</v>
      </c>
    </row>
    <row r="1432" spans="1:8" ht="15" customHeight="1">
      <c r="A1432" s="26">
        <v>7223223</v>
      </c>
      <c r="B1432" s="30" t="s">
        <v>3674</v>
      </c>
      <c r="C1432" s="29" t="s">
        <v>18510</v>
      </c>
      <c r="D1432" s="29" t="s">
        <v>31666</v>
      </c>
      <c r="E1432" s="29" t="s">
        <v>45105</v>
      </c>
      <c r="F1432" s="36" t="s">
        <v>54401</v>
      </c>
      <c r="G1432" s="39">
        <f>1873923.92+123753</f>
        <v>1997676.92</v>
      </c>
      <c r="H1432" s="42">
        <v>211</v>
      </c>
    </row>
    <row r="1433" spans="1:8" ht="15" customHeight="1">
      <c r="A1433" s="26">
        <v>7223298</v>
      </c>
      <c r="B1433" s="30" t="s">
        <v>3675</v>
      </c>
      <c r="C1433" s="26" t="s">
        <v>18511</v>
      </c>
      <c r="D1433" s="26" t="s">
        <v>30376</v>
      </c>
      <c r="E1433" s="26" t="s">
        <v>45106</v>
      </c>
      <c r="F1433" s="37" t="s">
        <v>54406</v>
      </c>
      <c r="G1433" s="39">
        <f>5162881.02+449728</f>
        <v>5612609.0199999996</v>
      </c>
      <c r="H1433" s="42">
        <v>211</v>
      </c>
    </row>
    <row r="1434" spans="1:8" ht="15" customHeight="1">
      <c r="A1434" s="26">
        <v>7223318</v>
      </c>
      <c r="B1434" s="30" t="s">
        <v>3676</v>
      </c>
      <c r="C1434" s="29" t="s">
        <v>18512</v>
      </c>
      <c r="D1434" s="29" t="s">
        <v>31667</v>
      </c>
      <c r="E1434" s="29" t="s">
        <v>45107</v>
      </c>
      <c r="F1434" s="36" t="s">
        <v>54401</v>
      </c>
      <c r="G1434" s="39">
        <v>129366.64</v>
      </c>
      <c r="H1434" s="42">
        <v>211</v>
      </c>
    </row>
    <row r="1435" spans="1:8" ht="15" customHeight="1">
      <c r="A1435" s="26">
        <v>7223325</v>
      </c>
      <c r="B1435" s="30" t="s">
        <v>3677</v>
      </c>
      <c r="C1435" s="29" t="s">
        <v>18513</v>
      </c>
      <c r="D1435" s="29" t="s">
        <v>31668</v>
      </c>
      <c r="E1435" s="29" t="s">
        <v>43926</v>
      </c>
      <c r="F1435" s="36" t="s">
        <v>54401</v>
      </c>
      <c r="G1435" s="39">
        <v>17010.099999999999</v>
      </c>
      <c r="H1435" s="42">
        <v>211</v>
      </c>
    </row>
    <row r="1436" spans="1:8" ht="15" customHeight="1">
      <c r="A1436" s="26">
        <v>7223340</v>
      </c>
      <c r="B1436" s="30" t="s">
        <v>3678</v>
      </c>
      <c r="C1436" s="29" t="s">
        <v>18514</v>
      </c>
      <c r="D1436" s="29" t="s">
        <v>31669</v>
      </c>
      <c r="E1436" s="29" t="s">
        <v>45108</v>
      </c>
      <c r="F1436" s="36" t="s">
        <v>54401</v>
      </c>
      <c r="G1436" s="39">
        <v>2102912.52</v>
      </c>
      <c r="H1436" s="42">
        <v>211</v>
      </c>
    </row>
    <row r="1437" spans="1:8" ht="15" customHeight="1">
      <c r="A1437" s="26">
        <v>7223370</v>
      </c>
      <c r="B1437" s="30" t="s">
        <v>3679</v>
      </c>
      <c r="C1437" s="29" t="s">
        <v>17204</v>
      </c>
      <c r="D1437" s="29" t="s">
        <v>30349</v>
      </c>
      <c r="E1437" s="29" t="s">
        <v>43926</v>
      </c>
      <c r="F1437" s="36" t="s">
        <v>54401</v>
      </c>
      <c r="G1437" s="39">
        <v>82335.47</v>
      </c>
      <c r="H1437" s="42">
        <v>211</v>
      </c>
    </row>
    <row r="1438" spans="1:8" ht="15" customHeight="1">
      <c r="A1438" s="26">
        <v>7223390</v>
      </c>
      <c r="B1438" s="30" t="s">
        <v>3680</v>
      </c>
      <c r="C1438" s="29" t="s">
        <v>18515</v>
      </c>
      <c r="D1438" s="29" t="s">
        <v>31670</v>
      </c>
      <c r="E1438" s="29" t="s">
        <v>45109</v>
      </c>
      <c r="F1438" s="36" t="s">
        <v>54401</v>
      </c>
      <c r="G1438" s="39">
        <f>972219.43+1086842</f>
        <v>2059061.4300000002</v>
      </c>
      <c r="H1438" s="42">
        <v>211</v>
      </c>
    </row>
    <row r="1439" spans="1:8" ht="15" customHeight="1">
      <c r="A1439" s="26">
        <v>7223396</v>
      </c>
      <c r="B1439" s="30" t="s">
        <v>3681</v>
      </c>
      <c r="C1439" s="29" t="s">
        <v>18516</v>
      </c>
      <c r="D1439" s="29" t="s">
        <v>31671</v>
      </c>
      <c r="E1439" s="29" t="s">
        <v>731</v>
      </c>
      <c r="F1439" s="36" t="s">
        <v>54401</v>
      </c>
      <c r="G1439" s="39">
        <v>977229.52</v>
      </c>
      <c r="H1439" s="42">
        <v>211</v>
      </c>
    </row>
    <row r="1440" spans="1:8" ht="15" customHeight="1">
      <c r="A1440" s="26">
        <v>7223400</v>
      </c>
      <c r="B1440" s="30" t="s">
        <v>3682</v>
      </c>
      <c r="C1440" s="29" t="s">
        <v>18517</v>
      </c>
      <c r="D1440" s="29" t="s">
        <v>31672</v>
      </c>
      <c r="E1440" s="29" t="s">
        <v>45110</v>
      </c>
      <c r="F1440" s="36" t="s">
        <v>54401</v>
      </c>
      <c r="G1440" s="39">
        <v>683500.05</v>
      </c>
      <c r="H1440" s="42">
        <v>211</v>
      </c>
    </row>
    <row r="1441" spans="1:8" ht="15" customHeight="1">
      <c r="A1441" s="26">
        <v>7223410</v>
      </c>
      <c r="B1441" s="30" t="s">
        <v>3683</v>
      </c>
      <c r="C1441" s="29" t="s">
        <v>18518</v>
      </c>
      <c r="D1441" s="29" t="s">
        <v>31673</v>
      </c>
      <c r="E1441" s="29" t="s">
        <v>45111</v>
      </c>
      <c r="F1441" s="36" t="s">
        <v>54401</v>
      </c>
      <c r="G1441" s="39">
        <v>362687.22</v>
      </c>
      <c r="H1441" s="42">
        <v>211</v>
      </c>
    </row>
    <row r="1442" spans="1:8" ht="15" customHeight="1">
      <c r="A1442" s="26">
        <v>7223488</v>
      </c>
      <c r="B1442" s="30" t="s">
        <v>3684</v>
      </c>
      <c r="C1442" s="26" t="s">
        <v>17204</v>
      </c>
      <c r="D1442" s="26" t="s">
        <v>30349</v>
      </c>
      <c r="E1442" s="26" t="s">
        <v>43926</v>
      </c>
      <c r="F1442" s="37" t="s">
        <v>54401</v>
      </c>
      <c r="G1442" s="39">
        <v>52123.17</v>
      </c>
      <c r="H1442" s="42">
        <v>211</v>
      </c>
    </row>
    <row r="1443" spans="1:8" ht="15" customHeight="1">
      <c r="A1443" s="26">
        <v>7223524</v>
      </c>
      <c r="B1443" s="30" t="s">
        <v>3685</v>
      </c>
      <c r="C1443" s="29" t="s">
        <v>18519</v>
      </c>
      <c r="D1443" s="29" t="s">
        <v>31674</v>
      </c>
      <c r="E1443" s="29" t="s">
        <v>45112</v>
      </c>
      <c r="F1443" s="36" t="s">
        <v>54401</v>
      </c>
      <c r="G1443" s="39">
        <f>640785.51+801644</f>
        <v>1442429.51</v>
      </c>
      <c r="H1443" s="42">
        <v>211</v>
      </c>
    </row>
    <row r="1444" spans="1:8" ht="15" customHeight="1">
      <c r="A1444" s="26">
        <v>7223530</v>
      </c>
      <c r="B1444" s="30" t="s">
        <v>3686</v>
      </c>
      <c r="C1444" s="29" t="s">
        <v>18520</v>
      </c>
      <c r="D1444" s="29" t="s">
        <v>31675</v>
      </c>
      <c r="E1444" s="29" t="s">
        <v>45113</v>
      </c>
      <c r="F1444" s="36" t="s">
        <v>54401</v>
      </c>
      <c r="G1444" s="39">
        <v>389008.92</v>
      </c>
      <c r="H1444" s="42">
        <v>211</v>
      </c>
    </row>
    <row r="1445" spans="1:8" ht="15" customHeight="1">
      <c r="A1445" s="26">
        <v>7223542</v>
      </c>
      <c r="B1445" s="30" t="s">
        <v>3687</v>
      </c>
      <c r="C1445" s="29" t="s">
        <v>18521</v>
      </c>
      <c r="D1445" s="29" t="s">
        <v>31676</v>
      </c>
      <c r="E1445" s="29" t="s">
        <v>45114</v>
      </c>
      <c r="F1445" s="36" t="s">
        <v>54401</v>
      </c>
      <c r="G1445" s="39">
        <v>1991036.98</v>
      </c>
      <c r="H1445" s="42">
        <v>211</v>
      </c>
    </row>
    <row r="1446" spans="1:8" ht="15" customHeight="1">
      <c r="A1446" s="26">
        <v>7223546</v>
      </c>
      <c r="B1446" s="30" t="s">
        <v>3688</v>
      </c>
      <c r="C1446" s="29" t="s">
        <v>18522</v>
      </c>
      <c r="D1446" s="29" t="s">
        <v>31677</v>
      </c>
      <c r="E1446" s="29" t="s">
        <v>45115</v>
      </c>
      <c r="F1446" s="36" t="s">
        <v>54401</v>
      </c>
      <c r="G1446" s="39">
        <f>1129206.14+1098981</f>
        <v>2228187.1399999997</v>
      </c>
      <c r="H1446" s="42">
        <v>211</v>
      </c>
    </row>
    <row r="1447" spans="1:8" ht="15" customHeight="1">
      <c r="A1447" s="26">
        <v>7223554</v>
      </c>
      <c r="B1447" s="30" t="s">
        <v>3689</v>
      </c>
      <c r="C1447" s="29" t="s">
        <v>18523</v>
      </c>
      <c r="D1447" s="29" t="s">
        <v>31678</v>
      </c>
      <c r="E1447" s="29" t="s">
        <v>45116</v>
      </c>
      <c r="F1447" s="36" t="s">
        <v>54401</v>
      </c>
      <c r="G1447" s="39">
        <v>168329.32</v>
      </c>
      <c r="H1447" s="42">
        <v>211</v>
      </c>
    </row>
    <row r="1448" spans="1:8" ht="15" customHeight="1">
      <c r="A1448" s="26">
        <v>7223574</v>
      </c>
      <c r="B1448" s="30" t="s">
        <v>3690</v>
      </c>
      <c r="C1448" s="29" t="s">
        <v>18524</v>
      </c>
      <c r="D1448" s="29" t="s">
        <v>31679</v>
      </c>
      <c r="E1448" s="29" t="s">
        <v>45117</v>
      </c>
      <c r="F1448" s="36" t="s">
        <v>54401</v>
      </c>
      <c r="G1448" s="39">
        <f>9309385.77+61476</f>
        <v>9370861.7699999996</v>
      </c>
      <c r="H1448" s="42">
        <v>211</v>
      </c>
    </row>
    <row r="1449" spans="1:8" ht="15" customHeight="1">
      <c r="A1449" s="26">
        <v>7223596</v>
      </c>
      <c r="B1449" s="30" t="s">
        <v>3691</v>
      </c>
      <c r="C1449" s="29" t="s">
        <v>18525</v>
      </c>
      <c r="D1449" s="29" t="s">
        <v>31680</v>
      </c>
      <c r="E1449" s="29" t="s">
        <v>45118</v>
      </c>
      <c r="F1449" s="36" t="s">
        <v>54401</v>
      </c>
      <c r="G1449" s="39">
        <v>316000</v>
      </c>
      <c r="H1449" s="42">
        <v>211</v>
      </c>
    </row>
    <row r="1450" spans="1:8" ht="15" customHeight="1">
      <c r="A1450" s="26">
        <v>7223601</v>
      </c>
      <c r="B1450" s="30" t="s">
        <v>3692</v>
      </c>
      <c r="C1450" s="29" t="s">
        <v>18526</v>
      </c>
      <c r="D1450" s="29" t="s">
        <v>31681</v>
      </c>
      <c r="E1450" s="29" t="s">
        <v>45119</v>
      </c>
      <c r="F1450" s="36" t="s">
        <v>54401</v>
      </c>
      <c r="G1450" s="39">
        <v>62894.83</v>
      </c>
      <c r="H1450" s="42">
        <v>211</v>
      </c>
    </row>
    <row r="1451" spans="1:8" ht="15" customHeight="1">
      <c r="A1451" s="26">
        <v>7223605</v>
      </c>
      <c r="B1451" s="30" t="s">
        <v>3693</v>
      </c>
      <c r="C1451" s="29" t="s">
        <v>18527</v>
      </c>
      <c r="D1451" s="29" t="s">
        <v>31682</v>
      </c>
      <c r="E1451" s="29" t="s">
        <v>45120</v>
      </c>
      <c r="F1451" s="36" t="s">
        <v>54401</v>
      </c>
      <c r="G1451" s="39">
        <v>139719.1</v>
      </c>
      <c r="H1451" s="42">
        <v>211</v>
      </c>
    </row>
    <row r="1452" spans="1:8" ht="15" customHeight="1">
      <c r="A1452" s="26">
        <v>7223650</v>
      </c>
      <c r="B1452" s="30" t="s">
        <v>3694</v>
      </c>
      <c r="C1452" s="26" t="s">
        <v>18528</v>
      </c>
      <c r="D1452" s="26" t="s">
        <v>31683</v>
      </c>
      <c r="E1452" s="26" t="s">
        <v>45121</v>
      </c>
      <c r="F1452" s="37" t="s">
        <v>54401</v>
      </c>
      <c r="G1452" s="39">
        <f>556319.41+745191</f>
        <v>1301510.4100000001</v>
      </c>
      <c r="H1452" s="42">
        <v>211</v>
      </c>
    </row>
    <row r="1453" spans="1:8" ht="15" customHeight="1">
      <c r="A1453" s="26">
        <v>7223656</v>
      </c>
      <c r="B1453" s="30" t="s">
        <v>3695</v>
      </c>
      <c r="C1453" s="29" t="s">
        <v>18529</v>
      </c>
      <c r="D1453" s="29" t="s">
        <v>31684</v>
      </c>
      <c r="E1453" s="29" t="s">
        <v>45122</v>
      </c>
      <c r="F1453" s="36" t="s">
        <v>54401</v>
      </c>
      <c r="G1453" s="39">
        <f>3650941.47+28644</f>
        <v>3679585.47</v>
      </c>
      <c r="H1453" s="42">
        <v>211</v>
      </c>
    </row>
    <row r="1454" spans="1:8" ht="15" customHeight="1">
      <c r="A1454" s="26">
        <v>7223673</v>
      </c>
      <c r="B1454" s="30" t="s">
        <v>3696</v>
      </c>
      <c r="C1454" s="29" t="s">
        <v>18530</v>
      </c>
      <c r="D1454" s="29" t="s">
        <v>31685</v>
      </c>
      <c r="E1454" s="29" t="s">
        <v>45123</v>
      </c>
      <c r="F1454" s="36" t="s">
        <v>54401</v>
      </c>
      <c r="G1454" s="39">
        <v>2513743.58</v>
      </c>
      <c r="H1454" s="42">
        <v>211</v>
      </c>
    </row>
    <row r="1455" spans="1:8" ht="15" customHeight="1">
      <c r="A1455" s="26">
        <v>7223726</v>
      </c>
      <c r="B1455" s="30" t="s">
        <v>3697</v>
      </c>
      <c r="C1455" s="29" t="s">
        <v>18531</v>
      </c>
      <c r="D1455" s="29" t="s">
        <v>31686</v>
      </c>
      <c r="E1455" s="29" t="s">
        <v>45124</v>
      </c>
      <c r="F1455" s="36" t="s">
        <v>54401</v>
      </c>
      <c r="G1455" s="39">
        <f>515488.9+77117</f>
        <v>592605.9</v>
      </c>
      <c r="H1455" s="42">
        <v>211</v>
      </c>
    </row>
    <row r="1456" spans="1:8" ht="15" customHeight="1">
      <c r="A1456" s="26">
        <v>7223727</v>
      </c>
      <c r="B1456" s="30" t="s">
        <v>3698</v>
      </c>
      <c r="C1456" s="29" t="s">
        <v>18532</v>
      </c>
      <c r="D1456" s="29" t="s">
        <v>31687</v>
      </c>
      <c r="E1456" s="29" t="s">
        <v>45125</v>
      </c>
      <c r="F1456" s="36" t="s">
        <v>54401</v>
      </c>
      <c r="G1456" s="39">
        <v>18680.669999999998</v>
      </c>
      <c r="H1456" s="42">
        <v>211</v>
      </c>
    </row>
    <row r="1457" spans="1:8" ht="15" customHeight="1">
      <c r="A1457" s="26">
        <v>7223728</v>
      </c>
      <c r="B1457" s="30" t="s">
        <v>3699</v>
      </c>
      <c r="C1457" s="29" t="s">
        <v>18533</v>
      </c>
      <c r="D1457" s="29" t="s">
        <v>31688</v>
      </c>
      <c r="E1457" s="29" t="s">
        <v>45126</v>
      </c>
      <c r="F1457" s="36" t="s">
        <v>54401</v>
      </c>
      <c r="G1457" s="39">
        <v>113142.86</v>
      </c>
      <c r="H1457" s="42">
        <v>211</v>
      </c>
    </row>
    <row r="1458" spans="1:8" ht="15" customHeight="1">
      <c r="A1458" s="26">
        <v>7223766</v>
      </c>
      <c r="B1458" s="30" t="s">
        <v>3700</v>
      </c>
      <c r="C1458" s="26" t="s">
        <v>17204</v>
      </c>
      <c r="D1458" s="26" t="s">
        <v>30349</v>
      </c>
      <c r="E1458" s="26" t="s">
        <v>43926</v>
      </c>
      <c r="F1458" s="37" t="s">
        <v>54401</v>
      </c>
      <c r="G1458" s="39">
        <v>58931</v>
      </c>
      <c r="H1458" s="42">
        <v>211</v>
      </c>
    </row>
    <row r="1459" spans="1:8" ht="15" customHeight="1">
      <c r="A1459" s="26">
        <v>7223778</v>
      </c>
      <c r="B1459" s="30" t="s">
        <v>3701</v>
      </c>
      <c r="C1459" s="29" t="s">
        <v>18534</v>
      </c>
      <c r="D1459" s="29" t="s">
        <v>31689</v>
      </c>
      <c r="E1459" s="29" t="s">
        <v>45127</v>
      </c>
      <c r="F1459" s="36" t="s">
        <v>54401</v>
      </c>
      <c r="G1459" s="39">
        <f>958150.07+51090</f>
        <v>1009240.07</v>
      </c>
      <c r="H1459" s="42">
        <v>211</v>
      </c>
    </row>
    <row r="1460" spans="1:8" ht="15" customHeight="1">
      <c r="A1460" s="26">
        <v>7223795</v>
      </c>
      <c r="B1460" s="30" t="s">
        <v>3702</v>
      </c>
      <c r="C1460" s="29" t="s">
        <v>18535</v>
      </c>
      <c r="D1460" s="29" t="s">
        <v>30376</v>
      </c>
      <c r="E1460" s="29" t="s">
        <v>45128</v>
      </c>
      <c r="F1460" s="36" t="s">
        <v>54401</v>
      </c>
      <c r="G1460" s="39">
        <v>1154679.67</v>
      </c>
      <c r="H1460" s="42">
        <v>211</v>
      </c>
    </row>
    <row r="1461" spans="1:8" ht="15" customHeight="1">
      <c r="A1461" s="26">
        <v>7223811</v>
      </c>
      <c r="B1461" s="30" t="s">
        <v>3703</v>
      </c>
      <c r="C1461" s="29" t="s">
        <v>18536</v>
      </c>
      <c r="D1461" s="29" t="s">
        <v>31690</v>
      </c>
      <c r="E1461" s="29" t="s">
        <v>45129</v>
      </c>
      <c r="F1461" s="36" t="s">
        <v>54401</v>
      </c>
      <c r="G1461" s="39">
        <f>3914956.42+95942+43976</f>
        <v>4054874.42</v>
      </c>
      <c r="H1461" s="42">
        <v>211</v>
      </c>
    </row>
    <row r="1462" spans="1:8" ht="15" customHeight="1">
      <c r="A1462" s="26">
        <v>7223857</v>
      </c>
      <c r="B1462" s="30" t="s">
        <v>3704</v>
      </c>
      <c r="C1462" s="29" t="s">
        <v>18537</v>
      </c>
      <c r="D1462" s="29" t="s">
        <v>31691</v>
      </c>
      <c r="E1462" s="29" t="s">
        <v>45130</v>
      </c>
      <c r="F1462" s="36" t="s">
        <v>54401</v>
      </c>
      <c r="G1462" s="39">
        <f>4679700.6+156126</f>
        <v>4835826.5999999996</v>
      </c>
      <c r="H1462" s="42">
        <v>211</v>
      </c>
    </row>
    <row r="1463" spans="1:8" ht="15" customHeight="1">
      <c r="A1463" s="26">
        <v>7223861</v>
      </c>
      <c r="B1463" s="30" t="s">
        <v>3705</v>
      </c>
      <c r="C1463" s="29" t="s">
        <v>18538</v>
      </c>
      <c r="D1463" s="29" t="s">
        <v>31692</v>
      </c>
      <c r="E1463" s="29" t="s">
        <v>45131</v>
      </c>
      <c r="F1463" s="36" t="s">
        <v>54401</v>
      </c>
      <c r="G1463" s="39">
        <v>843541.84</v>
      </c>
      <c r="H1463" s="42">
        <v>211</v>
      </c>
    </row>
    <row r="1464" spans="1:8" ht="15" customHeight="1">
      <c r="A1464" s="26">
        <v>7223866</v>
      </c>
      <c r="B1464" s="30" t="s">
        <v>3706</v>
      </c>
      <c r="C1464" s="29" t="s">
        <v>18539</v>
      </c>
      <c r="D1464" s="29" t="s">
        <v>31693</v>
      </c>
      <c r="E1464" s="29" t="s">
        <v>45132</v>
      </c>
      <c r="F1464" s="36" t="s">
        <v>54423</v>
      </c>
      <c r="G1464" s="39">
        <f>4504721.92+83327</f>
        <v>4588048.92</v>
      </c>
      <c r="H1464" s="42">
        <v>211</v>
      </c>
    </row>
    <row r="1465" spans="1:8" ht="15" customHeight="1">
      <c r="A1465" s="26">
        <v>7223872</v>
      </c>
      <c r="B1465" s="30" t="s">
        <v>3707</v>
      </c>
      <c r="C1465" s="29" t="s">
        <v>18540</v>
      </c>
      <c r="D1465" s="29" t="s">
        <v>31694</v>
      </c>
      <c r="E1465" s="29" t="s">
        <v>45133</v>
      </c>
      <c r="F1465" s="36" t="s">
        <v>54401</v>
      </c>
      <c r="G1465" s="39">
        <v>1734975.22</v>
      </c>
      <c r="H1465" s="42">
        <v>211</v>
      </c>
    </row>
    <row r="1466" spans="1:8" ht="15" customHeight="1">
      <c r="A1466" s="26">
        <v>7223875</v>
      </c>
      <c r="B1466" s="30" t="s">
        <v>3708</v>
      </c>
      <c r="C1466" s="29" t="s">
        <v>17204</v>
      </c>
      <c r="D1466" s="29" t="s">
        <v>31695</v>
      </c>
      <c r="E1466" s="29" t="s">
        <v>43926</v>
      </c>
      <c r="F1466" s="36" t="s">
        <v>54401</v>
      </c>
      <c r="G1466" s="39">
        <f>396971.19+129930</f>
        <v>526901.18999999994</v>
      </c>
      <c r="H1466" s="42">
        <v>211</v>
      </c>
    </row>
    <row r="1467" spans="1:8" ht="15" customHeight="1">
      <c r="A1467" s="26">
        <v>7223877</v>
      </c>
      <c r="B1467" s="30" t="s">
        <v>3709</v>
      </c>
      <c r="C1467" s="26" t="s">
        <v>18541</v>
      </c>
      <c r="D1467" s="26" t="s">
        <v>31696</v>
      </c>
      <c r="E1467" s="26" t="s">
        <v>45134</v>
      </c>
      <c r="F1467" s="37" t="s">
        <v>54401</v>
      </c>
      <c r="G1467" s="39">
        <f>2831103.1+1917063</f>
        <v>4748166.0999999996</v>
      </c>
      <c r="H1467" s="42">
        <v>211</v>
      </c>
    </row>
    <row r="1468" spans="1:8" ht="15" customHeight="1">
      <c r="A1468" s="26">
        <v>7223893</v>
      </c>
      <c r="B1468" s="30" t="s">
        <v>3710</v>
      </c>
      <c r="C1468" s="29" t="s">
        <v>18542</v>
      </c>
      <c r="D1468" s="29" t="s">
        <v>31697</v>
      </c>
      <c r="E1468" s="29" t="s">
        <v>45135</v>
      </c>
      <c r="F1468" s="36" t="s">
        <v>54401</v>
      </c>
      <c r="G1468" s="39">
        <v>1688939.2</v>
      </c>
      <c r="H1468" s="42">
        <v>211</v>
      </c>
    </row>
    <row r="1469" spans="1:8" ht="15" customHeight="1">
      <c r="A1469" s="26">
        <v>7223906</v>
      </c>
      <c r="B1469" s="30" t="s">
        <v>3711</v>
      </c>
      <c r="C1469" s="29" t="s">
        <v>18543</v>
      </c>
      <c r="D1469" s="29" t="s">
        <v>31698</v>
      </c>
      <c r="E1469" s="29" t="s">
        <v>45136</v>
      </c>
      <c r="F1469" s="36" t="s">
        <v>54401</v>
      </c>
      <c r="G1469" s="39">
        <v>7533280.4800000004</v>
      </c>
      <c r="H1469" s="42">
        <v>211</v>
      </c>
    </row>
    <row r="1470" spans="1:8" ht="15" customHeight="1">
      <c r="A1470" s="26">
        <v>7223932</v>
      </c>
      <c r="B1470" s="30" t="s">
        <v>3712</v>
      </c>
      <c r="C1470" s="29" t="s">
        <v>18544</v>
      </c>
      <c r="D1470" s="29" t="s">
        <v>31699</v>
      </c>
      <c r="E1470" s="29" t="s">
        <v>45137</v>
      </c>
      <c r="F1470" s="36" t="s">
        <v>54402</v>
      </c>
      <c r="G1470" s="39">
        <v>711084.86</v>
      </c>
      <c r="H1470" s="42">
        <v>211</v>
      </c>
    </row>
    <row r="1471" spans="1:8" ht="15" customHeight="1">
      <c r="A1471" s="26">
        <v>7223945</v>
      </c>
      <c r="B1471" s="30" t="s">
        <v>3713</v>
      </c>
      <c r="C1471" s="29" t="s">
        <v>18545</v>
      </c>
      <c r="D1471" s="29" t="s">
        <v>31700</v>
      </c>
      <c r="E1471" s="29" t="s">
        <v>45138</v>
      </c>
      <c r="F1471" s="36" t="s">
        <v>54401</v>
      </c>
      <c r="G1471" s="39">
        <v>11838.41</v>
      </c>
      <c r="H1471" s="42">
        <v>211</v>
      </c>
    </row>
    <row r="1472" spans="1:8" ht="15" customHeight="1">
      <c r="A1472" s="26">
        <v>7223967</v>
      </c>
      <c r="B1472" s="30" t="s">
        <v>3714</v>
      </c>
      <c r="C1472" s="29" t="s">
        <v>18546</v>
      </c>
      <c r="D1472" s="29" t="s">
        <v>31701</v>
      </c>
      <c r="E1472" s="29" t="s">
        <v>45139</v>
      </c>
      <c r="F1472" s="36" t="s">
        <v>54401</v>
      </c>
      <c r="G1472" s="39">
        <v>921651.95</v>
      </c>
      <c r="H1472" s="42">
        <v>211</v>
      </c>
    </row>
    <row r="1473" spans="1:8" ht="15" customHeight="1">
      <c r="A1473" s="26">
        <v>7223979</v>
      </c>
      <c r="B1473" s="30" t="s">
        <v>3715</v>
      </c>
      <c r="C1473" s="29" t="s">
        <v>18547</v>
      </c>
      <c r="D1473" s="29" t="s">
        <v>31702</v>
      </c>
      <c r="E1473" s="29" t="s">
        <v>45140</v>
      </c>
      <c r="F1473" s="36" t="s">
        <v>54401</v>
      </c>
      <c r="G1473" s="39">
        <v>3425700.52</v>
      </c>
      <c r="H1473" s="42">
        <v>211</v>
      </c>
    </row>
    <row r="1474" spans="1:8" ht="15" customHeight="1">
      <c r="A1474" s="26">
        <v>7223996</v>
      </c>
      <c r="B1474" s="30" t="s">
        <v>3716</v>
      </c>
      <c r="C1474" s="29" t="s">
        <v>18548</v>
      </c>
      <c r="D1474" s="29" t="s">
        <v>31703</v>
      </c>
      <c r="E1474" s="29" t="s">
        <v>45141</v>
      </c>
      <c r="F1474" s="36" t="s">
        <v>54401</v>
      </c>
      <c r="G1474" s="39">
        <v>97286.41</v>
      </c>
      <c r="H1474" s="42">
        <v>211</v>
      </c>
    </row>
    <row r="1475" spans="1:8" ht="15" customHeight="1">
      <c r="A1475" s="26">
        <v>7224002</v>
      </c>
      <c r="B1475" s="30" t="s">
        <v>3717</v>
      </c>
      <c r="C1475" s="29" t="s">
        <v>18549</v>
      </c>
      <c r="D1475" s="29" t="s">
        <v>31704</v>
      </c>
      <c r="E1475" s="29" t="s">
        <v>45142</v>
      </c>
      <c r="F1475" s="36" t="s">
        <v>54401</v>
      </c>
      <c r="G1475" s="39">
        <f>1186481.1+78729+194879</f>
        <v>1460089.1</v>
      </c>
      <c r="H1475" s="42">
        <v>211</v>
      </c>
    </row>
    <row r="1476" spans="1:8" ht="15" customHeight="1">
      <c r="A1476" s="26">
        <v>7224042</v>
      </c>
      <c r="B1476" s="30" t="s">
        <v>3718</v>
      </c>
      <c r="C1476" s="29" t="s">
        <v>18550</v>
      </c>
      <c r="D1476" s="29" t="s">
        <v>31705</v>
      </c>
      <c r="E1476" s="29" t="s">
        <v>45143</v>
      </c>
      <c r="F1476" s="36" t="s">
        <v>54401</v>
      </c>
      <c r="G1476" s="39">
        <v>55115.13</v>
      </c>
      <c r="H1476" s="42">
        <v>211</v>
      </c>
    </row>
    <row r="1477" spans="1:8" ht="15" customHeight="1">
      <c r="A1477" s="26">
        <v>7224045</v>
      </c>
      <c r="B1477" s="30" t="s">
        <v>3719</v>
      </c>
      <c r="C1477" s="29" t="s">
        <v>18551</v>
      </c>
      <c r="D1477" s="29" t="s">
        <v>31706</v>
      </c>
      <c r="E1477" s="29" t="s">
        <v>45144</v>
      </c>
      <c r="F1477" s="36" t="s">
        <v>54401</v>
      </c>
      <c r="G1477" s="39">
        <v>1736166.39</v>
      </c>
      <c r="H1477" s="42">
        <v>211</v>
      </c>
    </row>
    <row r="1478" spans="1:8" ht="15" customHeight="1">
      <c r="A1478" s="26">
        <v>7224076</v>
      </c>
      <c r="B1478" s="30" t="s">
        <v>3720</v>
      </c>
      <c r="C1478" s="29" t="s">
        <v>18552</v>
      </c>
      <c r="D1478" s="29" t="s">
        <v>31707</v>
      </c>
      <c r="E1478" s="29" t="s">
        <v>45145</v>
      </c>
      <c r="F1478" s="36" t="s">
        <v>54401</v>
      </c>
      <c r="G1478" s="39">
        <v>519196.89</v>
      </c>
      <c r="H1478" s="42">
        <v>211</v>
      </c>
    </row>
    <row r="1479" spans="1:8" ht="15" customHeight="1">
      <c r="A1479" s="26">
        <v>7224081</v>
      </c>
      <c r="B1479" s="30" t="s">
        <v>3721</v>
      </c>
      <c r="C1479" s="29" t="s">
        <v>18553</v>
      </c>
      <c r="D1479" s="29" t="s">
        <v>31708</v>
      </c>
      <c r="E1479" s="29" t="s">
        <v>44439</v>
      </c>
      <c r="F1479" s="36" t="s">
        <v>54401</v>
      </c>
      <c r="G1479" s="39">
        <v>106474.23</v>
      </c>
      <c r="H1479" s="42">
        <v>211</v>
      </c>
    </row>
    <row r="1480" spans="1:8" ht="15" customHeight="1">
      <c r="A1480" s="26">
        <v>7224093</v>
      </c>
      <c r="B1480" s="30" t="s">
        <v>3722</v>
      </c>
      <c r="C1480" s="29" t="s">
        <v>18554</v>
      </c>
      <c r="D1480" s="29" t="s">
        <v>31709</v>
      </c>
      <c r="E1480" s="29" t="s">
        <v>45146</v>
      </c>
      <c r="F1480" s="36" t="s">
        <v>54401</v>
      </c>
      <c r="G1480" s="39">
        <v>3218672.24</v>
      </c>
      <c r="H1480" s="42">
        <v>211</v>
      </c>
    </row>
    <row r="1481" spans="1:8" ht="15" customHeight="1">
      <c r="A1481" s="26">
        <v>7224106</v>
      </c>
      <c r="B1481" s="30" t="s">
        <v>3723</v>
      </c>
      <c r="C1481" s="29" t="s">
        <v>17204</v>
      </c>
      <c r="D1481" s="29" t="s">
        <v>31710</v>
      </c>
      <c r="E1481" s="29" t="s">
        <v>43926</v>
      </c>
      <c r="F1481" s="36" t="s">
        <v>54401</v>
      </c>
      <c r="G1481" s="39">
        <v>299043.09999999998</v>
      </c>
      <c r="H1481" s="42">
        <v>211</v>
      </c>
    </row>
    <row r="1482" spans="1:8" ht="15" customHeight="1">
      <c r="A1482" s="26">
        <v>7224111</v>
      </c>
      <c r="B1482" s="30" t="s">
        <v>3724</v>
      </c>
      <c r="C1482" s="29" t="s">
        <v>18555</v>
      </c>
      <c r="D1482" s="29" t="s">
        <v>31711</v>
      </c>
      <c r="E1482" s="29" t="s">
        <v>45147</v>
      </c>
      <c r="F1482" s="36" t="s">
        <v>54401</v>
      </c>
      <c r="G1482" s="39">
        <f>4584905.1+63028</f>
        <v>4647933.0999999996</v>
      </c>
      <c r="H1482" s="42">
        <v>211</v>
      </c>
    </row>
    <row r="1483" spans="1:8" ht="15" customHeight="1">
      <c r="A1483" s="26">
        <v>7224150</v>
      </c>
      <c r="B1483" s="30" t="s">
        <v>3725</v>
      </c>
      <c r="C1483" s="29" t="s">
        <v>18556</v>
      </c>
      <c r="D1483" s="29" t="s">
        <v>31712</v>
      </c>
      <c r="E1483" s="29" t="s">
        <v>45148</v>
      </c>
      <c r="F1483" s="36" t="s">
        <v>54401</v>
      </c>
      <c r="G1483" s="39">
        <v>18225.21</v>
      </c>
      <c r="H1483" s="42">
        <v>211</v>
      </c>
    </row>
    <row r="1484" spans="1:8" ht="15" customHeight="1">
      <c r="A1484" s="26">
        <v>7224169</v>
      </c>
      <c r="B1484" s="30" t="s">
        <v>3726</v>
      </c>
      <c r="C1484" s="29" t="s">
        <v>18557</v>
      </c>
      <c r="D1484" s="29" t="s">
        <v>31713</v>
      </c>
      <c r="E1484" s="29" t="s">
        <v>45149</v>
      </c>
      <c r="F1484" s="36" t="s">
        <v>54412</v>
      </c>
      <c r="G1484" s="39">
        <v>297015.42</v>
      </c>
      <c r="H1484" s="42">
        <v>211</v>
      </c>
    </row>
    <row r="1485" spans="1:8" ht="15" customHeight="1">
      <c r="A1485" s="26">
        <v>7224179</v>
      </c>
      <c r="B1485" s="30" t="s">
        <v>3727</v>
      </c>
      <c r="C1485" s="29" t="s">
        <v>18558</v>
      </c>
      <c r="D1485" s="29" t="s">
        <v>31714</v>
      </c>
      <c r="E1485" s="29" t="s">
        <v>45150</v>
      </c>
      <c r="F1485" s="36" t="s">
        <v>54401</v>
      </c>
      <c r="G1485" s="39">
        <v>396797.17</v>
      </c>
      <c r="H1485" s="42">
        <v>211</v>
      </c>
    </row>
    <row r="1486" spans="1:8" ht="15" customHeight="1">
      <c r="A1486" s="26">
        <v>7224185</v>
      </c>
      <c r="B1486" s="30" t="s">
        <v>3728</v>
      </c>
      <c r="C1486" s="29" t="s">
        <v>18559</v>
      </c>
      <c r="D1486" s="29" t="s">
        <v>31715</v>
      </c>
      <c r="E1486" s="29" t="s">
        <v>45151</v>
      </c>
      <c r="F1486" s="36" t="s">
        <v>54401</v>
      </c>
      <c r="G1486" s="39">
        <v>384878.93</v>
      </c>
      <c r="H1486" s="42">
        <v>211</v>
      </c>
    </row>
    <row r="1487" spans="1:8" ht="15" customHeight="1">
      <c r="A1487" s="26">
        <v>7224189</v>
      </c>
      <c r="B1487" s="30" t="s">
        <v>3729</v>
      </c>
      <c r="C1487" s="29" t="s">
        <v>18560</v>
      </c>
      <c r="D1487" s="29" t="s">
        <v>31716</v>
      </c>
      <c r="E1487" s="29" t="s">
        <v>43926</v>
      </c>
      <c r="F1487" s="36" t="s">
        <v>54401</v>
      </c>
      <c r="G1487" s="39">
        <v>1124513.43</v>
      </c>
      <c r="H1487" s="42">
        <v>211</v>
      </c>
    </row>
    <row r="1488" spans="1:8" ht="15" customHeight="1">
      <c r="A1488" s="26">
        <v>7224195</v>
      </c>
      <c r="B1488" s="30" t="s">
        <v>3730</v>
      </c>
      <c r="C1488" s="29" t="s">
        <v>18561</v>
      </c>
      <c r="D1488" s="29" t="s">
        <v>31717</v>
      </c>
      <c r="E1488" s="29" t="s">
        <v>45152</v>
      </c>
      <c r="F1488" s="36" t="s">
        <v>54401</v>
      </c>
      <c r="G1488" s="39">
        <v>143680.43</v>
      </c>
      <c r="H1488" s="42">
        <v>211</v>
      </c>
    </row>
    <row r="1489" spans="1:8" ht="15" customHeight="1">
      <c r="A1489" s="26">
        <v>7224222</v>
      </c>
      <c r="B1489" s="30" t="s">
        <v>3731</v>
      </c>
      <c r="C1489" s="26" t="s">
        <v>18562</v>
      </c>
      <c r="D1489" s="26" t="s">
        <v>31718</v>
      </c>
      <c r="E1489" s="26" t="s">
        <v>45153</v>
      </c>
      <c r="F1489" s="37" t="s">
        <v>54401</v>
      </c>
      <c r="G1489" s="39">
        <v>3151107.08</v>
      </c>
      <c r="H1489" s="42">
        <v>211</v>
      </c>
    </row>
    <row r="1490" spans="1:8" ht="15" customHeight="1">
      <c r="A1490" s="26">
        <v>7224228</v>
      </c>
      <c r="B1490" s="30" t="s">
        <v>3732</v>
      </c>
      <c r="C1490" s="29" t="s">
        <v>18563</v>
      </c>
      <c r="D1490" s="29" t="s">
        <v>31719</v>
      </c>
      <c r="E1490" s="29" t="s">
        <v>45154</v>
      </c>
      <c r="F1490" s="36" t="s">
        <v>54401</v>
      </c>
      <c r="G1490" s="39">
        <v>1194797.56</v>
      </c>
      <c r="H1490" s="42">
        <v>211</v>
      </c>
    </row>
    <row r="1491" spans="1:8" ht="15" customHeight="1">
      <c r="A1491" s="26">
        <v>7224258</v>
      </c>
      <c r="B1491" s="30" t="s">
        <v>3733</v>
      </c>
      <c r="C1491" s="29" t="s">
        <v>18564</v>
      </c>
      <c r="D1491" s="29" t="s">
        <v>31720</v>
      </c>
      <c r="E1491" s="29" t="s">
        <v>45155</v>
      </c>
      <c r="F1491" s="36" t="s">
        <v>54401</v>
      </c>
      <c r="G1491" s="39">
        <v>3239045.62</v>
      </c>
      <c r="H1491" s="42">
        <v>211</v>
      </c>
    </row>
    <row r="1492" spans="1:8" ht="15" customHeight="1">
      <c r="A1492" s="26">
        <v>7224309</v>
      </c>
      <c r="B1492" s="30" t="s">
        <v>3734</v>
      </c>
      <c r="C1492" s="29" t="s">
        <v>18565</v>
      </c>
      <c r="D1492" s="29" t="s">
        <v>31721</v>
      </c>
      <c r="E1492" s="29" t="s">
        <v>45156</v>
      </c>
      <c r="F1492" s="36" t="s">
        <v>54401</v>
      </c>
      <c r="G1492" s="39">
        <v>2424188.79</v>
      </c>
      <c r="H1492" s="42">
        <v>211</v>
      </c>
    </row>
    <row r="1493" spans="1:8" ht="15" customHeight="1">
      <c r="A1493" s="26">
        <v>7224321</v>
      </c>
      <c r="B1493" s="30" t="s">
        <v>3735</v>
      </c>
      <c r="C1493" s="29" t="s">
        <v>18566</v>
      </c>
      <c r="D1493" s="29" t="s">
        <v>31722</v>
      </c>
      <c r="E1493" s="29" t="s">
        <v>45157</v>
      </c>
      <c r="F1493" s="36" t="s">
        <v>54401</v>
      </c>
      <c r="G1493" s="39">
        <v>1587915.51</v>
      </c>
      <c r="H1493" s="42">
        <v>211</v>
      </c>
    </row>
    <row r="1494" spans="1:8" ht="15" customHeight="1">
      <c r="A1494" s="26">
        <v>7224340</v>
      </c>
      <c r="B1494" s="30" t="s">
        <v>3736</v>
      </c>
      <c r="C1494" s="29" t="s">
        <v>17204</v>
      </c>
      <c r="D1494" s="29" t="s">
        <v>30349</v>
      </c>
      <c r="E1494" s="29" t="s">
        <v>43926</v>
      </c>
      <c r="F1494" s="36" t="s">
        <v>54401</v>
      </c>
      <c r="G1494" s="39">
        <v>107724.39</v>
      </c>
      <c r="H1494" s="42">
        <v>211</v>
      </c>
    </row>
    <row r="1495" spans="1:8" ht="15" customHeight="1">
      <c r="A1495" s="26">
        <v>7224345</v>
      </c>
      <c r="B1495" s="30" t="s">
        <v>3737</v>
      </c>
      <c r="C1495" s="29" t="s">
        <v>17204</v>
      </c>
      <c r="D1495" s="29" t="s">
        <v>30349</v>
      </c>
      <c r="E1495" s="29" t="s">
        <v>43926</v>
      </c>
      <c r="F1495" s="36" t="s">
        <v>54401</v>
      </c>
      <c r="G1495" s="39">
        <v>21993.279999999999</v>
      </c>
      <c r="H1495" s="42">
        <v>211</v>
      </c>
    </row>
    <row r="1496" spans="1:8" ht="15" customHeight="1">
      <c r="A1496" s="26">
        <v>7224374</v>
      </c>
      <c r="B1496" s="30" t="s">
        <v>3738</v>
      </c>
      <c r="C1496" s="26" t="s">
        <v>18567</v>
      </c>
      <c r="D1496" s="26" t="s">
        <v>31723</v>
      </c>
      <c r="E1496" s="26" t="s">
        <v>45158</v>
      </c>
      <c r="F1496" s="37" t="s">
        <v>54401</v>
      </c>
      <c r="G1496" s="39">
        <v>1848912.92</v>
      </c>
      <c r="H1496" s="42">
        <v>211</v>
      </c>
    </row>
    <row r="1497" spans="1:8" ht="15" customHeight="1">
      <c r="A1497" s="26">
        <v>7224376</v>
      </c>
      <c r="B1497" s="30" t="s">
        <v>3739</v>
      </c>
      <c r="C1497" s="29" t="s">
        <v>18568</v>
      </c>
      <c r="D1497" s="29" t="s">
        <v>31724</v>
      </c>
      <c r="E1497" s="29" t="s">
        <v>45159</v>
      </c>
      <c r="F1497" s="36" t="s">
        <v>54401</v>
      </c>
      <c r="G1497" s="39">
        <v>138719.54999999999</v>
      </c>
      <c r="H1497" s="42">
        <v>211</v>
      </c>
    </row>
    <row r="1498" spans="1:8" ht="15" customHeight="1">
      <c r="A1498" s="26">
        <v>7224399</v>
      </c>
      <c r="B1498" s="30" t="s">
        <v>3740</v>
      </c>
      <c r="C1498" s="29" t="s">
        <v>18569</v>
      </c>
      <c r="D1498" s="29" t="s">
        <v>31725</v>
      </c>
      <c r="E1498" s="29" t="s">
        <v>45160</v>
      </c>
      <c r="F1498" s="36" t="s">
        <v>54401</v>
      </c>
      <c r="G1498" s="39">
        <v>265926.92</v>
      </c>
      <c r="H1498" s="42">
        <v>211</v>
      </c>
    </row>
    <row r="1499" spans="1:8" ht="15" customHeight="1">
      <c r="A1499" s="26">
        <v>7224439</v>
      </c>
      <c r="B1499" s="30" t="s">
        <v>3741</v>
      </c>
      <c r="C1499" s="29" t="s">
        <v>18570</v>
      </c>
      <c r="D1499" s="29" t="s">
        <v>31726</v>
      </c>
      <c r="E1499" s="29" t="s">
        <v>45161</v>
      </c>
      <c r="F1499" s="36" t="s">
        <v>54401</v>
      </c>
      <c r="G1499" s="39">
        <v>2740106.41</v>
      </c>
      <c r="H1499" s="42">
        <v>211</v>
      </c>
    </row>
    <row r="1500" spans="1:8" ht="15" customHeight="1">
      <c r="A1500" s="26">
        <v>7224441</v>
      </c>
      <c r="B1500" s="30" t="s">
        <v>3742</v>
      </c>
      <c r="C1500" s="26" t="s">
        <v>18571</v>
      </c>
      <c r="D1500" s="26" t="s">
        <v>31727</v>
      </c>
      <c r="E1500" s="26" t="s">
        <v>45162</v>
      </c>
      <c r="F1500" s="37" t="s">
        <v>54401</v>
      </c>
      <c r="G1500" s="39">
        <v>1010968.8</v>
      </c>
      <c r="H1500" s="42">
        <v>211</v>
      </c>
    </row>
    <row r="1501" spans="1:8" ht="15" customHeight="1">
      <c r="A1501" s="26">
        <v>7224461</v>
      </c>
      <c r="B1501" s="30" t="s">
        <v>3743</v>
      </c>
      <c r="C1501" s="29" t="s">
        <v>18572</v>
      </c>
      <c r="D1501" s="29" t="s">
        <v>31728</v>
      </c>
      <c r="E1501" s="29" t="s">
        <v>45163</v>
      </c>
      <c r="F1501" s="36" t="s">
        <v>54401</v>
      </c>
      <c r="G1501" s="39">
        <v>676219.26</v>
      </c>
      <c r="H1501" s="42">
        <v>211</v>
      </c>
    </row>
    <row r="1502" spans="1:8" ht="15" customHeight="1">
      <c r="A1502" s="26">
        <v>7224465</v>
      </c>
      <c r="B1502" s="30" t="s">
        <v>3744</v>
      </c>
      <c r="C1502" s="29" t="s">
        <v>18573</v>
      </c>
      <c r="D1502" s="29" t="s">
        <v>30376</v>
      </c>
      <c r="E1502" s="29" t="s">
        <v>45164</v>
      </c>
      <c r="F1502" s="36" t="s">
        <v>54401</v>
      </c>
      <c r="G1502" s="39">
        <v>161579.84</v>
      </c>
      <c r="H1502" s="42">
        <v>211</v>
      </c>
    </row>
    <row r="1503" spans="1:8" ht="15" customHeight="1">
      <c r="A1503" s="26">
        <v>7224471</v>
      </c>
      <c r="B1503" s="30" t="s">
        <v>3745</v>
      </c>
      <c r="C1503" s="29" t="s">
        <v>18574</v>
      </c>
      <c r="D1503" s="29" t="s">
        <v>31729</v>
      </c>
      <c r="E1503" s="29" t="s">
        <v>45165</v>
      </c>
      <c r="F1503" s="36" t="s">
        <v>54401</v>
      </c>
      <c r="G1503" s="39">
        <f>2606383.48+221682</f>
        <v>2828065.48</v>
      </c>
      <c r="H1503" s="42">
        <v>211</v>
      </c>
    </row>
    <row r="1504" spans="1:8" ht="15" customHeight="1">
      <c r="A1504" s="26">
        <v>7224480</v>
      </c>
      <c r="B1504" s="30" t="s">
        <v>3746</v>
      </c>
      <c r="C1504" s="29" t="s">
        <v>17204</v>
      </c>
      <c r="D1504" s="29" t="s">
        <v>30349</v>
      </c>
      <c r="E1504" s="29" t="s">
        <v>43926</v>
      </c>
      <c r="F1504" s="36" t="s">
        <v>54401</v>
      </c>
      <c r="G1504" s="39">
        <f>507872.68+6344</f>
        <v>514216.68</v>
      </c>
      <c r="H1504" s="42">
        <v>211</v>
      </c>
    </row>
    <row r="1505" spans="1:8" ht="15" customHeight="1">
      <c r="A1505" s="26">
        <v>7224486</v>
      </c>
      <c r="B1505" s="30" t="s">
        <v>3747</v>
      </c>
      <c r="C1505" s="29" t="s">
        <v>18575</v>
      </c>
      <c r="D1505" s="29" t="s">
        <v>31730</v>
      </c>
      <c r="E1505" s="29" t="s">
        <v>45166</v>
      </c>
      <c r="F1505" s="36" t="s">
        <v>54401</v>
      </c>
      <c r="G1505" s="39">
        <v>321632.34999999998</v>
      </c>
      <c r="H1505" s="42">
        <v>211</v>
      </c>
    </row>
    <row r="1506" spans="1:8" ht="15" customHeight="1">
      <c r="A1506" s="26">
        <v>7224502</v>
      </c>
      <c r="B1506" s="30" t="s">
        <v>3748</v>
      </c>
      <c r="C1506" s="29" t="s">
        <v>18576</v>
      </c>
      <c r="D1506" s="29" t="s">
        <v>30714</v>
      </c>
      <c r="E1506" s="29" t="s">
        <v>45167</v>
      </c>
      <c r="F1506" s="36" t="s">
        <v>54401</v>
      </c>
      <c r="G1506" s="39">
        <v>293114.09000000003</v>
      </c>
      <c r="H1506" s="42">
        <v>211</v>
      </c>
    </row>
    <row r="1507" spans="1:8" ht="15" customHeight="1">
      <c r="A1507" s="26">
        <v>7224515</v>
      </c>
      <c r="B1507" s="30" t="s">
        <v>3749</v>
      </c>
      <c r="C1507" s="29" t="s">
        <v>18577</v>
      </c>
      <c r="D1507" s="29" t="s">
        <v>31731</v>
      </c>
      <c r="E1507" s="29" t="s">
        <v>45168</v>
      </c>
      <c r="F1507" s="36" t="s">
        <v>54401</v>
      </c>
      <c r="G1507" s="39">
        <f>796629.71+85722</f>
        <v>882351.71</v>
      </c>
      <c r="H1507" s="42">
        <v>211</v>
      </c>
    </row>
    <row r="1508" spans="1:8" ht="15" customHeight="1">
      <c r="A1508" s="26">
        <v>7224519</v>
      </c>
      <c r="B1508" s="30" t="s">
        <v>3750</v>
      </c>
      <c r="C1508" s="29" t="s">
        <v>18578</v>
      </c>
      <c r="D1508" s="29" t="s">
        <v>31732</v>
      </c>
      <c r="E1508" s="29" t="s">
        <v>45169</v>
      </c>
      <c r="F1508" s="36" t="s">
        <v>54401</v>
      </c>
      <c r="G1508" s="39">
        <f>684551.49+275897+135461</f>
        <v>1095909.49</v>
      </c>
      <c r="H1508" s="42">
        <v>211</v>
      </c>
    </row>
    <row r="1509" spans="1:8" ht="15" customHeight="1">
      <c r="A1509" s="26">
        <v>7224528</v>
      </c>
      <c r="B1509" s="30" t="s">
        <v>3751</v>
      </c>
      <c r="C1509" s="29" t="s">
        <v>18579</v>
      </c>
      <c r="D1509" s="29" t="s">
        <v>31733</v>
      </c>
      <c r="E1509" s="29" t="s">
        <v>45170</v>
      </c>
      <c r="F1509" s="36" t="s">
        <v>54401</v>
      </c>
      <c r="G1509" s="39">
        <f>1510609.79+312591</f>
        <v>1823200.79</v>
      </c>
      <c r="H1509" s="42">
        <v>211</v>
      </c>
    </row>
    <row r="1510" spans="1:8" ht="15" customHeight="1">
      <c r="A1510" s="26">
        <v>7224544</v>
      </c>
      <c r="B1510" s="30" t="s">
        <v>3752</v>
      </c>
      <c r="C1510" s="29" t="s">
        <v>18580</v>
      </c>
      <c r="D1510" s="29" t="s">
        <v>31734</v>
      </c>
      <c r="E1510" s="29" t="s">
        <v>45171</v>
      </c>
      <c r="F1510" s="36" t="s">
        <v>54401</v>
      </c>
      <c r="G1510" s="39">
        <v>965189.98</v>
      </c>
      <c r="H1510" s="42">
        <v>211</v>
      </c>
    </row>
    <row r="1511" spans="1:8" ht="15" customHeight="1">
      <c r="A1511" s="26">
        <v>7224545</v>
      </c>
      <c r="B1511" s="30" t="s">
        <v>3753</v>
      </c>
      <c r="C1511" s="29" t="s">
        <v>18581</v>
      </c>
      <c r="D1511" s="29" t="s">
        <v>31735</v>
      </c>
      <c r="E1511" s="29" t="s">
        <v>45172</v>
      </c>
      <c r="F1511" s="36" t="s">
        <v>54401</v>
      </c>
      <c r="G1511" s="39">
        <v>4716100.33</v>
      </c>
      <c r="H1511" s="42">
        <v>211</v>
      </c>
    </row>
    <row r="1512" spans="1:8" ht="15" customHeight="1">
      <c r="A1512" s="26">
        <v>7224558</v>
      </c>
      <c r="B1512" s="30" t="s">
        <v>3754</v>
      </c>
      <c r="C1512" s="29" t="s">
        <v>18582</v>
      </c>
      <c r="D1512" s="29" t="s">
        <v>31736</v>
      </c>
      <c r="E1512" s="29" t="s">
        <v>45173</v>
      </c>
      <c r="F1512" s="36" t="s">
        <v>54401</v>
      </c>
      <c r="G1512" s="39">
        <f>857380+359379</f>
        <v>1216759</v>
      </c>
      <c r="H1512" s="42">
        <v>211</v>
      </c>
    </row>
    <row r="1513" spans="1:8" ht="15" customHeight="1">
      <c r="A1513" s="26">
        <v>7224570</v>
      </c>
      <c r="B1513" s="30" t="s">
        <v>3755</v>
      </c>
      <c r="C1513" s="26" t="s">
        <v>18583</v>
      </c>
      <c r="D1513" s="26" t="s">
        <v>31737</v>
      </c>
      <c r="E1513" s="26" t="s">
        <v>43926</v>
      </c>
      <c r="F1513" s="37" t="s">
        <v>54401</v>
      </c>
      <c r="G1513" s="39">
        <v>373174.77</v>
      </c>
      <c r="H1513" s="42">
        <v>211</v>
      </c>
    </row>
    <row r="1514" spans="1:8" ht="15" customHeight="1">
      <c r="A1514" s="26">
        <v>7224571</v>
      </c>
      <c r="B1514" s="30" t="s">
        <v>3756</v>
      </c>
      <c r="C1514" s="29" t="s">
        <v>18584</v>
      </c>
      <c r="D1514" s="29" t="s">
        <v>31738</v>
      </c>
      <c r="E1514" s="29" t="s">
        <v>45174</v>
      </c>
      <c r="F1514" s="36" t="s">
        <v>54401</v>
      </c>
      <c r="G1514" s="39">
        <v>2450104.16</v>
      </c>
      <c r="H1514" s="42">
        <v>211</v>
      </c>
    </row>
    <row r="1515" spans="1:8" ht="15" customHeight="1">
      <c r="A1515" s="26">
        <v>7224573</v>
      </c>
      <c r="B1515" s="30" t="s">
        <v>3757</v>
      </c>
      <c r="C1515" s="29" t="s">
        <v>18585</v>
      </c>
      <c r="D1515" s="29" t="s">
        <v>31739</v>
      </c>
      <c r="E1515" s="29" t="s">
        <v>45175</v>
      </c>
      <c r="F1515" s="36" t="s">
        <v>54401</v>
      </c>
      <c r="G1515" s="39">
        <f>1307176.91+309722</f>
        <v>1616898.91</v>
      </c>
      <c r="H1515" s="42">
        <v>211</v>
      </c>
    </row>
    <row r="1516" spans="1:8" ht="15" customHeight="1">
      <c r="A1516" s="26">
        <v>7224578</v>
      </c>
      <c r="B1516" s="30" t="s">
        <v>3758</v>
      </c>
      <c r="C1516" s="29" t="s">
        <v>18586</v>
      </c>
      <c r="D1516" s="29" t="s">
        <v>31740</v>
      </c>
      <c r="E1516" s="29" t="s">
        <v>43928</v>
      </c>
      <c r="F1516" s="36" t="s">
        <v>54401</v>
      </c>
      <c r="G1516" s="39">
        <v>1745378.4</v>
      </c>
      <c r="H1516" s="42">
        <v>211</v>
      </c>
    </row>
    <row r="1517" spans="1:8" ht="15" customHeight="1">
      <c r="A1517" s="26">
        <v>7224608</v>
      </c>
      <c r="B1517" s="30" t="s">
        <v>3759</v>
      </c>
      <c r="C1517" s="29" t="s">
        <v>18587</v>
      </c>
      <c r="D1517" s="29" t="s">
        <v>31741</v>
      </c>
      <c r="E1517" s="29" t="s">
        <v>44942</v>
      </c>
      <c r="F1517" s="36" t="s">
        <v>54401</v>
      </c>
      <c r="G1517" s="39">
        <v>5825435.4000000004</v>
      </c>
      <c r="H1517" s="42">
        <v>211</v>
      </c>
    </row>
    <row r="1518" spans="1:8" ht="15" customHeight="1">
      <c r="A1518" s="26">
        <v>7224620</v>
      </c>
      <c r="B1518" s="30" t="s">
        <v>3760</v>
      </c>
      <c r="C1518" s="29" t="s">
        <v>18588</v>
      </c>
      <c r="D1518" s="29" t="s">
        <v>31742</v>
      </c>
      <c r="E1518" s="29" t="s">
        <v>44536</v>
      </c>
      <c r="F1518" s="36" t="s">
        <v>54401</v>
      </c>
      <c r="G1518" s="39">
        <v>7015599.8099999996</v>
      </c>
      <c r="H1518" s="42">
        <v>211</v>
      </c>
    </row>
    <row r="1519" spans="1:8" ht="15" customHeight="1">
      <c r="A1519" s="26">
        <v>7224624</v>
      </c>
      <c r="B1519" s="30" t="s">
        <v>3761</v>
      </c>
      <c r="C1519" s="29" t="s">
        <v>18589</v>
      </c>
      <c r="D1519" s="29" t="s">
        <v>31743</v>
      </c>
      <c r="E1519" s="29" t="s">
        <v>45176</v>
      </c>
      <c r="F1519" s="36" t="s">
        <v>54401</v>
      </c>
      <c r="G1519" s="39">
        <f>9763349.49+709047</f>
        <v>10472396.49</v>
      </c>
      <c r="H1519" s="42">
        <v>211</v>
      </c>
    </row>
    <row r="1520" spans="1:8" ht="15" customHeight="1">
      <c r="A1520" s="26">
        <v>7224626</v>
      </c>
      <c r="B1520" s="30" t="s">
        <v>3762</v>
      </c>
      <c r="C1520" s="29" t="s">
        <v>18590</v>
      </c>
      <c r="D1520" s="29" t="s">
        <v>31744</v>
      </c>
      <c r="E1520" s="29" t="s">
        <v>45177</v>
      </c>
      <c r="F1520" s="36" t="s">
        <v>54401</v>
      </c>
      <c r="G1520" s="39">
        <v>606153.44999999995</v>
      </c>
      <c r="H1520" s="42">
        <v>211</v>
      </c>
    </row>
    <row r="1521" spans="1:8" ht="15" customHeight="1">
      <c r="A1521" s="26">
        <v>7224675</v>
      </c>
      <c r="B1521" s="30" t="s">
        <v>3763</v>
      </c>
      <c r="C1521" s="29" t="s">
        <v>18591</v>
      </c>
      <c r="D1521" s="29" t="s">
        <v>31745</v>
      </c>
      <c r="E1521" s="29" t="s">
        <v>45178</v>
      </c>
      <c r="F1521" s="36" t="s">
        <v>54401</v>
      </c>
      <c r="G1521" s="39">
        <v>3456991.45</v>
      </c>
      <c r="H1521" s="42">
        <v>211</v>
      </c>
    </row>
    <row r="1522" spans="1:8" ht="15" customHeight="1">
      <c r="A1522" s="26">
        <v>7224696</v>
      </c>
      <c r="B1522" s="30" t="s">
        <v>3764</v>
      </c>
      <c r="C1522" s="29" t="s">
        <v>18592</v>
      </c>
      <c r="D1522" s="29" t="s">
        <v>31746</v>
      </c>
      <c r="E1522" s="29" t="s">
        <v>45179</v>
      </c>
      <c r="F1522" s="36" t="s">
        <v>54401</v>
      </c>
      <c r="G1522" s="39">
        <f>1627252.6+84715</f>
        <v>1711967.6</v>
      </c>
      <c r="H1522" s="42">
        <v>211</v>
      </c>
    </row>
    <row r="1523" spans="1:8" ht="15" customHeight="1">
      <c r="A1523" s="26">
        <v>7224699</v>
      </c>
      <c r="B1523" s="30" t="s">
        <v>3765</v>
      </c>
      <c r="C1523" s="29" t="s">
        <v>18593</v>
      </c>
      <c r="D1523" s="29" t="s">
        <v>31747</v>
      </c>
      <c r="E1523" s="29" t="s">
        <v>45180</v>
      </c>
      <c r="F1523" s="36" t="s">
        <v>54401</v>
      </c>
      <c r="G1523" s="39">
        <v>278713.82</v>
      </c>
      <c r="H1523" s="42">
        <v>211</v>
      </c>
    </row>
    <row r="1524" spans="1:8" ht="15" customHeight="1">
      <c r="A1524" s="26">
        <v>7224714</v>
      </c>
      <c r="B1524" s="30" t="s">
        <v>3766</v>
      </c>
      <c r="C1524" s="29" t="s">
        <v>18594</v>
      </c>
      <c r="D1524" s="29" t="s">
        <v>31748</v>
      </c>
      <c r="E1524" s="29" t="s">
        <v>45181</v>
      </c>
      <c r="F1524" s="36" t="s">
        <v>54401</v>
      </c>
      <c r="G1524" s="39">
        <v>441575.12</v>
      </c>
      <c r="H1524" s="42">
        <v>211</v>
      </c>
    </row>
    <row r="1525" spans="1:8" ht="15" customHeight="1">
      <c r="A1525" s="26">
        <v>7224716</v>
      </c>
      <c r="B1525" s="30" t="s">
        <v>3767</v>
      </c>
      <c r="C1525" s="29" t="s">
        <v>18595</v>
      </c>
      <c r="D1525" s="29" t="s">
        <v>31749</v>
      </c>
      <c r="E1525" s="29" t="s">
        <v>45178</v>
      </c>
      <c r="F1525" s="36" t="s">
        <v>54401</v>
      </c>
      <c r="G1525" s="39">
        <v>975365.15</v>
      </c>
      <c r="H1525" s="42">
        <v>211</v>
      </c>
    </row>
    <row r="1526" spans="1:8" ht="15" customHeight="1">
      <c r="A1526" s="26">
        <v>7224723</v>
      </c>
      <c r="B1526" s="30" t="s">
        <v>3768</v>
      </c>
      <c r="C1526" s="29" t="s">
        <v>18596</v>
      </c>
      <c r="D1526" s="29" t="s">
        <v>31750</v>
      </c>
      <c r="E1526" s="29" t="s">
        <v>45182</v>
      </c>
      <c r="F1526" s="36" t="s">
        <v>54401</v>
      </c>
      <c r="G1526" s="39">
        <v>163454.94</v>
      </c>
      <c r="H1526" s="42">
        <v>211</v>
      </c>
    </row>
    <row r="1527" spans="1:8" ht="15" customHeight="1">
      <c r="A1527" s="26">
        <v>7224729</v>
      </c>
      <c r="B1527" s="30" t="s">
        <v>3769</v>
      </c>
      <c r="C1527" s="29" t="s">
        <v>18597</v>
      </c>
      <c r="D1527" s="29" t="s">
        <v>31751</v>
      </c>
      <c r="E1527" s="29" t="s">
        <v>45183</v>
      </c>
      <c r="F1527" s="36" t="s">
        <v>54401</v>
      </c>
      <c r="G1527" s="39">
        <v>69860.399999999994</v>
      </c>
      <c r="H1527" s="42">
        <v>211</v>
      </c>
    </row>
    <row r="1528" spans="1:8" ht="15" customHeight="1">
      <c r="A1528" s="26">
        <v>7224738</v>
      </c>
      <c r="B1528" s="30" t="s">
        <v>3770</v>
      </c>
      <c r="C1528" s="29" t="s">
        <v>18598</v>
      </c>
      <c r="D1528" s="29" t="s">
        <v>31752</v>
      </c>
      <c r="E1528" s="29" t="s">
        <v>44327</v>
      </c>
      <c r="F1528" s="36" t="s">
        <v>54401</v>
      </c>
      <c r="G1528" s="39">
        <f>4176011.34+4617838</f>
        <v>8793849.3399999999</v>
      </c>
      <c r="H1528" s="42">
        <v>211</v>
      </c>
    </row>
    <row r="1529" spans="1:8" ht="15" customHeight="1">
      <c r="A1529" s="26">
        <v>7224745</v>
      </c>
      <c r="B1529" s="30" t="s">
        <v>3771</v>
      </c>
      <c r="C1529" s="29" t="s">
        <v>18599</v>
      </c>
      <c r="D1529" s="29" t="s">
        <v>31753</v>
      </c>
      <c r="E1529" s="29" t="s">
        <v>45184</v>
      </c>
      <c r="F1529" s="36" t="s">
        <v>54401</v>
      </c>
      <c r="G1529" s="39">
        <v>3927675.04</v>
      </c>
      <c r="H1529" s="42">
        <v>211</v>
      </c>
    </row>
    <row r="1530" spans="1:8" ht="15" customHeight="1">
      <c r="A1530" s="26">
        <v>7224794</v>
      </c>
      <c r="B1530" s="30" t="s">
        <v>3772</v>
      </c>
      <c r="C1530" s="29" t="s">
        <v>18600</v>
      </c>
      <c r="D1530" s="29" t="s">
        <v>31754</v>
      </c>
      <c r="E1530" s="29" t="s">
        <v>45185</v>
      </c>
      <c r="F1530" s="36" t="s">
        <v>54401</v>
      </c>
      <c r="G1530" s="39">
        <v>3058935.22</v>
      </c>
      <c r="H1530" s="42">
        <v>211</v>
      </c>
    </row>
    <row r="1531" spans="1:8" ht="15" customHeight="1">
      <c r="A1531" s="26">
        <v>7224808</v>
      </c>
      <c r="B1531" s="30" t="s">
        <v>3773</v>
      </c>
      <c r="C1531" s="26" t="s">
        <v>18601</v>
      </c>
      <c r="D1531" s="26" t="s">
        <v>31755</v>
      </c>
      <c r="E1531" s="26" t="s">
        <v>43926</v>
      </c>
      <c r="F1531" s="37" t="s">
        <v>54401</v>
      </c>
      <c r="G1531" s="39">
        <f>418327.05+273726</f>
        <v>692053.05</v>
      </c>
      <c r="H1531" s="42">
        <v>211</v>
      </c>
    </row>
    <row r="1532" spans="1:8" ht="15" customHeight="1">
      <c r="A1532" s="26">
        <v>7224810</v>
      </c>
      <c r="B1532" s="30" t="s">
        <v>3774</v>
      </c>
      <c r="C1532" s="29" t="s">
        <v>18602</v>
      </c>
      <c r="D1532" s="29" t="s">
        <v>31756</v>
      </c>
      <c r="E1532" s="29" t="s">
        <v>45186</v>
      </c>
      <c r="F1532" s="36" t="s">
        <v>54401</v>
      </c>
      <c r="G1532" s="39">
        <f>101553.03+418697+18173</f>
        <v>538423.03</v>
      </c>
      <c r="H1532" s="42">
        <v>211</v>
      </c>
    </row>
    <row r="1533" spans="1:8" ht="15" customHeight="1">
      <c r="A1533" s="26">
        <v>7224819</v>
      </c>
      <c r="B1533" s="30" t="s">
        <v>3775</v>
      </c>
      <c r="C1533" s="29" t="s">
        <v>18603</v>
      </c>
      <c r="D1533" s="29" t="s">
        <v>31757</v>
      </c>
      <c r="E1533" s="29" t="s">
        <v>44144</v>
      </c>
      <c r="F1533" s="36" t="s">
        <v>54401</v>
      </c>
      <c r="G1533" s="39">
        <v>285911.78999999998</v>
      </c>
      <c r="H1533" s="42">
        <v>211</v>
      </c>
    </row>
    <row r="1534" spans="1:8" ht="15" customHeight="1">
      <c r="A1534" s="26">
        <v>7224838</v>
      </c>
      <c r="B1534" s="30" t="s">
        <v>3776</v>
      </c>
      <c r="C1534" s="29" t="s">
        <v>17204</v>
      </c>
      <c r="D1534" s="29" t="s">
        <v>30349</v>
      </c>
      <c r="E1534" s="29" t="s">
        <v>43926</v>
      </c>
      <c r="F1534" s="36" t="s">
        <v>54401</v>
      </c>
      <c r="G1534" s="39">
        <v>14908.12</v>
      </c>
      <c r="H1534" s="42">
        <v>211</v>
      </c>
    </row>
    <row r="1535" spans="1:8" ht="15" customHeight="1">
      <c r="A1535" s="26">
        <v>7224845</v>
      </c>
      <c r="B1535" s="30" t="s">
        <v>3777</v>
      </c>
      <c r="C1535" s="29" t="s">
        <v>18604</v>
      </c>
      <c r="D1535" s="29" t="s">
        <v>31758</v>
      </c>
      <c r="E1535" s="29" t="s">
        <v>45187</v>
      </c>
      <c r="F1535" s="36" t="s">
        <v>54401</v>
      </c>
      <c r="G1535" s="39">
        <v>322102.87</v>
      </c>
      <c r="H1535" s="42">
        <v>211</v>
      </c>
    </row>
    <row r="1536" spans="1:8" ht="15" customHeight="1">
      <c r="A1536" s="26">
        <v>7224862</v>
      </c>
      <c r="B1536" s="30" t="s">
        <v>3778</v>
      </c>
      <c r="C1536" s="26" t="s">
        <v>18605</v>
      </c>
      <c r="D1536" s="26" t="s">
        <v>31759</v>
      </c>
      <c r="E1536" s="26" t="s">
        <v>45188</v>
      </c>
      <c r="F1536" s="37" t="s">
        <v>54401</v>
      </c>
      <c r="G1536" s="39">
        <v>1969607.67</v>
      </c>
      <c r="H1536" s="42">
        <v>211</v>
      </c>
    </row>
    <row r="1537" spans="1:8" ht="15" customHeight="1">
      <c r="A1537" s="26">
        <v>7224877</v>
      </c>
      <c r="B1537" s="30" t="s">
        <v>3779</v>
      </c>
      <c r="C1537" s="29" t="s">
        <v>18606</v>
      </c>
      <c r="D1537" s="29" t="s">
        <v>31760</v>
      </c>
      <c r="E1537" s="29" t="s">
        <v>44019</v>
      </c>
      <c r="F1537" s="36" t="s">
        <v>54401</v>
      </c>
      <c r="G1537" s="39">
        <f>2407832.52+170216</f>
        <v>2578048.52</v>
      </c>
      <c r="H1537" s="42">
        <v>211</v>
      </c>
    </row>
    <row r="1538" spans="1:8" ht="15" customHeight="1">
      <c r="A1538" s="26">
        <v>7224905</v>
      </c>
      <c r="B1538" s="30" t="s">
        <v>3780</v>
      </c>
      <c r="C1538" s="29" t="s">
        <v>18607</v>
      </c>
      <c r="D1538" s="29" t="s">
        <v>31761</v>
      </c>
      <c r="E1538" s="29" t="s">
        <v>45189</v>
      </c>
      <c r="F1538" s="36" t="s">
        <v>54401</v>
      </c>
      <c r="G1538" s="39">
        <v>260236.28</v>
      </c>
      <c r="H1538" s="42">
        <v>211</v>
      </c>
    </row>
    <row r="1539" spans="1:8" ht="15" customHeight="1">
      <c r="A1539" s="26">
        <v>7224918</v>
      </c>
      <c r="B1539" s="30" t="s">
        <v>3781</v>
      </c>
      <c r="C1539" s="29" t="s">
        <v>18608</v>
      </c>
      <c r="D1539" s="29" t="s">
        <v>31762</v>
      </c>
      <c r="E1539" s="29" t="s">
        <v>45190</v>
      </c>
      <c r="F1539" s="36" t="s">
        <v>54401</v>
      </c>
      <c r="G1539" s="39">
        <f>5594658.93+37967</f>
        <v>5632625.9299999997</v>
      </c>
      <c r="H1539" s="42">
        <v>211</v>
      </c>
    </row>
    <row r="1540" spans="1:8" ht="15" customHeight="1">
      <c r="A1540" s="26">
        <v>7224952</v>
      </c>
      <c r="B1540" s="30" t="s">
        <v>3782</v>
      </c>
      <c r="C1540" s="26" t="s">
        <v>17204</v>
      </c>
      <c r="D1540" s="26" t="s">
        <v>31763</v>
      </c>
      <c r="E1540" s="26" t="s">
        <v>45191</v>
      </c>
      <c r="F1540" s="37" t="s">
        <v>54401</v>
      </c>
      <c r="G1540" s="39">
        <v>73948.75</v>
      </c>
      <c r="H1540" s="42">
        <v>211</v>
      </c>
    </row>
    <row r="1541" spans="1:8" ht="15" customHeight="1">
      <c r="A1541" s="26">
        <v>7224953</v>
      </c>
      <c r="B1541" s="30" t="s">
        <v>3783</v>
      </c>
      <c r="C1541" s="29" t="s">
        <v>18609</v>
      </c>
      <c r="D1541" s="29" t="s">
        <v>31764</v>
      </c>
      <c r="E1541" s="29" t="s">
        <v>45192</v>
      </c>
      <c r="F1541" s="36" t="s">
        <v>54401</v>
      </c>
      <c r="G1541" s="39">
        <v>69017.67</v>
      </c>
      <c r="H1541" s="42">
        <v>211</v>
      </c>
    </row>
    <row r="1542" spans="1:8" ht="15" customHeight="1">
      <c r="A1542" s="26">
        <v>7224957</v>
      </c>
      <c r="B1542" s="30" t="s">
        <v>3784</v>
      </c>
      <c r="C1542" s="29" t="s">
        <v>18610</v>
      </c>
      <c r="D1542" s="29" t="s">
        <v>31765</v>
      </c>
      <c r="E1542" s="29" t="s">
        <v>45193</v>
      </c>
      <c r="F1542" s="36" t="s">
        <v>54401</v>
      </c>
      <c r="G1542" s="39">
        <v>321293.42</v>
      </c>
      <c r="H1542" s="42">
        <v>211</v>
      </c>
    </row>
    <row r="1543" spans="1:8" ht="15" customHeight="1">
      <c r="A1543" s="26">
        <v>7225000</v>
      </c>
      <c r="B1543" s="30" t="s">
        <v>3785</v>
      </c>
      <c r="C1543" s="29" t="s">
        <v>18611</v>
      </c>
      <c r="D1543" s="29" t="s">
        <v>31766</v>
      </c>
      <c r="E1543" s="29" t="s">
        <v>45194</v>
      </c>
      <c r="F1543" s="36" t="s">
        <v>54401</v>
      </c>
      <c r="G1543" s="39">
        <v>1474131.52</v>
      </c>
      <c r="H1543" s="42">
        <v>211</v>
      </c>
    </row>
    <row r="1544" spans="1:8" ht="15" customHeight="1">
      <c r="A1544" s="26">
        <v>7225006</v>
      </c>
      <c r="B1544" s="30" t="s">
        <v>3786</v>
      </c>
      <c r="C1544" s="29" t="s">
        <v>18612</v>
      </c>
      <c r="D1544" s="29" t="s">
        <v>31767</v>
      </c>
      <c r="E1544" s="29" t="s">
        <v>44807</v>
      </c>
      <c r="F1544" s="36" t="s">
        <v>54401</v>
      </c>
      <c r="G1544" s="39">
        <f>2901820.92+346343</f>
        <v>3248163.92</v>
      </c>
      <c r="H1544" s="42">
        <v>211</v>
      </c>
    </row>
    <row r="1545" spans="1:8" ht="15" customHeight="1">
      <c r="A1545" s="26">
        <v>7225008</v>
      </c>
      <c r="B1545" s="30" t="s">
        <v>3787</v>
      </c>
      <c r="C1545" s="29" t="s">
        <v>18613</v>
      </c>
      <c r="D1545" s="29" t="s">
        <v>31768</v>
      </c>
      <c r="E1545" s="29" t="s">
        <v>45195</v>
      </c>
      <c r="F1545" s="36" t="s">
        <v>54401</v>
      </c>
      <c r="G1545" s="39">
        <f>2250985.68+1130369</f>
        <v>3381354.68</v>
      </c>
      <c r="H1545" s="42">
        <v>211</v>
      </c>
    </row>
    <row r="1546" spans="1:8" ht="15" customHeight="1">
      <c r="A1546" s="26">
        <v>7225012</v>
      </c>
      <c r="B1546" s="30" t="s">
        <v>3788</v>
      </c>
      <c r="C1546" s="29" t="s">
        <v>18614</v>
      </c>
      <c r="D1546" s="29" t="s">
        <v>31769</v>
      </c>
      <c r="E1546" s="29" t="s">
        <v>45196</v>
      </c>
      <c r="F1546" s="36" t="s">
        <v>54401</v>
      </c>
      <c r="G1546" s="39">
        <v>1083746.6200000001</v>
      </c>
      <c r="H1546" s="42">
        <v>211</v>
      </c>
    </row>
    <row r="1547" spans="1:8" ht="15" customHeight="1">
      <c r="A1547" s="26">
        <v>7225016</v>
      </c>
      <c r="B1547" s="30" t="s">
        <v>3789</v>
      </c>
      <c r="C1547" s="26" t="s">
        <v>18615</v>
      </c>
      <c r="D1547" s="26" t="s">
        <v>31770</v>
      </c>
      <c r="E1547" s="26" t="s">
        <v>43926</v>
      </c>
      <c r="F1547" s="37" t="s">
        <v>54401</v>
      </c>
      <c r="G1547" s="39">
        <v>773653.27</v>
      </c>
      <c r="H1547" s="42">
        <v>211</v>
      </c>
    </row>
    <row r="1548" spans="1:8" ht="15" customHeight="1">
      <c r="A1548" s="26">
        <v>7225026</v>
      </c>
      <c r="B1548" s="30" t="s">
        <v>3790</v>
      </c>
      <c r="C1548" s="29" t="s">
        <v>18616</v>
      </c>
      <c r="D1548" s="29" t="s">
        <v>30387</v>
      </c>
      <c r="E1548" s="29" t="s">
        <v>45197</v>
      </c>
      <c r="F1548" s="36" t="s">
        <v>54401</v>
      </c>
      <c r="G1548" s="39">
        <f>168827.8+204166</f>
        <v>372993.8</v>
      </c>
      <c r="H1548" s="42">
        <v>211</v>
      </c>
    </row>
    <row r="1549" spans="1:8" ht="15" customHeight="1">
      <c r="A1549" s="26">
        <v>7225034</v>
      </c>
      <c r="B1549" s="30" t="s">
        <v>3791</v>
      </c>
      <c r="C1549" s="29" t="s">
        <v>18617</v>
      </c>
      <c r="D1549" s="29" t="s">
        <v>31771</v>
      </c>
      <c r="E1549" s="29" t="s">
        <v>45198</v>
      </c>
      <c r="F1549" s="36" t="s">
        <v>54401</v>
      </c>
      <c r="G1549" s="39">
        <v>242795.51</v>
      </c>
      <c r="H1549" s="42">
        <v>211</v>
      </c>
    </row>
    <row r="1550" spans="1:8" ht="15" customHeight="1">
      <c r="A1550" s="26">
        <v>7225123</v>
      </c>
      <c r="B1550" s="30" t="s">
        <v>3792</v>
      </c>
      <c r="C1550" s="29" t="s">
        <v>18618</v>
      </c>
      <c r="D1550" s="29" t="s">
        <v>31772</v>
      </c>
      <c r="E1550" s="29" t="s">
        <v>45199</v>
      </c>
      <c r="F1550" s="36" t="s">
        <v>54401</v>
      </c>
      <c r="G1550" s="39">
        <f>1147803.51+68392</f>
        <v>1216195.51</v>
      </c>
      <c r="H1550" s="42">
        <v>211</v>
      </c>
    </row>
    <row r="1551" spans="1:8" ht="15" customHeight="1">
      <c r="A1551" s="26">
        <v>7225128</v>
      </c>
      <c r="B1551" s="30" t="s">
        <v>3793</v>
      </c>
      <c r="C1551" s="29" t="s">
        <v>18619</v>
      </c>
      <c r="D1551" s="29" t="s">
        <v>31773</v>
      </c>
      <c r="E1551" s="29" t="s">
        <v>45200</v>
      </c>
      <c r="F1551" s="36" t="s">
        <v>54401</v>
      </c>
      <c r="G1551" s="39">
        <v>404810.04</v>
      </c>
      <c r="H1551" s="42">
        <v>211</v>
      </c>
    </row>
    <row r="1552" spans="1:8" ht="15" customHeight="1">
      <c r="A1552" s="26">
        <v>7225211</v>
      </c>
      <c r="B1552" s="30" t="s">
        <v>3794</v>
      </c>
      <c r="C1552" s="26" t="s">
        <v>17204</v>
      </c>
      <c r="D1552" s="26" t="s">
        <v>31774</v>
      </c>
      <c r="E1552" s="26" t="s">
        <v>45201</v>
      </c>
      <c r="F1552" s="37" t="s">
        <v>54401</v>
      </c>
      <c r="G1552" s="39">
        <v>15862.1</v>
      </c>
      <c r="H1552" s="42">
        <v>211</v>
      </c>
    </row>
    <row r="1553" spans="1:8" ht="15" customHeight="1">
      <c r="A1553" s="26">
        <v>7225215</v>
      </c>
      <c r="B1553" s="30" t="s">
        <v>3795</v>
      </c>
      <c r="C1553" s="29" t="s">
        <v>18620</v>
      </c>
      <c r="D1553" s="29" t="s">
        <v>31775</v>
      </c>
      <c r="E1553" s="29" t="s">
        <v>45202</v>
      </c>
      <c r="F1553" s="36" t="s">
        <v>54401</v>
      </c>
      <c r="G1553" s="39">
        <v>991025.24</v>
      </c>
      <c r="H1553" s="42">
        <v>211</v>
      </c>
    </row>
    <row r="1554" spans="1:8" ht="15" customHeight="1">
      <c r="A1554" s="26">
        <v>7225217</v>
      </c>
      <c r="B1554" s="30" t="s">
        <v>3796</v>
      </c>
      <c r="C1554" s="29" t="s">
        <v>18621</v>
      </c>
      <c r="D1554" s="29" t="s">
        <v>31776</v>
      </c>
      <c r="E1554" s="29" t="s">
        <v>45203</v>
      </c>
      <c r="F1554" s="36" t="s">
        <v>54402</v>
      </c>
      <c r="G1554" s="39">
        <f>14468906.78-77680</f>
        <v>14391226.779999999</v>
      </c>
      <c r="H1554" s="42">
        <v>211</v>
      </c>
    </row>
    <row r="1555" spans="1:8" ht="15" customHeight="1">
      <c r="A1555" s="26">
        <v>7225228</v>
      </c>
      <c r="B1555" s="30" t="s">
        <v>3797</v>
      </c>
      <c r="C1555" s="29" t="s">
        <v>18622</v>
      </c>
      <c r="D1555" s="29" t="s">
        <v>30376</v>
      </c>
      <c r="E1555" s="29" t="s">
        <v>45204</v>
      </c>
      <c r="F1555" s="36" t="s">
        <v>54401</v>
      </c>
      <c r="G1555" s="39">
        <v>614349.56999999995</v>
      </c>
      <c r="H1555" s="42">
        <v>211</v>
      </c>
    </row>
    <row r="1556" spans="1:8" ht="15" customHeight="1">
      <c r="A1556" s="26">
        <v>7225236</v>
      </c>
      <c r="B1556" s="30" t="s">
        <v>3798</v>
      </c>
      <c r="C1556" s="26" t="s">
        <v>18623</v>
      </c>
      <c r="D1556" s="26" t="s">
        <v>31777</v>
      </c>
      <c r="E1556" s="26" t="s">
        <v>45205</v>
      </c>
      <c r="F1556" s="37" t="s">
        <v>54401</v>
      </c>
      <c r="G1556" s="39">
        <f>2944827.26+342653</f>
        <v>3287480.26</v>
      </c>
      <c r="H1556" s="42">
        <v>211</v>
      </c>
    </row>
    <row r="1557" spans="1:8" ht="15" customHeight="1">
      <c r="A1557" s="26">
        <v>7225238</v>
      </c>
      <c r="B1557" s="30" t="s">
        <v>3799</v>
      </c>
      <c r="C1557" s="29" t="s">
        <v>18624</v>
      </c>
      <c r="D1557" s="29" t="s">
        <v>31778</v>
      </c>
      <c r="E1557" s="29" t="s">
        <v>45206</v>
      </c>
      <c r="F1557" s="36" t="s">
        <v>54401</v>
      </c>
      <c r="G1557" s="39">
        <v>846948.04</v>
      </c>
      <c r="H1557" s="42">
        <v>211</v>
      </c>
    </row>
    <row r="1558" spans="1:8" ht="15" customHeight="1">
      <c r="A1558" s="26">
        <v>7225249</v>
      </c>
      <c r="B1558" s="30" t="s">
        <v>3800</v>
      </c>
      <c r="C1558" s="26" t="s">
        <v>18625</v>
      </c>
      <c r="D1558" s="26" t="s">
        <v>31779</v>
      </c>
      <c r="E1558" s="26" t="s">
        <v>45207</v>
      </c>
      <c r="F1558" s="37" t="s">
        <v>54401</v>
      </c>
      <c r="G1558" s="39">
        <v>64109.25</v>
      </c>
      <c r="H1558" s="42">
        <v>211</v>
      </c>
    </row>
    <row r="1559" spans="1:8" ht="15" customHeight="1">
      <c r="A1559" s="26">
        <v>7225302</v>
      </c>
      <c r="B1559" s="30" t="s">
        <v>3801</v>
      </c>
      <c r="C1559" s="29" t="s">
        <v>18626</v>
      </c>
      <c r="D1559" s="29" t="s">
        <v>31780</v>
      </c>
      <c r="E1559" s="29" t="s">
        <v>45208</v>
      </c>
      <c r="F1559" s="36" t="s">
        <v>54401</v>
      </c>
      <c r="G1559" s="39">
        <v>41899.15</v>
      </c>
      <c r="H1559" s="42">
        <v>211</v>
      </c>
    </row>
    <row r="1560" spans="1:8" ht="15" customHeight="1">
      <c r="A1560" s="26">
        <v>7225304</v>
      </c>
      <c r="B1560" s="30" t="s">
        <v>3802</v>
      </c>
      <c r="C1560" s="29" t="s">
        <v>18627</v>
      </c>
      <c r="D1560" s="29" t="s">
        <v>31781</v>
      </c>
      <c r="E1560" s="29" t="s">
        <v>45209</v>
      </c>
      <c r="F1560" s="36" t="s">
        <v>54409</v>
      </c>
      <c r="G1560" s="39">
        <v>1299503.49</v>
      </c>
      <c r="H1560" s="42">
        <v>211</v>
      </c>
    </row>
    <row r="1561" spans="1:8" ht="15" customHeight="1">
      <c r="A1561" s="26">
        <v>7225321</v>
      </c>
      <c r="B1561" s="30" t="s">
        <v>3803</v>
      </c>
      <c r="C1561" s="29" t="s">
        <v>18628</v>
      </c>
      <c r="D1561" s="29" t="s">
        <v>31782</v>
      </c>
      <c r="E1561" s="29" t="s">
        <v>45210</v>
      </c>
      <c r="F1561" s="36" t="s">
        <v>54401</v>
      </c>
      <c r="G1561" s="39">
        <v>1544834.04</v>
      </c>
      <c r="H1561" s="42">
        <v>211</v>
      </c>
    </row>
    <row r="1562" spans="1:8" ht="15" customHeight="1">
      <c r="A1562" s="26">
        <v>7225332</v>
      </c>
      <c r="B1562" s="30" t="s">
        <v>3804</v>
      </c>
      <c r="C1562" s="29" t="s">
        <v>18629</v>
      </c>
      <c r="D1562" s="29" t="s">
        <v>31783</v>
      </c>
      <c r="E1562" s="29" t="s">
        <v>45211</v>
      </c>
      <c r="F1562" s="36" t="s">
        <v>54401</v>
      </c>
      <c r="G1562" s="39">
        <f>377567.46+682242</f>
        <v>1059809.46</v>
      </c>
      <c r="H1562" s="42">
        <v>211</v>
      </c>
    </row>
    <row r="1563" spans="1:8" ht="15" customHeight="1">
      <c r="A1563" s="26">
        <v>7225333</v>
      </c>
      <c r="B1563" s="30" t="s">
        <v>3805</v>
      </c>
      <c r="C1563" s="29" t="s">
        <v>18630</v>
      </c>
      <c r="D1563" s="29" t="s">
        <v>31784</v>
      </c>
      <c r="E1563" s="29" t="s">
        <v>45212</v>
      </c>
      <c r="F1563" s="36" t="s">
        <v>54401</v>
      </c>
      <c r="G1563" s="39">
        <v>193225.94</v>
      </c>
      <c r="H1563" s="42">
        <v>211</v>
      </c>
    </row>
    <row r="1564" spans="1:8" ht="15" customHeight="1">
      <c r="A1564" s="26">
        <v>7225338</v>
      </c>
      <c r="B1564" s="30" t="s">
        <v>3806</v>
      </c>
      <c r="C1564" s="29" t="s">
        <v>17204</v>
      </c>
      <c r="D1564" s="29" t="s">
        <v>31785</v>
      </c>
      <c r="E1564" s="29" t="s">
        <v>45213</v>
      </c>
      <c r="F1564" s="36" t="s">
        <v>54401</v>
      </c>
      <c r="G1564" s="39">
        <f>127645.72+32181</f>
        <v>159826.72</v>
      </c>
      <c r="H1564" s="42">
        <v>211</v>
      </c>
    </row>
    <row r="1565" spans="1:8" ht="15" customHeight="1">
      <c r="A1565" s="26">
        <v>7225355</v>
      </c>
      <c r="B1565" s="30" t="s">
        <v>3807</v>
      </c>
      <c r="C1565" s="29" t="s">
        <v>18631</v>
      </c>
      <c r="D1565" s="29" t="s">
        <v>31786</v>
      </c>
      <c r="E1565" s="29" t="s">
        <v>45170</v>
      </c>
      <c r="F1565" s="36" t="s">
        <v>54401</v>
      </c>
      <c r="G1565" s="39">
        <v>147062.82999999999</v>
      </c>
      <c r="H1565" s="42">
        <v>211</v>
      </c>
    </row>
    <row r="1566" spans="1:8" ht="15" customHeight="1">
      <c r="A1566" s="26">
        <v>7225363</v>
      </c>
      <c r="B1566" s="30" t="s">
        <v>3808</v>
      </c>
      <c r="C1566" s="29" t="s">
        <v>18632</v>
      </c>
      <c r="D1566" s="29" t="s">
        <v>31787</v>
      </c>
      <c r="E1566" s="29" t="s">
        <v>45214</v>
      </c>
      <c r="F1566" s="36" t="s">
        <v>54401</v>
      </c>
      <c r="G1566" s="39">
        <v>1701166.77</v>
      </c>
      <c r="H1566" s="42">
        <v>211</v>
      </c>
    </row>
    <row r="1567" spans="1:8" ht="15" customHeight="1">
      <c r="A1567" s="26">
        <v>7225366</v>
      </c>
      <c r="B1567" s="30" t="s">
        <v>3809</v>
      </c>
      <c r="C1567" s="26" t="s">
        <v>18633</v>
      </c>
      <c r="D1567" s="26" t="s">
        <v>31788</v>
      </c>
      <c r="E1567" s="26" t="s">
        <v>45215</v>
      </c>
      <c r="F1567" s="37" t="s">
        <v>54401</v>
      </c>
      <c r="G1567" s="39">
        <v>130006.85</v>
      </c>
      <c r="H1567" s="42">
        <v>211</v>
      </c>
    </row>
    <row r="1568" spans="1:8" ht="15" customHeight="1">
      <c r="A1568" s="26">
        <v>7225372</v>
      </c>
      <c r="B1568" s="30" t="s">
        <v>3810</v>
      </c>
      <c r="C1568" s="29" t="s">
        <v>18634</v>
      </c>
      <c r="D1568" s="29" t="s">
        <v>31789</v>
      </c>
      <c r="E1568" s="29" t="s">
        <v>45216</v>
      </c>
      <c r="F1568" s="36" t="s">
        <v>54401</v>
      </c>
      <c r="G1568" s="39">
        <v>7163807.6600000001</v>
      </c>
      <c r="H1568" s="42">
        <v>211</v>
      </c>
    </row>
    <row r="1569" spans="1:8" ht="15" customHeight="1">
      <c r="A1569" s="26">
        <v>7225388</v>
      </c>
      <c r="B1569" s="30" t="s">
        <v>3811</v>
      </c>
      <c r="C1569" s="29" t="s">
        <v>18635</v>
      </c>
      <c r="D1569" s="29" t="s">
        <v>31790</v>
      </c>
      <c r="E1569" s="29" t="s">
        <v>45217</v>
      </c>
      <c r="F1569" s="36" t="s">
        <v>54401</v>
      </c>
      <c r="G1569" s="39">
        <v>386566.1</v>
      </c>
      <c r="H1569" s="42">
        <v>211</v>
      </c>
    </row>
    <row r="1570" spans="1:8" ht="15" customHeight="1">
      <c r="A1570" s="26">
        <v>7225405</v>
      </c>
      <c r="B1570" s="30" t="s">
        <v>3812</v>
      </c>
      <c r="C1570" s="29" t="s">
        <v>18636</v>
      </c>
      <c r="D1570" s="29" t="s">
        <v>31791</v>
      </c>
      <c r="E1570" s="29" t="s">
        <v>45218</v>
      </c>
      <c r="F1570" s="36" t="s">
        <v>54401</v>
      </c>
      <c r="G1570" s="39">
        <f>1872470.31+671313+614568</f>
        <v>3158351.31</v>
      </c>
      <c r="H1570" s="42">
        <v>211</v>
      </c>
    </row>
    <row r="1571" spans="1:8" ht="15" customHeight="1">
      <c r="A1571" s="26">
        <v>7225411</v>
      </c>
      <c r="B1571" s="30" t="s">
        <v>3813</v>
      </c>
      <c r="C1571" s="29" t="s">
        <v>17204</v>
      </c>
      <c r="D1571" s="29" t="s">
        <v>30349</v>
      </c>
      <c r="E1571" s="29" t="s">
        <v>43926</v>
      </c>
      <c r="F1571" s="36" t="s">
        <v>54401</v>
      </c>
      <c r="G1571" s="39">
        <v>187610.43</v>
      </c>
      <c r="H1571" s="42">
        <v>211</v>
      </c>
    </row>
    <row r="1572" spans="1:8" ht="15" customHeight="1">
      <c r="A1572" s="26">
        <v>7225425</v>
      </c>
      <c r="B1572" s="30" t="s">
        <v>3814</v>
      </c>
      <c r="C1572" s="29" t="s">
        <v>18637</v>
      </c>
      <c r="D1572" s="29" t="s">
        <v>31792</v>
      </c>
      <c r="E1572" s="29" t="s">
        <v>45219</v>
      </c>
      <c r="F1572" s="36" t="s">
        <v>54401</v>
      </c>
      <c r="G1572" s="39">
        <v>2059288.11</v>
      </c>
      <c r="H1572" s="42">
        <v>211</v>
      </c>
    </row>
    <row r="1573" spans="1:8" ht="15" customHeight="1">
      <c r="A1573" s="26">
        <v>7225458</v>
      </c>
      <c r="B1573" s="30" t="s">
        <v>3815</v>
      </c>
      <c r="C1573" s="26" t="s">
        <v>17204</v>
      </c>
      <c r="D1573" s="26" t="s">
        <v>30349</v>
      </c>
      <c r="E1573" s="26" t="s">
        <v>43926</v>
      </c>
      <c r="F1573" s="37" t="s">
        <v>54401</v>
      </c>
      <c r="G1573" s="39">
        <v>420668.32</v>
      </c>
      <c r="H1573" s="42">
        <v>211</v>
      </c>
    </row>
    <row r="1574" spans="1:8" ht="15" customHeight="1">
      <c r="A1574" s="26">
        <v>7225480</v>
      </c>
      <c r="B1574" s="30" t="s">
        <v>3816</v>
      </c>
      <c r="C1574" s="29" t="s">
        <v>18638</v>
      </c>
      <c r="D1574" s="29" t="s">
        <v>31793</v>
      </c>
      <c r="E1574" s="29" t="s">
        <v>45220</v>
      </c>
      <c r="F1574" s="36" t="s">
        <v>54401</v>
      </c>
      <c r="G1574" s="39">
        <v>1363325.9</v>
      </c>
      <c r="H1574" s="42">
        <v>211</v>
      </c>
    </row>
    <row r="1575" spans="1:8" ht="15" customHeight="1">
      <c r="A1575" s="26">
        <v>7225488</v>
      </c>
      <c r="B1575" s="30" t="s">
        <v>3817</v>
      </c>
      <c r="C1575" s="29" t="s">
        <v>18639</v>
      </c>
      <c r="D1575" s="29" t="s">
        <v>31794</v>
      </c>
      <c r="E1575" s="29" t="s">
        <v>45221</v>
      </c>
      <c r="F1575" s="36" t="s">
        <v>54401</v>
      </c>
      <c r="G1575" s="39">
        <f>3521798.06+612219</f>
        <v>4134017.06</v>
      </c>
      <c r="H1575" s="42">
        <v>211</v>
      </c>
    </row>
    <row r="1576" spans="1:8" ht="15" customHeight="1">
      <c r="A1576" s="26">
        <v>7225489</v>
      </c>
      <c r="B1576" s="30" t="s">
        <v>3818</v>
      </c>
      <c r="C1576" s="29" t="s">
        <v>18640</v>
      </c>
      <c r="D1576" s="29" t="s">
        <v>31795</v>
      </c>
      <c r="E1576" s="29" t="s">
        <v>45222</v>
      </c>
      <c r="F1576" s="36" t="s">
        <v>54401</v>
      </c>
      <c r="G1576" s="39">
        <v>1601606.49</v>
      </c>
      <c r="H1576" s="42">
        <v>211</v>
      </c>
    </row>
    <row r="1577" spans="1:8" ht="15" customHeight="1">
      <c r="A1577" s="26">
        <v>7225502</v>
      </c>
      <c r="B1577" s="30" t="s">
        <v>3819</v>
      </c>
      <c r="C1577" s="26" t="s">
        <v>18641</v>
      </c>
      <c r="D1577" s="29" t="s">
        <v>31796</v>
      </c>
      <c r="E1577" s="26" t="s">
        <v>45223</v>
      </c>
      <c r="F1577" s="37" t="s">
        <v>54401</v>
      </c>
      <c r="G1577" s="39">
        <f>1678072.35+11945+10042</f>
        <v>1700059.35</v>
      </c>
      <c r="H1577" s="42">
        <v>211</v>
      </c>
    </row>
    <row r="1578" spans="1:8" ht="15" customHeight="1">
      <c r="A1578" s="26">
        <v>7225506</v>
      </c>
      <c r="B1578" s="30" t="s">
        <v>3820</v>
      </c>
      <c r="C1578" s="29" t="s">
        <v>18642</v>
      </c>
      <c r="D1578" s="29" t="s">
        <v>31797</v>
      </c>
      <c r="E1578" s="29" t="s">
        <v>45224</v>
      </c>
      <c r="F1578" s="36" t="s">
        <v>54401</v>
      </c>
      <c r="G1578" s="39">
        <v>402728.24</v>
      </c>
      <c r="H1578" s="42">
        <v>211</v>
      </c>
    </row>
    <row r="1579" spans="1:8" ht="15" customHeight="1">
      <c r="A1579" s="26">
        <v>7225510</v>
      </c>
      <c r="B1579" s="30" t="s">
        <v>3821</v>
      </c>
      <c r="C1579" s="29" t="s">
        <v>18643</v>
      </c>
      <c r="D1579" s="29" t="s">
        <v>31798</v>
      </c>
      <c r="E1579" s="29" t="s">
        <v>44327</v>
      </c>
      <c r="F1579" s="36" t="s">
        <v>54401</v>
      </c>
      <c r="G1579" s="39">
        <v>2177366.61</v>
      </c>
      <c r="H1579" s="42">
        <v>211</v>
      </c>
    </row>
    <row r="1580" spans="1:8" ht="15" customHeight="1">
      <c r="A1580" s="26">
        <v>7225515</v>
      </c>
      <c r="B1580" s="30" t="s">
        <v>3822</v>
      </c>
      <c r="C1580" s="29" t="s">
        <v>18644</v>
      </c>
      <c r="D1580" s="29" t="s">
        <v>31799</v>
      </c>
      <c r="E1580" s="29" t="s">
        <v>43926</v>
      </c>
      <c r="F1580" s="36" t="s">
        <v>54401</v>
      </c>
      <c r="G1580" s="39">
        <f>1130552.76+833693</f>
        <v>1964245.76</v>
      </c>
      <c r="H1580" s="42">
        <v>211</v>
      </c>
    </row>
    <row r="1581" spans="1:8" ht="15" customHeight="1">
      <c r="A1581" s="26">
        <v>7225518</v>
      </c>
      <c r="B1581" s="30" t="s">
        <v>3823</v>
      </c>
      <c r="C1581" s="29" t="s">
        <v>18645</v>
      </c>
      <c r="D1581" s="29" t="s">
        <v>31800</v>
      </c>
      <c r="E1581" s="29" t="s">
        <v>45225</v>
      </c>
      <c r="F1581" s="36" t="s">
        <v>54401</v>
      </c>
      <c r="G1581" s="39">
        <f>83554.33+21778</f>
        <v>105332.33</v>
      </c>
      <c r="H1581" s="42">
        <v>211</v>
      </c>
    </row>
    <row r="1582" spans="1:8" ht="15" customHeight="1">
      <c r="A1582" s="26">
        <v>7225520</v>
      </c>
      <c r="B1582" s="30" t="s">
        <v>3824</v>
      </c>
      <c r="C1582" s="29" t="s">
        <v>18646</v>
      </c>
      <c r="D1582" s="29" t="s">
        <v>31801</v>
      </c>
      <c r="E1582" s="29" t="s">
        <v>45226</v>
      </c>
      <c r="F1582" s="36" t="s">
        <v>54401</v>
      </c>
      <c r="G1582" s="39">
        <v>5590231.7999999998</v>
      </c>
      <c r="H1582" s="42">
        <v>211</v>
      </c>
    </row>
    <row r="1583" spans="1:8" ht="15" customHeight="1">
      <c r="A1583" s="26">
        <v>7225524</v>
      </c>
      <c r="B1583" s="30" t="s">
        <v>3825</v>
      </c>
      <c r="C1583" s="29" t="s">
        <v>18647</v>
      </c>
      <c r="D1583" s="29" t="s">
        <v>31802</v>
      </c>
      <c r="E1583" s="29" t="s">
        <v>45227</v>
      </c>
      <c r="F1583" s="36" t="s">
        <v>54401</v>
      </c>
      <c r="G1583" s="39">
        <v>687647.85</v>
      </c>
      <c r="H1583" s="42">
        <v>211</v>
      </c>
    </row>
    <row r="1584" spans="1:8" ht="15" customHeight="1">
      <c r="A1584" s="26">
        <v>7225532</v>
      </c>
      <c r="B1584" s="30" t="s">
        <v>3826</v>
      </c>
      <c r="C1584" s="29" t="s">
        <v>18648</v>
      </c>
      <c r="D1584" s="29" t="s">
        <v>31803</v>
      </c>
      <c r="E1584" s="29" t="s">
        <v>45228</v>
      </c>
      <c r="F1584" s="36" t="s">
        <v>54401</v>
      </c>
      <c r="G1584" s="39">
        <v>2068934.36</v>
      </c>
      <c r="H1584" s="42">
        <v>211</v>
      </c>
    </row>
    <row r="1585" spans="1:8" ht="15" customHeight="1">
      <c r="A1585" s="26">
        <v>7225625</v>
      </c>
      <c r="B1585" s="30" t="s">
        <v>3827</v>
      </c>
      <c r="C1585" s="29" t="s">
        <v>17204</v>
      </c>
      <c r="D1585" s="29" t="s">
        <v>30349</v>
      </c>
      <c r="E1585" s="29" t="s">
        <v>43926</v>
      </c>
      <c r="F1585" s="36" t="s">
        <v>54401</v>
      </c>
      <c r="G1585" s="39">
        <v>39601.040000000001</v>
      </c>
      <c r="H1585" s="42">
        <v>211</v>
      </c>
    </row>
    <row r="1586" spans="1:8" ht="15" customHeight="1">
      <c r="A1586" s="26">
        <v>7225633</v>
      </c>
      <c r="B1586" s="30" t="s">
        <v>3805</v>
      </c>
      <c r="C1586" s="29" t="s">
        <v>18630</v>
      </c>
      <c r="D1586" s="29" t="s">
        <v>31784</v>
      </c>
      <c r="E1586" s="29" t="s">
        <v>45229</v>
      </c>
      <c r="F1586" s="36" t="s">
        <v>54401</v>
      </c>
      <c r="G1586" s="39">
        <v>89422.17</v>
      </c>
      <c r="H1586" s="42">
        <v>211</v>
      </c>
    </row>
    <row r="1587" spans="1:8" ht="15" customHeight="1">
      <c r="A1587" s="26">
        <v>7225637</v>
      </c>
      <c r="B1587" s="30" t="s">
        <v>3828</v>
      </c>
      <c r="C1587" s="29" t="s">
        <v>18649</v>
      </c>
      <c r="D1587" s="29" t="s">
        <v>31804</v>
      </c>
      <c r="E1587" s="29" t="s">
        <v>45230</v>
      </c>
      <c r="F1587" s="36" t="s">
        <v>54401</v>
      </c>
      <c r="G1587" s="39">
        <v>193095.97</v>
      </c>
      <c r="H1587" s="42">
        <v>211</v>
      </c>
    </row>
    <row r="1588" spans="1:8" ht="15" customHeight="1">
      <c r="A1588" s="26">
        <v>7225649</v>
      </c>
      <c r="B1588" s="30" t="s">
        <v>3829</v>
      </c>
      <c r="C1588" s="29" t="s">
        <v>18650</v>
      </c>
      <c r="D1588" s="29" t="s">
        <v>31805</v>
      </c>
      <c r="E1588" s="29" t="s">
        <v>45231</v>
      </c>
      <c r="F1588" s="36" t="s">
        <v>54401</v>
      </c>
      <c r="G1588" s="39">
        <v>379511.28</v>
      </c>
      <c r="H1588" s="42">
        <v>211</v>
      </c>
    </row>
    <row r="1589" spans="1:8" ht="15" customHeight="1">
      <c r="A1589" s="26">
        <v>7225657</v>
      </c>
      <c r="B1589" s="30" t="s">
        <v>3830</v>
      </c>
      <c r="C1589" s="26" t="s">
        <v>17204</v>
      </c>
      <c r="D1589" s="26" t="s">
        <v>30349</v>
      </c>
      <c r="E1589" s="26" t="s">
        <v>43926</v>
      </c>
      <c r="F1589" s="37" t="s">
        <v>54401</v>
      </c>
      <c r="G1589" s="39">
        <f>48245.54+137029</f>
        <v>185274.54</v>
      </c>
      <c r="H1589" s="42">
        <v>211</v>
      </c>
    </row>
    <row r="1590" spans="1:8" ht="15" customHeight="1">
      <c r="A1590" s="26">
        <v>7225659</v>
      </c>
      <c r="B1590" s="30" t="s">
        <v>3831</v>
      </c>
      <c r="C1590" s="29" t="s">
        <v>18651</v>
      </c>
      <c r="D1590" s="29" t="s">
        <v>31806</v>
      </c>
      <c r="E1590" s="29" t="s">
        <v>45232</v>
      </c>
      <c r="F1590" s="36" t="s">
        <v>54401</v>
      </c>
      <c r="G1590" s="39">
        <v>664355.65</v>
      </c>
      <c r="H1590" s="42">
        <v>211</v>
      </c>
    </row>
    <row r="1591" spans="1:8" ht="15" customHeight="1">
      <c r="A1591" s="26">
        <v>7225660</v>
      </c>
      <c r="B1591" s="30" t="s">
        <v>3832</v>
      </c>
      <c r="C1591" s="29" t="s">
        <v>18652</v>
      </c>
      <c r="D1591" s="29" t="s">
        <v>31807</v>
      </c>
      <c r="E1591" s="29" t="s">
        <v>44047</v>
      </c>
      <c r="F1591" s="36" t="s">
        <v>54401</v>
      </c>
      <c r="G1591" s="39">
        <v>2204233.54</v>
      </c>
      <c r="H1591" s="42">
        <v>211</v>
      </c>
    </row>
    <row r="1592" spans="1:8" ht="15" customHeight="1">
      <c r="A1592" s="26">
        <v>7225663</v>
      </c>
      <c r="B1592" s="30" t="s">
        <v>3833</v>
      </c>
      <c r="C1592" s="29" t="s">
        <v>18653</v>
      </c>
      <c r="D1592" s="29" t="s">
        <v>31808</v>
      </c>
      <c r="E1592" s="29" t="s">
        <v>45233</v>
      </c>
      <c r="F1592" s="36" t="s">
        <v>54401</v>
      </c>
      <c r="G1592" s="39">
        <f>3883088.87+282757</f>
        <v>4165845.87</v>
      </c>
      <c r="H1592" s="42">
        <v>211</v>
      </c>
    </row>
    <row r="1593" spans="1:8" ht="15" customHeight="1">
      <c r="A1593" s="26">
        <v>7225677</v>
      </c>
      <c r="B1593" s="30" t="s">
        <v>3834</v>
      </c>
      <c r="C1593" s="29" t="s">
        <v>18654</v>
      </c>
      <c r="D1593" s="29" t="s">
        <v>31809</v>
      </c>
      <c r="E1593" s="29" t="s">
        <v>45234</v>
      </c>
      <c r="F1593" s="36" t="s">
        <v>54401</v>
      </c>
      <c r="G1593" s="39">
        <v>190413.2</v>
      </c>
      <c r="H1593" s="42">
        <v>211</v>
      </c>
    </row>
    <row r="1594" spans="1:8" ht="15" customHeight="1">
      <c r="A1594" s="26">
        <v>7225687</v>
      </c>
      <c r="B1594" s="30" t="s">
        <v>3835</v>
      </c>
      <c r="C1594" s="29" t="s">
        <v>18655</v>
      </c>
      <c r="D1594" s="29" t="s">
        <v>31810</v>
      </c>
      <c r="E1594" s="29" t="s">
        <v>45235</v>
      </c>
      <c r="F1594" s="36" t="s">
        <v>54401</v>
      </c>
      <c r="G1594" s="39">
        <v>269369.65000000002</v>
      </c>
      <c r="H1594" s="42">
        <v>211</v>
      </c>
    </row>
    <row r="1595" spans="1:8" ht="15" customHeight="1">
      <c r="A1595" s="26">
        <v>7225688</v>
      </c>
      <c r="B1595" s="30" t="s">
        <v>3836</v>
      </c>
      <c r="C1595" s="29" t="s">
        <v>18656</v>
      </c>
      <c r="D1595" s="29" t="s">
        <v>31811</v>
      </c>
      <c r="E1595" s="29" t="s">
        <v>45236</v>
      </c>
      <c r="F1595" s="36" t="s">
        <v>54401</v>
      </c>
      <c r="G1595" s="39">
        <v>104280.12</v>
      </c>
      <c r="H1595" s="42">
        <v>211</v>
      </c>
    </row>
    <row r="1596" spans="1:8" ht="15" customHeight="1">
      <c r="A1596" s="26">
        <v>7225694</v>
      </c>
      <c r="B1596" s="30" t="s">
        <v>3837</v>
      </c>
      <c r="C1596" s="29" t="s">
        <v>18657</v>
      </c>
      <c r="D1596" s="29" t="s">
        <v>31812</v>
      </c>
      <c r="E1596" s="29" t="s">
        <v>45237</v>
      </c>
      <c r="F1596" s="36" t="s">
        <v>54401</v>
      </c>
      <c r="G1596" s="39">
        <v>868634.5</v>
      </c>
      <c r="H1596" s="42">
        <v>211</v>
      </c>
    </row>
    <row r="1597" spans="1:8" ht="15" customHeight="1">
      <c r="A1597" s="26">
        <v>7225714</v>
      </c>
      <c r="B1597" s="30" t="s">
        <v>3838</v>
      </c>
      <c r="C1597" s="29" t="s">
        <v>18658</v>
      </c>
      <c r="D1597" s="29" t="s">
        <v>31813</v>
      </c>
      <c r="E1597" s="29" t="s">
        <v>45006</v>
      </c>
      <c r="F1597" s="36" t="s">
        <v>54401</v>
      </c>
      <c r="G1597" s="39">
        <v>1487256.65</v>
      </c>
      <c r="H1597" s="42">
        <v>211</v>
      </c>
    </row>
    <row r="1598" spans="1:8" ht="15" customHeight="1">
      <c r="A1598" s="26">
        <v>7225777</v>
      </c>
      <c r="B1598" s="30" t="s">
        <v>3839</v>
      </c>
      <c r="C1598" s="29" t="s">
        <v>18659</v>
      </c>
      <c r="D1598" s="29" t="s">
        <v>31814</v>
      </c>
      <c r="E1598" s="29" t="s">
        <v>45238</v>
      </c>
      <c r="F1598" s="36" t="s">
        <v>54401</v>
      </c>
      <c r="G1598" s="39">
        <f>917218.61+36470</f>
        <v>953688.61</v>
      </c>
      <c r="H1598" s="42">
        <v>211</v>
      </c>
    </row>
    <row r="1599" spans="1:8" ht="15" customHeight="1">
      <c r="A1599" s="26">
        <v>7225779</v>
      </c>
      <c r="B1599" s="30" t="s">
        <v>3840</v>
      </c>
      <c r="C1599" s="29" t="s">
        <v>18660</v>
      </c>
      <c r="D1599" s="29" t="s">
        <v>31815</v>
      </c>
      <c r="E1599" s="29" t="s">
        <v>45239</v>
      </c>
      <c r="F1599" s="36" t="s">
        <v>54412</v>
      </c>
      <c r="G1599" s="39">
        <v>255371.42</v>
      </c>
      <c r="H1599" s="42">
        <v>211</v>
      </c>
    </row>
    <row r="1600" spans="1:8" ht="15" customHeight="1">
      <c r="A1600" s="26">
        <v>7225782</v>
      </c>
      <c r="B1600" s="30" t="s">
        <v>3841</v>
      </c>
      <c r="C1600" s="29" t="s">
        <v>18661</v>
      </c>
      <c r="D1600" s="29" t="s">
        <v>31816</v>
      </c>
      <c r="E1600" s="29" t="s">
        <v>45240</v>
      </c>
      <c r="F1600" s="36" t="s">
        <v>54401</v>
      </c>
      <c r="G1600" s="39">
        <v>237612.82</v>
      </c>
      <c r="H1600" s="42">
        <v>211</v>
      </c>
    </row>
    <row r="1601" spans="1:8" ht="15" customHeight="1">
      <c r="A1601" s="26">
        <v>7225795</v>
      </c>
      <c r="B1601" s="30" t="s">
        <v>3842</v>
      </c>
      <c r="C1601" s="29" t="s">
        <v>18662</v>
      </c>
      <c r="D1601" s="29" t="s">
        <v>31817</v>
      </c>
      <c r="E1601" s="29" t="s">
        <v>45241</v>
      </c>
      <c r="F1601" s="36" t="s">
        <v>54401</v>
      </c>
      <c r="G1601" s="39">
        <f>2531474.68+376755</f>
        <v>2908229.68</v>
      </c>
      <c r="H1601" s="42">
        <v>211</v>
      </c>
    </row>
    <row r="1602" spans="1:8" ht="15" customHeight="1">
      <c r="A1602" s="26">
        <v>7225798</v>
      </c>
      <c r="B1602" s="30" t="s">
        <v>3843</v>
      </c>
      <c r="C1602" s="29" t="s">
        <v>18663</v>
      </c>
      <c r="D1602" s="29" t="s">
        <v>31818</v>
      </c>
      <c r="E1602" s="29" t="s">
        <v>45242</v>
      </c>
      <c r="F1602" s="36" t="s">
        <v>54401</v>
      </c>
      <c r="G1602" s="39">
        <v>823802.08</v>
      </c>
      <c r="H1602" s="42">
        <v>211</v>
      </c>
    </row>
    <row r="1603" spans="1:8" ht="15" customHeight="1">
      <c r="A1603" s="26">
        <v>7225814</v>
      </c>
      <c r="B1603" s="30" t="s">
        <v>3844</v>
      </c>
      <c r="C1603" s="26" t="s">
        <v>18664</v>
      </c>
      <c r="D1603" s="26" t="s">
        <v>31819</v>
      </c>
      <c r="E1603" s="26" t="s">
        <v>45243</v>
      </c>
      <c r="F1603" s="37" t="s">
        <v>54406</v>
      </c>
      <c r="G1603" s="39">
        <v>132250.31</v>
      </c>
      <c r="H1603" s="42">
        <v>211</v>
      </c>
    </row>
    <row r="1604" spans="1:8" ht="15" customHeight="1">
      <c r="A1604" s="26">
        <v>7225824</v>
      </c>
      <c r="B1604" s="30" t="s">
        <v>3845</v>
      </c>
      <c r="C1604" s="29" t="s">
        <v>18665</v>
      </c>
      <c r="D1604" s="29" t="s">
        <v>31820</v>
      </c>
      <c r="E1604" s="29" t="s">
        <v>45244</v>
      </c>
      <c r="F1604" s="36" t="s">
        <v>54401</v>
      </c>
      <c r="G1604" s="39">
        <v>26689.08</v>
      </c>
      <c r="H1604" s="42">
        <v>211</v>
      </c>
    </row>
    <row r="1605" spans="1:8" ht="15" customHeight="1">
      <c r="A1605" s="26">
        <v>7225873</v>
      </c>
      <c r="B1605" s="30" t="s">
        <v>3846</v>
      </c>
      <c r="C1605" s="29" t="s">
        <v>18666</v>
      </c>
      <c r="D1605" s="29" t="s">
        <v>31821</v>
      </c>
      <c r="E1605" s="29" t="s">
        <v>45245</v>
      </c>
      <c r="F1605" s="36" t="s">
        <v>54401</v>
      </c>
      <c r="G1605" s="39">
        <v>4485907.4400000004</v>
      </c>
      <c r="H1605" s="42">
        <v>211</v>
      </c>
    </row>
    <row r="1606" spans="1:8" ht="15" customHeight="1">
      <c r="A1606" s="26">
        <v>7225875</v>
      </c>
      <c r="B1606" s="30" t="s">
        <v>3847</v>
      </c>
      <c r="C1606" s="29" t="s">
        <v>18667</v>
      </c>
      <c r="D1606" s="29" t="s">
        <v>31822</v>
      </c>
      <c r="E1606" s="29" t="s">
        <v>45246</v>
      </c>
      <c r="F1606" s="36" t="s">
        <v>54401</v>
      </c>
      <c r="G1606" s="39">
        <v>570216.81999999995</v>
      </c>
      <c r="H1606" s="42">
        <v>211</v>
      </c>
    </row>
    <row r="1607" spans="1:8" ht="15" customHeight="1">
      <c r="A1607" s="26">
        <v>7225885</v>
      </c>
      <c r="B1607" s="30" t="s">
        <v>3848</v>
      </c>
      <c r="C1607" s="29" t="s">
        <v>18668</v>
      </c>
      <c r="D1607" s="29" t="s">
        <v>31823</v>
      </c>
      <c r="E1607" s="29" t="s">
        <v>45178</v>
      </c>
      <c r="F1607" s="36" t="s">
        <v>54401</v>
      </c>
      <c r="G1607" s="39">
        <f>1207701.75-8680</f>
        <v>1199021.75</v>
      </c>
      <c r="H1607" s="42">
        <v>211</v>
      </c>
    </row>
    <row r="1608" spans="1:8" ht="15" customHeight="1">
      <c r="A1608" s="26">
        <v>7225917</v>
      </c>
      <c r="B1608" s="30" t="s">
        <v>3849</v>
      </c>
      <c r="C1608" s="29" t="s">
        <v>18669</v>
      </c>
      <c r="D1608" s="29" t="s">
        <v>31824</v>
      </c>
      <c r="E1608" s="29" t="s">
        <v>45247</v>
      </c>
      <c r="F1608" s="36" t="s">
        <v>54401</v>
      </c>
      <c r="G1608" s="39">
        <f>1188801.36+120436</f>
        <v>1309237.3600000001</v>
      </c>
      <c r="H1608" s="42">
        <v>211</v>
      </c>
    </row>
    <row r="1609" spans="1:8" ht="15" customHeight="1">
      <c r="A1609" s="26">
        <v>7225924</v>
      </c>
      <c r="B1609" s="30" t="s">
        <v>3850</v>
      </c>
      <c r="C1609" s="29" t="s">
        <v>17204</v>
      </c>
      <c r="D1609" s="29" t="s">
        <v>31825</v>
      </c>
      <c r="E1609" s="29" t="s">
        <v>43926</v>
      </c>
      <c r="F1609" s="36" t="s">
        <v>54401</v>
      </c>
      <c r="G1609" s="39">
        <f>1425812.83+399279</f>
        <v>1825091.83</v>
      </c>
      <c r="H1609" s="42">
        <v>211</v>
      </c>
    </row>
    <row r="1610" spans="1:8" ht="15" customHeight="1">
      <c r="A1610" s="26">
        <v>7225925</v>
      </c>
      <c r="B1610" s="30" t="s">
        <v>3851</v>
      </c>
      <c r="C1610" s="29" t="s">
        <v>18670</v>
      </c>
      <c r="D1610" s="29" t="s">
        <v>31826</v>
      </c>
      <c r="E1610" s="29" t="s">
        <v>45248</v>
      </c>
      <c r="F1610" s="36" t="s">
        <v>54401</v>
      </c>
      <c r="G1610" s="39">
        <v>257176.47</v>
      </c>
      <c r="H1610" s="42">
        <v>211</v>
      </c>
    </row>
    <row r="1611" spans="1:8" ht="15" customHeight="1">
      <c r="A1611" s="26">
        <v>7225934</v>
      </c>
      <c r="B1611" s="30" t="s">
        <v>3852</v>
      </c>
      <c r="C1611" s="26" t="s">
        <v>18671</v>
      </c>
      <c r="D1611" s="26" t="s">
        <v>31827</v>
      </c>
      <c r="E1611" s="26" t="s">
        <v>45249</v>
      </c>
      <c r="F1611" s="37" t="s">
        <v>54401</v>
      </c>
      <c r="G1611" s="39">
        <v>369824.98</v>
      </c>
      <c r="H1611" s="42">
        <v>211</v>
      </c>
    </row>
    <row r="1612" spans="1:8" ht="15" customHeight="1">
      <c r="A1612" s="26">
        <v>7225969</v>
      </c>
      <c r="B1612" s="30" t="s">
        <v>3853</v>
      </c>
      <c r="C1612" s="26" t="s">
        <v>18672</v>
      </c>
      <c r="D1612" s="26" t="s">
        <v>31828</v>
      </c>
      <c r="E1612" s="26" t="s">
        <v>45250</v>
      </c>
      <c r="F1612" s="37" t="s">
        <v>54401</v>
      </c>
      <c r="G1612" s="39">
        <v>301445.26</v>
      </c>
      <c r="H1612" s="42">
        <v>211</v>
      </c>
    </row>
    <row r="1613" spans="1:8" ht="15" customHeight="1">
      <c r="A1613" s="26">
        <v>7226024</v>
      </c>
      <c r="B1613" s="30" t="s">
        <v>3854</v>
      </c>
      <c r="C1613" s="26" t="s">
        <v>18673</v>
      </c>
      <c r="D1613" s="26" t="s">
        <v>31829</v>
      </c>
      <c r="E1613" s="26" t="s">
        <v>44737</v>
      </c>
      <c r="F1613" s="37" t="s">
        <v>54401</v>
      </c>
      <c r="G1613" s="39">
        <v>68080</v>
      </c>
      <c r="H1613" s="42">
        <v>211</v>
      </c>
    </row>
    <row r="1614" spans="1:8" ht="15" customHeight="1">
      <c r="A1614" s="26">
        <v>7226028</v>
      </c>
      <c r="B1614" s="30" t="s">
        <v>3855</v>
      </c>
      <c r="C1614" s="29" t="s">
        <v>18674</v>
      </c>
      <c r="D1614" s="29" t="s">
        <v>31830</v>
      </c>
      <c r="E1614" s="29" t="s">
        <v>45251</v>
      </c>
      <c r="F1614" s="36" t="s">
        <v>54401</v>
      </c>
      <c r="G1614" s="39">
        <f>2760473.62+1318436</f>
        <v>4078909.62</v>
      </c>
      <c r="H1614" s="42">
        <v>211</v>
      </c>
    </row>
    <row r="1615" spans="1:8" ht="15" customHeight="1">
      <c r="A1615" s="26">
        <v>7226031</v>
      </c>
      <c r="B1615" s="30" t="s">
        <v>3856</v>
      </c>
      <c r="C1615" s="29" t="s">
        <v>18675</v>
      </c>
      <c r="D1615" s="29" t="s">
        <v>31831</v>
      </c>
      <c r="E1615" s="29" t="s">
        <v>45252</v>
      </c>
      <c r="F1615" s="36" t="s">
        <v>54401</v>
      </c>
      <c r="G1615" s="39">
        <v>1224689.44</v>
      </c>
      <c r="H1615" s="42">
        <v>211</v>
      </c>
    </row>
    <row r="1616" spans="1:8" ht="15" customHeight="1">
      <c r="A1616" s="26">
        <v>7226055</v>
      </c>
      <c r="B1616" s="30" t="s">
        <v>3857</v>
      </c>
      <c r="C1616" s="29" t="s">
        <v>18676</v>
      </c>
      <c r="D1616" s="29" t="s">
        <v>30349</v>
      </c>
      <c r="E1616" s="29" t="s">
        <v>45253</v>
      </c>
      <c r="F1616" s="36" t="s">
        <v>54401</v>
      </c>
      <c r="G1616" s="39">
        <v>661679.76</v>
      </c>
      <c r="H1616" s="42">
        <v>211</v>
      </c>
    </row>
    <row r="1617" spans="1:8" ht="15" customHeight="1">
      <c r="A1617" s="26">
        <v>7226068</v>
      </c>
      <c r="B1617" s="30" t="s">
        <v>3858</v>
      </c>
      <c r="C1617" s="29" t="s">
        <v>18677</v>
      </c>
      <c r="D1617" s="29" t="s">
        <v>31832</v>
      </c>
      <c r="E1617" s="29" t="s">
        <v>45254</v>
      </c>
      <c r="F1617" s="36" t="s">
        <v>54401</v>
      </c>
      <c r="G1617" s="39">
        <f>2547516.16+362993</f>
        <v>2910509.16</v>
      </c>
      <c r="H1617" s="42">
        <v>211</v>
      </c>
    </row>
    <row r="1618" spans="1:8" ht="15" customHeight="1">
      <c r="A1618" s="26">
        <v>7226075</v>
      </c>
      <c r="B1618" s="30" t="s">
        <v>3859</v>
      </c>
      <c r="C1618" s="29" t="s">
        <v>18678</v>
      </c>
      <c r="D1618" s="29" t="s">
        <v>31833</v>
      </c>
      <c r="E1618" s="29" t="s">
        <v>45255</v>
      </c>
      <c r="F1618" s="36" t="s">
        <v>54401</v>
      </c>
      <c r="G1618" s="39">
        <v>806533.74</v>
      </c>
      <c r="H1618" s="42">
        <v>211</v>
      </c>
    </row>
    <row r="1619" spans="1:8" ht="15" customHeight="1">
      <c r="A1619" s="26">
        <v>7226088</v>
      </c>
      <c r="B1619" s="30" t="s">
        <v>3860</v>
      </c>
      <c r="C1619" s="29" t="s">
        <v>18679</v>
      </c>
      <c r="D1619" s="29" t="s">
        <v>31834</v>
      </c>
      <c r="E1619" s="29" t="s">
        <v>45256</v>
      </c>
      <c r="F1619" s="36" t="s">
        <v>54401</v>
      </c>
      <c r="G1619" s="39">
        <f>1510952.44+705905</f>
        <v>2216857.44</v>
      </c>
      <c r="H1619" s="42">
        <v>211</v>
      </c>
    </row>
    <row r="1620" spans="1:8" ht="15" customHeight="1">
      <c r="A1620" s="26">
        <v>7226103</v>
      </c>
      <c r="B1620" s="30" t="s">
        <v>3861</v>
      </c>
      <c r="C1620" s="29" t="s">
        <v>18680</v>
      </c>
      <c r="D1620" s="29" t="s">
        <v>31835</v>
      </c>
      <c r="E1620" s="29" t="s">
        <v>45257</v>
      </c>
      <c r="F1620" s="36" t="s">
        <v>54401</v>
      </c>
      <c r="G1620" s="39">
        <f>757424.59+283358</f>
        <v>1040782.59</v>
      </c>
      <c r="H1620" s="42">
        <v>211</v>
      </c>
    </row>
    <row r="1621" spans="1:8" ht="15" customHeight="1">
      <c r="A1621" s="26">
        <v>7226106</v>
      </c>
      <c r="B1621" s="30" t="s">
        <v>3862</v>
      </c>
      <c r="C1621" s="29" t="s">
        <v>18681</v>
      </c>
      <c r="D1621" s="29" t="s">
        <v>31836</v>
      </c>
      <c r="E1621" s="29" t="s">
        <v>45258</v>
      </c>
      <c r="F1621" s="36" t="s">
        <v>54401</v>
      </c>
      <c r="G1621" s="39">
        <v>97824.82</v>
      </c>
      <c r="H1621" s="42">
        <v>211</v>
      </c>
    </row>
    <row r="1622" spans="1:8" ht="15" customHeight="1">
      <c r="A1622" s="26">
        <v>7226118</v>
      </c>
      <c r="B1622" s="30" t="s">
        <v>3863</v>
      </c>
      <c r="C1622" s="29" t="s">
        <v>18682</v>
      </c>
      <c r="D1622" s="29" t="s">
        <v>31837</v>
      </c>
      <c r="E1622" s="29" t="s">
        <v>45259</v>
      </c>
      <c r="F1622" s="36" t="s">
        <v>54401</v>
      </c>
      <c r="G1622" s="39">
        <v>710399.97</v>
      </c>
      <c r="H1622" s="42">
        <v>211</v>
      </c>
    </row>
    <row r="1623" spans="1:8" ht="15" customHeight="1">
      <c r="A1623" s="26">
        <v>7226139</v>
      </c>
      <c r="B1623" s="30" t="s">
        <v>3864</v>
      </c>
      <c r="C1623" s="29" t="s">
        <v>18683</v>
      </c>
      <c r="D1623" s="29" t="s">
        <v>31838</v>
      </c>
      <c r="E1623" s="29" t="s">
        <v>45260</v>
      </c>
      <c r="F1623" s="36" t="s">
        <v>54401</v>
      </c>
      <c r="G1623" s="39">
        <v>10509.42</v>
      </c>
      <c r="H1623" s="42">
        <v>211</v>
      </c>
    </row>
    <row r="1624" spans="1:8" ht="15" customHeight="1">
      <c r="A1624" s="26">
        <v>7226156</v>
      </c>
      <c r="B1624" s="30" t="s">
        <v>3865</v>
      </c>
      <c r="C1624" s="26" t="s">
        <v>18684</v>
      </c>
      <c r="D1624" s="26" t="s">
        <v>31839</v>
      </c>
      <c r="E1624" s="26" t="s">
        <v>45261</v>
      </c>
      <c r="F1624" s="37" t="s">
        <v>54401</v>
      </c>
      <c r="G1624" s="39">
        <f>1003376.44+316355</f>
        <v>1319731.44</v>
      </c>
      <c r="H1624" s="42">
        <v>211</v>
      </c>
    </row>
    <row r="1625" spans="1:8" ht="15" customHeight="1">
      <c r="A1625" s="26">
        <v>7226166</v>
      </c>
      <c r="B1625" s="30" t="s">
        <v>3866</v>
      </c>
      <c r="C1625" s="29" t="s">
        <v>18685</v>
      </c>
      <c r="D1625" s="29" t="s">
        <v>31840</v>
      </c>
      <c r="E1625" s="29" t="s">
        <v>45262</v>
      </c>
      <c r="F1625" s="36" t="s">
        <v>54401</v>
      </c>
      <c r="G1625" s="39">
        <v>154631.41</v>
      </c>
      <c r="H1625" s="42">
        <v>211</v>
      </c>
    </row>
    <row r="1626" spans="1:8" ht="15" customHeight="1">
      <c r="A1626" s="26">
        <v>7226196</v>
      </c>
      <c r="B1626" s="30" t="s">
        <v>3867</v>
      </c>
      <c r="C1626" s="29" t="s">
        <v>18686</v>
      </c>
      <c r="D1626" s="29" t="s">
        <v>31841</v>
      </c>
      <c r="E1626" s="29" t="s">
        <v>45263</v>
      </c>
      <c r="F1626" s="36" t="s">
        <v>54401</v>
      </c>
      <c r="G1626" s="39">
        <v>403611.68</v>
      </c>
      <c r="H1626" s="42">
        <v>211</v>
      </c>
    </row>
    <row r="1627" spans="1:8" ht="15" customHeight="1">
      <c r="A1627" s="26">
        <v>7226257</v>
      </c>
      <c r="B1627" s="30" t="s">
        <v>3868</v>
      </c>
      <c r="C1627" s="29" t="s">
        <v>18687</v>
      </c>
      <c r="D1627" s="29" t="s">
        <v>31842</v>
      </c>
      <c r="E1627" s="29" t="s">
        <v>45264</v>
      </c>
      <c r="F1627" s="36" t="s">
        <v>54401</v>
      </c>
      <c r="G1627" s="39">
        <v>95383.84</v>
      </c>
      <c r="H1627" s="42">
        <v>211</v>
      </c>
    </row>
    <row r="1628" spans="1:8" ht="15" customHeight="1">
      <c r="A1628" s="26">
        <v>7226302</v>
      </c>
      <c r="B1628" s="30" t="s">
        <v>3869</v>
      </c>
      <c r="C1628" s="29" t="s">
        <v>18688</v>
      </c>
      <c r="D1628" s="29" t="s">
        <v>31843</v>
      </c>
      <c r="E1628" s="29" t="s">
        <v>45265</v>
      </c>
      <c r="F1628" s="36" t="s">
        <v>54401</v>
      </c>
      <c r="G1628" s="39">
        <v>3756742.83</v>
      </c>
      <c r="H1628" s="42">
        <v>211</v>
      </c>
    </row>
    <row r="1629" spans="1:8" ht="15" customHeight="1">
      <c r="A1629" s="26">
        <v>7226304</v>
      </c>
      <c r="B1629" s="30" t="s">
        <v>3870</v>
      </c>
      <c r="C1629" s="29" t="s">
        <v>18689</v>
      </c>
      <c r="D1629" s="29" t="s">
        <v>31844</v>
      </c>
      <c r="E1629" s="29" t="s">
        <v>45266</v>
      </c>
      <c r="F1629" s="36" t="s">
        <v>54401</v>
      </c>
      <c r="G1629" s="39">
        <f>3768921.04+11800</f>
        <v>3780721.04</v>
      </c>
      <c r="H1629" s="42">
        <v>211</v>
      </c>
    </row>
    <row r="1630" spans="1:8" ht="15" customHeight="1">
      <c r="A1630" s="26">
        <v>7226307</v>
      </c>
      <c r="B1630" s="30" t="s">
        <v>3871</v>
      </c>
      <c r="C1630" s="29" t="s">
        <v>17204</v>
      </c>
      <c r="D1630" s="29" t="s">
        <v>31845</v>
      </c>
      <c r="E1630" s="29" t="s">
        <v>43926</v>
      </c>
      <c r="F1630" s="36" t="s">
        <v>54401</v>
      </c>
      <c r="G1630" s="39">
        <v>317149.89</v>
      </c>
      <c r="H1630" s="42">
        <v>211</v>
      </c>
    </row>
    <row r="1631" spans="1:8" ht="15" customHeight="1">
      <c r="A1631" s="26">
        <v>7226336</v>
      </c>
      <c r="B1631" s="30" t="s">
        <v>3872</v>
      </c>
      <c r="C1631" s="29" t="s">
        <v>18690</v>
      </c>
      <c r="D1631" s="29" t="s">
        <v>30376</v>
      </c>
      <c r="E1631" s="29" t="s">
        <v>45267</v>
      </c>
      <c r="F1631" s="36" t="s">
        <v>54401</v>
      </c>
      <c r="G1631" s="39">
        <f>215697.96+465658+379069</f>
        <v>1060424.96</v>
      </c>
      <c r="H1631" s="42">
        <v>211</v>
      </c>
    </row>
    <row r="1632" spans="1:8" ht="15" customHeight="1">
      <c r="A1632" s="26">
        <v>7226394</v>
      </c>
      <c r="B1632" s="30" t="s">
        <v>3873</v>
      </c>
      <c r="C1632" s="29" t="s">
        <v>18691</v>
      </c>
      <c r="D1632" s="29" t="s">
        <v>31846</v>
      </c>
      <c r="E1632" s="29" t="s">
        <v>45268</v>
      </c>
      <c r="F1632" s="36" t="s">
        <v>54401</v>
      </c>
      <c r="G1632" s="39">
        <v>544672.27</v>
      </c>
      <c r="H1632" s="42">
        <v>211</v>
      </c>
    </row>
    <row r="1633" spans="1:8" ht="15" customHeight="1">
      <c r="A1633" s="26">
        <v>7226430</v>
      </c>
      <c r="B1633" s="30" t="s">
        <v>3874</v>
      </c>
      <c r="C1633" s="29" t="s">
        <v>18692</v>
      </c>
      <c r="D1633" s="29" t="s">
        <v>31847</v>
      </c>
      <c r="E1633" s="29" t="s">
        <v>45269</v>
      </c>
      <c r="F1633" s="36" t="s">
        <v>54401</v>
      </c>
      <c r="G1633" s="39">
        <v>667604.67000000004</v>
      </c>
      <c r="H1633" s="42">
        <v>211</v>
      </c>
    </row>
    <row r="1634" spans="1:8" ht="15" customHeight="1">
      <c r="A1634" s="26">
        <v>7226445</v>
      </c>
      <c r="B1634" s="30" t="s">
        <v>3875</v>
      </c>
      <c r="C1634" s="29" t="s">
        <v>18693</v>
      </c>
      <c r="D1634" s="29" t="s">
        <v>31848</v>
      </c>
      <c r="E1634" s="29" t="s">
        <v>44345</v>
      </c>
      <c r="F1634" s="36" t="s">
        <v>54401</v>
      </c>
      <c r="G1634" s="39">
        <v>1857807.25</v>
      </c>
      <c r="H1634" s="42">
        <v>211</v>
      </c>
    </row>
    <row r="1635" spans="1:8" ht="15" customHeight="1">
      <c r="A1635" s="26">
        <v>7226479</v>
      </c>
      <c r="B1635" s="30" t="s">
        <v>3876</v>
      </c>
      <c r="C1635" s="29" t="s">
        <v>18694</v>
      </c>
      <c r="D1635" s="29" t="s">
        <v>31849</v>
      </c>
      <c r="E1635" s="29" t="s">
        <v>45270</v>
      </c>
      <c r="F1635" s="36" t="s">
        <v>54401</v>
      </c>
      <c r="G1635" s="39">
        <v>22857.14</v>
      </c>
      <c r="H1635" s="42">
        <v>211</v>
      </c>
    </row>
    <row r="1636" spans="1:8" ht="15" customHeight="1">
      <c r="A1636" s="26">
        <v>7226487</v>
      </c>
      <c r="B1636" s="30" t="s">
        <v>3877</v>
      </c>
      <c r="C1636" s="29" t="s">
        <v>18695</v>
      </c>
      <c r="D1636" s="29" t="s">
        <v>31850</v>
      </c>
      <c r="E1636" s="29" t="s">
        <v>45271</v>
      </c>
      <c r="F1636" s="36" t="s">
        <v>54401</v>
      </c>
      <c r="G1636" s="39">
        <v>1109016.1200000001</v>
      </c>
      <c r="H1636" s="42">
        <v>211</v>
      </c>
    </row>
    <row r="1637" spans="1:8" ht="15" customHeight="1">
      <c r="A1637" s="26">
        <v>7226488</v>
      </c>
      <c r="B1637" s="30" t="s">
        <v>3878</v>
      </c>
      <c r="C1637" s="29" t="s">
        <v>17337</v>
      </c>
      <c r="D1637" s="29" t="s">
        <v>31851</v>
      </c>
      <c r="E1637" s="29" t="s">
        <v>45272</v>
      </c>
      <c r="F1637" s="36" t="s">
        <v>54401</v>
      </c>
      <c r="G1637" s="39">
        <v>117369</v>
      </c>
      <c r="H1637" s="42">
        <v>211</v>
      </c>
    </row>
    <row r="1638" spans="1:8" ht="15" customHeight="1">
      <c r="A1638" s="26">
        <v>7226505</v>
      </c>
      <c r="B1638" s="30" t="s">
        <v>3879</v>
      </c>
      <c r="C1638" s="26" t="s">
        <v>18696</v>
      </c>
      <c r="D1638" s="26" t="s">
        <v>31852</v>
      </c>
      <c r="E1638" s="26" t="s">
        <v>45273</v>
      </c>
      <c r="F1638" s="37" t="s">
        <v>54423</v>
      </c>
      <c r="G1638" s="39">
        <v>180384.96</v>
      </c>
      <c r="H1638" s="42">
        <v>211</v>
      </c>
    </row>
    <row r="1639" spans="1:8" ht="15" customHeight="1">
      <c r="A1639" s="26">
        <v>7226513</v>
      </c>
      <c r="B1639" s="30" t="s">
        <v>3880</v>
      </c>
      <c r="C1639" s="29" t="s">
        <v>18697</v>
      </c>
      <c r="D1639" s="29" t="s">
        <v>31853</v>
      </c>
      <c r="E1639" s="29" t="s">
        <v>45274</v>
      </c>
      <c r="F1639" s="36" t="s">
        <v>54401</v>
      </c>
      <c r="G1639" s="39">
        <f>1194790.7+643138+327481</f>
        <v>2165409.7000000002</v>
      </c>
      <c r="H1639" s="42">
        <v>211</v>
      </c>
    </row>
    <row r="1640" spans="1:8" ht="15" customHeight="1">
      <c r="A1640" s="26">
        <v>7226525</v>
      </c>
      <c r="B1640" s="30" t="s">
        <v>3881</v>
      </c>
      <c r="C1640" s="29" t="s">
        <v>17204</v>
      </c>
      <c r="D1640" s="29" t="s">
        <v>30349</v>
      </c>
      <c r="E1640" s="29" t="s">
        <v>43926</v>
      </c>
      <c r="F1640" s="36" t="s">
        <v>54401</v>
      </c>
      <c r="G1640" s="39">
        <v>201069.79</v>
      </c>
      <c r="H1640" s="42">
        <v>211</v>
      </c>
    </row>
    <row r="1641" spans="1:8" ht="15" customHeight="1">
      <c r="A1641" s="26">
        <v>7226538</v>
      </c>
      <c r="B1641" s="30" t="s">
        <v>3882</v>
      </c>
      <c r="C1641" s="29" t="s">
        <v>18698</v>
      </c>
      <c r="D1641" s="29" t="s">
        <v>31854</v>
      </c>
      <c r="E1641" s="29" t="s">
        <v>43926</v>
      </c>
      <c r="F1641" s="36" t="s">
        <v>54401</v>
      </c>
      <c r="G1641" s="39">
        <v>102692.87</v>
      </c>
      <c r="H1641" s="42">
        <v>211</v>
      </c>
    </row>
    <row r="1642" spans="1:8" ht="15" customHeight="1">
      <c r="A1642" s="26">
        <v>7226553</v>
      </c>
      <c r="B1642" s="30" t="s">
        <v>3883</v>
      </c>
      <c r="C1642" s="29" t="s">
        <v>18699</v>
      </c>
      <c r="D1642" s="29" t="s">
        <v>31855</v>
      </c>
      <c r="E1642" s="29" t="s">
        <v>45275</v>
      </c>
      <c r="F1642" s="36" t="s">
        <v>54401</v>
      </c>
      <c r="G1642" s="39">
        <v>92194.76</v>
      </c>
      <c r="H1642" s="42">
        <v>211</v>
      </c>
    </row>
    <row r="1643" spans="1:8" ht="15" customHeight="1">
      <c r="A1643" s="26">
        <v>7226568</v>
      </c>
      <c r="B1643" s="30" t="s">
        <v>3884</v>
      </c>
      <c r="C1643" s="29" t="s">
        <v>18700</v>
      </c>
      <c r="D1643" s="29" t="s">
        <v>31856</v>
      </c>
      <c r="E1643" s="29" t="s">
        <v>45276</v>
      </c>
      <c r="F1643" s="36" t="s">
        <v>54401</v>
      </c>
      <c r="G1643" s="39">
        <f>1314191.98+881930</f>
        <v>2196121.98</v>
      </c>
      <c r="H1643" s="42">
        <v>211</v>
      </c>
    </row>
    <row r="1644" spans="1:8" ht="15" customHeight="1">
      <c r="A1644" s="26">
        <v>7226570</v>
      </c>
      <c r="B1644" s="30" t="s">
        <v>3885</v>
      </c>
      <c r="C1644" s="29" t="s">
        <v>18701</v>
      </c>
      <c r="D1644" s="29" t="s">
        <v>31857</v>
      </c>
      <c r="E1644" s="29" t="s">
        <v>45277</v>
      </c>
      <c r="F1644" s="36" t="s">
        <v>54401</v>
      </c>
      <c r="G1644" s="39">
        <v>336286.56</v>
      </c>
      <c r="H1644" s="42">
        <v>211</v>
      </c>
    </row>
    <row r="1645" spans="1:8" ht="15" customHeight="1">
      <c r="A1645" s="26">
        <v>7226574</v>
      </c>
      <c r="B1645" s="30" t="s">
        <v>3886</v>
      </c>
      <c r="C1645" s="29" t="s">
        <v>18702</v>
      </c>
      <c r="D1645" s="29" t="s">
        <v>31858</v>
      </c>
      <c r="E1645" s="29" t="s">
        <v>45278</v>
      </c>
      <c r="F1645" s="36" t="s">
        <v>54401</v>
      </c>
      <c r="G1645" s="39">
        <f>498439.33+46956</f>
        <v>545395.33000000007</v>
      </c>
      <c r="H1645" s="42">
        <v>211</v>
      </c>
    </row>
    <row r="1646" spans="1:8" ht="15" customHeight="1">
      <c r="A1646" s="26">
        <v>7226608</v>
      </c>
      <c r="B1646" s="30" t="s">
        <v>3887</v>
      </c>
      <c r="C1646" s="29" t="s">
        <v>18703</v>
      </c>
      <c r="D1646" s="29" t="s">
        <v>31859</v>
      </c>
      <c r="E1646" s="29" t="s">
        <v>45279</v>
      </c>
      <c r="F1646" s="36" t="s">
        <v>54401</v>
      </c>
      <c r="G1646" s="39">
        <f>5102034.74+203840</f>
        <v>5305874.74</v>
      </c>
      <c r="H1646" s="42">
        <v>211</v>
      </c>
    </row>
    <row r="1647" spans="1:8" ht="15" customHeight="1">
      <c r="A1647" s="26">
        <v>7226610</v>
      </c>
      <c r="B1647" s="30" t="s">
        <v>3888</v>
      </c>
      <c r="C1647" s="29" t="s">
        <v>18704</v>
      </c>
      <c r="D1647" s="29" t="s">
        <v>31860</v>
      </c>
      <c r="E1647" s="29" t="s">
        <v>45280</v>
      </c>
      <c r="F1647" s="36" t="s">
        <v>54401</v>
      </c>
      <c r="G1647" s="39">
        <f>2421028.47+727780</f>
        <v>3148808.47</v>
      </c>
      <c r="H1647" s="42">
        <v>211</v>
      </c>
    </row>
    <row r="1648" spans="1:8" ht="15" customHeight="1">
      <c r="A1648" s="26">
        <v>7226652</v>
      </c>
      <c r="B1648" s="30" t="s">
        <v>3889</v>
      </c>
      <c r="C1648" s="29" t="s">
        <v>18705</v>
      </c>
      <c r="D1648" s="29" t="s">
        <v>31861</v>
      </c>
      <c r="E1648" s="29" t="s">
        <v>44324</v>
      </c>
      <c r="F1648" s="36" t="s">
        <v>54401</v>
      </c>
      <c r="G1648" s="39">
        <v>4433304.09</v>
      </c>
      <c r="H1648" s="42">
        <v>211</v>
      </c>
    </row>
    <row r="1649" spans="1:8" ht="15" customHeight="1">
      <c r="A1649" s="26">
        <v>7226653</v>
      </c>
      <c r="B1649" s="30" t="s">
        <v>3890</v>
      </c>
      <c r="C1649" s="29" t="s">
        <v>18706</v>
      </c>
      <c r="D1649" s="29" t="s">
        <v>31862</v>
      </c>
      <c r="E1649" s="29" t="s">
        <v>45281</v>
      </c>
      <c r="F1649" s="36" t="s">
        <v>54401</v>
      </c>
      <c r="G1649" s="39">
        <v>520702.36</v>
      </c>
      <c r="H1649" s="42">
        <v>211</v>
      </c>
    </row>
    <row r="1650" spans="1:8" ht="15" customHeight="1">
      <c r="A1650" s="26">
        <v>7226660</v>
      </c>
      <c r="B1650" s="30" t="s">
        <v>3891</v>
      </c>
      <c r="C1650" s="29" t="s">
        <v>18707</v>
      </c>
      <c r="D1650" s="29" t="s">
        <v>31863</v>
      </c>
      <c r="E1650" s="29" t="s">
        <v>45282</v>
      </c>
      <c r="F1650" s="36" t="s">
        <v>54401</v>
      </c>
      <c r="G1650" s="39">
        <v>14517.92</v>
      </c>
      <c r="H1650" s="42">
        <v>211</v>
      </c>
    </row>
    <row r="1651" spans="1:8" ht="15" customHeight="1">
      <c r="A1651" s="26">
        <v>7226666</v>
      </c>
      <c r="B1651" s="30" t="s">
        <v>3892</v>
      </c>
      <c r="C1651" s="29" t="s">
        <v>18708</v>
      </c>
      <c r="D1651" s="29" t="s">
        <v>31864</v>
      </c>
      <c r="E1651" s="29" t="s">
        <v>45283</v>
      </c>
      <c r="F1651" s="36" t="s">
        <v>54401</v>
      </c>
      <c r="G1651" s="39">
        <v>25414.959999999999</v>
      </c>
      <c r="H1651" s="42">
        <v>211</v>
      </c>
    </row>
    <row r="1652" spans="1:8" ht="15" customHeight="1">
      <c r="A1652" s="26">
        <v>7226667</v>
      </c>
      <c r="B1652" s="30" t="s">
        <v>3893</v>
      </c>
      <c r="C1652" s="29" t="s">
        <v>17204</v>
      </c>
      <c r="D1652" s="29" t="s">
        <v>31865</v>
      </c>
      <c r="E1652" s="29" t="s">
        <v>43926</v>
      </c>
      <c r="F1652" s="36" t="s">
        <v>54401</v>
      </c>
      <c r="G1652" s="39">
        <v>482366.31</v>
      </c>
      <c r="H1652" s="42">
        <v>211</v>
      </c>
    </row>
    <row r="1653" spans="1:8" ht="15" customHeight="1">
      <c r="A1653" s="26">
        <v>7226673</v>
      </c>
      <c r="B1653" s="30" t="s">
        <v>3894</v>
      </c>
      <c r="C1653" s="29" t="s">
        <v>18709</v>
      </c>
      <c r="D1653" s="29" t="s">
        <v>31866</v>
      </c>
      <c r="E1653" s="29" t="s">
        <v>45284</v>
      </c>
      <c r="F1653" s="36" t="s">
        <v>54401</v>
      </c>
      <c r="G1653" s="39">
        <v>1562489.18</v>
      </c>
      <c r="H1653" s="42">
        <v>211</v>
      </c>
    </row>
    <row r="1654" spans="1:8" ht="15" customHeight="1">
      <c r="A1654" s="26">
        <v>7226683</v>
      </c>
      <c r="B1654" s="30" t="s">
        <v>3895</v>
      </c>
      <c r="C1654" s="29" t="s">
        <v>18710</v>
      </c>
      <c r="D1654" s="29" t="s">
        <v>31867</v>
      </c>
      <c r="E1654" s="29" t="s">
        <v>43926</v>
      </c>
      <c r="F1654" s="36" t="s">
        <v>54401</v>
      </c>
      <c r="G1654" s="39">
        <v>105574.2</v>
      </c>
      <c r="H1654" s="42">
        <v>211</v>
      </c>
    </row>
    <row r="1655" spans="1:8" ht="15" customHeight="1">
      <c r="A1655" s="26">
        <v>7226707</v>
      </c>
      <c r="B1655" s="30" t="s">
        <v>3896</v>
      </c>
      <c r="C1655" s="29" t="s">
        <v>18711</v>
      </c>
      <c r="D1655" s="29" t="s">
        <v>31868</v>
      </c>
      <c r="E1655" s="29" t="s">
        <v>45285</v>
      </c>
      <c r="F1655" s="36" t="s">
        <v>54401</v>
      </c>
      <c r="G1655" s="39">
        <f>1837764.5+37948</f>
        <v>1875712.5</v>
      </c>
      <c r="H1655" s="42">
        <v>211</v>
      </c>
    </row>
    <row r="1656" spans="1:8" ht="15" customHeight="1">
      <c r="A1656" s="26">
        <v>7226739</v>
      </c>
      <c r="B1656" s="30" t="s">
        <v>3897</v>
      </c>
      <c r="C1656" s="29" t="s">
        <v>18712</v>
      </c>
      <c r="D1656" s="29" t="s">
        <v>31869</v>
      </c>
      <c r="E1656" s="29" t="s">
        <v>45286</v>
      </c>
      <c r="F1656" s="36" t="s">
        <v>54401</v>
      </c>
      <c r="G1656" s="39">
        <v>974790.54</v>
      </c>
      <c r="H1656" s="42">
        <v>211</v>
      </c>
    </row>
    <row r="1657" spans="1:8" ht="15" customHeight="1">
      <c r="A1657" s="26">
        <v>7226776</v>
      </c>
      <c r="B1657" s="30" t="s">
        <v>3898</v>
      </c>
      <c r="C1657" s="29" t="s">
        <v>18713</v>
      </c>
      <c r="D1657" s="29" t="s">
        <v>31870</v>
      </c>
      <c r="E1657" s="29" t="s">
        <v>45287</v>
      </c>
      <c r="F1657" s="36" t="s">
        <v>54401</v>
      </c>
      <c r="G1657" s="39">
        <f>1535163.35-4168+49961</f>
        <v>1580956.35</v>
      </c>
      <c r="H1657" s="42">
        <v>211</v>
      </c>
    </row>
    <row r="1658" spans="1:8" ht="15" customHeight="1">
      <c r="A1658" s="26">
        <v>7226793</v>
      </c>
      <c r="B1658" s="30" t="s">
        <v>3899</v>
      </c>
      <c r="C1658" s="29" t="s">
        <v>17204</v>
      </c>
      <c r="D1658" s="29" t="s">
        <v>30349</v>
      </c>
      <c r="E1658" s="29" t="s">
        <v>43926</v>
      </c>
      <c r="F1658" s="36" t="s">
        <v>54401</v>
      </c>
      <c r="G1658" s="39">
        <v>237233.48</v>
      </c>
      <c r="H1658" s="42">
        <v>211</v>
      </c>
    </row>
    <row r="1659" spans="1:8" ht="15" customHeight="1">
      <c r="A1659" s="26">
        <v>7226809</v>
      </c>
      <c r="B1659" s="30" t="s">
        <v>3900</v>
      </c>
      <c r="C1659" s="29" t="s">
        <v>18714</v>
      </c>
      <c r="D1659" s="29" t="s">
        <v>31871</v>
      </c>
      <c r="E1659" s="29" t="s">
        <v>45288</v>
      </c>
      <c r="F1659" s="36" t="s">
        <v>54401</v>
      </c>
      <c r="G1659" s="39">
        <v>746787.46</v>
      </c>
      <c r="H1659" s="42">
        <v>211</v>
      </c>
    </row>
    <row r="1660" spans="1:8" ht="15" customHeight="1">
      <c r="A1660" s="26">
        <v>7226819</v>
      </c>
      <c r="B1660" s="30" t="s">
        <v>3901</v>
      </c>
      <c r="C1660" s="29" t="s">
        <v>18715</v>
      </c>
      <c r="D1660" s="29" t="s">
        <v>31872</v>
      </c>
      <c r="E1660" s="29" t="s">
        <v>45289</v>
      </c>
      <c r="F1660" s="36" t="s">
        <v>54437</v>
      </c>
      <c r="G1660" s="39">
        <f>350683.46+327306</f>
        <v>677989.46</v>
      </c>
      <c r="H1660" s="42">
        <v>211</v>
      </c>
    </row>
    <row r="1661" spans="1:8" ht="15" customHeight="1">
      <c r="A1661" s="26">
        <v>7226858</v>
      </c>
      <c r="B1661" s="30" t="s">
        <v>3902</v>
      </c>
      <c r="C1661" s="29" t="s">
        <v>18716</v>
      </c>
      <c r="D1661" s="29" t="s">
        <v>31873</v>
      </c>
      <c r="E1661" s="29" t="s">
        <v>45290</v>
      </c>
      <c r="F1661" s="36" t="s">
        <v>54401</v>
      </c>
      <c r="G1661" s="39">
        <v>267362.76</v>
      </c>
      <c r="H1661" s="42">
        <v>211</v>
      </c>
    </row>
    <row r="1662" spans="1:8" ht="15" customHeight="1">
      <c r="A1662" s="26">
        <v>7226860</v>
      </c>
      <c r="B1662" s="30" t="s">
        <v>3903</v>
      </c>
      <c r="C1662" s="29" t="s">
        <v>18717</v>
      </c>
      <c r="D1662" s="29" t="s">
        <v>31874</v>
      </c>
      <c r="E1662" s="29" t="s">
        <v>44536</v>
      </c>
      <c r="F1662" s="36" t="s">
        <v>54401</v>
      </c>
      <c r="G1662" s="39">
        <v>1797189.3</v>
      </c>
      <c r="H1662" s="42">
        <v>211</v>
      </c>
    </row>
    <row r="1663" spans="1:8" ht="15" customHeight="1">
      <c r="A1663" s="26">
        <v>7226870</v>
      </c>
      <c r="B1663" s="30" t="s">
        <v>3904</v>
      </c>
      <c r="C1663" s="29" t="s">
        <v>18718</v>
      </c>
      <c r="D1663" s="29" t="s">
        <v>31875</v>
      </c>
      <c r="E1663" s="29" t="s">
        <v>45291</v>
      </c>
      <c r="F1663" s="36" t="s">
        <v>54401</v>
      </c>
      <c r="G1663" s="39">
        <v>613767.01</v>
      </c>
      <c r="H1663" s="42">
        <v>211</v>
      </c>
    </row>
    <row r="1664" spans="1:8" ht="15" customHeight="1">
      <c r="A1664" s="26">
        <v>7226872</v>
      </c>
      <c r="B1664" s="30" t="s">
        <v>3905</v>
      </c>
      <c r="C1664" s="29" t="s">
        <v>18719</v>
      </c>
      <c r="D1664" s="29" t="s">
        <v>31876</v>
      </c>
      <c r="E1664" s="29" t="s">
        <v>45292</v>
      </c>
      <c r="F1664" s="36" t="s">
        <v>54401</v>
      </c>
      <c r="G1664" s="39">
        <v>545553.67000000004</v>
      </c>
      <c r="H1664" s="42">
        <v>211</v>
      </c>
    </row>
    <row r="1665" spans="1:8" ht="15" customHeight="1">
      <c r="A1665" s="26">
        <v>7226874</v>
      </c>
      <c r="B1665" s="30" t="s">
        <v>3906</v>
      </c>
      <c r="C1665" s="29" t="s">
        <v>18720</v>
      </c>
      <c r="D1665" s="29" t="s">
        <v>31877</v>
      </c>
      <c r="E1665" s="29" t="s">
        <v>45293</v>
      </c>
      <c r="F1665" s="36" t="s">
        <v>54401</v>
      </c>
      <c r="G1665" s="39">
        <f>3722836.1+721497</f>
        <v>4444333.0999999996</v>
      </c>
      <c r="H1665" s="42">
        <v>211</v>
      </c>
    </row>
    <row r="1666" spans="1:8" ht="15" customHeight="1">
      <c r="A1666" s="26">
        <v>7226885</v>
      </c>
      <c r="B1666" s="30" t="s">
        <v>3907</v>
      </c>
      <c r="C1666" s="29" t="s">
        <v>18721</v>
      </c>
      <c r="D1666" s="29" t="s">
        <v>31878</v>
      </c>
      <c r="E1666" s="29" t="s">
        <v>45294</v>
      </c>
      <c r="F1666" s="36" t="s">
        <v>54401</v>
      </c>
      <c r="G1666" s="39">
        <v>42538.9</v>
      </c>
      <c r="H1666" s="42">
        <v>211</v>
      </c>
    </row>
    <row r="1667" spans="1:8" ht="15" customHeight="1">
      <c r="A1667" s="26">
        <v>7226893</v>
      </c>
      <c r="B1667" s="30" t="s">
        <v>3908</v>
      </c>
      <c r="C1667" s="29" t="s">
        <v>18722</v>
      </c>
      <c r="D1667" s="29" t="s">
        <v>31879</v>
      </c>
      <c r="E1667" s="29" t="s">
        <v>45295</v>
      </c>
      <c r="F1667" s="36" t="s">
        <v>54401</v>
      </c>
      <c r="G1667" s="39">
        <f>698893.38+45844</f>
        <v>744737.38</v>
      </c>
      <c r="H1667" s="42">
        <v>211</v>
      </c>
    </row>
    <row r="1668" spans="1:8" ht="15" customHeight="1">
      <c r="A1668" s="26">
        <v>7226934</v>
      </c>
      <c r="B1668" s="30" t="s">
        <v>3909</v>
      </c>
      <c r="C1668" s="26" t="s">
        <v>18723</v>
      </c>
      <c r="D1668" s="26" t="s">
        <v>31880</v>
      </c>
      <c r="E1668" s="26" t="s">
        <v>45296</v>
      </c>
      <c r="F1668" s="37" t="s">
        <v>54401</v>
      </c>
      <c r="G1668" s="39">
        <v>1240894.94</v>
      </c>
      <c r="H1668" s="42">
        <v>211</v>
      </c>
    </row>
    <row r="1669" spans="1:8" ht="15" customHeight="1">
      <c r="A1669" s="26">
        <v>7226944</v>
      </c>
      <c r="B1669" s="30" t="s">
        <v>3910</v>
      </c>
      <c r="C1669" s="29" t="s">
        <v>17204</v>
      </c>
      <c r="D1669" s="29" t="s">
        <v>30349</v>
      </c>
      <c r="E1669" s="29" t="s">
        <v>43926</v>
      </c>
      <c r="F1669" s="36" t="s">
        <v>54401</v>
      </c>
      <c r="G1669" s="39">
        <v>374631.56</v>
      </c>
      <c r="H1669" s="42">
        <v>211</v>
      </c>
    </row>
    <row r="1670" spans="1:8" ht="15" customHeight="1">
      <c r="A1670" s="26">
        <v>7226945</v>
      </c>
      <c r="B1670" s="30" t="s">
        <v>3911</v>
      </c>
      <c r="C1670" s="29" t="s">
        <v>18724</v>
      </c>
      <c r="D1670" s="29" t="s">
        <v>31881</v>
      </c>
      <c r="E1670" s="29" t="s">
        <v>45297</v>
      </c>
      <c r="F1670" s="36" t="s">
        <v>54401</v>
      </c>
      <c r="G1670" s="39">
        <f>1599969.92+402828</f>
        <v>2002797.92</v>
      </c>
      <c r="H1670" s="42">
        <v>211</v>
      </c>
    </row>
    <row r="1671" spans="1:8" ht="15" customHeight="1">
      <c r="A1671" s="26">
        <v>7226964</v>
      </c>
      <c r="B1671" s="30" t="s">
        <v>3912</v>
      </c>
      <c r="C1671" s="29" t="s">
        <v>17204</v>
      </c>
      <c r="D1671" s="29" t="s">
        <v>30349</v>
      </c>
      <c r="E1671" s="29" t="s">
        <v>43926</v>
      </c>
      <c r="F1671" s="36" t="s">
        <v>54401</v>
      </c>
      <c r="G1671" s="39">
        <v>55288.92</v>
      </c>
      <c r="H1671" s="42">
        <v>211</v>
      </c>
    </row>
    <row r="1672" spans="1:8" ht="15" customHeight="1">
      <c r="A1672" s="26">
        <v>7227011</v>
      </c>
      <c r="B1672" s="30" t="s">
        <v>3913</v>
      </c>
      <c r="C1672" s="26" t="s">
        <v>18725</v>
      </c>
      <c r="D1672" s="26" t="s">
        <v>31882</v>
      </c>
      <c r="E1672" s="26" t="s">
        <v>44084</v>
      </c>
      <c r="F1672" s="37" t="s">
        <v>54401</v>
      </c>
      <c r="G1672" s="39">
        <v>5713172.79</v>
      </c>
      <c r="H1672" s="42">
        <v>211</v>
      </c>
    </row>
    <row r="1673" spans="1:8" ht="15" customHeight="1">
      <c r="A1673" s="26">
        <v>7227022</v>
      </c>
      <c r="B1673" s="30" t="s">
        <v>3914</v>
      </c>
      <c r="C1673" s="29" t="s">
        <v>18726</v>
      </c>
      <c r="D1673" s="29" t="s">
        <v>31883</v>
      </c>
      <c r="E1673" s="29" t="s">
        <v>45298</v>
      </c>
      <c r="F1673" s="36" t="s">
        <v>54423</v>
      </c>
      <c r="G1673" s="39">
        <f>10763007.42+582594+10210607</f>
        <v>21556208.420000002</v>
      </c>
      <c r="H1673" s="42">
        <v>211</v>
      </c>
    </row>
    <row r="1674" spans="1:8" ht="15" customHeight="1">
      <c r="A1674" s="26">
        <v>7227051</v>
      </c>
      <c r="B1674" s="30" t="s">
        <v>3915</v>
      </c>
      <c r="C1674" s="29" t="s">
        <v>18727</v>
      </c>
      <c r="D1674" s="29" t="s">
        <v>31884</v>
      </c>
      <c r="E1674" s="29" t="s">
        <v>45299</v>
      </c>
      <c r="F1674" s="36" t="s">
        <v>54401</v>
      </c>
      <c r="G1674" s="39">
        <v>2263028.7200000002</v>
      </c>
      <c r="H1674" s="42">
        <v>211</v>
      </c>
    </row>
    <row r="1675" spans="1:8" ht="15" customHeight="1">
      <c r="A1675" s="26">
        <v>7227053</v>
      </c>
      <c r="B1675" s="30" t="s">
        <v>3916</v>
      </c>
      <c r="C1675" s="29" t="s">
        <v>18728</v>
      </c>
      <c r="D1675" s="29" t="s">
        <v>31885</v>
      </c>
      <c r="E1675" s="29" t="s">
        <v>45300</v>
      </c>
      <c r="F1675" s="36" t="s">
        <v>54401</v>
      </c>
      <c r="G1675" s="39">
        <v>726642.36</v>
      </c>
      <c r="H1675" s="42">
        <v>211</v>
      </c>
    </row>
    <row r="1676" spans="1:8" ht="15" customHeight="1">
      <c r="A1676" s="26">
        <v>7227058</v>
      </c>
      <c r="B1676" s="30" t="s">
        <v>3917</v>
      </c>
      <c r="C1676" s="26" t="s">
        <v>17204</v>
      </c>
      <c r="D1676" s="26" t="s">
        <v>30349</v>
      </c>
      <c r="E1676" s="26" t="s">
        <v>43926</v>
      </c>
      <c r="F1676" s="37" t="s">
        <v>54401</v>
      </c>
      <c r="G1676" s="39">
        <v>130408.59</v>
      </c>
      <c r="H1676" s="42">
        <v>211</v>
      </c>
    </row>
    <row r="1677" spans="1:8" ht="15" customHeight="1">
      <c r="A1677" s="26">
        <v>7227068</v>
      </c>
      <c r="B1677" s="30" t="s">
        <v>3918</v>
      </c>
      <c r="C1677" s="29" t="s">
        <v>18729</v>
      </c>
      <c r="D1677" s="29" t="s">
        <v>31886</v>
      </c>
      <c r="E1677" s="29" t="s">
        <v>45301</v>
      </c>
      <c r="F1677" s="36" t="s">
        <v>54401</v>
      </c>
      <c r="G1677" s="39">
        <v>114161.94</v>
      </c>
      <c r="H1677" s="42">
        <v>211</v>
      </c>
    </row>
    <row r="1678" spans="1:8" ht="15" customHeight="1">
      <c r="A1678" s="26">
        <v>7227070</v>
      </c>
      <c r="B1678" s="30" t="s">
        <v>3919</v>
      </c>
      <c r="C1678" s="29" t="s">
        <v>18730</v>
      </c>
      <c r="D1678" s="29" t="s">
        <v>31887</v>
      </c>
      <c r="E1678" s="29" t="s">
        <v>45302</v>
      </c>
      <c r="F1678" s="36" t="s">
        <v>54401</v>
      </c>
      <c r="G1678" s="39">
        <v>313050.38</v>
      </c>
      <c r="H1678" s="42">
        <v>211</v>
      </c>
    </row>
    <row r="1679" spans="1:8" ht="15" customHeight="1">
      <c r="A1679" s="26">
        <v>7227081</v>
      </c>
      <c r="B1679" s="30" t="s">
        <v>3920</v>
      </c>
      <c r="C1679" s="26" t="s">
        <v>18731</v>
      </c>
      <c r="D1679" s="26" t="s">
        <v>30376</v>
      </c>
      <c r="E1679" s="26" t="s">
        <v>45178</v>
      </c>
      <c r="F1679" s="37" t="s">
        <v>54401</v>
      </c>
      <c r="G1679" s="39">
        <v>632996.44999999995</v>
      </c>
      <c r="H1679" s="42">
        <v>211</v>
      </c>
    </row>
    <row r="1680" spans="1:8" ht="15" customHeight="1">
      <c r="A1680" s="26">
        <v>7227086</v>
      </c>
      <c r="B1680" s="30" t="s">
        <v>3921</v>
      </c>
      <c r="C1680" s="29" t="s">
        <v>18732</v>
      </c>
      <c r="D1680" s="29" t="s">
        <v>31888</v>
      </c>
      <c r="E1680" s="29" t="s">
        <v>45303</v>
      </c>
      <c r="F1680" s="36" t="s">
        <v>54406</v>
      </c>
      <c r="G1680" s="39">
        <v>308720.05</v>
      </c>
      <c r="H1680" s="42">
        <v>211</v>
      </c>
    </row>
    <row r="1681" spans="1:8" ht="15" customHeight="1">
      <c r="A1681" s="26">
        <v>7227115</v>
      </c>
      <c r="B1681" s="30" t="s">
        <v>3922</v>
      </c>
      <c r="C1681" s="29" t="s">
        <v>18733</v>
      </c>
      <c r="D1681" s="29" t="s">
        <v>31889</v>
      </c>
      <c r="E1681" s="29" t="s">
        <v>45304</v>
      </c>
      <c r="F1681" s="36" t="s">
        <v>54401</v>
      </c>
      <c r="G1681" s="39">
        <f>2239410.89+1533294</f>
        <v>3772704.89</v>
      </c>
      <c r="H1681" s="42">
        <v>211</v>
      </c>
    </row>
    <row r="1682" spans="1:8" ht="15" customHeight="1">
      <c r="A1682" s="26">
        <v>7227126</v>
      </c>
      <c r="B1682" s="30" t="s">
        <v>3923</v>
      </c>
      <c r="C1682" s="29" t="s">
        <v>18734</v>
      </c>
      <c r="D1682" s="29" t="s">
        <v>31890</v>
      </c>
      <c r="E1682" s="29" t="s">
        <v>45305</v>
      </c>
      <c r="F1682" s="36" t="s">
        <v>54401</v>
      </c>
      <c r="G1682" s="39">
        <f>170619.27+567064</f>
        <v>737683.27</v>
      </c>
      <c r="H1682" s="42">
        <v>211</v>
      </c>
    </row>
    <row r="1683" spans="1:8" ht="15" customHeight="1">
      <c r="A1683" s="26">
        <v>7227144</v>
      </c>
      <c r="B1683" s="30" t="s">
        <v>3924</v>
      </c>
      <c r="C1683" s="26" t="s">
        <v>18735</v>
      </c>
      <c r="D1683" s="26" t="s">
        <v>31891</v>
      </c>
      <c r="E1683" s="26" t="s">
        <v>45306</v>
      </c>
      <c r="F1683" s="37" t="s">
        <v>54401</v>
      </c>
      <c r="G1683" s="39">
        <f>279082.91+204356</f>
        <v>483438.91</v>
      </c>
      <c r="H1683" s="42">
        <v>211</v>
      </c>
    </row>
    <row r="1684" spans="1:8" ht="15" customHeight="1">
      <c r="A1684" s="26">
        <v>7227147</v>
      </c>
      <c r="B1684" s="30" t="s">
        <v>3925</v>
      </c>
      <c r="C1684" s="29" t="s">
        <v>17204</v>
      </c>
      <c r="D1684" s="29" t="s">
        <v>31892</v>
      </c>
      <c r="E1684" s="29" t="s">
        <v>43926</v>
      </c>
      <c r="F1684" s="36" t="s">
        <v>54401</v>
      </c>
      <c r="G1684" s="39">
        <v>17860.62</v>
      </c>
      <c r="H1684" s="42">
        <v>211</v>
      </c>
    </row>
    <row r="1685" spans="1:8" ht="15" customHeight="1">
      <c r="A1685" s="26">
        <v>7227155</v>
      </c>
      <c r="B1685" s="30" t="s">
        <v>3926</v>
      </c>
      <c r="C1685" s="29" t="s">
        <v>18736</v>
      </c>
      <c r="D1685" s="29" t="s">
        <v>31893</v>
      </c>
      <c r="E1685" s="29" t="s">
        <v>45307</v>
      </c>
      <c r="F1685" s="36" t="s">
        <v>54401</v>
      </c>
      <c r="G1685" s="39">
        <v>561374.35</v>
      </c>
      <c r="H1685" s="42">
        <v>211</v>
      </c>
    </row>
    <row r="1686" spans="1:8" ht="15" customHeight="1">
      <c r="A1686" s="26">
        <v>7227163</v>
      </c>
      <c r="B1686" s="30" t="s">
        <v>3927</v>
      </c>
      <c r="C1686" s="29" t="s">
        <v>18737</v>
      </c>
      <c r="D1686" s="29" t="s">
        <v>31894</v>
      </c>
      <c r="E1686" s="29" t="s">
        <v>45308</v>
      </c>
      <c r="F1686" s="36" t="s">
        <v>54401</v>
      </c>
      <c r="G1686" s="39">
        <v>1672866.54</v>
      </c>
      <c r="H1686" s="42">
        <v>211</v>
      </c>
    </row>
    <row r="1687" spans="1:8" ht="15" customHeight="1">
      <c r="A1687" s="26">
        <v>7227179</v>
      </c>
      <c r="B1687" s="30" t="s">
        <v>3928</v>
      </c>
      <c r="C1687" s="26" t="s">
        <v>18738</v>
      </c>
      <c r="D1687" s="26" t="s">
        <v>31895</v>
      </c>
      <c r="E1687" s="26" t="s">
        <v>45309</v>
      </c>
      <c r="F1687" s="37" t="s">
        <v>54401</v>
      </c>
      <c r="G1687" s="39">
        <v>2384808.25</v>
      </c>
      <c r="H1687" s="42">
        <v>211</v>
      </c>
    </row>
    <row r="1688" spans="1:8" ht="15" customHeight="1">
      <c r="A1688" s="26">
        <v>7227180</v>
      </c>
      <c r="B1688" s="30" t="s">
        <v>3929</v>
      </c>
      <c r="C1688" s="29" t="s">
        <v>18739</v>
      </c>
      <c r="D1688" s="29" t="s">
        <v>31896</v>
      </c>
      <c r="E1688" s="29" t="s">
        <v>45310</v>
      </c>
      <c r="F1688" s="36" t="s">
        <v>54401</v>
      </c>
      <c r="G1688" s="39">
        <f>1569834.76+277809</f>
        <v>1847643.76</v>
      </c>
      <c r="H1688" s="42">
        <v>211</v>
      </c>
    </row>
    <row r="1689" spans="1:8" ht="15" customHeight="1">
      <c r="A1689" s="26">
        <v>7227217</v>
      </c>
      <c r="B1689" s="30" t="s">
        <v>3930</v>
      </c>
      <c r="C1689" s="29" t="s">
        <v>18740</v>
      </c>
      <c r="D1689" s="29" t="s">
        <v>31897</v>
      </c>
      <c r="E1689" s="29" t="s">
        <v>45311</v>
      </c>
      <c r="F1689" s="36" t="s">
        <v>54401</v>
      </c>
      <c r="G1689" s="39">
        <f>5218368.86+426473+170854</f>
        <v>5815695.8600000003</v>
      </c>
      <c r="H1689" s="42">
        <v>211</v>
      </c>
    </row>
    <row r="1690" spans="1:8" ht="15" customHeight="1">
      <c r="A1690" s="26">
        <v>7227247</v>
      </c>
      <c r="B1690" s="30" t="s">
        <v>3931</v>
      </c>
      <c r="C1690" s="29" t="s">
        <v>18741</v>
      </c>
      <c r="D1690" s="29" t="s">
        <v>31898</v>
      </c>
      <c r="E1690" s="29" t="s">
        <v>45312</v>
      </c>
      <c r="F1690" s="36" t="s">
        <v>54401</v>
      </c>
      <c r="G1690" s="39">
        <f>721609.12+2714339</f>
        <v>3435948.12</v>
      </c>
      <c r="H1690" s="42">
        <v>211</v>
      </c>
    </row>
    <row r="1691" spans="1:8" ht="15" customHeight="1">
      <c r="A1691" s="26">
        <v>7227250</v>
      </c>
      <c r="B1691" s="30" t="s">
        <v>3932</v>
      </c>
      <c r="C1691" s="29" t="s">
        <v>18742</v>
      </c>
      <c r="D1691" s="29" t="s">
        <v>31899</v>
      </c>
      <c r="E1691" s="29" t="s">
        <v>45313</v>
      </c>
      <c r="F1691" s="36" t="s">
        <v>54401</v>
      </c>
      <c r="G1691" s="39">
        <f>8623340.15+17588+590281+581498</f>
        <v>9812707.1500000004</v>
      </c>
      <c r="H1691" s="42">
        <v>211</v>
      </c>
    </row>
    <row r="1692" spans="1:8" ht="15" customHeight="1">
      <c r="A1692" s="26">
        <v>7227265</v>
      </c>
      <c r="B1692" s="30" t="s">
        <v>3933</v>
      </c>
      <c r="C1692" s="29" t="s">
        <v>18743</v>
      </c>
      <c r="D1692" s="29" t="s">
        <v>31900</v>
      </c>
      <c r="E1692" s="29" t="s">
        <v>45314</v>
      </c>
      <c r="F1692" s="36" t="s">
        <v>54401</v>
      </c>
      <c r="G1692" s="39">
        <f>419712.012021954+1246969</f>
        <v>1666681.0120219539</v>
      </c>
      <c r="H1692" s="42">
        <v>211</v>
      </c>
    </row>
    <row r="1693" spans="1:8" ht="15" customHeight="1">
      <c r="A1693" s="26">
        <v>7227269</v>
      </c>
      <c r="B1693" s="30" t="s">
        <v>3934</v>
      </c>
      <c r="C1693" s="29" t="s">
        <v>18744</v>
      </c>
      <c r="D1693" s="29" t="s">
        <v>31901</v>
      </c>
      <c r="E1693" s="29" t="s">
        <v>45315</v>
      </c>
      <c r="F1693" s="36" t="s">
        <v>54401</v>
      </c>
      <c r="G1693" s="39">
        <v>110099.64</v>
      </c>
      <c r="H1693" s="42">
        <v>211</v>
      </c>
    </row>
    <row r="1694" spans="1:8" ht="15" customHeight="1">
      <c r="A1694" s="26">
        <v>7227278</v>
      </c>
      <c r="B1694" s="30" t="s">
        <v>3935</v>
      </c>
      <c r="C1694" s="29" t="s">
        <v>18745</v>
      </c>
      <c r="D1694" s="29" t="s">
        <v>31902</v>
      </c>
      <c r="E1694" s="29" t="s">
        <v>45316</v>
      </c>
      <c r="F1694" s="36" t="s">
        <v>54401</v>
      </c>
      <c r="G1694" s="39">
        <v>657412.12</v>
      </c>
      <c r="H1694" s="42">
        <v>211</v>
      </c>
    </row>
    <row r="1695" spans="1:8" ht="15" customHeight="1">
      <c r="A1695" s="26">
        <v>7227281</v>
      </c>
      <c r="B1695" s="30" t="s">
        <v>3936</v>
      </c>
      <c r="C1695" s="29" t="s">
        <v>18746</v>
      </c>
      <c r="D1695" s="29" t="s">
        <v>31903</v>
      </c>
      <c r="E1695" s="29" t="s">
        <v>45317</v>
      </c>
      <c r="F1695" s="36" t="s">
        <v>54401</v>
      </c>
      <c r="G1695" s="39">
        <v>5906915.5800000001</v>
      </c>
      <c r="H1695" s="42">
        <v>211</v>
      </c>
    </row>
    <row r="1696" spans="1:8" ht="15" customHeight="1">
      <c r="A1696" s="26">
        <v>7227284</v>
      </c>
      <c r="B1696" s="30" t="s">
        <v>3937</v>
      </c>
      <c r="C1696" s="29" t="s">
        <v>18747</v>
      </c>
      <c r="D1696" s="29" t="s">
        <v>31904</v>
      </c>
      <c r="E1696" s="29" t="s">
        <v>45318</v>
      </c>
      <c r="F1696" s="36" t="s">
        <v>54401</v>
      </c>
      <c r="G1696" s="39">
        <v>737080.59</v>
      </c>
      <c r="H1696" s="42">
        <v>211</v>
      </c>
    </row>
    <row r="1697" spans="1:8" ht="15" customHeight="1">
      <c r="A1697" s="26">
        <v>7227296</v>
      </c>
      <c r="B1697" s="30" t="s">
        <v>3938</v>
      </c>
      <c r="C1697" s="29" t="s">
        <v>18748</v>
      </c>
      <c r="D1697" s="29" t="s">
        <v>31905</v>
      </c>
      <c r="E1697" s="29" t="s">
        <v>44973</v>
      </c>
      <c r="F1697" s="36" t="s">
        <v>54401</v>
      </c>
      <c r="G1697" s="39">
        <f>4215063.77+123797+252545</f>
        <v>4591405.7699999996</v>
      </c>
      <c r="H1697" s="42">
        <v>211</v>
      </c>
    </row>
    <row r="1698" spans="1:8" ht="15" customHeight="1">
      <c r="A1698" s="26">
        <v>7227310</v>
      </c>
      <c r="B1698" s="30" t="s">
        <v>3939</v>
      </c>
      <c r="C1698" s="29" t="s">
        <v>18749</v>
      </c>
      <c r="D1698" s="29" t="s">
        <v>31906</v>
      </c>
      <c r="E1698" s="29" t="s">
        <v>45319</v>
      </c>
      <c r="F1698" s="36" t="s">
        <v>54401</v>
      </c>
      <c r="G1698" s="39">
        <v>1270450.6100000001</v>
      </c>
      <c r="H1698" s="42">
        <v>211</v>
      </c>
    </row>
    <row r="1699" spans="1:8" ht="15" customHeight="1">
      <c r="A1699" s="26">
        <v>7227328</v>
      </c>
      <c r="B1699" s="30" t="s">
        <v>3940</v>
      </c>
      <c r="C1699" s="29" t="s">
        <v>18750</v>
      </c>
      <c r="D1699" s="29" t="s">
        <v>31907</v>
      </c>
      <c r="E1699" s="29" t="s">
        <v>45320</v>
      </c>
      <c r="F1699" s="36" t="s">
        <v>54401</v>
      </c>
      <c r="G1699" s="39">
        <f>1076141.49+18028</f>
        <v>1094169.49</v>
      </c>
      <c r="H1699" s="42">
        <v>211</v>
      </c>
    </row>
    <row r="1700" spans="1:8" ht="15" customHeight="1">
      <c r="A1700" s="26">
        <v>7227342</v>
      </c>
      <c r="B1700" s="30" t="s">
        <v>3941</v>
      </c>
      <c r="C1700" s="29" t="s">
        <v>18751</v>
      </c>
      <c r="D1700" s="29" t="s">
        <v>31908</v>
      </c>
      <c r="E1700" s="29" t="s">
        <v>45178</v>
      </c>
      <c r="F1700" s="36" t="s">
        <v>54401</v>
      </c>
      <c r="G1700" s="39">
        <f>2281840.7+745860+1170528</f>
        <v>4198228.7</v>
      </c>
      <c r="H1700" s="42">
        <v>211</v>
      </c>
    </row>
    <row r="1701" spans="1:8" ht="15" customHeight="1">
      <c r="A1701" s="26">
        <v>7227351</v>
      </c>
      <c r="B1701" s="30" t="s">
        <v>3942</v>
      </c>
      <c r="C1701" s="29" t="s">
        <v>18752</v>
      </c>
      <c r="D1701" s="29" t="s">
        <v>31909</v>
      </c>
      <c r="E1701" s="29" t="s">
        <v>45321</v>
      </c>
      <c r="F1701" s="36" t="s">
        <v>54401</v>
      </c>
      <c r="G1701" s="39">
        <f>2310455.68+918050</f>
        <v>3228505.68</v>
      </c>
      <c r="H1701" s="42">
        <v>211</v>
      </c>
    </row>
    <row r="1702" spans="1:8" ht="15" customHeight="1">
      <c r="A1702" s="26">
        <v>7227372</v>
      </c>
      <c r="B1702" s="30" t="s">
        <v>3943</v>
      </c>
      <c r="C1702" s="26" t="s">
        <v>17204</v>
      </c>
      <c r="D1702" s="26" t="s">
        <v>31910</v>
      </c>
      <c r="E1702" s="26" t="s">
        <v>43926</v>
      </c>
      <c r="F1702" s="37" t="s">
        <v>54401</v>
      </c>
      <c r="G1702" s="39">
        <v>43170.73</v>
      </c>
      <c r="H1702" s="42">
        <v>211</v>
      </c>
    </row>
    <row r="1703" spans="1:8" ht="15" customHeight="1">
      <c r="A1703" s="26">
        <v>7227385</v>
      </c>
      <c r="B1703" s="30" t="s">
        <v>3944</v>
      </c>
      <c r="C1703" s="29" t="s">
        <v>18753</v>
      </c>
      <c r="D1703" s="29" t="s">
        <v>31911</v>
      </c>
      <c r="E1703" s="29" t="s">
        <v>45322</v>
      </c>
      <c r="F1703" s="36" t="s">
        <v>54401</v>
      </c>
      <c r="G1703" s="39">
        <v>891962.1</v>
      </c>
      <c r="H1703" s="42">
        <v>211</v>
      </c>
    </row>
    <row r="1704" spans="1:8" ht="15" customHeight="1">
      <c r="A1704" s="26">
        <v>7227389</v>
      </c>
      <c r="B1704" s="30" t="s">
        <v>3945</v>
      </c>
      <c r="C1704" s="29" t="s">
        <v>18754</v>
      </c>
      <c r="D1704" s="29" t="s">
        <v>31912</v>
      </c>
      <c r="E1704" s="29" t="s">
        <v>45323</v>
      </c>
      <c r="F1704" s="36" t="s">
        <v>54401</v>
      </c>
      <c r="G1704" s="39">
        <f>5460560.09+2152665</f>
        <v>7613225.0899999999</v>
      </c>
      <c r="H1704" s="42">
        <v>211</v>
      </c>
    </row>
    <row r="1705" spans="1:8" ht="15" customHeight="1">
      <c r="A1705" s="26">
        <v>7227408</v>
      </c>
      <c r="B1705" s="30" t="s">
        <v>3946</v>
      </c>
      <c r="C1705" s="29" t="s">
        <v>18755</v>
      </c>
      <c r="D1705" s="29" t="s">
        <v>31913</v>
      </c>
      <c r="E1705" s="29" t="s">
        <v>44327</v>
      </c>
      <c r="F1705" s="36" t="s">
        <v>54401</v>
      </c>
      <c r="G1705" s="39">
        <v>155265.46</v>
      </c>
      <c r="H1705" s="42">
        <v>211</v>
      </c>
    </row>
    <row r="1706" spans="1:8" ht="15" customHeight="1">
      <c r="A1706" s="26">
        <v>7227414</v>
      </c>
      <c r="B1706" s="30" t="s">
        <v>3947</v>
      </c>
      <c r="C1706" s="29" t="s">
        <v>18756</v>
      </c>
      <c r="D1706" s="29" t="s">
        <v>31914</v>
      </c>
      <c r="E1706" s="29" t="s">
        <v>45324</v>
      </c>
      <c r="F1706" s="36" t="s">
        <v>54401</v>
      </c>
      <c r="G1706" s="39">
        <v>1367342.53</v>
      </c>
      <c r="H1706" s="42">
        <v>211</v>
      </c>
    </row>
    <row r="1707" spans="1:8" ht="15" customHeight="1">
      <c r="A1707" s="26">
        <v>7227427</v>
      </c>
      <c r="B1707" s="30" t="s">
        <v>3948</v>
      </c>
      <c r="C1707" s="29" t="s">
        <v>18757</v>
      </c>
      <c r="D1707" s="29" t="s">
        <v>31915</v>
      </c>
      <c r="E1707" s="29" t="s">
        <v>45325</v>
      </c>
      <c r="F1707" s="36" t="s">
        <v>54401</v>
      </c>
      <c r="G1707" s="39">
        <v>151994.03</v>
      </c>
      <c r="H1707" s="42">
        <v>211</v>
      </c>
    </row>
    <row r="1708" spans="1:8" ht="15" customHeight="1">
      <c r="A1708" s="26">
        <v>7227452</v>
      </c>
      <c r="B1708" s="30" t="s">
        <v>3949</v>
      </c>
      <c r="C1708" s="29" t="s">
        <v>18758</v>
      </c>
      <c r="D1708" s="29" t="s">
        <v>31916</v>
      </c>
      <c r="E1708" s="29" t="s">
        <v>45326</v>
      </c>
      <c r="F1708" s="36" t="s">
        <v>54401</v>
      </c>
      <c r="G1708" s="39">
        <v>4563041.67</v>
      </c>
      <c r="H1708" s="42">
        <v>211</v>
      </c>
    </row>
    <row r="1709" spans="1:8" ht="15" customHeight="1">
      <c r="A1709" s="26">
        <v>7227466</v>
      </c>
      <c r="B1709" s="30" t="s">
        <v>3950</v>
      </c>
      <c r="C1709" s="29" t="s">
        <v>18759</v>
      </c>
      <c r="D1709" s="29" t="s">
        <v>31917</v>
      </c>
      <c r="E1709" s="29" t="s">
        <v>45327</v>
      </c>
      <c r="F1709" s="36" t="s">
        <v>54401</v>
      </c>
      <c r="G1709" s="39">
        <v>61954.53</v>
      </c>
      <c r="H1709" s="42">
        <v>211</v>
      </c>
    </row>
    <row r="1710" spans="1:8" ht="15" customHeight="1">
      <c r="A1710" s="26">
        <v>7227480</v>
      </c>
      <c r="B1710" s="30" t="s">
        <v>3951</v>
      </c>
      <c r="C1710" s="29" t="s">
        <v>18760</v>
      </c>
      <c r="D1710" s="29" t="s">
        <v>31918</v>
      </c>
      <c r="E1710" s="29" t="s">
        <v>45328</v>
      </c>
      <c r="F1710" s="36" t="s">
        <v>54401</v>
      </c>
      <c r="G1710" s="39">
        <f>644361.8+375766</f>
        <v>1020127.8</v>
      </c>
      <c r="H1710" s="42">
        <v>211</v>
      </c>
    </row>
    <row r="1711" spans="1:8" ht="15" customHeight="1">
      <c r="A1711" s="26">
        <v>7227489</v>
      </c>
      <c r="B1711" s="30" t="s">
        <v>3952</v>
      </c>
      <c r="C1711" s="29" t="s">
        <v>18761</v>
      </c>
      <c r="D1711" s="29" t="s">
        <v>31919</v>
      </c>
      <c r="E1711" s="29" t="s">
        <v>45329</v>
      </c>
      <c r="F1711" s="36" t="s">
        <v>54401</v>
      </c>
      <c r="G1711" s="39">
        <v>75693.94</v>
      </c>
      <c r="H1711" s="42">
        <v>211</v>
      </c>
    </row>
    <row r="1712" spans="1:8" ht="15" customHeight="1">
      <c r="A1712" s="26">
        <v>7227497</v>
      </c>
      <c r="B1712" s="30" t="s">
        <v>3953</v>
      </c>
      <c r="C1712" s="29" t="s">
        <v>18762</v>
      </c>
      <c r="D1712" s="29" t="s">
        <v>31920</v>
      </c>
      <c r="E1712" s="29" t="s">
        <v>45330</v>
      </c>
      <c r="F1712" s="36" t="s">
        <v>54401</v>
      </c>
      <c r="G1712" s="39">
        <f>376450.08+316936</f>
        <v>693386.08000000007</v>
      </c>
      <c r="H1712" s="42">
        <v>211</v>
      </c>
    </row>
    <row r="1713" spans="1:8" ht="15" customHeight="1">
      <c r="A1713" s="26">
        <v>7227511</v>
      </c>
      <c r="B1713" s="30" t="s">
        <v>3954</v>
      </c>
      <c r="C1713" s="29" t="s">
        <v>18763</v>
      </c>
      <c r="D1713" s="29" t="s">
        <v>31921</v>
      </c>
      <c r="E1713" s="29" t="s">
        <v>45331</v>
      </c>
      <c r="F1713" s="36" t="s">
        <v>54401</v>
      </c>
      <c r="G1713" s="39">
        <v>296205.88</v>
      </c>
      <c r="H1713" s="42">
        <v>211</v>
      </c>
    </row>
    <row r="1714" spans="1:8" ht="15" customHeight="1">
      <c r="A1714" s="26">
        <v>7227513</v>
      </c>
      <c r="B1714" s="30" t="s">
        <v>3955</v>
      </c>
      <c r="C1714" s="29" t="s">
        <v>18764</v>
      </c>
      <c r="D1714" s="29" t="s">
        <v>31922</v>
      </c>
      <c r="E1714" s="29" t="s">
        <v>45332</v>
      </c>
      <c r="F1714" s="36" t="s">
        <v>54401</v>
      </c>
      <c r="G1714" s="39">
        <v>378433.6</v>
      </c>
      <c r="H1714" s="42">
        <v>211</v>
      </c>
    </row>
    <row r="1715" spans="1:8" ht="15" customHeight="1">
      <c r="A1715" s="26">
        <v>7227516</v>
      </c>
      <c r="B1715" s="30" t="s">
        <v>3956</v>
      </c>
      <c r="C1715" s="29" t="s">
        <v>18765</v>
      </c>
      <c r="D1715" s="29" t="s">
        <v>31923</v>
      </c>
      <c r="E1715" s="29" t="s">
        <v>45333</v>
      </c>
      <c r="F1715" s="36" t="s">
        <v>54401</v>
      </c>
      <c r="G1715" s="39">
        <v>3154683.81</v>
      </c>
      <c r="H1715" s="42">
        <v>211</v>
      </c>
    </row>
    <row r="1716" spans="1:8" ht="15" customHeight="1">
      <c r="A1716" s="26">
        <v>7227517</v>
      </c>
      <c r="B1716" s="30" t="s">
        <v>3957</v>
      </c>
      <c r="C1716" s="29" t="s">
        <v>18766</v>
      </c>
      <c r="D1716" s="29" t="s">
        <v>31924</v>
      </c>
      <c r="E1716" s="29" t="s">
        <v>45334</v>
      </c>
      <c r="F1716" s="36" t="s">
        <v>54401</v>
      </c>
      <c r="G1716" s="39">
        <v>581470.05000000005</v>
      </c>
      <c r="H1716" s="42">
        <v>211</v>
      </c>
    </row>
    <row r="1717" spans="1:8" ht="15" customHeight="1">
      <c r="A1717" s="26">
        <v>7227518</v>
      </c>
      <c r="B1717" s="30" t="s">
        <v>3958</v>
      </c>
      <c r="C1717" s="29" t="s">
        <v>18767</v>
      </c>
      <c r="D1717" s="29" t="s">
        <v>31925</v>
      </c>
      <c r="E1717" s="29" t="s">
        <v>45335</v>
      </c>
      <c r="F1717" s="36" t="s">
        <v>54401</v>
      </c>
      <c r="G1717" s="39">
        <f>1110148.52+96837</f>
        <v>1206985.52</v>
      </c>
      <c r="H1717" s="42">
        <v>211</v>
      </c>
    </row>
    <row r="1718" spans="1:8" ht="15" customHeight="1">
      <c r="A1718" s="26">
        <v>7227520</v>
      </c>
      <c r="B1718" s="30" t="s">
        <v>3959</v>
      </c>
      <c r="C1718" s="26" t="s">
        <v>18768</v>
      </c>
      <c r="D1718" s="26" t="s">
        <v>31926</v>
      </c>
      <c r="E1718" s="26" t="s">
        <v>45336</v>
      </c>
      <c r="F1718" s="37" t="s">
        <v>54401</v>
      </c>
      <c r="G1718" s="39">
        <v>305745.63</v>
      </c>
      <c r="H1718" s="42">
        <v>211</v>
      </c>
    </row>
    <row r="1719" spans="1:8" ht="15" customHeight="1">
      <c r="A1719" s="26">
        <v>7227522</v>
      </c>
      <c r="B1719" s="30" t="s">
        <v>3960</v>
      </c>
      <c r="C1719" s="26" t="s">
        <v>18769</v>
      </c>
      <c r="D1719" s="26" t="s">
        <v>30376</v>
      </c>
      <c r="E1719" s="26" t="s">
        <v>45337</v>
      </c>
      <c r="F1719" s="37" t="s">
        <v>54401</v>
      </c>
      <c r="G1719" s="39">
        <v>360651.42</v>
      </c>
      <c r="H1719" s="42">
        <v>211</v>
      </c>
    </row>
    <row r="1720" spans="1:8" ht="15" customHeight="1">
      <c r="A1720" s="26">
        <v>7227532</v>
      </c>
      <c r="B1720" s="30" t="s">
        <v>3961</v>
      </c>
      <c r="C1720" s="26" t="s">
        <v>18770</v>
      </c>
      <c r="D1720" s="26" t="s">
        <v>31927</v>
      </c>
      <c r="E1720" s="26" t="s">
        <v>45338</v>
      </c>
      <c r="F1720" s="37" t="s">
        <v>54401</v>
      </c>
      <c r="G1720" s="39">
        <v>4539925.95</v>
      </c>
      <c r="H1720" s="42">
        <v>211</v>
      </c>
    </row>
    <row r="1721" spans="1:8" ht="15" customHeight="1">
      <c r="A1721" s="26">
        <v>7227550</v>
      </c>
      <c r="B1721" s="30" t="s">
        <v>3962</v>
      </c>
      <c r="C1721" s="29" t="s">
        <v>18771</v>
      </c>
      <c r="D1721" s="29" t="s">
        <v>31928</v>
      </c>
      <c r="E1721" s="29" t="s">
        <v>43926</v>
      </c>
      <c r="F1721" s="36" t="s">
        <v>54401</v>
      </c>
      <c r="G1721" s="39">
        <v>594384.98</v>
      </c>
      <c r="H1721" s="42">
        <v>211</v>
      </c>
    </row>
    <row r="1722" spans="1:8" ht="15" customHeight="1">
      <c r="A1722" s="26">
        <v>7227557</v>
      </c>
      <c r="B1722" s="30" t="s">
        <v>3963</v>
      </c>
      <c r="C1722" s="29" t="s">
        <v>18772</v>
      </c>
      <c r="D1722" s="29" t="s">
        <v>31929</v>
      </c>
      <c r="E1722" s="29" t="s">
        <v>43926</v>
      </c>
      <c r="F1722" s="36" t="s">
        <v>54401</v>
      </c>
      <c r="G1722" s="39">
        <v>61260.59</v>
      </c>
      <c r="H1722" s="42">
        <v>211</v>
      </c>
    </row>
    <row r="1723" spans="1:8" ht="15" customHeight="1">
      <c r="A1723" s="26">
        <v>7227568</v>
      </c>
      <c r="B1723" s="30" t="s">
        <v>3964</v>
      </c>
      <c r="C1723" s="29" t="s">
        <v>18773</v>
      </c>
      <c r="D1723" s="29" t="s">
        <v>31930</v>
      </c>
      <c r="E1723" s="29" t="s">
        <v>45235</v>
      </c>
      <c r="F1723" s="36" t="s">
        <v>54401</v>
      </c>
      <c r="G1723" s="39">
        <f>1375579.74+249350</f>
        <v>1624929.74</v>
      </c>
      <c r="H1723" s="42">
        <v>211</v>
      </c>
    </row>
    <row r="1724" spans="1:8" ht="15" customHeight="1">
      <c r="A1724" s="26">
        <v>7227572</v>
      </c>
      <c r="B1724" s="30" t="s">
        <v>3965</v>
      </c>
      <c r="C1724" s="29" t="s">
        <v>18774</v>
      </c>
      <c r="D1724" s="29" t="s">
        <v>31931</v>
      </c>
      <c r="E1724" s="29" t="s">
        <v>45339</v>
      </c>
      <c r="F1724" s="36" t="s">
        <v>54401</v>
      </c>
      <c r="G1724" s="39">
        <f>1718263.33+645768</f>
        <v>2364031.33</v>
      </c>
      <c r="H1724" s="42">
        <v>211</v>
      </c>
    </row>
    <row r="1725" spans="1:8" ht="15" customHeight="1">
      <c r="A1725" s="26">
        <v>7227597</v>
      </c>
      <c r="B1725" s="30" t="s">
        <v>3966</v>
      </c>
      <c r="C1725" s="29" t="s">
        <v>18775</v>
      </c>
      <c r="D1725" s="29" t="s">
        <v>31932</v>
      </c>
      <c r="E1725" s="29" t="s">
        <v>45340</v>
      </c>
      <c r="F1725" s="36" t="s">
        <v>54401</v>
      </c>
      <c r="G1725" s="39">
        <v>10141621.26</v>
      </c>
      <c r="H1725" s="42">
        <v>211</v>
      </c>
    </row>
    <row r="1726" spans="1:8" ht="15" customHeight="1">
      <c r="A1726" s="26">
        <v>7227599</v>
      </c>
      <c r="B1726" s="30" t="s">
        <v>3967</v>
      </c>
      <c r="C1726" s="29" t="s">
        <v>18776</v>
      </c>
      <c r="D1726" s="29" t="s">
        <v>31933</v>
      </c>
      <c r="E1726" s="29" t="s">
        <v>45341</v>
      </c>
      <c r="F1726" s="36" t="s">
        <v>54401</v>
      </c>
      <c r="G1726" s="39">
        <v>383346.57</v>
      </c>
      <c r="H1726" s="42">
        <v>211</v>
      </c>
    </row>
    <row r="1727" spans="1:8" ht="15" customHeight="1">
      <c r="A1727" s="26">
        <v>7227630</v>
      </c>
      <c r="B1727" s="30" t="s">
        <v>3968</v>
      </c>
      <c r="C1727" s="26" t="s">
        <v>18777</v>
      </c>
      <c r="D1727" s="26" t="s">
        <v>31934</v>
      </c>
      <c r="E1727" s="26" t="s">
        <v>45342</v>
      </c>
      <c r="F1727" s="37" t="s">
        <v>54401</v>
      </c>
      <c r="G1727" s="39">
        <v>1159347.67</v>
      </c>
      <c r="H1727" s="42">
        <v>211</v>
      </c>
    </row>
    <row r="1728" spans="1:8" ht="15" customHeight="1">
      <c r="A1728" s="26">
        <v>7227633</v>
      </c>
      <c r="B1728" s="30" t="s">
        <v>3969</v>
      </c>
      <c r="C1728" s="29" t="s">
        <v>18778</v>
      </c>
      <c r="D1728" s="29" t="s">
        <v>31935</v>
      </c>
      <c r="E1728" s="29" t="s">
        <v>45343</v>
      </c>
      <c r="F1728" s="36" t="s">
        <v>54401</v>
      </c>
      <c r="G1728" s="39">
        <f>1526486.95+84454</f>
        <v>1610940.95</v>
      </c>
      <c r="H1728" s="42">
        <v>211</v>
      </c>
    </row>
    <row r="1729" spans="1:8" ht="15" customHeight="1">
      <c r="A1729" s="26">
        <v>7227639</v>
      </c>
      <c r="B1729" s="30" t="s">
        <v>3970</v>
      </c>
      <c r="C1729" s="29" t="s">
        <v>18779</v>
      </c>
      <c r="D1729" s="29" t="s">
        <v>31936</v>
      </c>
      <c r="E1729" s="29" t="s">
        <v>45344</v>
      </c>
      <c r="F1729" s="36" t="s">
        <v>54401</v>
      </c>
      <c r="G1729" s="39">
        <f>999453.56+85020</f>
        <v>1084473.56</v>
      </c>
      <c r="H1729" s="42">
        <v>211</v>
      </c>
    </row>
    <row r="1730" spans="1:8" ht="15" customHeight="1">
      <c r="A1730" s="26">
        <v>7227642</v>
      </c>
      <c r="B1730" s="30" t="s">
        <v>3971</v>
      </c>
      <c r="C1730" s="29" t="s">
        <v>18780</v>
      </c>
      <c r="D1730" s="29" t="s">
        <v>31937</v>
      </c>
      <c r="E1730" s="29" t="s">
        <v>45345</v>
      </c>
      <c r="F1730" s="36" t="s">
        <v>54401</v>
      </c>
      <c r="G1730" s="39">
        <v>1788854.47</v>
      </c>
      <c r="H1730" s="42">
        <v>211</v>
      </c>
    </row>
    <row r="1731" spans="1:8" ht="15" customHeight="1">
      <c r="A1731" s="26">
        <v>7227643</v>
      </c>
      <c r="B1731" s="30" t="s">
        <v>3972</v>
      </c>
      <c r="C1731" s="29" t="s">
        <v>18781</v>
      </c>
      <c r="D1731" s="29" t="s">
        <v>31938</v>
      </c>
      <c r="E1731" s="29" t="s">
        <v>45346</v>
      </c>
      <c r="F1731" s="36" t="s">
        <v>54401</v>
      </c>
      <c r="G1731" s="39">
        <v>183611.74</v>
      </c>
      <c r="H1731" s="42">
        <v>211</v>
      </c>
    </row>
    <row r="1732" spans="1:8" ht="15" customHeight="1">
      <c r="A1732" s="26">
        <v>7227646</v>
      </c>
      <c r="B1732" s="30" t="s">
        <v>3973</v>
      </c>
      <c r="C1732" s="26" t="s">
        <v>18782</v>
      </c>
      <c r="D1732" s="26" t="s">
        <v>31939</v>
      </c>
      <c r="E1732" s="26" t="s">
        <v>43926</v>
      </c>
      <c r="F1732" s="37" t="s">
        <v>54401</v>
      </c>
      <c r="G1732" s="39">
        <v>2051807.45</v>
      </c>
      <c r="H1732" s="42">
        <v>211</v>
      </c>
    </row>
    <row r="1733" spans="1:8" ht="15" customHeight="1">
      <c r="A1733" s="26">
        <v>7227653</v>
      </c>
      <c r="B1733" s="30" t="s">
        <v>3974</v>
      </c>
      <c r="C1733" s="29" t="s">
        <v>18783</v>
      </c>
      <c r="D1733" s="29" t="s">
        <v>31940</v>
      </c>
      <c r="E1733" s="29" t="s">
        <v>45347</v>
      </c>
      <c r="F1733" s="36" t="s">
        <v>54401</v>
      </c>
      <c r="G1733" s="39">
        <f>1103138+132504</f>
        <v>1235642</v>
      </c>
      <c r="H1733" s="42">
        <v>211</v>
      </c>
    </row>
    <row r="1734" spans="1:8" ht="15" customHeight="1">
      <c r="A1734" s="26">
        <v>7227666</v>
      </c>
      <c r="B1734" s="30" t="s">
        <v>3975</v>
      </c>
      <c r="C1734" s="26" t="s">
        <v>18784</v>
      </c>
      <c r="D1734" s="26" t="s">
        <v>31941</v>
      </c>
      <c r="E1734" s="26" t="s">
        <v>45348</v>
      </c>
      <c r="F1734" s="37" t="s">
        <v>54401</v>
      </c>
      <c r="G1734" s="39">
        <v>414319.37</v>
      </c>
      <c r="H1734" s="42">
        <v>211</v>
      </c>
    </row>
    <row r="1735" spans="1:8" ht="15" customHeight="1">
      <c r="A1735" s="26">
        <v>7227672</v>
      </c>
      <c r="B1735" s="30" t="s">
        <v>3976</v>
      </c>
      <c r="C1735" s="29" t="s">
        <v>18785</v>
      </c>
      <c r="D1735" s="29" t="s">
        <v>31942</v>
      </c>
      <c r="E1735" s="29" t="s">
        <v>43926</v>
      </c>
      <c r="F1735" s="36" t="s">
        <v>54401</v>
      </c>
      <c r="G1735" s="39">
        <v>196599.27</v>
      </c>
      <c r="H1735" s="42">
        <v>211</v>
      </c>
    </row>
    <row r="1736" spans="1:8" ht="15" customHeight="1">
      <c r="A1736" s="26">
        <v>7227692</v>
      </c>
      <c r="B1736" s="30" t="s">
        <v>3977</v>
      </c>
      <c r="C1736" s="29" t="s">
        <v>18786</v>
      </c>
      <c r="D1736" s="29" t="s">
        <v>31943</v>
      </c>
      <c r="E1736" s="29" t="s">
        <v>45349</v>
      </c>
      <c r="F1736" s="36" t="s">
        <v>54401</v>
      </c>
      <c r="G1736" s="39">
        <f>2751417.23+664774</f>
        <v>3416191.23</v>
      </c>
      <c r="H1736" s="42">
        <v>211</v>
      </c>
    </row>
    <row r="1737" spans="1:8" ht="15" customHeight="1">
      <c r="A1737" s="26">
        <v>7227699</v>
      </c>
      <c r="B1737" s="30" t="s">
        <v>3978</v>
      </c>
      <c r="C1737" s="29" t="s">
        <v>18787</v>
      </c>
      <c r="D1737" s="29" t="s">
        <v>31944</v>
      </c>
      <c r="E1737" s="29" t="s">
        <v>45350</v>
      </c>
      <c r="F1737" s="36" t="s">
        <v>54401</v>
      </c>
      <c r="G1737" s="39">
        <v>1747741.68</v>
      </c>
      <c r="H1737" s="42">
        <v>211</v>
      </c>
    </row>
    <row r="1738" spans="1:8" ht="15" customHeight="1">
      <c r="A1738" s="26">
        <v>7227706</v>
      </c>
      <c r="B1738" s="30" t="s">
        <v>3979</v>
      </c>
      <c r="C1738" s="29" t="s">
        <v>18788</v>
      </c>
      <c r="D1738" s="29" t="s">
        <v>31945</v>
      </c>
      <c r="E1738" s="29" t="s">
        <v>45351</v>
      </c>
      <c r="F1738" s="36" t="s">
        <v>54401</v>
      </c>
      <c r="G1738" s="39">
        <v>344032.14</v>
      </c>
      <c r="H1738" s="42">
        <v>211</v>
      </c>
    </row>
    <row r="1739" spans="1:8" ht="15" customHeight="1">
      <c r="A1739" s="26">
        <v>7227708</v>
      </c>
      <c r="B1739" s="30" t="s">
        <v>3980</v>
      </c>
      <c r="C1739" s="29" t="s">
        <v>18789</v>
      </c>
      <c r="D1739" s="29" t="s">
        <v>31946</v>
      </c>
      <c r="E1739" s="29" t="s">
        <v>45352</v>
      </c>
      <c r="F1739" s="36" t="s">
        <v>54401</v>
      </c>
      <c r="G1739" s="39">
        <v>220881.65</v>
      </c>
      <c r="H1739" s="42">
        <v>211</v>
      </c>
    </row>
    <row r="1740" spans="1:8" ht="15" customHeight="1">
      <c r="A1740" s="26">
        <v>7227711</v>
      </c>
      <c r="B1740" s="30" t="s">
        <v>3981</v>
      </c>
      <c r="C1740" s="26" t="s">
        <v>18790</v>
      </c>
      <c r="D1740" s="26" t="s">
        <v>31947</v>
      </c>
      <c r="E1740" s="26" t="s">
        <v>45353</v>
      </c>
      <c r="F1740" s="37" t="s">
        <v>54401</v>
      </c>
      <c r="G1740" s="39">
        <v>892953.55</v>
      </c>
      <c r="H1740" s="42">
        <v>211</v>
      </c>
    </row>
    <row r="1741" spans="1:8" ht="15" customHeight="1">
      <c r="A1741" s="26">
        <v>7227722</v>
      </c>
      <c r="B1741" s="30" t="s">
        <v>3982</v>
      </c>
      <c r="C1741" s="29" t="s">
        <v>18791</v>
      </c>
      <c r="D1741" s="29" t="s">
        <v>31948</v>
      </c>
      <c r="E1741" s="29" t="s">
        <v>45354</v>
      </c>
      <c r="F1741" s="36" t="s">
        <v>54401</v>
      </c>
      <c r="G1741" s="39">
        <v>900304.37</v>
      </c>
      <c r="H1741" s="42">
        <v>211</v>
      </c>
    </row>
    <row r="1742" spans="1:8" ht="15" customHeight="1">
      <c r="A1742" s="26">
        <v>7227724</v>
      </c>
      <c r="B1742" s="30" t="s">
        <v>3983</v>
      </c>
      <c r="C1742" s="29" t="s">
        <v>18792</v>
      </c>
      <c r="D1742" s="29" t="s">
        <v>31949</v>
      </c>
      <c r="E1742" s="29" t="s">
        <v>45355</v>
      </c>
      <c r="F1742" s="36" t="s">
        <v>54401</v>
      </c>
      <c r="G1742" s="39">
        <v>127101.86</v>
      </c>
      <c r="H1742" s="42">
        <v>211</v>
      </c>
    </row>
    <row r="1743" spans="1:8" ht="15" customHeight="1">
      <c r="A1743" s="26">
        <v>7227725</v>
      </c>
      <c r="B1743" s="30" t="s">
        <v>3984</v>
      </c>
      <c r="C1743" s="29" t="s">
        <v>18793</v>
      </c>
      <c r="D1743" s="29" t="s">
        <v>31950</v>
      </c>
      <c r="E1743" s="29" t="s">
        <v>45356</v>
      </c>
      <c r="F1743" s="36" t="s">
        <v>54401</v>
      </c>
      <c r="G1743" s="39">
        <v>5690801.6299999999</v>
      </c>
      <c r="H1743" s="42">
        <v>211</v>
      </c>
    </row>
    <row r="1744" spans="1:8" ht="15" customHeight="1">
      <c r="A1744" s="26">
        <v>7227732</v>
      </c>
      <c r="B1744" s="30" t="s">
        <v>3985</v>
      </c>
      <c r="C1744" s="29" t="s">
        <v>17204</v>
      </c>
      <c r="D1744" s="29" t="s">
        <v>31951</v>
      </c>
      <c r="E1744" s="29" t="s">
        <v>43926</v>
      </c>
      <c r="F1744" s="36" t="s">
        <v>54401</v>
      </c>
      <c r="G1744" s="39">
        <v>1397451.91</v>
      </c>
      <c r="H1744" s="42">
        <v>211</v>
      </c>
    </row>
    <row r="1745" spans="1:8" ht="15" customHeight="1">
      <c r="A1745" s="26">
        <v>7227738</v>
      </c>
      <c r="B1745" s="30" t="s">
        <v>3986</v>
      </c>
      <c r="C1745" s="29" t="s">
        <v>18794</v>
      </c>
      <c r="D1745" s="29" t="s">
        <v>31952</v>
      </c>
      <c r="E1745" s="29" t="s">
        <v>45357</v>
      </c>
      <c r="F1745" s="36" t="s">
        <v>54401</v>
      </c>
      <c r="G1745" s="39">
        <f>334923.71+264361</f>
        <v>599284.71</v>
      </c>
      <c r="H1745" s="42">
        <v>211</v>
      </c>
    </row>
    <row r="1746" spans="1:8" ht="15" customHeight="1">
      <c r="A1746" s="26">
        <v>7227748</v>
      </c>
      <c r="B1746" s="30" t="s">
        <v>3987</v>
      </c>
      <c r="C1746" s="29" t="s">
        <v>18795</v>
      </c>
      <c r="D1746" s="29" t="s">
        <v>31953</v>
      </c>
      <c r="E1746" s="29" t="s">
        <v>45358</v>
      </c>
      <c r="F1746" s="36" t="s">
        <v>54401</v>
      </c>
      <c r="G1746" s="39">
        <f>3371492.18+37915</f>
        <v>3409407.18</v>
      </c>
      <c r="H1746" s="42">
        <v>211</v>
      </c>
    </row>
    <row r="1747" spans="1:8" ht="15" customHeight="1">
      <c r="A1747" s="26">
        <v>7227752</v>
      </c>
      <c r="B1747" s="30" t="s">
        <v>3988</v>
      </c>
      <c r="C1747" s="29" t="s">
        <v>18796</v>
      </c>
      <c r="D1747" s="29" t="s">
        <v>31954</v>
      </c>
      <c r="E1747" s="29" t="s">
        <v>44099</v>
      </c>
      <c r="F1747" s="36" t="s">
        <v>54401</v>
      </c>
      <c r="G1747" s="39">
        <v>94489.08</v>
      </c>
      <c r="H1747" s="42">
        <v>211</v>
      </c>
    </row>
    <row r="1748" spans="1:8" ht="15" customHeight="1">
      <c r="A1748" s="26">
        <v>7227768</v>
      </c>
      <c r="B1748" s="30" t="s">
        <v>3989</v>
      </c>
      <c r="C1748" s="29" t="s">
        <v>18797</v>
      </c>
      <c r="D1748" s="29" t="s">
        <v>31955</v>
      </c>
      <c r="E1748" s="29" t="s">
        <v>45359</v>
      </c>
      <c r="F1748" s="36" t="s">
        <v>54401</v>
      </c>
      <c r="G1748" s="39">
        <v>284255.09999999998</v>
      </c>
      <c r="H1748" s="42">
        <v>211</v>
      </c>
    </row>
    <row r="1749" spans="1:8" ht="15" customHeight="1">
      <c r="A1749" s="26">
        <v>7227785</v>
      </c>
      <c r="B1749" s="30" t="s">
        <v>3990</v>
      </c>
      <c r="C1749" s="29" t="s">
        <v>18798</v>
      </c>
      <c r="D1749" s="29" t="s">
        <v>31956</v>
      </c>
      <c r="E1749" s="29" t="s">
        <v>45360</v>
      </c>
      <c r="F1749" s="36" t="s">
        <v>54401</v>
      </c>
      <c r="G1749" s="39">
        <f>1006387.5+303146</f>
        <v>1309533.5</v>
      </c>
      <c r="H1749" s="42">
        <v>211</v>
      </c>
    </row>
    <row r="1750" spans="1:8" ht="15" customHeight="1">
      <c r="A1750" s="26">
        <v>7227790</v>
      </c>
      <c r="B1750" s="30" t="s">
        <v>3991</v>
      </c>
      <c r="C1750" s="29" t="s">
        <v>17204</v>
      </c>
      <c r="D1750" s="29" t="s">
        <v>31957</v>
      </c>
      <c r="E1750" s="29" t="s">
        <v>43926</v>
      </c>
      <c r="F1750" s="36" t="s">
        <v>54401</v>
      </c>
      <c r="G1750" s="39">
        <v>2117295.5499999998</v>
      </c>
      <c r="H1750" s="42">
        <v>211</v>
      </c>
    </row>
    <row r="1751" spans="1:8" ht="15" customHeight="1">
      <c r="A1751" s="26">
        <v>7227794</v>
      </c>
      <c r="B1751" s="30" t="s">
        <v>3992</v>
      </c>
      <c r="C1751" s="29" t="s">
        <v>18799</v>
      </c>
      <c r="D1751" s="29" t="s">
        <v>31958</v>
      </c>
      <c r="E1751" s="29" t="s">
        <v>45361</v>
      </c>
      <c r="F1751" s="36" t="s">
        <v>54401</v>
      </c>
      <c r="G1751" s="39">
        <v>371822.16</v>
      </c>
      <c r="H1751" s="42">
        <v>211</v>
      </c>
    </row>
    <row r="1752" spans="1:8" ht="15" customHeight="1">
      <c r="A1752" s="26">
        <v>7227800</v>
      </c>
      <c r="B1752" s="30" t="s">
        <v>3993</v>
      </c>
      <c r="C1752" s="29" t="s">
        <v>18800</v>
      </c>
      <c r="D1752" s="29" t="s">
        <v>31959</v>
      </c>
      <c r="E1752" s="29" t="s">
        <v>45362</v>
      </c>
      <c r="F1752" s="36" t="s">
        <v>54401</v>
      </c>
      <c r="G1752" s="39">
        <f>1105021.62+419802+27408</f>
        <v>1552231.62</v>
      </c>
      <c r="H1752" s="42">
        <v>211</v>
      </c>
    </row>
    <row r="1753" spans="1:8" ht="15" customHeight="1">
      <c r="A1753" s="26">
        <v>7227802</v>
      </c>
      <c r="B1753" s="30" t="s">
        <v>3994</v>
      </c>
      <c r="C1753" s="29" t="s">
        <v>18801</v>
      </c>
      <c r="D1753" s="29" t="s">
        <v>31960</v>
      </c>
      <c r="E1753" s="29" t="s">
        <v>45363</v>
      </c>
      <c r="F1753" s="36" t="s">
        <v>54401</v>
      </c>
      <c r="G1753" s="39">
        <v>722045.21</v>
      </c>
      <c r="H1753" s="42">
        <v>211</v>
      </c>
    </row>
    <row r="1754" spans="1:8" ht="15" customHeight="1">
      <c r="A1754" s="26">
        <v>7227803</v>
      </c>
      <c r="B1754" s="30" t="s">
        <v>3995</v>
      </c>
      <c r="C1754" s="29" t="s">
        <v>18802</v>
      </c>
      <c r="D1754" s="29" t="s">
        <v>31961</v>
      </c>
      <c r="E1754" s="29" t="s">
        <v>45364</v>
      </c>
      <c r="F1754" s="36" t="s">
        <v>54401</v>
      </c>
      <c r="G1754" s="39">
        <v>9387833.8699999992</v>
      </c>
      <c r="H1754" s="42">
        <v>211</v>
      </c>
    </row>
    <row r="1755" spans="1:8" ht="15" customHeight="1">
      <c r="A1755" s="26">
        <v>7227805</v>
      </c>
      <c r="B1755" s="30" t="s">
        <v>3996</v>
      </c>
      <c r="C1755" s="29" t="s">
        <v>18803</v>
      </c>
      <c r="D1755" s="29" t="s">
        <v>31962</v>
      </c>
      <c r="E1755" s="29" t="s">
        <v>45365</v>
      </c>
      <c r="F1755" s="36" t="s">
        <v>54401</v>
      </c>
      <c r="G1755" s="39">
        <v>301269.48</v>
      </c>
      <c r="H1755" s="42">
        <v>211</v>
      </c>
    </row>
    <row r="1756" spans="1:8" ht="15" customHeight="1">
      <c r="A1756" s="26">
        <v>7227834</v>
      </c>
      <c r="B1756" s="30" t="s">
        <v>3997</v>
      </c>
      <c r="C1756" s="29" t="s">
        <v>18804</v>
      </c>
      <c r="D1756" s="29" t="s">
        <v>31963</v>
      </c>
      <c r="E1756" s="29" t="s">
        <v>45366</v>
      </c>
      <c r="F1756" s="36" t="s">
        <v>54401</v>
      </c>
      <c r="G1756" s="39">
        <v>3038689.9</v>
      </c>
      <c r="H1756" s="42">
        <v>211</v>
      </c>
    </row>
    <row r="1757" spans="1:8" ht="15" customHeight="1">
      <c r="A1757" s="26">
        <v>7227840</v>
      </c>
      <c r="B1757" s="30" t="s">
        <v>3998</v>
      </c>
      <c r="C1757" s="29" t="s">
        <v>18805</v>
      </c>
      <c r="D1757" s="29" t="s">
        <v>31964</v>
      </c>
      <c r="E1757" s="29" t="s">
        <v>44187</v>
      </c>
      <c r="F1757" s="36" t="s">
        <v>54406</v>
      </c>
      <c r="G1757" s="39">
        <f>14334542.81+207374</f>
        <v>14541916.810000001</v>
      </c>
      <c r="H1757" s="42">
        <v>211</v>
      </c>
    </row>
    <row r="1758" spans="1:8" ht="15" customHeight="1">
      <c r="A1758" s="26">
        <v>7227843</v>
      </c>
      <c r="B1758" s="30" t="s">
        <v>3999</v>
      </c>
      <c r="C1758" s="29" t="s">
        <v>17204</v>
      </c>
      <c r="D1758" s="29" t="s">
        <v>30349</v>
      </c>
      <c r="E1758" s="29" t="s">
        <v>43926</v>
      </c>
      <c r="F1758" s="36" t="s">
        <v>54401</v>
      </c>
      <c r="G1758" s="39">
        <v>158399.78</v>
      </c>
      <c r="H1758" s="42">
        <v>211</v>
      </c>
    </row>
    <row r="1759" spans="1:8" ht="15" customHeight="1">
      <c r="A1759" s="26">
        <v>7227858</v>
      </c>
      <c r="B1759" s="30" t="s">
        <v>4000</v>
      </c>
      <c r="C1759" s="29" t="s">
        <v>18806</v>
      </c>
      <c r="D1759" s="29" t="s">
        <v>31965</v>
      </c>
      <c r="E1759" s="29" t="s">
        <v>45367</v>
      </c>
      <c r="F1759" s="36" t="s">
        <v>54401</v>
      </c>
      <c r="G1759" s="39">
        <v>333079.15000000002</v>
      </c>
      <c r="H1759" s="42">
        <v>211</v>
      </c>
    </row>
    <row r="1760" spans="1:8" ht="15" customHeight="1">
      <c r="A1760" s="26">
        <v>7227868</v>
      </c>
      <c r="B1760" s="30" t="s">
        <v>4001</v>
      </c>
      <c r="C1760" s="29" t="s">
        <v>17204</v>
      </c>
      <c r="D1760" s="29" t="s">
        <v>30349</v>
      </c>
      <c r="E1760" s="29" t="s">
        <v>43926</v>
      </c>
      <c r="F1760" s="36" t="s">
        <v>54401</v>
      </c>
      <c r="G1760" s="39">
        <f>590056.23+446903</f>
        <v>1036959.23</v>
      </c>
      <c r="H1760" s="42">
        <v>211</v>
      </c>
    </row>
    <row r="1761" spans="1:8" ht="15" customHeight="1">
      <c r="A1761" s="26">
        <v>7227944</v>
      </c>
      <c r="B1761" s="30" t="s">
        <v>4002</v>
      </c>
      <c r="C1761" s="29" t="s">
        <v>18807</v>
      </c>
      <c r="D1761" s="29" t="s">
        <v>31966</v>
      </c>
      <c r="E1761" s="29" t="s">
        <v>45368</v>
      </c>
      <c r="F1761" s="36" t="s">
        <v>54401</v>
      </c>
      <c r="G1761" s="39">
        <f>1147334.42+523673</f>
        <v>1671007.42</v>
      </c>
      <c r="H1761" s="42">
        <v>211</v>
      </c>
    </row>
    <row r="1762" spans="1:8" ht="15" customHeight="1">
      <c r="A1762" s="26">
        <v>7228008</v>
      </c>
      <c r="B1762" s="30" t="s">
        <v>4003</v>
      </c>
      <c r="C1762" s="29" t="s">
        <v>18808</v>
      </c>
      <c r="D1762" s="29" t="s">
        <v>31967</v>
      </c>
      <c r="E1762" s="29" t="s">
        <v>45369</v>
      </c>
      <c r="F1762" s="36" t="s">
        <v>54401</v>
      </c>
      <c r="G1762" s="39">
        <v>419935.61</v>
      </c>
      <c r="H1762" s="42">
        <v>211</v>
      </c>
    </row>
    <row r="1763" spans="1:8" ht="15" customHeight="1">
      <c r="A1763" s="26">
        <v>7228009</v>
      </c>
      <c r="B1763" s="30" t="s">
        <v>4004</v>
      </c>
      <c r="C1763" s="29" t="s">
        <v>18809</v>
      </c>
      <c r="D1763" s="29" t="s">
        <v>31968</v>
      </c>
      <c r="E1763" s="29" t="s">
        <v>45370</v>
      </c>
      <c r="F1763" s="36" t="s">
        <v>54401</v>
      </c>
      <c r="G1763" s="39">
        <f>1660621.99+176040</f>
        <v>1836661.99</v>
      </c>
      <c r="H1763" s="42">
        <v>211</v>
      </c>
    </row>
    <row r="1764" spans="1:8" ht="15" customHeight="1">
      <c r="A1764" s="26">
        <v>7228013</v>
      </c>
      <c r="B1764" s="30" t="s">
        <v>4005</v>
      </c>
      <c r="C1764" s="29" t="s">
        <v>18810</v>
      </c>
      <c r="D1764" s="29" t="s">
        <v>31969</v>
      </c>
      <c r="E1764" s="29" t="s">
        <v>45371</v>
      </c>
      <c r="F1764" s="36" t="s">
        <v>54401</v>
      </c>
      <c r="G1764" s="39">
        <v>566195.38</v>
      </c>
      <c r="H1764" s="42">
        <v>211</v>
      </c>
    </row>
    <row r="1765" spans="1:8" ht="15" customHeight="1">
      <c r="A1765" s="26">
        <v>7228069</v>
      </c>
      <c r="B1765" s="30" t="s">
        <v>4006</v>
      </c>
      <c r="C1765" s="29" t="s">
        <v>18811</v>
      </c>
      <c r="D1765" s="29" t="s">
        <v>31970</v>
      </c>
      <c r="E1765" s="29" t="s">
        <v>45372</v>
      </c>
      <c r="F1765" s="36" t="s">
        <v>54401</v>
      </c>
      <c r="G1765" s="39">
        <v>1915192.63</v>
      </c>
      <c r="H1765" s="42">
        <v>211</v>
      </c>
    </row>
    <row r="1766" spans="1:8" ht="15" customHeight="1">
      <c r="A1766" s="26">
        <v>7228081</v>
      </c>
      <c r="B1766" s="30" t="s">
        <v>4007</v>
      </c>
      <c r="C1766" s="29" t="s">
        <v>18812</v>
      </c>
      <c r="D1766" s="29" t="s">
        <v>31971</v>
      </c>
      <c r="E1766" s="29" t="s">
        <v>45373</v>
      </c>
      <c r="F1766" s="36" t="s">
        <v>54401</v>
      </c>
      <c r="G1766" s="39">
        <f>314863.44+993767</f>
        <v>1308630.44</v>
      </c>
      <c r="H1766" s="42">
        <v>211</v>
      </c>
    </row>
    <row r="1767" spans="1:8" ht="15" customHeight="1">
      <c r="A1767" s="26">
        <v>7228105</v>
      </c>
      <c r="B1767" s="30" t="s">
        <v>4008</v>
      </c>
      <c r="C1767" s="29" t="s">
        <v>18813</v>
      </c>
      <c r="D1767" s="29" t="s">
        <v>31972</v>
      </c>
      <c r="E1767" s="29" t="s">
        <v>45374</v>
      </c>
      <c r="F1767" s="36" t="s">
        <v>54401</v>
      </c>
      <c r="G1767" s="39">
        <v>161411.62</v>
      </c>
      <c r="H1767" s="42">
        <v>211</v>
      </c>
    </row>
    <row r="1768" spans="1:8" ht="15" customHeight="1">
      <c r="A1768" s="26">
        <v>7228107</v>
      </c>
      <c r="B1768" s="30" t="s">
        <v>4009</v>
      </c>
      <c r="C1768" s="29" t="s">
        <v>18814</v>
      </c>
      <c r="D1768" s="29" t="s">
        <v>31973</v>
      </c>
      <c r="E1768" s="29" t="s">
        <v>45375</v>
      </c>
      <c r="F1768" s="36" t="s">
        <v>54401</v>
      </c>
      <c r="G1768" s="39">
        <v>1329306.6499999999</v>
      </c>
      <c r="H1768" s="42">
        <v>211</v>
      </c>
    </row>
    <row r="1769" spans="1:8" ht="15" customHeight="1">
      <c r="A1769" s="26">
        <v>7228108</v>
      </c>
      <c r="B1769" s="30" t="s">
        <v>4010</v>
      </c>
      <c r="C1769" s="29" t="s">
        <v>18815</v>
      </c>
      <c r="D1769" s="29" t="s">
        <v>31974</v>
      </c>
      <c r="E1769" s="29" t="s">
        <v>45376</v>
      </c>
      <c r="F1769" s="36" t="s">
        <v>54401</v>
      </c>
      <c r="G1769" s="39">
        <v>1463248.66</v>
      </c>
      <c r="H1769" s="42">
        <v>211</v>
      </c>
    </row>
    <row r="1770" spans="1:8" ht="15" customHeight="1">
      <c r="A1770" s="26">
        <v>7228114</v>
      </c>
      <c r="B1770" s="30" t="s">
        <v>4011</v>
      </c>
      <c r="C1770" s="29" t="s">
        <v>18816</v>
      </c>
      <c r="D1770" s="29" t="s">
        <v>31975</v>
      </c>
      <c r="E1770" s="29" t="s">
        <v>45377</v>
      </c>
      <c r="F1770" s="36" t="s">
        <v>54401</v>
      </c>
      <c r="G1770" s="39">
        <v>14033.45</v>
      </c>
      <c r="H1770" s="42">
        <v>211</v>
      </c>
    </row>
    <row r="1771" spans="1:8" ht="15" customHeight="1">
      <c r="A1771" s="26">
        <v>7228117</v>
      </c>
      <c r="B1771" s="30" t="s">
        <v>4012</v>
      </c>
      <c r="C1771" s="29" t="s">
        <v>18817</v>
      </c>
      <c r="D1771" s="29" t="s">
        <v>31976</v>
      </c>
      <c r="E1771" s="29" t="s">
        <v>45378</v>
      </c>
      <c r="F1771" s="36" t="s">
        <v>54401</v>
      </c>
      <c r="G1771" s="39">
        <v>715337.18</v>
      </c>
      <c r="H1771" s="42">
        <v>211</v>
      </c>
    </row>
    <row r="1772" spans="1:8" ht="15" customHeight="1">
      <c r="A1772" s="26">
        <v>7228128</v>
      </c>
      <c r="B1772" s="30" t="s">
        <v>4013</v>
      </c>
      <c r="C1772" s="29" t="s">
        <v>18818</v>
      </c>
      <c r="D1772" s="29" t="s">
        <v>31977</v>
      </c>
      <c r="E1772" s="29" t="s">
        <v>45379</v>
      </c>
      <c r="F1772" s="36" t="s">
        <v>54401</v>
      </c>
      <c r="G1772" s="39">
        <f>5148814.81+12258</f>
        <v>5161072.8099999996</v>
      </c>
      <c r="H1772" s="42">
        <v>211</v>
      </c>
    </row>
    <row r="1773" spans="1:8" ht="15" customHeight="1">
      <c r="A1773" s="26">
        <v>7228133</v>
      </c>
      <c r="B1773" s="30" t="s">
        <v>4014</v>
      </c>
      <c r="C1773" s="29" t="s">
        <v>18819</v>
      </c>
      <c r="D1773" s="29" t="s">
        <v>31978</v>
      </c>
      <c r="E1773" s="29" t="s">
        <v>45380</v>
      </c>
      <c r="F1773" s="36" t="s">
        <v>54401</v>
      </c>
      <c r="G1773" s="39">
        <v>177236.2</v>
      </c>
      <c r="H1773" s="42">
        <v>211</v>
      </c>
    </row>
    <row r="1774" spans="1:8" ht="15" customHeight="1">
      <c r="A1774" s="26">
        <v>7228145</v>
      </c>
      <c r="B1774" s="30" t="s">
        <v>4015</v>
      </c>
      <c r="C1774" s="29" t="s">
        <v>18820</v>
      </c>
      <c r="D1774" s="29" t="s">
        <v>31979</v>
      </c>
      <c r="E1774" s="29" t="s">
        <v>45381</v>
      </c>
      <c r="F1774" s="36" t="s">
        <v>54401</v>
      </c>
      <c r="G1774" s="39">
        <f>4232306.55+210682</f>
        <v>4442988.55</v>
      </c>
      <c r="H1774" s="42">
        <v>211</v>
      </c>
    </row>
    <row r="1775" spans="1:8" ht="15" customHeight="1">
      <c r="A1775" s="26">
        <v>7228159</v>
      </c>
      <c r="B1775" s="30" t="s">
        <v>4016</v>
      </c>
      <c r="C1775" s="29" t="s">
        <v>18821</v>
      </c>
      <c r="D1775" s="29" t="s">
        <v>31980</v>
      </c>
      <c r="E1775" s="29" t="s">
        <v>45382</v>
      </c>
      <c r="F1775" s="36" t="s">
        <v>54401</v>
      </c>
      <c r="G1775" s="39">
        <v>433560.67</v>
      </c>
      <c r="H1775" s="42">
        <v>211</v>
      </c>
    </row>
    <row r="1776" spans="1:8" ht="15" customHeight="1">
      <c r="A1776" s="26">
        <v>7228168</v>
      </c>
      <c r="B1776" s="30" t="s">
        <v>4017</v>
      </c>
      <c r="C1776" s="29" t="s">
        <v>17204</v>
      </c>
      <c r="D1776" s="29" t="s">
        <v>30349</v>
      </c>
      <c r="E1776" s="29" t="s">
        <v>43926</v>
      </c>
      <c r="F1776" s="36" t="s">
        <v>54401</v>
      </c>
      <c r="G1776" s="39">
        <v>136282.84</v>
      </c>
      <c r="H1776" s="42">
        <v>211</v>
      </c>
    </row>
    <row r="1777" spans="1:8" ht="15" customHeight="1">
      <c r="A1777" s="26">
        <v>7228184</v>
      </c>
      <c r="B1777" s="30" t="s">
        <v>4018</v>
      </c>
      <c r="C1777" s="29" t="s">
        <v>17204</v>
      </c>
      <c r="D1777" s="29" t="s">
        <v>31981</v>
      </c>
      <c r="E1777" s="29" t="s">
        <v>43926</v>
      </c>
      <c r="F1777" s="36" t="s">
        <v>54401</v>
      </c>
      <c r="G1777" s="39">
        <v>326259.34000000003</v>
      </c>
      <c r="H1777" s="42">
        <v>211</v>
      </c>
    </row>
    <row r="1778" spans="1:8" ht="15" customHeight="1">
      <c r="A1778" s="26">
        <v>7228185</v>
      </c>
      <c r="B1778" s="30" t="s">
        <v>4019</v>
      </c>
      <c r="C1778" s="26" t="s">
        <v>18822</v>
      </c>
      <c r="D1778" s="26" t="s">
        <v>31982</v>
      </c>
      <c r="E1778" s="26" t="s">
        <v>45383</v>
      </c>
      <c r="F1778" s="37" t="s">
        <v>54401</v>
      </c>
      <c r="G1778" s="39">
        <f>1794465.38+209187</f>
        <v>2003652.38</v>
      </c>
      <c r="H1778" s="42">
        <v>211</v>
      </c>
    </row>
    <row r="1779" spans="1:8" ht="15" customHeight="1">
      <c r="A1779" s="26">
        <v>7228208</v>
      </c>
      <c r="B1779" s="30" t="s">
        <v>4020</v>
      </c>
      <c r="C1779" s="29" t="s">
        <v>18823</v>
      </c>
      <c r="D1779" s="29" t="s">
        <v>31983</v>
      </c>
      <c r="E1779" s="29" t="s">
        <v>45384</v>
      </c>
      <c r="F1779" s="36" t="s">
        <v>54401</v>
      </c>
      <c r="G1779" s="39">
        <f>3125478.82+113432</f>
        <v>3238910.82</v>
      </c>
      <c r="H1779" s="42">
        <v>211</v>
      </c>
    </row>
    <row r="1780" spans="1:8" ht="15" customHeight="1">
      <c r="A1780" s="26">
        <v>7228220</v>
      </c>
      <c r="B1780" s="30" t="s">
        <v>4021</v>
      </c>
      <c r="C1780" s="29" t="s">
        <v>18824</v>
      </c>
      <c r="D1780" s="29" t="s">
        <v>31984</v>
      </c>
      <c r="E1780" s="29" t="s">
        <v>45385</v>
      </c>
      <c r="F1780" s="36" t="s">
        <v>54401</v>
      </c>
      <c r="G1780" s="39">
        <v>223323.2</v>
      </c>
      <c r="H1780" s="42">
        <v>211</v>
      </c>
    </row>
    <row r="1781" spans="1:8" ht="15" customHeight="1">
      <c r="A1781" s="26">
        <v>7228270</v>
      </c>
      <c r="B1781" s="30" t="s">
        <v>4022</v>
      </c>
      <c r="C1781" s="29" t="s">
        <v>17204</v>
      </c>
      <c r="D1781" s="29" t="s">
        <v>31985</v>
      </c>
      <c r="E1781" s="29" t="s">
        <v>43926</v>
      </c>
      <c r="F1781" s="36" t="s">
        <v>54401</v>
      </c>
      <c r="G1781" s="39">
        <v>271621.71999999997</v>
      </c>
      <c r="H1781" s="42">
        <v>211</v>
      </c>
    </row>
    <row r="1782" spans="1:8" ht="15" customHeight="1">
      <c r="A1782" s="26">
        <v>7228276</v>
      </c>
      <c r="B1782" s="30" t="s">
        <v>4023</v>
      </c>
      <c r="C1782" s="29" t="s">
        <v>18825</v>
      </c>
      <c r="D1782" s="29" t="s">
        <v>31986</v>
      </c>
      <c r="E1782" s="29" t="s">
        <v>45386</v>
      </c>
      <c r="F1782" s="36" t="s">
        <v>54401</v>
      </c>
      <c r="G1782" s="39">
        <v>1376777.97</v>
      </c>
      <c r="H1782" s="42">
        <v>211</v>
      </c>
    </row>
    <row r="1783" spans="1:8" ht="15" customHeight="1">
      <c r="A1783" s="26">
        <v>7228294</v>
      </c>
      <c r="B1783" s="30" t="s">
        <v>4024</v>
      </c>
      <c r="C1783" s="29" t="s">
        <v>18826</v>
      </c>
      <c r="D1783" s="29" t="s">
        <v>31987</v>
      </c>
      <c r="E1783" s="29" t="s">
        <v>45387</v>
      </c>
      <c r="F1783" s="36" t="s">
        <v>54401</v>
      </c>
      <c r="G1783" s="39">
        <v>704215.77</v>
      </c>
      <c r="H1783" s="42">
        <v>211</v>
      </c>
    </row>
    <row r="1784" spans="1:8" ht="15" customHeight="1">
      <c r="A1784" s="26">
        <v>7228303</v>
      </c>
      <c r="B1784" s="30" t="s">
        <v>4025</v>
      </c>
      <c r="C1784" s="29" t="s">
        <v>18827</v>
      </c>
      <c r="D1784" s="29" t="s">
        <v>31988</v>
      </c>
      <c r="E1784" s="29" t="s">
        <v>45388</v>
      </c>
      <c r="F1784" s="36" t="s">
        <v>54401</v>
      </c>
      <c r="G1784" s="39">
        <v>4747104.78</v>
      </c>
      <c r="H1784" s="42">
        <v>211</v>
      </c>
    </row>
    <row r="1785" spans="1:8" ht="15" customHeight="1">
      <c r="A1785" s="26">
        <v>7228304</v>
      </c>
      <c r="B1785" s="30" t="s">
        <v>4026</v>
      </c>
      <c r="C1785" s="29" t="s">
        <v>18828</v>
      </c>
      <c r="D1785" s="29" t="s">
        <v>31989</v>
      </c>
      <c r="E1785" s="29" t="s">
        <v>44536</v>
      </c>
      <c r="F1785" s="36" t="s">
        <v>54401</v>
      </c>
      <c r="G1785" s="39">
        <v>275273.53999999998</v>
      </c>
      <c r="H1785" s="42">
        <v>211</v>
      </c>
    </row>
    <row r="1786" spans="1:8" ht="15" customHeight="1">
      <c r="A1786" s="26">
        <v>7228325</v>
      </c>
      <c r="B1786" s="30" t="s">
        <v>4027</v>
      </c>
      <c r="C1786" s="29" t="s">
        <v>18829</v>
      </c>
      <c r="D1786" s="29" t="s">
        <v>31990</v>
      </c>
      <c r="E1786" s="29" t="s">
        <v>44023</v>
      </c>
      <c r="F1786" s="36" t="s">
        <v>54401</v>
      </c>
      <c r="G1786" s="39">
        <v>2431001.44</v>
      </c>
      <c r="H1786" s="42">
        <v>211</v>
      </c>
    </row>
    <row r="1787" spans="1:8" ht="15" customHeight="1">
      <c r="A1787" s="26">
        <v>7228328</v>
      </c>
      <c r="B1787" s="30" t="s">
        <v>4028</v>
      </c>
      <c r="C1787" s="29" t="s">
        <v>18830</v>
      </c>
      <c r="D1787" s="29" t="s">
        <v>31991</v>
      </c>
      <c r="E1787" s="29" t="s">
        <v>45357</v>
      </c>
      <c r="F1787" s="36" t="s">
        <v>54401</v>
      </c>
      <c r="G1787" s="39">
        <v>602768.13</v>
      </c>
      <c r="H1787" s="42">
        <v>211</v>
      </c>
    </row>
    <row r="1788" spans="1:8" ht="15" customHeight="1">
      <c r="A1788" s="26">
        <v>7228331</v>
      </c>
      <c r="B1788" s="30" t="s">
        <v>4029</v>
      </c>
      <c r="C1788" s="29" t="s">
        <v>18831</v>
      </c>
      <c r="D1788" s="29" t="s">
        <v>31992</v>
      </c>
      <c r="E1788" s="29" t="s">
        <v>45389</v>
      </c>
      <c r="F1788" s="36" t="s">
        <v>54401</v>
      </c>
      <c r="G1788" s="39">
        <v>1987477.65</v>
      </c>
      <c r="H1788" s="42">
        <v>211</v>
      </c>
    </row>
    <row r="1789" spans="1:8" ht="15" customHeight="1">
      <c r="A1789" s="26">
        <v>7228342</v>
      </c>
      <c r="B1789" s="30" t="s">
        <v>4030</v>
      </c>
      <c r="C1789" s="29" t="s">
        <v>17337</v>
      </c>
      <c r="D1789" s="29" t="s">
        <v>31993</v>
      </c>
      <c r="E1789" s="29" t="s">
        <v>43926</v>
      </c>
      <c r="F1789" s="36" t="s">
        <v>54401</v>
      </c>
      <c r="G1789" s="39">
        <f>295688.55+281681</f>
        <v>577369.55000000005</v>
      </c>
      <c r="H1789" s="42">
        <v>211</v>
      </c>
    </row>
    <row r="1790" spans="1:8" ht="15" customHeight="1">
      <c r="A1790" s="26">
        <v>7228355</v>
      </c>
      <c r="B1790" s="30" t="s">
        <v>4031</v>
      </c>
      <c r="C1790" s="29" t="s">
        <v>18832</v>
      </c>
      <c r="D1790" s="29" t="s">
        <v>31994</v>
      </c>
      <c r="E1790" s="29" t="s">
        <v>45390</v>
      </c>
      <c r="F1790" s="36" t="s">
        <v>54401</v>
      </c>
      <c r="G1790" s="39">
        <f>4875122.36+45948</f>
        <v>4921070.3600000003</v>
      </c>
      <c r="H1790" s="42">
        <v>211</v>
      </c>
    </row>
    <row r="1791" spans="1:8" ht="15" customHeight="1">
      <c r="A1791" s="26">
        <v>7228367</v>
      </c>
      <c r="B1791" s="30" t="s">
        <v>4032</v>
      </c>
      <c r="C1791" s="29" t="s">
        <v>18833</v>
      </c>
      <c r="D1791" s="29" t="s">
        <v>31995</v>
      </c>
      <c r="E1791" s="29" t="s">
        <v>43928</v>
      </c>
      <c r="F1791" s="36" t="s">
        <v>54401</v>
      </c>
      <c r="G1791" s="39">
        <v>61209.66</v>
      </c>
      <c r="H1791" s="42">
        <v>211</v>
      </c>
    </row>
    <row r="1792" spans="1:8" ht="15" customHeight="1">
      <c r="A1792" s="26">
        <v>7228368</v>
      </c>
      <c r="B1792" s="30" t="s">
        <v>4033</v>
      </c>
      <c r="C1792" s="29" t="s">
        <v>18834</v>
      </c>
      <c r="D1792" s="29" t="s">
        <v>31996</v>
      </c>
      <c r="E1792" s="29" t="s">
        <v>44327</v>
      </c>
      <c r="F1792" s="36" t="s">
        <v>54401</v>
      </c>
      <c r="G1792" s="39">
        <f>3397027.86+581746+45027</f>
        <v>4023800.86</v>
      </c>
      <c r="H1792" s="42">
        <v>211</v>
      </c>
    </row>
    <row r="1793" spans="1:8" ht="15" customHeight="1">
      <c r="A1793" s="26">
        <v>7228373</v>
      </c>
      <c r="B1793" s="30" t="s">
        <v>4034</v>
      </c>
      <c r="C1793" s="29" t="s">
        <v>17204</v>
      </c>
      <c r="D1793" s="29" t="s">
        <v>31997</v>
      </c>
      <c r="E1793" s="29" t="s">
        <v>43926</v>
      </c>
      <c r="F1793" s="36" t="s">
        <v>54401</v>
      </c>
      <c r="G1793" s="39">
        <v>207703.78</v>
      </c>
      <c r="H1793" s="42">
        <v>211</v>
      </c>
    </row>
    <row r="1794" spans="1:8" ht="15" customHeight="1">
      <c r="A1794" s="26">
        <v>7228385</v>
      </c>
      <c r="B1794" s="30" t="s">
        <v>4035</v>
      </c>
      <c r="C1794" s="29" t="s">
        <v>18835</v>
      </c>
      <c r="D1794" s="29" t="s">
        <v>31998</v>
      </c>
      <c r="E1794" s="29" t="s">
        <v>45391</v>
      </c>
      <c r="F1794" s="36" t="s">
        <v>54401</v>
      </c>
      <c r="G1794" s="39">
        <f>3660350.6+114484</f>
        <v>3774834.6</v>
      </c>
      <c r="H1794" s="42">
        <v>211</v>
      </c>
    </row>
    <row r="1795" spans="1:8" ht="15" customHeight="1">
      <c r="A1795" s="26">
        <v>7228392</v>
      </c>
      <c r="B1795" s="30" t="s">
        <v>4036</v>
      </c>
      <c r="C1795" s="29" t="s">
        <v>18836</v>
      </c>
      <c r="D1795" s="29" t="s">
        <v>31999</v>
      </c>
      <c r="E1795" s="29" t="s">
        <v>45392</v>
      </c>
      <c r="F1795" s="36" t="s">
        <v>54401</v>
      </c>
      <c r="G1795" s="39">
        <v>4263769.6500000004</v>
      </c>
      <c r="H1795" s="42">
        <v>211</v>
      </c>
    </row>
    <row r="1796" spans="1:8" ht="15" customHeight="1">
      <c r="A1796" s="26">
        <v>7228394</v>
      </c>
      <c r="B1796" s="30" t="s">
        <v>4037</v>
      </c>
      <c r="C1796" s="29" t="s">
        <v>17337</v>
      </c>
      <c r="D1796" s="29" t="s">
        <v>32000</v>
      </c>
      <c r="E1796" s="29" t="s">
        <v>44241</v>
      </c>
      <c r="F1796" s="36" t="s">
        <v>54401</v>
      </c>
      <c r="G1796" s="39">
        <f>38571.64+130733</f>
        <v>169304.64</v>
      </c>
      <c r="H1796" s="42">
        <v>211</v>
      </c>
    </row>
    <row r="1797" spans="1:8" ht="15" customHeight="1">
      <c r="A1797" s="26">
        <v>7228427</v>
      </c>
      <c r="B1797" s="30" t="s">
        <v>4038</v>
      </c>
      <c r="C1797" s="29" t="s">
        <v>17204</v>
      </c>
      <c r="D1797" s="29" t="s">
        <v>32001</v>
      </c>
      <c r="E1797" s="29" t="s">
        <v>43926</v>
      </c>
      <c r="F1797" s="36" t="s">
        <v>54401</v>
      </c>
      <c r="G1797" s="39">
        <f>470180.93+1321671</f>
        <v>1791851.93</v>
      </c>
      <c r="H1797" s="42">
        <v>211</v>
      </c>
    </row>
    <row r="1798" spans="1:8" ht="15" customHeight="1">
      <c r="A1798" s="26">
        <v>7228455</v>
      </c>
      <c r="B1798" s="30" t="s">
        <v>4039</v>
      </c>
      <c r="C1798" s="29" t="s">
        <v>18837</v>
      </c>
      <c r="D1798" s="29" t="s">
        <v>32002</v>
      </c>
      <c r="E1798" s="29" t="s">
        <v>43926</v>
      </c>
      <c r="F1798" s="36" t="s">
        <v>54401</v>
      </c>
      <c r="G1798" s="39">
        <v>306480.53000000003</v>
      </c>
      <c r="H1798" s="42">
        <v>211</v>
      </c>
    </row>
    <row r="1799" spans="1:8" ht="15" customHeight="1">
      <c r="A1799" s="26">
        <v>7228469</v>
      </c>
      <c r="B1799" s="30" t="s">
        <v>4040</v>
      </c>
      <c r="C1799" s="26" t="s">
        <v>18838</v>
      </c>
      <c r="D1799" s="26" t="s">
        <v>32003</v>
      </c>
      <c r="E1799" s="26" t="s">
        <v>45393</v>
      </c>
      <c r="F1799" s="37" t="s">
        <v>54401</v>
      </c>
      <c r="G1799" s="39">
        <f>64254.32+713640+188667</f>
        <v>966561.32</v>
      </c>
      <c r="H1799" s="42">
        <v>211</v>
      </c>
    </row>
    <row r="1800" spans="1:8" ht="15" customHeight="1">
      <c r="A1800" s="26">
        <v>7228485</v>
      </c>
      <c r="B1800" s="30" t="s">
        <v>4041</v>
      </c>
      <c r="C1800" s="29" t="s">
        <v>18839</v>
      </c>
      <c r="D1800" s="29" t="s">
        <v>32004</v>
      </c>
      <c r="E1800" s="29" t="s">
        <v>45394</v>
      </c>
      <c r="F1800" s="36" t="s">
        <v>54401</v>
      </c>
      <c r="G1800" s="39">
        <v>2703346.57</v>
      </c>
      <c r="H1800" s="42">
        <v>211</v>
      </c>
    </row>
    <row r="1801" spans="1:8" ht="15" customHeight="1">
      <c r="A1801" s="26">
        <v>7228491</v>
      </c>
      <c r="B1801" s="30" t="s">
        <v>4042</v>
      </c>
      <c r="C1801" s="26" t="s">
        <v>18840</v>
      </c>
      <c r="D1801" s="26" t="s">
        <v>32005</v>
      </c>
      <c r="E1801" s="26" t="s">
        <v>45395</v>
      </c>
      <c r="F1801" s="37" t="s">
        <v>54401</v>
      </c>
      <c r="G1801" s="39">
        <f>441444.24+650482</f>
        <v>1091926.24</v>
      </c>
      <c r="H1801" s="42">
        <v>211</v>
      </c>
    </row>
    <row r="1802" spans="1:8" ht="15" customHeight="1">
      <c r="A1802" s="26">
        <v>7228500</v>
      </c>
      <c r="B1802" s="30" t="s">
        <v>4043</v>
      </c>
      <c r="C1802" s="29" t="s">
        <v>18841</v>
      </c>
      <c r="D1802" s="29" t="s">
        <v>32006</v>
      </c>
      <c r="E1802" s="29" t="s">
        <v>45396</v>
      </c>
      <c r="F1802" s="36" t="s">
        <v>54401</v>
      </c>
      <c r="G1802" s="39">
        <v>30666.75</v>
      </c>
      <c r="H1802" s="42">
        <v>211</v>
      </c>
    </row>
    <row r="1803" spans="1:8" ht="15" customHeight="1">
      <c r="A1803" s="26">
        <v>7228507</v>
      </c>
      <c r="B1803" s="30" t="s">
        <v>4044</v>
      </c>
      <c r="C1803" s="26" t="s">
        <v>18842</v>
      </c>
      <c r="D1803" s="26" t="s">
        <v>32007</v>
      </c>
      <c r="E1803" s="26" t="s">
        <v>45397</v>
      </c>
      <c r="F1803" s="37" t="s">
        <v>54401</v>
      </c>
      <c r="G1803" s="39">
        <v>2106069.8199999998</v>
      </c>
      <c r="H1803" s="42">
        <v>211</v>
      </c>
    </row>
    <row r="1804" spans="1:8" ht="15" customHeight="1">
      <c r="A1804" s="26">
        <v>7228518</v>
      </c>
      <c r="B1804" s="30" t="s">
        <v>4045</v>
      </c>
      <c r="C1804" s="29" t="s">
        <v>18843</v>
      </c>
      <c r="D1804" s="29" t="s">
        <v>32008</v>
      </c>
      <c r="E1804" s="29" t="s">
        <v>45398</v>
      </c>
      <c r="F1804" s="36" t="s">
        <v>54401</v>
      </c>
      <c r="G1804" s="39">
        <f>9350383.47-95169</f>
        <v>9255214.4700000007</v>
      </c>
      <c r="H1804" s="42">
        <v>211</v>
      </c>
    </row>
    <row r="1805" spans="1:8" ht="15" customHeight="1">
      <c r="A1805" s="26">
        <v>7228521</v>
      </c>
      <c r="B1805" s="30" t="s">
        <v>4046</v>
      </c>
      <c r="C1805" s="29" t="s">
        <v>18844</v>
      </c>
      <c r="D1805" s="29" t="s">
        <v>32009</v>
      </c>
      <c r="E1805" s="29" t="s">
        <v>45399</v>
      </c>
      <c r="F1805" s="36" t="s">
        <v>54401</v>
      </c>
      <c r="G1805" s="39">
        <v>3143549.54</v>
      </c>
      <c r="H1805" s="42">
        <v>211</v>
      </c>
    </row>
    <row r="1806" spans="1:8" ht="15" customHeight="1">
      <c r="A1806" s="26">
        <v>7228522</v>
      </c>
      <c r="B1806" s="30" t="s">
        <v>4047</v>
      </c>
      <c r="C1806" s="29" t="s">
        <v>18845</v>
      </c>
      <c r="D1806" s="29" t="s">
        <v>32010</v>
      </c>
      <c r="E1806" s="29" t="s">
        <v>45400</v>
      </c>
      <c r="F1806" s="36" t="s">
        <v>54401</v>
      </c>
      <c r="G1806" s="39">
        <v>196896.88</v>
      </c>
      <c r="H1806" s="42">
        <v>211</v>
      </c>
    </row>
    <row r="1807" spans="1:8" ht="15" customHeight="1">
      <c r="A1807" s="26">
        <v>7228523</v>
      </c>
      <c r="B1807" s="30" t="s">
        <v>4048</v>
      </c>
      <c r="C1807" s="29" t="s">
        <v>18846</v>
      </c>
      <c r="D1807" s="29" t="s">
        <v>32011</v>
      </c>
      <c r="E1807" s="29" t="s">
        <v>45401</v>
      </c>
      <c r="F1807" s="36" t="s">
        <v>54401</v>
      </c>
      <c r="G1807" s="39">
        <v>34310.92</v>
      </c>
      <c r="H1807" s="42">
        <v>211</v>
      </c>
    </row>
    <row r="1808" spans="1:8" ht="15" customHeight="1">
      <c r="A1808" s="26">
        <v>7228524</v>
      </c>
      <c r="B1808" s="30" t="s">
        <v>4049</v>
      </c>
      <c r="C1808" s="29" t="s">
        <v>18847</v>
      </c>
      <c r="D1808" s="29" t="s">
        <v>32012</v>
      </c>
      <c r="E1808" s="29" t="s">
        <v>45402</v>
      </c>
      <c r="F1808" s="36" t="s">
        <v>54401</v>
      </c>
      <c r="G1808" s="39">
        <v>586126.27</v>
      </c>
      <c r="H1808" s="42">
        <v>211</v>
      </c>
    </row>
    <row r="1809" spans="1:8" ht="15" customHeight="1">
      <c r="A1809" s="26">
        <v>7228539</v>
      </c>
      <c r="B1809" s="30" t="s">
        <v>4050</v>
      </c>
      <c r="C1809" s="26" t="s">
        <v>18848</v>
      </c>
      <c r="D1809" s="26" t="s">
        <v>32013</v>
      </c>
      <c r="E1809" s="26" t="s">
        <v>43926</v>
      </c>
      <c r="F1809" s="37" t="s">
        <v>54401</v>
      </c>
      <c r="G1809" s="39">
        <f>89009.28+2490453-12697</f>
        <v>2566765.2799999998</v>
      </c>
      <c r="H1809" s="42">
        <v>211</v>
      </c>
    </row>
    <row r="1810" spans="1:8" ht="15" customHeight="1">
      <c r="A1810" s="26">
        <v>7228549</v>
      </c>
      <c r="B1810" s="30" t="s">
        <v>4051</v>
      </c>
      <c r="C1810" s="29" t="s">
        <v>18849</v>
      </c>
      <c r="D1810" s="29" t="s">
        <v>32014</v>
      </c>
      <c r="E1810" s="29" t="s">
        <v>45403</v>
      </c>
      <c r="F1810" s="36" t="s">
        <v>54401</v>
      </c>
      <c r="G1810" s="39">
        <v>2305148.9500000002</v>
      </c>
      <c r="H1810" s="42">
        <v>211</v>
      </c>
    </row>
    <row r="1811" spans="1:8" ht="15" customHeight="1">
      <c r="A1811" s="26">
        <v>7228551</v>
      </c>
      <c r="B1811" s="30" t="s">
        <v>4052</v>
      </c>
      <c r="C1811" s="29" t="s">
        <v>18850</v>
      </c>
      <c r="D1811" s="29" t="s">
        <v>32015</v>
      </c>
      <c r="E1811" s="29" t="s">
        <v>45404</v>
      </c>
      <c r="F1811" s="36" t="s">
        <v>54401</v>
      </c>
      <c r="G1811" s="39">
        <v>879967.47</v>
      </c>
      <c r="H1811" s="42">
        <v>211</v>
      </c>
    </row>
    <row r="1812" spans="1:8" ht="15" customHeight="1">
      <c r="A1812" s="26">
        <v>7228561</v>
      </c>
      <c r="B1812" s="30" t="s">
        <v>4053</v>
      </c>
      <c r="C1812" s="29" t="s">
        <v>18851</v>
      </c>
      <c r="D1812" s="29" t="s">
        <v>32016</v>
      </c>
      <c r="E1812" s="29" t="s">
        <v>45405</v>
      </c>
      <c r="F1812" s="36" t="s">
        <v>54401</v>
      </c>
      <c r="G1812" s="39">
        <v>6676557.1600000001</v>
      </c>
      <c r="H1812" s="42">
        <v>211</v>
      </c>
    </row>
    <row r="1813" spans="1:8" ht="15" customHeight="1">
      <c r="A1813" s="26">
        <v>7228578</v>
      </c>
      <c r="B1813" s="30" t="s">
        <v>4054</v>
      </c>
      <c r="C1813" s="29" t="s">
        <v>18852</v>
      </c>
      <c r="D1813" s="29" t="s">
        <v>32017</v>
      </c>
      <c r="E1813" s="29" t="s">
        <v>45406</v>
      </c>
      <c r="F1813" s="36" t="s">
        <v>54401</v>
      </c>
      <c r="G1813" s="39">
        <v>867946.74</v>
      </c>
      <c r="H1813" s="42">
        <v>211</v>
      </c>
    </row>
    <row r="1814" spans="1:8" ht="15" customHeight="1">
      <c r="A1814" s="26">
        <v>7228594</v>
      </c>
      <c r="B1814" s="30" t="s">
        <v>4055</v>
      </c>
      <c r="C1814" s="29" t="s">
        <v>18853</v>
      </c>
      <c r="D1814" s="29" t="s">
        <v>32018</v>
      </c>
      <c r="E1814" s="29" t="s">
        <v>45407</v>
      </c>
      <c r="F1814" s="36" t="s">
        <v>54401</v>
      </c>
      <c r="G1814" s="39">
        <f>96992.75+3469303+235032</f>
        <v>3801327.75</v>
      </c>
      <c r="H1814" s="42">
        <v>211</v>
      </c>
    </row>
    <row r="1815" spans="1:8" ht="15" customHeight="1">
      <c r="A1815" s="26">
        <v>7228595</v>
      </c>
      <c r="B1815" s="30" t="s">
        <v>4056</v>
      </c>
      <c r="C1815" s="29" t="s">
        <v>18854</v>
      </c>
      <c r="D1815" s="29" t="s">
        <v>32019</v>
      </c>
      <c r="E1815" s="29" t="s">
        <v>45408</v>
      </c>
      <c r="F1815" s="36" t="s">
        <v>54401</v>
      </c>
      <c r="G1815" s="39">
        <v>1053920.01</v>
      </c>
      <c r="H1815" s="42">
        <v>211</v>
      </c>
    </row>
    <row r="1816" spans="1:8" ht="15" customHeight="1">
      <c r="A1816" s="26">
        <v>7228604</v>
      </c>
      <c r="B1816" s="30" t="s">
        <v>4057</v>
      </c>
      <c r="C1816" s="29" t="s">
        <v>18855</v>
      </c>
      <c r="D1816" s="29" t="s">
        <v>32020</v>
      </c>
      <c r="E1816" s="29" t="s">
        <v>45409</v>
      </c>
      <c r="F1816" s="36" t="s">
        <v>54401</v>
      </c>
      <c r="G1816" s="39">
        <v>1252600.9099999999</v>
      </c>
      <c r="H1816" s="42">
        <v>211</v>
      </c>
    </row>
    <row r="1817" spans="1:8" ht="15" customHeight="1">
      <c r="A1817" s="26">
        <v>7228605</v>
      </c>
      <c r="B1817" s="30" t="s">
        <v>4058</v>
      </c>
      <c r="C1817" s="29" t="s">
        <v>18856</v>
      </c>
      <c r="D1817" s="29" t="s">
        <v>32021</v>
      </c>
      <c r="E1817" s="29" t="s">
        <v>45410</v>
      </c>
      <c r="F1817" s="36" t="s">
        <v>54401</v>
      </c>
      <c r="G1817" s="39">
        <v>10042405.02</v>
      </c>
      <c r="H1817" s="42">
        <v>211</v>
      </c>
    </row>
    <row r="1818" spans="1:8" ht="15" customHeight="1">
      <c r="A1818" s="26">
        <v>7228610</v>
      </c>
      <c r="B1818" s="30" t="s">
        <v>4059</v>
      </c>
      <c r="C1818" s="29" t="s">
        <v>17204</v>
      </c>
      <c r="D1818" s="29" t="s">
        <v>30349</v>
      </c>
      <c r="E1818" s="29" t="s">
        <v>43926</v>
      </c>
      <c r="F1818" s="36" t="s">
        <v>54401</v>
      </c>
      <c r="G1818" s="39">
        <v>17554.07</v>
      </c>
      <c r="H1818" s="42">
        <v>211</v>
      </c>
    </row>
    <row r="1819" spans="1:8" ht="15" customHeight="1">
      <c r="A1819" s="26">
        <v>7228626</v>
      </c>
      <c r="B1819" s="30" t="s">
        <v>4060</v>
      </c>
      <c r="C1819" s="29" t="s">
        <v>18857</v>
      </c>
      <c r="D1819" s="29" t="s">
        <v>32022</v>
      </c>
      <c r="E1819" s="29" t="s">
        <v>45411</v>
      </c>
      <c r="F1819" s="36" t="s">
        <v>54401</v>
      </c>
      <c r="G1819" s="39">
        <v>557312.11</v>
      </c>
      <c r="H1819" s="42">
        <v>211</v>
      </c>
    </row>
    <row r="1820" spans="1:8" ht="15" customHeight="1">
      <c r="A1820" s="26">
        <v>7228642</v>
      </c>
      <c r="B1820" s="30" t="s">
        <v>4061</v>
      </c>
      <c r="C1820" s="29" t="s">
        <v>18858</v>
      </c>
      <c r="D1820" s="29" t="s">
        <v>32023</v>
      </c>
      <c r="E1820" s="29" t="s">
        <v>45412</v>
      </c>
      <c r="F1820" s="36" t="s">
        <v>54401</v>
      </c>
      <c r="G1820" s="39">
        <f>1541177.43+965191</f>
        <v>2506368.4299999997</v>
      </c>
      <c r="H1820" s="42">
        <v>211</v>
      </c>
    </row>
    <row r="1821" spans="1:8" ht="15" customHeight="1">
      <c r="A1821" s="26">
        <v>7228653</v>
      </c>
      <c r="B1821" s="30" t="s">
        <v>4062</v>
      </c>
      <c r="C1821" s="29" t="s">
        <v>18859</v>
      </c>
      <c r="D1821" s="29" t="s">
        <v>32024</v>
      </c>
      <c r="E1821" s="29" t="s">
        <v>45413</v>
      </c>
      <c r="F1821" s="36" t="s">
        <v>54401</v>
      </c>
      <c r="G1821" s="39">
        <f>402961.69+4370470</f>
        <v>4773431.6900000004</v>
      </c>
      <c r="H1821" s="42">
        <v>211</v>
      </c>
    </row>
    <row r="1822" spans="1:8" ht="15" customHeight="1">
      <c r="A1822" s="26">
        <v>7228658</v>
      </c>
      <c r="B1822" s="30" t="s">
        <v>4063</v>
      </c>
      <c r="C1822" s="29" t="s">
        <v>18860</v>
      </c>
      <c r="D1822" s="29" t="s">
        <v>32025</v>
      </c>
      <c r="E1822" s="29" t="s">
        <v>45414</v>
      </c>
      <c r="F1822" s="36" t="s">
        <v>54401</v>
      </c>
      <c r="G1822" s="39">
        <v>400000</v>
      </c>
      <c r="H1822" s="42">
        <v>211</v>
      </c>
    </row>
    <row r="1823" spans="1:8" ht="15" customHeight="1">
      <c r="A1823" s="26">
        <v>7228689</v>
      </c>
      <c r="B1823" s="30" t="s">
        <v>4064</v>
      </c>
      <c r="C1823" s="29" t="s">
        <v>18861</v>
      </c>
      <c r="D1823" s="29" t="s">
        <v>32026</v>
      </c>
      <c r="E1823" s="29" t="s">
        <v>45415</v>
      </c>
      <c r="F1823" s="36" t="s">
        <v>54401</v>
      </c>
      <c r="G1823" s="39">
        <v>112982.27</v>
      </c>
      <c r="H1823" s="42">
        <v>211</v>
      </c>
    </row>
    <row r="1824" spans="1:8" ht="15" customHeight="1">
      <c r="A1824" s="26">
        <v>7228719</v>
      </c>
      <c r="B1824" s="30" t="s">
        <v>4065</v>
      </c>
      <c r="C1824" s="29" t="s">
        <v>18862</v>
      </c>
      <c r="D1824" s="29" t="s">
        <v>32027</v>
      </c>
      <c r="E1824" s="29" t="s">
        <v>45416</v>
      </c>
      <c r="F1824" s="36" t="s">
        <v>54401</v>
      </c>
      <c r="G1824" s="39">
        <f>4501458.45+232997</f>
        <v>4734455.45</v>
      </c>
      <c r="H1824" s="42">
        <v>211</v>
      </c>
    </row>
    <row r="1825" spans="1:8" ht="15" customHeight="1">
      <c r="A1825" s="26">
        <v>7228720</v>
      </c>
      <c r="B1825" s="30" t="s">
        <v>4066</v>
      </c>
      <c r="C1825" s="29" t="s">
        <v>18863</v>
      </c>
      <c r="D1825" s="29" t="s">
        <v>32028</v>
      </c>
      <c r="E1825" s="29" t="s">
        <v>45417</v>
      </c>
      <c r="F1825" s="36" t="s">
        <v>54401</v>
      </c>
      <c r="G1825" s="39">
        <v>4302653.45</v>
      </c>
      <c r="H1825" s="42">
        <v>211</v>
      </c>
    </row>
    <row r="1826" spans="1:8" ht="15" customHeight="1">
      <c r="A1826" s="26">
        <v>7228743</v>
      </c>
      <c r="B1826" s="30" t="s">
        <v>4067</v>
      </c>
      <c r="C1826" s="26" t="s">
        <v>18864</v>
      </c>
      <c r="D1826" s="26" t="s">
        <v>32029</v>
      </c>
      <c r="E1826" s="26" t="s">
        <v>45418</v>
      </c>
      <c r="F1826" s="37" t="s">
        <v>54401</v>
      </c>
      <c r="G1826" s="39">
        <v>1231174.53</v>
      </c>
      <c r="H1826" s="42">
        <v>211</v>
      </c>
    </row>
    <row r="1827" spans="1:8" ht="15" customHeight="1">
      <c r="A1827" s="26">
        <v>7228764</v>
      </c>
      <c r="B1827" s="30" t="s">
        <v>4068</v>
      </c>
      <c r="C1827" s="26" t="s">
        <v>18865</v>
      </c>
      <c r="D1827" s="26" t="s">
        <v>32030</v>
      </c>
      <c r="E1827" s="26" t="s">
        <v>45419</v>
      </c>
      <c r="F1827" s="37" t="s">
        <v>54401</v>
      </c>
      <c r="G1827" s="39">
        <v>328090.61</v>
      </c>
      <c r="H1827" s="42">
        <v>211</v>
      </c>
    </row>
    <row r="1828" spans="1:8" ht="15" customHeight="1">
      <c r="A1828" s="26">
        <v>7228769</v>
      </c>
      <c r="B1828" s="30" t="s">
        <v>4069</v>
      </c>
      <c r="C1828" s="29" t="s">
        <v>18866</v>
      </c>
      <c r="D1828" s="29" t="s">
        <v>32031</v>
      </c>
      <c r="E1828" s="29" t="s">
        <v>45420</v>
      </c>
      <c r="F1828" s="36" t="s">
        <v>54401</v>
      </c>
      <c r="G1828" s="39">
        <v>182996.08</v>
      </c>
      <c r="H1828" s="42">
        <v>211</v>
      </c>
    </row>
    <row r="1829" spans="1:8" ht="15" customHeight="1">
      <c r="A1829" s="26">
        <v>7228773</v>
      </c>
      <c r="B1829" s="30" t="s">
        <v>4070</v>
      </c>
      <c r="C1829" s="29" t="s">
        <v>18867</v>
      </c>
      <c r="D1829" s="29" t="s">
        <v>32032</v>
      </c>
      <c r="E1829" s="29" t="s">
        <v>45421</v>
      </c>
      <c r="F1829" s="36" t="s">
        <v>54438</v>
      </c>
      <c r="G1829" s="39">
        <v>22302.54</v>
      </c>
      <c r="H1829" s="42">
        <v>211</v>
      </c>
    </row>
    <row r="1830" spans="1:8" ht="15" customHeight="1">
      <c r="A1830" s="26">
        <v>7228775</v>
      </c>
      <c r="B1830" s="30" t="s">
        <v>4071</v>
      </c>
      <c r="C1830" s="29" t="s">
        <v>18868</v>
      </c>
      <c r="D1830" s="29" t="s">
        <v>32033</v>
      </c>
      <c r="E1830" s="29" t="s">
        <v>45422</v>
      </c>
      <c r="F1830" s="36" t="s">
        <v>54401</v>
      </c>
      <c r="G1830" s="39">
        <v>469807.97</v>
      </c>
      <c r="H1830" s="42">
        <v>211</v>
      </c>
    </row>
    <row r="1831" spans="1:8" ht="15" customHeight="1">
      <c r="A1831" s="26">
        <v>7228780</v>
      </c>
      <c r="B1831" s="30" t="s">
        <v>4072</v>
      </c>
      <c r="C1831" s="29" t="s">
        <v>18869</v>
      </c>
      <c r="D1831" s="29" t="s">
        <v>32034</v>
      </c>
      <c r="E1831" s="29" t="s">
        <v>45423</v>
      </c>
      <c r="F1831" s="36" t="s">
        <v>54401</v>
      </c>
      <c r="G1831" s="39">
        <v>182677.84</v>
      </c>
      <c r="H1831" s="42">
        <v>211</v>
      </c>
    </row>
    <row r="1832" spans="1:8" ht="15" customHeight="1">
      <c r="A1832" s="26">
        <v>7228796</v>
      </c>
      <c r="B1832" s="30" t="s">
        <v>4073</v>
      </c>
      <c r="C1832" s="29" t="s">
        <v>18870</v>
      </c>
      <c r="D1832" s="29" t="s">
        <v>32035</v>
      </c>
      <c r="E1832" s="29" t="s">
        <v>45424</v>
      </c>
      <c r="F1832" s="36" t="s">
        <v>54401</v>
      </c>
      <c r="G1832" s="39">
        <f>9126599.41-61134+578646</f>
        <v>9644111.4100000001</v>
      </c>
      <c r="H1832" s="42">
        <v>211</v>
      </c>
    </row>
    <row r="1833" spans="1:8" ht="15" customHeight="1">
      <c r="A1833" s="26">
        <v>7228825</v>
      </c>
      <c r="B1833" s="30" t="s">
        <v>4074</v>
      </c>
      <c r="C1833" s="26" t="s">
        <v>17204</v>
      </c>
      <c r="D1833" s="26" t="s">
        <v>30349</v>
      </c>
      <c r="E1833" s="26" t="s">
        <v>43926</v>
      </c>
      <c r="F1833" s="37" t="s">
        <v>54401</v>
      </c>
      <c r="G1833" s="39">
        <v>71862.679999999993</v>
      </c>
      <c r="H1833" s="42">
        <v>211</v>
      </c>
    </row>
    <row r="1834" spans="1:8" ht="15" customHeight="1">
      <c r="A1834" s="26">
        <v>7228827</v>
      </c>
      <c r="B1834" s="30" t="s">
        <v>4075</v>
      </c>
      <c r="C1834" s="29" t="s">
        <v>18871</v>
      </c>
      <c r="D1834" s="29" t="s">
        <v>32036</v>
      </c>
      <c r="E1834" s="29" t="s">
        <v>45425</v>
      </c>
      <c r="F1834" s="36" t="s">
        <v>54401</v>
      </c>
      <c r="G1834" s="39">
        <v>946666.93</v>
      </c>
      <c r="H1834" s="42">
        <v>211</v>
      </c>
    </row>
    <row r="1835" spans="1:8" ht="15" customHeight="1">
      <c r="A1835" s="26">
        <v>7228855</v>
      </c>
      <c r="B1835" s="30" t="s">
        <v>4076</v>
      </c>
      <c r="C1835" s="29" t="s">
        <v>18872</v>
      </c>
      <c r="D1835" s="29" t="s">
        <v>32037</v>
      </c>
      <c r="E1835" s="29" t="s">
        <v>45426</v>
      </c>
      <c r="F1835" s="36" t="s">
        <v>54401</v>
      </c>
      <c r="G1835" s="39">
        <v>994211.75</v>
      </c>
      <c r="H1835" s="42">
        <v>211</v>
      </c>
    </row>
    <row r="1836" spans="1:8" ht="15" customHeight="1">
      <c r="A1836" s="26">
        <v>7228861</v>
      </c>
      <c r="B1836" s="30" t="s">
        <v>4077</v>
      </c>
      <c r="C1836" s="29" t="s">
        <v>18873</v>
      </c>
      <c r="D1836" s="29" t="s">
        <v>32038</v>
      </c>
      <c r="E1836" s="29" t="s">
        <v>45427</v>
      </c>
      <c r="F1836" s="36" t="s">
        <v>54401</v>
      </c>
      <c r="G1836" s="39">
        <v>997992.58</v>
      </c>
      <c r="H1836" s="42">
        <v>211</v>
      </c>
    </row>
    <row r="1837" spans="1:8" ht="15" customHeight="1">
      <c r="A1837" s="26">
        <v>7228884</v>
      </c>
      <c r="B1837" s="30" t="s">
        <v>4078</v>
      </c>
      <c r="C1837" s="29" t="s">
        <v>18874</v>
      </c>
      <c r="D1837" s="29" t="s">
        <v>32039</v>
      </c>
      <c r="E1837" s="29" t="s">
        <v>45428</v>
      </c>
      <c r="F1837" s="36" t="s">
        <v>54401</v>
      </c>
      <c r="G1837" s="39">
        <f>901799+213018</f>
        <v>1114817</v>
      </c>
      <c r="H1837" s="42">
        <v>211</v>
      </c>
    </row>
    <row r="1838" spans="1:8" ht="15" customHeight="1">
      <c r="A1838" s="26">
        <v>7228890</v>
      </c>
      <c r="B1838" s="30" t="s">
        <v>4079</v>
      </c>
      <c r="C1838" s="29" t="s">
        <v>18875</v>
      </c>
      <c r="D1838" s="29" t="s">
        <v>32040</v>
      </c>
      <c r="E1838" s="29" t="s">
        <v>45429</v>
      </c>
      <c r="F1838" s="36" t="s">
        <v>54401</v>
      </c>
      <c r="G1838" s="39">
        <f>2572543.84+2414252</f>
        <v>4986795.84</v>
      </c>
      <c r="H1838" s="42">
        <v>211</v>
      </c>
    </row>
    <row r="1839" spans="1:8" ht="15" customHeight="1">
      <c r="A1839" s="26">
        <v>7228909</v>
      </c>
      <c r="B1839" s="30" t="s">
        <v>4080</v>
      </c>
      <c r="C1839" s="29" t="s">
        <v>18876</v>
      </c>
      <c r="D1839" s="29" t="s">
        <v>32041</v>
      </c>
      <c r="E1839" s="29" t="s">
        <v>45430</v>
      </c>
      <c r="F1839" s="36" t="s">
        <v>54401</v>
      </c>
      <c r="G1839" s="39">
        <v>1426059.65</v>
      </c>
      <c r="H1839" s="42">
        <v>211</v>
      </c>
    </row>
    <row r="1840" spans="1:8" ht="15" customHeight="1">
      <c r="A1840" s="26">
        <v>7228911</v>
      </c>
      <c r="B1840" s="30" t="s">
        <v>4081</v>
      </c>
      <c r="C1840" s="29" t="s">
        <v>18877</v>
      </c>
      <c r="D1840" s="29" t="s">
        <v>32042</v>
      </c>
      <c r="E1840" s="29" t="s">
        <v>45431</v>
      </c>
      <c r="F1840" s="36" t="s">
        <v>54401</v>
      </c>
      <c r="G1840" s="39">
        <v>635498.4</v>
      </c>
      <c r="H1840" s="42">
        <v>211</v>
      </c>
    </row>
    <row r="1841" spans="1:8" ht="15" customHeight="1">
      <c r="A1841" s="26">
        <v>7228913</v>
      </c>
      <c r="B1841" s="30" t="s">
        <v>4082</v>
      </c>
      <c r="C1841" s="29" t="s">
        <v>18878</v>
      </c>
      <c r="D1841" s="29" t="s">
        <v>32043</v>
      </c>
      <c r="E1841" s="29" t="s">
        <v>45432</v>
      </c>
      <c r="F1841" s="36" t="s">
        <v>54401</v>
      </c>
      <c r="G1841" s="39">
        <f>2799665.7+148191</f>
        <v>2947856.7</v>
      </c>
      <c r="H1841" s="42">
        <v>211</v>
      </c>
    </row>
    <row r="1842" spans="1:8" ht="15" customHeight="1">
      <c r="A1842" s="26">
        <v>7228925</v>
      </c>
      <c r="B1842" s="30" t="s">
        <v>4083</v>
      </c>
      <c r="C1842" s="29" t="s">
        <v>18879</v>
      </c>
      <c r="D1842" s="29" t="s">
        <v>32044</v>
      </c>
      <c r="E1842" s="29" t="s">
        <v>45433</v>
      </c>
      <c r="F1842" s="36" t="s">
        <v>54401</v>
      </c>
      <c r="G1842" s="39">
        <v>408955.49</v>
      </c>
      <c r="H1842" s="42">
        <v>211</v>
      </c>
    </row>
    <row r="1843" spans="1:8" ht="15" customHeight="1">
      <c r="A1843" s="26">
        <v>7228939</v>
      </c>
      <c r="B1843" s="30" t="s">
        <v>4084</v>
      </c>
      <c r="C1843" s="29" t="s">
        <v>17204</v>
      </c>
      <c r="D1843" s="29" t="s">
        <v>32045</v>
      </c>
      <c r="E1843" s="29" t="s">
        <v>43926</v>
      </c>
      <c r="F1843" s="36" t="s">
        <v>54401</v>
      </c>
      <c r="G1843" s="39">
        <f>75689.09+773901</f>
        <v>849590.09</v>
      </c>
      <c r="H1843" s="42">
        <v>211</v>
      </c>
    </row>
    <row r="1844" spans="1:8" ht="15" customHeight="1">
      <c r="A1844" s="26">
        <v>7228942</v>
      </c>
      <c r="B1844" s="30" t="s">
        <v>4085</v>
      </c>
      <c r="C1844" s="29" t="s">
        <v>18880</v>
      </c>
      <c r="D1844" s="29" t="s">
        <v>32046</v>
      </c>
      <c r="E1844" s="29" t="s">
        <v>44600</v>
      </c>
      <c r="F1844" s="36" t="s">
        <v>54401</v>
      </c>
      <c r="G1844" s="39">
        <v>87981.84</v>
      </c>
      <c r="H1844" s="42">
        <v>211</v>
      </c>
    </row>
    <row r="1845" spans="1:8" ht="15" customHeight="1">
      <c r="A1845" s="26">
        <v>7228964</v>
      </c>
      <c r="B1845" s="30" t="s">
        <v>4086</v>
      </c>
      <c r="C1845" s="29" t="s">
        <v>18881</v>
      </c>
      <c r="D1845" s="29" t="s">
        <v>32047</v>
      </c>
      <c r="E1845" s="29" t="s">
        <v>45434</v>
      </c>
      <c r="F1845" s="36" t="s">
        <v>54401</v>
      </c>
      <c r="G1845" s="39">
        <v>5825246.8899999997</v>
      </c>
      <c r="H1845" s="42">
        <v>211</v>
      </c>
    </row>
    <row r="1846" spans="1:8" ht="15" customHeight="1">
      <c r="A1846" s="26">
        <v>7228968</v>
      </c>
      <c r="B1846" s="30" t="s">
        <v>4087</v>
      </c>
      <c r="C1846" s="29" t="s">
        <v>18882</v>
      </c>
      <c r="D1846" s="29" t="s">
        <v>32048</v>
      </c>
      <c r="E1846" s="29" t="s">
        <v>45435</v>
      </c>
      <c r="F1846" s="36" t="s">
        <v>54412</v>
      </c>
      <c r="G1846" s="39">
        <v>240048.33</v>
      </c>
      <c r="H1846" s="42">
        <v>211</v>
      </c>
    </row>
    <row r="1847" spans="1:8" ht="15" customHeight="1">
      <c r="A1847" s="26">
        <v>7228981</v>
      </c>
      <c r="B1847" s="30" t="s">
        <v>4088</v>
      </c>
      <c r="C1847" s="29" t="s">
        <v>18883</v>
      </c>
      <c r="D1847" s="29" t="s">
        <v>32049</v>
      </c>
      <c r="E1847" s="29" t="s">
        <v>45436</v>
      </c>
      <c r="F1847" s="36" t="s">
        <v>54401</v>
      </c>
      <c r="G1847" s="39">
        <v>118925.75</v>
      </c>
      <c r="H1847" s="42">
        <v>211</v>
      </c>
    </row>
    <row r="1848" spans="1:8" ht="15" customHeight="1">
      <c r="A1848" s="26">
        <v>7228987</v>
      </c>
      <c r="B1848" s="30" t="s">
        <v>4089</v>
      </c>
      <c r="C1848" s="29" t="s">
        <v>18884</v>
      </c>
      <c r="D1848" s="29" t="s">
        <v>32050</v>
      </c>
      <c r="E1848" s="29" t="s">
        <v>45437</v>
      </c>
      <c r="F1848" s="36" t="s">
        <v>54401</v>
      </c>
      <c r="G1848" s="39">
        <v>5585486.0099999998</v>
      </c>
      <c r="H1848" s="42">
        <v>211</v>
      </c>
    </row>
    <row r="1849" spans="1:8" ht="15" customHeight="1">
      <c r="A1849" s="26">
        <v>7229001</v>
      </c>
      <c r="B1849" s="30" t="s">
        <v>4090</v>
      </c>
      <c r="C1849" s="29" t="s">
        <v>18885</v>
      </c>
      <c r="D1849" s="29" t="s">
        <v>32051</v>
      </c>
      <c r="E1849" s="29" t="s">
        <v>45438</v>
      </c>
      <c r="F1849" s="36" t="s">
        <v>54401</v>
      </c>
      <c r="G1849" s="39">
        <f>7695860.7+50123</f>
        <v>7745983.7000000002</v>
      </c>
      <c r="H1849" s="42">
        <v>211</v>
      </c>
    </row>
    <row r="1850" spans="1:8" ht="15" customHeight="1">
      <c r="A1850" s="26">
        <v>7229012</v>
      </c>
      <c r="B1850" s="30" t="s">
        <v>4091</v>
      </c>
      <c r="C1850" s="29" t="s">
        <v>18886</v>
      </c>
      <c r="D1850" s="29" t="s">
        <v>32052</v>
      </c>
      <c r="E1850" s="29" t="s">
        <v>45439</v>
      </c>
      <c r="F1850" s="36" t="s">
        <v>54401</v>
      </c>
      <c r="G1850" s="39">
        <v>973551.3</v>
      </c>
      <c r="H1850" s="42">
        <v>211</v>
      </c>
    </row>
    <row r="1851" spans="1:8" ht="15" customHeight="1">
      <c r="A1851" s="26">
        <v>7229023</v>
      </c>
      <c r="B1851" s="30" t="s">
        <v>4092</v>
      </c>
      <c r="C1851" s="29" t="s">
        <v>18887</v>
      </c>
      <c r="D1851" s="29" t="s">
        <v>32053</v>
      </c>
      <c r="E1851" s="29" t="s">
        <v>45440</v>
      </c>
      <c r="F1851" s="36" t="s">
        <v>54401</v>
      </c>
      <c r="G1851" s="39">
        <v>1657807.02</v>
      </c>
      <c r="H1851" s="42">
        <v>211</v>
      </c>
    </row>
    <row r="1852" spans="1:8" ht="15" customHeight="1">
      <c r="A1852" s="26">
        <v>7229048</v>
      </c>
      <c r="B1852" s="30" t="s">
        <v>4093</v>
      </c>
      <c r="C1852" s="29" t="s">
        <v>18888</v>
      </c>
      <c r="D1852" s="29" t="s">
        <v>32054</v>
      </c>
      <c r="E1852" s="29" t="s">
        <v>43926</v>
      </c>
      <c r="F1852" s="36" t="s">
        <v>54401</v>
      </c>
      <c r="G1852" s="39">
        <v>743132.7</v>
      </c>
      <c r="H1852" s="42">
        <v>211</v>
      </c>
    </row>
    <row r="1853" spans="1:8" ht="15" customHeight="1">
      <c r="A1853" s="26">
        <v>7229053</v>
      </c>
      <c r="B1853" s="30" t="s">
        <v>4094</v>
      </c>
      <c r="C1853" s="29" t="s">
        <v>18889</v>
      </c>
      <c r="D1853" s="29" t="s">
        <v>32055</v>
      </c>
      <c r="E1853" s="29" t="s">
        <v>45441</v>
      </c>
      <c r="F1853" s="36" t="s">
        <v>54401</v>
      </c>
      <c r="G1853" s="39">
        <f>928691.02+382118</f>
        <v>1310809.02</v>
      </c>
      <c r="H1853" s="42">
        <v>211</v>
      </c>
    </row>
    <row r="1854" spans="1:8" ht="15" customHeight="1">
      <c r="A1854" s="26">
        <v>7229063</v>
      </c>
      <c r="B1854" s="30" t="s">
        <v>4095</v>
      </c>
      <c r="C1854" s="29" t="s">
        <v>17204</v>
      </c>
      <c r="D1854" s="29" t="s">
        <v>30349</v>
      </c>
      <c r="E1854" s="29" t="s">
        <v>43926</v>
      </c>
      <c r="F1854" s="36" t="s">
        <v>54401</v>
      </c>
      <c r="G1854" s="39">
        <v>246543.69</v>
      </c>
      <c r="H1854" s="42">
        <v>211</v>
      </c>
    </row>
    <row r="1855" spans="1:8" ht="15" customHeight="1">
      <c r="A1855" s="26">
        <v>7229075</v>
      </c>
      <c r="B1855" s="30" t="s">
        <v>4096</v>
      </c>
      <c r="C1855" s="26" t="s">
        <v>18890</v>
      </c>
      <c r="D1855" s="26" t="s">
        <v>32056</v>
      </c>
      <c r="E1855" s="26" t="s">
        <v>45442</v>
      </c>
      <c r="F1855" s="37" t="s">
        <v>54401</v>
      </c>
      <c r="G1855" s="39">
        <v>492421.17</v>
      </c>
      <c r="H1855" s="42">
        <v>211</v>
      </c>
    </row>
    <row r="1856" spans="1:8" ht="15" customHeight="1">
      <c r="A1856" s="26">
        <v>7229091</v>
      </c>
      <c r="B1856" s="30" t="s">
        <v>4097</v>
      </c>
      <c r="C1856" s="29" t="s">
        <v>18891</v>
      </c>
      <c r="D1856" s="29" t="s">
        <v>32057</v>
      </c>
      <c r="E1856" s="29" t="s">
        <v>45443</v>
      </c>
      <c r="F1856" s="36" t="s">
        <v>54401</v>
      </c>
      <c r="G1856" s="39">
        <f>617944.5+339860</f>
        <v>957804.5</v>
      </c>
      <c r="H1856" s="42">
        <v>211</v>
      </c>
    </row>
    <row r="1857" spans="1:8" ht="15" customHeight="1">
      <c r="A1857" s="26">
        <v>7229093</v>
      </c>
      <c r="B1857" s="30" t="s">
        <v>4098</v>
      </c>
      <c r="C1857" s="26" t="s">
        <v>18892</v>
      </c>
      <c r="D1857" s="26" t="s">
        <v>32058</v>
      </c>
      <c r="E1857" s="26" t="s">
        <v>45444</v>
      </c>
      <c r="F1857" s="37" t="s">
        <v>54401</v>
      </c>
      <c r="G1857" s="39">
        <v>6431519.5300000003</v>
      </c>
      <c r="H1857" s="42">
        <v>211</v>
      </c>
    </row>
    <row r="1858" spans="1:8" ht="15" customHeight="1">
      <c r="A1858" s="26">
        <v>7229109</v>
      </c>
      <c r="B1858" s="30" t="s">
        <v>4099</v>
      </c>
      <c r="C1858" s="29" t="s">
        <v>18893</v>
      </c>
      <c r="D1858" s="29" t="s">
        <v>32059</v>
      </c>
      <c r="E1858" s="29" t="s">
        <v>45445</v>
      </c>
      <c r="F1858" s="36" t="s">
        <v>54401</v>
      </c>
      <c r="G1858" s="39">
        <v>979013.22</v>
      </c>
      <c r="H1858" s="42">
        <v>211</v>
      </c>
    </row>
    <row r="1859" spans="1:8" ht="15" customHeight="1">
      <c r="A1859" s="26">
        <v>7229112</v>
      </c>
      <c r="B1859" s="30" t="s">
        <v>4100</v>
      </c>
      <c r="C1859" s="29" t="s">
        <v>18894</v>
      </c>
      <c r="D1859" s="29" t="s">
        <v>32060</v>
      </c>
      <c r="E1859" s="29" t="s">
        <v>45446</v>
      </c>
      <c r="F1859" s="36" t="s">
        <v>54412</v>
      </c>
      <c r="G1859" s="39">
        <f>12961597.86+397670</f>
        <v>13359267.859999999</v>
      </c>
      <c r="H1859" s="42">
        <v>211</v>
      </c>
    </row>
    <row r="1860" spans="1:8" ht="15" customHeight="1">
      <c r="A1860" s="26">
        <v>7229130</v>
      </c>
      <c r="B1860" s="30" t="s">
        <v>4101</v>
      </c>
      <c r="C1860" s="29" t="s">
        <v>18895</v>
      </c>
      <c r="D1860" s="29" t="s">
        <v>30714</v>
      </c>
      <c r="E1860" s="29" t="s">
        <v>45447</v>
      </c>
      <c r="F1860" s="36" t="s">
        <v>54401</v>
      </c>
      <c r="G1860" s="39">
        <f>378726.82+201591</f>
        <v>580317.82000000007</v>
      </c>
      <c r="H1860" s="42">
        <v>211</v>
      </c>
    </row>
    <row r="1861" spans="1:8" ht="15" customHeight="1">
      <c r="A1861" s="26">
        <v>7229148</v>
      </c>
      <c r="B1861" s="30" t="s">
        <v>4102</v>
      </c>
      <c r="C1861" s="29" t="s">
        <v>18896</v>
      </c>
      <c r="D1861" s="29" t="s">
        <v>32061</v>
      </c>
      <c r="E1861" s="29" t="s">
        <v>43926</v>
      </c>
      <c r="F1861" s="36" t="s">
        <v>54401</v>
      </c>
      <c r="G1861" s="39">
        <v>301290.2</v>
      </c>
      <c r="H1861" s="42">
        <v>211</v>
      </c>
    </row>
    <row r="1862" spans="1:8" ht="15" customHeight="1">
      <c r="A1862" s="26">
        <v>7229166</v>
      </c>
      <c r="B1862" s="30" t="s">
        <v>4103</v>
      </c>
      <c r="C1862" s="26" t="s">
        <v>18897</v>
      </c>
      <c r="D1862" s="26" t="s">
        <v>32062</v>
      </c>
      <c r="E1862" s="26" t="s">
        <v>45448</v>
      </c>
      <c r="F1862" s="37" t="s">
        <v>54407</v>
      </c>
      <c r="G1862" s="39">
        <v>3132376.32</v>
      </c>
      <c r="H1862" s="42">
        <v>211</v>
      </c>
    </row>
    <row r="1863" spans="1:8" ht="15" customHeight="1">
      <c r="A1863" s="26">
        <v>7229169</v>
      </c>
      <c r="B1863" s="30" t="s">
        <v>4104</v>
      </c>
      <c r="C1863" s="29" t="s">
        <v>18898</v>
      </c>
      <c r="D1863" s="29" t="s">
        <v>30349</v>
      </c>
      <c r="E1863" s="29" t="s">
        <v>43926</v>
      </c>
      <c r="F1863" s="36" t="s">
        <v>54401</v>
      </c>
      <c r="G1863" s="39">
        <v>46415.73</v>
      </c>
      <c r="H1863" s="42">
        <v>211</v>
      </c>
    </row>
    <row r="1864" spans="1:8" ht="15" customHeight="1">
      <c r="A1864" s="26">
        <v>7229171</v>
      </c>
      <c r="B1864" s="30" t="s">
        <v>4105</v>
      </c>
      <c r="C1864" s="29" t="s">
        <v>18899</v>
      </c>
      <c r="D1864" s="29" t="s">
        <v>32063</v>
      </c>
      <c r="E1864" s="29" t="s">
        <v>45449</v>
      </c>
      <c r="F1864" s="36" t="s">
        <v>54401</v>
      </c>
      <c r="G1864" s="39">
        <v>1513997.26</v>
      </c>
      <c r="H1864" s="42">
        <v>211</v>
      </c>
    </row>
    <row r="1865" spans="1:8" ht="15" customHeight="1">
      <c r="A1865" s="26">
        <v>7229182</v>
      </c>
      <c r="B1865" s="30" t="s">
        <v>4106</v>
      </c>
      <c r="C1865" s="29" t="s">
        <v>18900</v>
      </c>
      <c r="D1865" s="29" t="s">
        <v>32064</v>
      </c>
      <c r="E1865" s="29" t="s">
        <v>45450</v>
      </c>
      <c r="F1865" s="36" t="s">
        <v>54401</v>
      </c>
      <c r="G1865" s="39">
        <v>75253.66</v>
      </c>
      <c r="H1865" s="42">
        <v>211</v>
      </c>
    </row>
    <row r="1866" spans="1:8" ht="15" customHeight="1">
      <c r="A1866" s="26">
        <v>7229186</v>
      </c>
      <c r="B1866" s="30" t="s">
        <v>4107</v>
      </c>
      <c r="C1866" s="29" t="s">
        <v>18901</v>
      </c>
      <c r="D1866" s="29" t="s">
        <v>32065</v>
      </c>
      <c r="E1866" s="29" t="s">
        <v>45451</v>
      </c>
      <c r="F1866" s="36" t="s">
        <v>54401</v>
      </c>
      <c r="G1866" s="39">
        <f>1287773.6+2733721</f>
        <v>4021494.6</v>
      </c>
      <c r="H1866" s="42">
        <v>211</v>
      </c>
    </row>
    <row r="1867" spans="1:8" ht="15" customHeight="1">
      <c r="A1867" s="26">
        <v>7229235</v>
      </c>
      <c r="B1867" s="30" t="s">
        <v>4108</v>
      </c>
      <c r="C1867" s="29" t="s">
        <v>18902</v>
      </c>
      <c r="D1867" s="29" t="s">
        <v>32066</v>
      </c>
      <c r="E1867" s="29" t="s">
        <v>43926</v>
      </c>
      <c r="F1867" s="36" t="s">
        <v>54401</v>
      </c>
      <c r="G1867" s="39">
        <v>571834.17000000004</v>
      </c>
      <c r="H1867" s="42">
        <v>211</v>
      </c>
    </row>
    <row r="1868" spans="1:8" ht="15" customHeight="1">
      <c r="A1868" s="26">
        <v>7229252</v>
      </c>
      <c r="B1868" s="30" t="s">
        <v>4109</v>
      </c>
      <c r="C1868" s="29" t="s">
        <v>18903</v>
      </c>
      <c r="D1868" s="29" t="s">
        <v>32067</v>
      </c>
      <c r="E1868" s="29" t="s">
        <v>45452</v>
      </c>
      <c r="F1868" s="36" t="s">
        <v>54401</v>
      </c>
      <c r="G1868" s="39">
        <v>5352925.8899999997</v>
      </c>
      <c r="H1868" s="42">
        <v>211</v>
      </c>
    </row>
    <row r="1869" spans="1:8" ht="15" customHeight="1">
      <c r="A1869" s="26">
        <v>7229260</v>
      </c>
      <c r="B1869" s="30" t="s">
        <v>4110</v>
      </c>
      <c r="C1869" s="29" t="s">
        <v>18904</v>
      </c>
      <c r="D1869" s="29" t="s">
        <v>32068</v>
      </c>
      <c r="E1869" s="29" t="s">
        <v>45453</v>
      </c>
      <c r="F1869" s="36" t="s">
        <v>54401</v>
      </c>
      <c r="G1869" s="39">
        <v>9648808.0099999998</v>
      </c>
      <c r="H1869" s="42">
        <v>211</v>
      </c>
    </row>
    <row r="1870" spans="1:8" ht="15" customHeight="1">
      <c r="A1870" s="26">
        <v>7229277</v>
      </c>
      <c r="B1870" s="30" t="s">
        <v>4111</v>
      </c>
      <c r="C1870" s="29" t="s">
        <v>18905</v>
      </c>
      <c r="D1870" s="29" t="s">
        <v>32069</v>
      </c>
      <c r="E1870" s="29" t="s">
        <v>45454</v>
      </c>
      <c r="F1870" s="36" t="s">
        <v>54401</v>
      </c>
      <c r="G1870" s="39">
        <v>138607.78</v>
      </c>
      <c r="H1870" s="42">
        <v>211</v>
      </c>
    </row>
    <row r="1871" spans="1:8" ht="15" customHeight="1">
      <c r="A1871" s="26">
        <v>7229291</v>
      </c>
      <c r="B1871" s="30" t="s">
        <v>4112</v>
      </c>
      <c r="C1871" s="29" t="s">
        <v>18906</v>
      </c>
      <c r="D1871" s="29" t="s">
        <v>32070</v>
      </c>
      <c r="E1871" s="29" t="s">
        <v>45455</v>
      </c>
      <c r="F1871" s="36" t="s">
        <v>54401</v>
      </c>
      <c r="G1871" s="39">
        <v>399903.68</v>
      </c>
      <c r="H1871" s="42">
        <v>211</v>
      </c>
    </row>
    <row r="1872" spans="1:8" ht="15" customHeight="1">
      <c r="A1872" s="26">
        <v>7229306</v>
      </c>
      <c r="B1872" s="30" t="s">
        <v>4113</v>
      </c>
      <c r="C1872" s="29" t="s">
        <v>18907</v>
      </c>
      <c r="D1872" s="29" t="s">
        <v>32071</v>
      </c>
      <c r="E1872" s="29" t="s">
        <v>45456</v>
      </c>
      <c r="F1872" s="36" t="s">
        <v>54423</v>
      </c>
      <c r="G1872" s="39">
        <v>47649.06</v>
      </c>
      <c r="H1872" s="42">
        <v>211</v>
      </c>
    </row>
    <row r="1873" spans="1:8" ht="15" customHeight="1">
      <c r="A1873" s="26">
        <v>7229307</v>
      </c>
      <c r="B1873" s="30" t="s">
        <v>4114</v>
      </c>
      <c r="C1873" s="29" t="s">
        <v>18908</v>
      </c>
      <c r="D1873" s="29" t="s">
        <v>32072</v>
      </c>
      <c r="E1873" s="29" t="s">
        <v>45457</v>
      </c>
      <c r="F1873" s="36" t="s">
        <v>54401</v>
      </c>
      <c r="G1873" s="39">
        <f>256851.48+69801</f>
        <v>326652.48</v>
      </c>
      <c r="H1873" s="42">
        <v>211</v>
      </c>
    </row>
    <row r="1874" spans="1:8" ht="15" customHeight="1">
      <c r="A1874" s="26">
        <v>7229334</v>
      </c>
      <c r="B1874" s="30" t="s">
        <v>4115</v>
      </c>
      <c r="C1874" s="29" t="s">
        <v>18909</v>
      </c>
      <c r="D1874" s="29" t="s">
        <v>32073</v>
      </c>
      <c r="E1874" s="29" t="s">
        <v>45458</v>
      </c>
      <c r="F1874" s="36" t="s">
        <v>54401</v>
      </c>
      <c r="G1874" s="39">
        <v>4635389.76</v>
      </c>
      <c r="H1874" s="42">
        <v>211</v>
      </c>
    </row>
    <row r="1875" spans="1:8" ht="15" customHeight="1">
      <c r="A1875" s="26">
        <v>7229350</v>
      </c>
      <c r="B1875" s="30" t="s">
        <v>4116</v>
      </c>
      <c r="C1875" s="29" t="s">
        <v>18910</v>
      </c>
      <c r="D1875" s="29" t="s">
        <v>32074</v>
      </c>
      <c r="E1875" s="29" t="s">
        <v>45459</v>
      </c>
      <c r="F1875" s="36" t="s">
        <v>54401</v>
      </c>
      <c r="G1875" s="39">
        <v>1125866.02</v>
      </c>
      <c r="H1875" s="42">
        <v>211</v>
      </c>
    </row>
    <row r="1876" spans="1:8" ht="15" customHeight="1">
      <c r="A1876" s="26">
        <v>7229352</v>
      </c>
      <c r="B1876" s="30" t="s">
        <v>4117</v>
      </c>
      <c r="C1876" s="29" t="s">
        <v>18911</v>
      </c>
      <c r="D1876" s="29" t="s">
        <v>32075</v>
      </c>
      <c r="E1876" s="29" t="s">
        <v>45460</v>
      </c>
      <c r="F1876" s="36" t="s">
        <v>54401</v>
      </c>
      <c r="G1876" s="39">
        <f>1668348.88+589573</f>
        <v>2257921.88</v>
      </c>
      <c r="H1876" s="42">
        <v>211</v>
      </c>
    </row>
    <row r="1877" spans="1:8" ht="15" customHeight="1">
      <c r="A1877" s="26">
        <v>7229355</v>
      </c>
      <c r="B1877" s="30" t="s">
        <v>4118</v>
      </c>
      <c r="C1877" s="29" t="s">
        <v>18912</v>
      </c>
      <c r="D1877" s="29" t="s">
        <v>32076</v>
      </c>
      <c r="E1877" s="29" t="s">
        <v>45461</v>
      </c>
      <c r="F1877" s="36" t="s">
        <v>54401</v>
      </c>
      <c r="G1877" s="39">
        <v>922269.97</v>
      </c>
      <c r="H1877" s="42">
        <v>211</v>
      </c>
    </row>
    <row r="1878" spans="1:8" ht="15" customHeight="1">
      <c r="A1878" s="26">
        <v>7229363</v>
      </c>
      <c r="B1878" s="30" t="s">
        <v>4119</v>
      </c>
      <c r="C1878" s="29" t="s">
        <v>18913</v>
      </c>
      <c r="D1878" s="29" t="s">
        <v>32077</v>
      </c>
      <c r="E1878" s="29" t="s">
        <v>45462</v>
      </c>
      <c r="F1878" s="36" t="s">
        <v>54401</v>
      </c>
      <c r="G1878" s="39">
        <v>356975.38</v>
      </c>
      <c r="H1878" s="42">
        <v>211</v>
      </c>
    </row>
    <row r="1879" spans="1:8" ht="15" customHeight="1">
      <c r="A1879" s="26">
        <v>7229379</v>
      </c>
      <c r="B1879" s="30" t="s">
        <v>4120</v>
      </c>
      <c r="C1879" s="29" t="s">
        <v>18914</v>
      </c>
      <c r="D1879" s="29" t="s">
        <v>32078</v>
      </c>
      <c r="E1879" s="29" t="s">
        <v>45463</v>
      </c>
      <c r="F1879" s="36" t="s">
        <v>54401</v>
      </c>
      <c r="G1879" s="39">
        <f>396577.49+505525</f>
        <v>902102.49</v>
      </c>
      <c r="H1879" s="42">
        <v>211</v>
      </c>
    </row>
    <row r="1880" spans="1:8" ht="15" customHeight="1">
      <c r="A1880" s="26">
        <v>7229411</v>
      </c>
      <c r="B1880" s="30" t="s">
        <v>4121</v>
      </c>
      <c r="C1880" s="29" t="s">
        <v>18915</v>
      </c>
      <c r="D1880" s="29" t="s">
        <v>32079</v>
      </c>
      <c r="E1880" s="29" t="s">
        <v>45464</v>
      </c>
      <c r="F1880" s="36" t="s">
        <v>54401</v>
      </c>
      <c r="G1880" s="39">
        <f>5664785.62+427548</f>
        <v>6092333.6200000001</v>
      </c>
      <c r="H1880" s="42">
        <v>211</v>
      </c>
    </row>
    <row r="1881" spans="1:8" ht="15" customHeight="1">
      <c r="A1881" s="26">
        <v>7229423</v>
      </c>
      <c r="B1881" s="30" t="s">
        <v>4122</v>
      </c>
      <c r="C1881" s="29" t="s">
        <v>18916</v>
      </c>
      <c r="D1881" s="29" t="s">
        <v>32080</v>
      </c>
      <c r="E1881" s="29" t="s">
        <v>45465</v>
      </c>
      <c r="F1881" s="36" t="s">
        <v>54401</v>
      </c>
      <c r="G1881" s="39">
        <v>265574.09000000003</v>
      </c>
      <c r="H1881" s="42">
        <v>211</v>
      </c>
    </row>
    <row r="1882" spans="1:8" ht="15" customHeight="1">
      <c r="A1882" s="26">
        <v>7229449</v>
      </c>
      <c r="B1882" s="30" t="s">
        <v>4123</v>
      </c>
      <c r="C1882" s="29" t="s">
        <v>18917</v>
      </c>
      <c r="D1882" s="29" t="s">
        <v>32081</v>
      </c>
      <c r="E1882" s="29" t="s">
        <v>45466</v>
      </c>
      <c r="F1882" s="36" t="s">
        <v>54401</v>
      </c>
      <c r="G1882" s="39">
        <v>2241100.92</v>
      </c>
      <c r="H1882" s="42">
        <v>211</v>
      </c>
    </row>
    <row r="1883" spans="1:8" ht="15" customHeight="1">
      <c r="A1883" s="26">
        <v>7229460</v>
      </c>
      <c r="B1883" s="30" t="s">
        <v>4124</v>
      </c>
      <c r="C1883" s="29" t="s">
        <v>18918</v>
      </c>
      <c r="D1883" s="29" t="s">
        <v>32082</v>
      </c>
      <c r="E1883" s="29" t="s">
        <v>45467</v>
      </c>
      <c r="F1883" s="36" t="s">
        <v>54423</v>
      </c>
      <c r="G1883" s="39">
        <v>610807.68999999994</v>
      </c>
      <c r="H1883" s="42">
        <v>211</v>
      </c>
    </row>
    <row r="1884" spans="1:8" ht="15" customHeight="1">
      <c r="A1884" s="26">
        <v>7229478</v>
      </c>
      <c r="B1884" s="30" t="s">
        <v>4125</v>
      </c>
      <c r="C1884" s="29" t="s">
        <v>18919</v>
      </c>
      <c r="D1884" s="29" t="s">
        <v>32083</v>
      </c>
      <c r="E1884" s="29" t="s">
        <v>44019</v>
      </c>
      <c r="F1884" s="36" t="s">
        <v>54401</v>
      </c>
      <c r="G1884" s="39">
        <v>2846509.29</v>
      </c>
      <c r="H1884" s="42">
        <v>211</v>
      </c>
    </row>
    <row r="1885" spans="1:8" ht="15" customHeight="1">
      <c r="A1885" s="26">
        <v>7229480</v>
      </c>
      <c r="B1885" s="30" t="s">
        <v>4126</v>
      </c>
      <c r="C1885" s="29" t="s">
        <v>18920</v>
      </c>
      <c r="D1885" s="29" t="s">
        <v>32084</v>
      </c>
      <c r="E1885" s="29" t="s">
        <v>45468</v>
      </c>
      <c r="F1885" s="36" t="s">
        <v>54401</v>
      </c>
      <c r="G1885" s="39">
        <v>665086.94999999995</v>
      </c>
      <c r="H1885" s="42">
        <v>211</v>
      </c>
    </row>
    <row r="1886" spans="1:8" ht="15" customHeight="1">
      <c r="A1886" s="26">
        <v>7229482</v>
      </c>
      <c r="B1886" s="30" t="s">
        <v>4127</v>
      </c>
      <c r="C1886" s="29" t="s">
        <v>18921</v>
      </c>
      <c r="D1886" s="29" t="s">
        <v>32085</v>
      </c>
      <c r="E1886" s="29" t="s">
        <v>45469</v>
      </c>
      <c r="F1886" s="36" t="s">
        <v>54401</v>
      </c>
      <c r="G1886" s="39">
        <v>1589317.67</v>
      </c>
      <c r="H1886" s="42">
        <v>211</v>
      </c>
    </row>
    <row r="1887" spans="1:8" ht="15" customHeight="1">
      <c r="A1887" s="26">
        <v>7229489</v>
      </c>
      <c r="B1887" s="30" t="s">
        <v>4128</v>
      </c>
      <c r="C1887" s="26" t="s">
        <v>18922</v>
      </c>
      <c r="D1887" s="26" t="s">
        <v>32086</v>
      </c>
      <c r="E1887" s="26" t="s">
        <v>45470</v>
      </c>
      <c r="F1887" s="37" t="s">
        <v>54412</v>
      </c>
      <c r="G1887" s="39">
        <v>315017.40000000002</v>
      </c>
      <c r="H1887" s="42">
        <v>211</v>
      </c>
    </row>
    <row r="1888" spans="1:8" ht="15" customHeight="1">
      <c r="A1888" s="26">
        <v>7229501</v>
      </c>
      <c r="B1888" s="30" t="s">
        <v>4129</v>
      </c>
      <c r="C1888" s="29" t="s">
        <v>18923</v>
      </c>
      <c r="D1888" s="29" t="s">
        <v>32087</v>
      </c>
      <c r="E1888" s="29" t="s">
        <v>45471</v>
      </c>
      <c r="F1888" s="36" t="s">
        <v>54401</v>
      </c>
      <c r="G1888" s="39">
        <v>2644124.7000000002</v>
      </c>
      <c r="H1888" s="42">
        <v>211</v>
      </c>
    </row>
    <row r="1889" spans="1:8" ht="15" customHeight="1">
      <c r="A1889" s="26">
        <v>7229526</v>
      </c>
      <c r="B1889" s="30" t="s">
        <v>4130</v>
      </c>
      <c r="C1889" s="29" t="s">
        <v>18924</v>
      </c>
      <c r="D1889" s="29" t="s">
        <v>32088</v>
      </c>
      <c r="E1889" s="29" t="s">
        <v>45472</v>
      </c>
      <c r="F1889" s="36" t="s">
        <v>54401</v>
      </c>
      <c r="G1889" s="39">
        <v>913897.16</v>
      </c>
      <c r="H1889" s="42">
        <v>211</v>
      </c>
    </row>
    <row r="1890" spans="1:8" ht="15" customHeight="1">
      <c r="A1890" s="26">
        <v>7229532</v>
      </c>
      <c r="B1890" s="30" t="s">
        <v>4131</v>
      </c>
      <c r="C1890" s="29" t="s">
        <v>18925</v>
      </c>
      <c r="D1890" s="29" t="s">
        <v>32089</v>
      </c>
      <c r="E1890" s="29" t="s">
        <v>45473</v>
      </c>
      <c r="F1890" s="36" t="s">
        <v>54401</v>
      </c>
      <c r="G1890" s="39">
        <f>6908455.19+201076+131031</f>
        <v>7240562.1900000004</v>
      </c>
      <c r="H1890" s="42">
        <v>211</v>
      </c>
    </row>
    <row r="1891" spans="1:8" ht="15" customHeight="1">
      <c r="A1891" s="26">
        <v>7229540</v>
      </c>
      <c r="B1891" s="30" t="s">
        <v>4132</v>
      </c>
      <c r="C1891" s="29" t="s">
        <v>18926</v>
      </c>
      <c r="D1891" s="29" t="s">
        <v>32090</v>
      </c>
      <c r="E1891" s="29" t="s">
        <v>45474</v>
      </c>
      <c r="F1891" s="36" t="s">
        <v>54401</v>
      </c>
      <c r="G1891" s="39">
        <f>52761.9+88868</f>
        <v>141629.9</v>
      </c>
      <c r="H1891" s="42">
        <v>211</v>
      </c>
    </row>
    <row r="1892" spans="1:8" ht="15" customHeight="1">
      <c r="A1892" s="26">
        <v>7229553</v>
      </c>
      <c r="B1892" s="30" t="s">
        <v>4133</v>
      </c>
      <c r="C1892" s="29" t="s">
        <v>18927</v>
      </c>
      <c r="D1892" s="29" t="s">
        <v>32091</v>
      </c>
      <c r="E1892" s="29" t="s">
        <v>45475</v>
      </c>
      <c r="F1892" s="36" t="s">
        <v>54401</v>
      </c>
      <c r="G1892" s="39">
        <f>1058665.96+397684</f>
        <v>1456349.96</v>
      </c>
      <c r="H1892" s="42">
        <v>211</v>
      </c>
    </row>
    <row r="1893" spans="1:8" ht="15" customHeight="1">
      <c r="A1893" s="26">
        <v>7229556</v>
      </c>
      <c r="B1893" s="30" t="s">
        <v>4134</v>
      </c>
      <c r="C1893" s="29" t="s">
        <v>18928</v>
      </c>
      <c r="D1893" s="29" t="s">
        <v>32092</v>
      </c>
      <c r="E1893" s="29" t="s">
        <v>45476</v>
      </c>
      <c r="F1893" s="36" t="s">
        <v>54401</v>
      </c>
      <c r="G1893" s="39">
        <v>489766.27</v>
      </c>
      <c r="H1893" s="42">
        <v>211</v>
      </c>
    </row>
    <row r="1894" spans="1:8" ht="15" customHeight="1">
      <c r="A1894" s="26">
        <v>7229568</v>
      </c>
      <c r="B1894" s="30" t="s">
        <v>4135</v>
      </c>
      <c r="C1894" s="29" t="s">
        <v>18929</v>
      </c>
      <c r="D1894" s="29" t="s">
        <v>32093</v>
      </c>
      <c r="E1894" s="29" t="s">
        <v>45477</v>
      </c>
      <c r="F1894" s="36" t="s">
        <v>54401</v>
      </c>
      <c r="G1894" s="39">
        <f>1517497.81+286840</f>
        <v>1804337.81</v>
      </c>
      <c r="H1894" s="42">
        <v>211</v>
      </c>
    </row>
    <row r="1895" spans="1:8" ht="15" customHeight="1">
      <c r="A1895" s="26">
        <v>7229572</v>
      </c>
      <c r="B1895" s="30" t="s">
        <v>4136</v>
      </c>
      <c r="C1895" s="29" t="s">
        <v>18930</v>
      </c>
      <c r="D1895" s="29" t="s">
        <v>32094</v>
      </c>
      <c r="E1895" s="29" t="s">
        <v>44601</v>
      </c>
      <c r="F1895" s="36" t="s">
        <v>54409</v>
      </c>
      <c r="G1895" s="39">
        <v>5357452.28</v>
      </c>
      <c r="H1895" s="42">
        <v>211</v>
      </c>
    </row>
    <row r="1896" spans="1:8" ht="15" customHeight="1">
      <c r="A1896" s="26">
        <v>7229581</v>
      </c>
      <c r="B1896" s="30" t="s">
        <v>4137</v>
      </c>
      <c r="C1896" s="29" t="s">
        <v>18931</v>
      </c>
      <c r="D1896" s="29" t="s">
        <v>32095</v>
      </c>
      <c r="E1896" s="29" t="s">
        <v>45478</v>
      </c>
      <c r="F1896" s="36" t="s">
        <v>54401</v>
      </c>
      <c r="G1896" s="39">
        <v>46344.05</v>
      </c>
      <c r="H1896" s="42">
        <v>211</v>
      </c>
    </row>
    <row r="1897" spans="1:8" ht="15" customHeight="1">
      <c r="A1897" s="26">
        <v>7229584</v>
      </c>
      <c r="B1897" s="30" t="s">
        <v>4138</v>
      </c>
      <c r="C1897" s="29" t="s">
        <v>18932</v>
      </c>
      <c r="D1897" s="29" t="s">
        <v>32096</v>
      </c>
      <c r="E1897" s="29" t="s">
        <v>45479</v>
      </c>
      <c r="F1897" s="36" t="s">
        <v>54401</v>
      </c>
      <c r="G1897" s="39">
        <v>543598.89</v>
      </c>
      <c r="H1897" s="42">
        <v>211</v>
      </c>
    </row>
    <row r="1898" spans="1:8" ht="15" customHeight="1">
      <c r="A1898" s="26">
        <v>7229597</v>
      </c>
      <c r="B1898" s="30" t="s">
        <v>4139</v>
      </c>
      <c r="C1898" s="29" t="s">
        <v>18933</v>
      </c>
      <c r="D1898" s="29" t="s">
        <v>32097</v>
      </c>
      <c r="E1898" s="29" t="s">
        <v>45480</v>
      </c>
      <c r="F1898" s="36" t="s">
        <v>54401</v>
      </c>
      <c r="G1898" s="39">
        <f>399841.85+244407</f>
        <v>644248.85</v>
      </c>
      <c r="H1898" s="42">
        <v>211</v>
      </c>
    </row>
    <row r="1899" spans="1:8" ht="15" customHeight="1">
      <c r="A1899" s="26">
        <v>7229632</v>
      </c>
      <c r="B1899" s="30" t="s">
        <v>2258</v>
      </c>
      <c r="C1899" s="29" t="s">
        <v>18934</v>
      </c>
      <c r="D1899" s="29" t="s">
        <v>32098</v>
      </c>
      <c r="E1899" s="29" t="s">
        <v>44022</v>
      </c>
      <c r="F1899" s="36" t="s">
        <v>54401</v>
      </c>
      <c r="G1899" s="39">
        <f>988728.72+390837+582404-17133</f>
        <v>1944836.72</v>
      </c>
      <c r="H1899" s="42">
        <v>211</v>
      </c>
    </row>
    <row r="1900" spans="1:8" ht="15" customHeight="1">
      <c r="A1900" s="26">
        <v>7229636</v>
      </c>
      <c r="B1900" s="30" t="s">
        <v>4140</v>
      </c>
      <c r="C1900" s="29" t="s">
        <v>18935</v>
      </c>
      <c r="D1900" s="29" t="s">
        <v>32099</v>
      </c>
      <c r="E1900" s="29" t="s">
        <v>45481</v>
      </c>
      <c r="F1900" s="36" t="s">
        <v>54401</v>
      </c>
      <c r="G1900" s="39">
        <v>71965.039999999994</v>
      </c>
      <c r="H1900" s="42">
        <v>211</v>
      </c>
    </row>
    <row r="1901" spans="1:8" ht="15" customHeight="1">
      <c r="A1901" s="26">
        <v>7229644</v>
      </c>
      <c r="B1901" s="30" t="s">
        <v>4141</v>
      </c>
      <c r="C1901" s="29" t="s">
        <v>18936</v>
      </c>
      <c r="D1901" s="29" t="s">
        <v>32100</v>
      </c>
      <c r="E1901" s="29" t="s">
        <v>45482</v>
      </c>
      <c r="F1901" s="36" t="s">
        <v>54401</v>
      </c>
      <c r="G1901" s="39">
        <f>3238574.98+161645+245896</f>
        <v>3646115.98</v>
      </c>
      <c r="H1901" s="42">
        <v>211</v>
      </c>
    </row>
    <row r="1902" spans="1:8" ht="15" customHeight="1">
      <c r="A1902" s="26">
        <v>7229654</v>
      </c>
      <c r="B1902" s="30" t="s">
        <v>4142</v>
      </c>
      <c r="C1902" s="26" t="s">
        <v>18937</v>
      </c>
      <c r="D1902" s="26" t="s">
        <v>32101</v>
      </c>
      <c r="E1902" s="26" t="s">
        <v>45483</v>
      </c>
      <c r="F1902" s="37" t="s">
        <v>54406</v>
      </c>
      <c r="G1902" s="39">
        <v>158049.29999999999</v>
      </c>
      <c r="H1902" s="42">
        <v>211</v>
      </c>
    </row>
    <row r="1903" spans="1:8" ht="15" customHeight="1">
      <c r="A1903" s="26">
        <v>7229673</v>
      </c>
      <c r="B1903" s="30" t="s">
        <v>4143</v>
      </c>
      <c r="C1903" s="29" t="s">
        <v>18938</v>
      </c>
      <c r="D1903" s="29" t="s">
        <v>32102</v>
      </c>
      <c r="E1903" s="29" t="s">
        <v>45484</v>
      </c>
      <c r="F1903" s="36" t="s">
        <v>54401</v>
      </c>
      <c r="G1903" s="39">
        <v>84252.65</v>
      </c>
      <c r="H1903" s="42">
        <v>211</v>
      </c>
    </row>
    <row r="1904" spans="1:8" ht="15" customHeight="1">
      <c r="A1904" s="26">
        <v>7229677</v>
      </c>
      <c r="B1904" s="30" t="s">
        <v>4144</v>
      </c>
      <c r="C1904" s="29" t="s">
        <v>18939</v>
      </c>
      <c r="D1904" s="29" t="s">
        <v>32103</v>
      </c>
      <c r="E1904" s="29" t="s">
        <v>45485</v>
      </c>
      <c r="F1904" s="36" t="s">
        <v>54401</v>
      </c>
      <c r="G1904" s="39">
        <v>405286.59</v>
      </c>
      <c r="H1904" s="42">
        <v>211</v>
      </c>
    </row>
    <row r="1905" spans="1:8" ht="15" customHeight="1">
      <c r="A1905" s="26">
        <v>7229683</v>
      </c>
      <c r="B1905" s="30" t="s">
        <v>4145</v>
      </c>
      <c r="C1905" s="29" t="s">
        <v>18940</v>
      </c>
      <c r="D1905" s="29" t="s">
        <v>32104</v>
      </c>
      <c r="E1905" s="29" t="s">
        <v>45486</v>
      </c>
      <c r="F1905" s="36" t="s">
        <v>54401</v>
      </c>
      <c r="G1905" s="39">
        <f>491390.86+318967</f>
        <v>810357.86</v>
      </c>
      <c r="H1905" s="42">
        <v>211</v>
      </c>
    </row>
    <row r="1906" spans="1:8" ht="15" customHeight="1">
      <c r="A1906" s="26">
        <v>7229688</v>
      </c>
      <c r="B1906" s="30" t="s">
        <v>4146</v>
      </c>
      <c r="C1906" s="29" t="s">
        <v>18941</v>
      </c>
      <c r="D1906" s="29" t="s">
        <v>32105</v>
      </c>
      <c r="E1906" s="29" t="s">
        <v>45487</v>
      </c>
      <c r="F1906" s="36" t="s">
        <v>54401</v>
      </c>
      <c r="G1906" s="39">
        <f>760360.59+9697</f>
        <v>770057.59</v>
      </c>
      <c r="H1906" s="42">
        <v>211</v>
      </c>
    </row>
    <row r="1907" spans="1:8" ht="15" customHeight="1">
      <c r="A1907" s="26">
        <v>7229702</v>
      </c>
      <c r="B1907" s="30" t="s">
        <v>4147</v>
      </c>
      <c r="C1907" s="29" t="s">
        <v>18942</v>
      </c>
      <c r="D1907" s="29" t="s">
        <v>32106</v>
      </c>
      <c r="E1907" s="29" t="s">
        <v>45488</v>
      </c>
      <c r="F1907" s="36" t="s">
        <v>54401</v>
      </c>
      <c r="G1907" s="39">
        <v>318255.17</v>
      </c>
      <c r="H1907" s="42">
        <v>211</v>
      </c>
    </row>
    <row r="1908" spans="1:8" ht="15" customHeight="1">
      <c r="A1908" s="26">
        <v>7229709</v>
      </c>
      <c r="B1908" s="30" t="s">
        <v>4148</v>
      </c>
      <c r="C1908" s="29" t="s">
        <v>18943</v>
      </c>
      <c r="D1908" s="29" t="s">
        <v>32107</v>
      </c>
      <c r="E1908" s="29" t="s">
        <v>45489</v>
      </c>
      <c r="F1908" s="36" t="s">
        <v>54417</v>
      </c>
      <c r="G1908" s="39">
        <v>230163.19</v>
      </c>
      <c r="H1908" s="42">
        <v>211</v>
      </c>
    </row>
    <row r="1909" spans="1:8" ht="15" customHeight="1">
      <c r="A1909" s="26">
        <v>7229716</v>
      </c>
      <c r="B1909" s="30" t="s">
        <v>4149</v>
      </c>
      <c r="C1909" s="29" t="s">
        <v>18944</v>
      </c>
      <c r="D1909" s="29" t="s">
        <v>32108</v>
      </c>
      <c r="E1909" s="29" t="s">
        <v>45490</v>
      </c>
      <c r="F1909" s="36" t="s">
        <v>54401</v>
      </c>
      <c r="G1909" s="39">
        <v>2003420.98</v>
      </c>
      <c r="H1909" s="42">
        <v>211</v>
      </c>
    </row>
    <row r="1910" spans="1:8" ht="15" customHeight="1">
      <c r="A1910" s="26">
        <v>7229726</v>
      </c>
      <c r="B1910" s="30" t="s">
        <v>4150</v>
      </c>
      <c r="C1910" s="29" t="s">
        <v>18945</v>
      </c>
      <c r="D1910" s="29" t="s">
        <v>32109</v>
      </c>
      <c r="E1910" s="29" t="s">
        <v>45491</v>
      </c>
      <c r="F1910" s="36" t="s">
        <v>54401</v>
      </c>
      <c r="G1910" s="39">
        <v>33751.379999999997</v>
      </c>
      <c r="H1910" s="42">
        <v>211</v>
      </c>
    </row>
    <row r="1911" spans="1:8" ht="15" customHeight="1">
      <c r="A1911" s="26">
        <v>7229763</v>
      </c>
      <c r="B1911" s="30" t="s">
        <v>4151</v>
      </c>
      <c r="C1911" s="29" t="s">
        <v>18946</v>
      </c>
      <c r="D1911" s="29" t="s">
        <v>32110</v>
      </c>
      <c r="E1911" s="29" t="s">
        <v>45492</v>
      </c>
      <c r="F1911" s="36" t="s">
        <v>54401</v>
      </c>
      <c r="G1911" s="39">
        <f>847769.85+503580</f>
        <v>1351349.85</v>
      </c>
      <c r="H1911" s="42">
        <v>211</v>
      </c>
    </row>
    <row r="1912" spans="1:8" ht="15" customHeight="1">
      <c r="A1912" s="26">
        <v>7229786</v>
      </c>
      <c r="B1912" s="30" t="s">
        <v>4152</v>
      </c>
      <c r="C1912" s="29" t="s">
        <v>18947</v>
      </c>
      <c r="D1912" s="29" t="s">
        <v>32111</v>
      </c>
      <c r="E1912" s="29" t="s">
        <v>45493</v>
      </c>
      <c r="F1912" s="36" t="s">
        <v>54401</v>
      </c>
      <c r="G1912" s="39">
        <v>2026321.01</v>
      </c>
      <c r="H1912" s="42">
        <v>211</v>
      </c>
    </row>
    <row r="1913" spans="1:8" ht="15" customHeight="1">
      <c r="A1913" s="26">
        <v>7229793</v>
      </c>
      <c r="B1913" s="30" t="s">
        <v>4153</v>
      </c>
      <c r="C1913" s="29" t="s">
        <v>18948</v>
      </c>
      <c r="D1913" s="29" t="s">
        <v>32112</v>
      </c>
      <c r="E1913" s="29" t="s">
        <v>45494</v>
      </c>
      <c r="F1913" s="36" t="s">
        <v>54401</v>
      </c>
      <c r="G1913" s="39">
        <v>3266863.87</v>
      </c>
      <c r="H1913" s="42">
        <v>211</v>
      </c>
    </row>
    <row r="1914" spans="1:8" ht="15" customHeight="1">
      <c r="A1914" s="26">
        <v>7229795</v>
      </c>
      <c r="B1914" s="30" t="s">
        <v>4154</v>
      </c>
      <c r="C1914" s="29" t="s">
        <v>18949</v>
      </c>
      <c r="D1914" s="29" t="s">
        <v>32113</v>
      </c>
      <c r="E1914" s="29" t="s">
        <v>45495</v>
      </c>
      <c r="F1914" s="36" t="s">
        <v>54401</v>
      </c>
      <c r="G1914" s="39">
        <v>557070.6</v>
      </c>
      <c r="H1914" s="42">
        <v>211</v>
      </c>
    </row>
    <row r="1915" spans="1:8" ht="15" customHeight="1">
      <c r="A1915" s="26">
        <v>7229815</v>
      </c>
      <c r="B1915" s="30" t="s">
        <v>4155</v>
      </c>
      <c r="C1915" s="29" t="s">
        <v>18950</v>
      </c>
      <c r="D1915" s="29" t="s">
        <v>32114</v>
      </c>
      <c r="E1915" s="29" t="s">
        <v>43926</v>
      </c>
      <c r="F1915" s="36" t="s">
        <v>54401</v>
      </c>
      <c r="G1915" s="39">
        <v>1412420.76</v>
      </c>
      <c r="H1915" s="42">
        <v>211</v>
      </c>
    </row>
    <row r="1916" spans="1:8" ht="15" customHeight="1">
      <c r="A1916" s="26">
        <v>7229854</v>
      </c>
      <c r="B1916" s="30" t="s">
        <v>4156</v>
      </c>
      <c r="C1916" s="29" t="s">
        <v>18951</v>
      </c>
      <c r="D1916" s="29" t="s">
        <v>32115</v>
      </c>
      <c r="E1916" s="29" t="s">
        <v>45496</v>
      </c>
      <c r="F1916" s="36" t="s">
        <v>54401</v>
      </c>
      <c r="G1916" s="39">
        <v>338313.9</v>
      </c>
      <c r="H1916" s="42">
        <v>211</v>
      </c>
    </row>
    <row r="1917" spans="1:8" ht="15" customHeight="1">
      <c r="A1917" s="26">
        <v>7229893</v>
      </c>
      <c r="B1917" s="30" t="s">
        <v>4157</v>
      </c>
      <c r="C1917" s="29" t="s">
        <v>18952</v>
      </c>
      <c r="D1917" s="29" t="s">
        <v>32116</v>
      </c>
      <c r="E1917" s="29" t="s">
        <v>45497</v>
      </c>
      <c r="F1917" s="36" t="s">
        <v>54401</v>
      </c>
      <c r="G1917" s="39">
        <v>267346.76</v>
      </c>
      <c r="H1917" s="42">
        <v>211</v>
      </c>
    </row>
    <row r="1918" spans="1:8" ht="15" customHeight="1">
      <c r="A1918" s="26">
        <v>7229896</v>
      </c>
      <c r="B1918" s="30" t="s">
        <v>4158</v>
      </c>
      <c r="C1918" s="29" t="s">
        <v>18953</v>
      </c>
      <c r="D1918" s="29" t="s">
        <v>32117</v>
      </c>
      <c r="E1918" s="29" t="s">
        <v>45498</v>
      </c>
      <c r="F1918" s="36" t="s">
        <v>54401</v>
      </c>
      <c r="G1918" s="39">
        <f>1547567.98+78299</f>
        <v>1625866.98</v>
      </c>
      <c r="H1918" s="42">
        <v>211</v>
      </c>
    </row>
    <row r="1919" spans="1:8" ht="15" customHeight="1">
      <c r="A1919" s="26">
        <v>7229905</v>
      </c>
      <c r="B1919" s="30" t="s">
        <v>4159</v>
      </c>
      <c r="C1919" s="29" t="s">
        <v>18954</v>
      </c>
      <c r="D1919" s="29" t="s">
        <v>32118</v>
      </c>
      <c r="E1919" s="29" t="s">
        <v>45499</v>
      </c>
      <c r="F1919" s="36" t="s">
        <v>54401</v>
      </c>
      <c r="G1919" s="39">
        <f>3546014.96+1053060</f>
        <v>4599074.96</v>
      </c>
      <c r="H1919" s="42">
        <v>211</v>
      </c>
    </row>
    <row r="1920" spans="1:8" ht="15" customHeight="1">
      <c r="A1920" s="26">
        <v>7229920</v>
      </c>
      <c r="B1920" s="30" t="s">
        <v>4160</v>
      </c>
      <c r="C1920" s="29" t="s">
        <v>18955</v>
      </c>
      <c r="D1920" s="29" t="s">
        <v>32119</v>
      </c>
      <c r="E1920" s="29" t="s">
        <v>45500</v>
      </c>
      <c r="F1920" s="36" t="s">
        <v>54401</v>
      </c>
      <c r="G1920" s="39">
        <f>1410930.63+319132</f>
        <v>1730062.63</v>
      </c>
      <c r="H1920" s="42">
        <v>211</v>
      </c>
    </row>
    <row r="1921" spans="1:8" ht="15" customHeight="1">
      <c r="A1921" s="26">
        <v>7229931</v>
      </c>
      <c r="B1921" s="30" t="s">
        <v>4161</v>
      </c>
      <c r="C1921" s="29" t="s">
        <v>18956</v>
      </c>
      <c r="D1921" s="29" t="s">
        <v>32120</v>
      </c>
      <c r="E1921" s="29" t="s">
        <v>45501</v>
      </c>
      <c r="F1921" s="36" t="s">
        <v>54401</v>
      </c>
      <c r="G1921" s="39">
        <v>127672.27</v>
      </c>
      <c r="H1921" s="42">
        <v>211</v>
      </c>
    </row>
    <row r="1922" spans="1:8" ht="15" customHeight="1">
      <c r="A1922" s="26">
        <v>7229956</v>
      </c>
      <c r="B1922" s="30" t="s">
        <v>4162</v>
      </c>
      <c r="C1922" s="29" t="s">
        <v>18957</v>
      </c>
      <c r="D1922" s="29" t="s">
        <v>32121</v>
      </c>
      <c r="E1922" s="29" t="s">
        <v>45145</v>
      </c>
      <c r="F1922" s="36" t="s">
        <v>54401</v>
      </c>
      <c r="G1922" s="39">
        <f>3868514.32+758970</f>
        <v>4627484.32</v>
      </c>
      <c r="H1922" s="42">
        <v>211</v>
      </c>
    </row>
    <row r="1923" spans="1:8" ht="15" customHeight="1">
      <c r="A1923" s="26">
        <v>7229967</v>
      </c>
      <c r="B1923" s="30" t="s">
        <v>4163</v>
      </c>
      <c r="C1923" s="29" t="s">
        <v>18958</v>
      </c>
      <c r="D1923" s="29" t="s">
        <v>32122</v>
      </c>
      <c r="E1923" s="29" t="s">
        <v>45502</v>
      </c>
      <c r="F1923" s="36" t="s">
        <v>54401</v>
      </c>
      <c r="G1923" s="39">
        <v>809615.32</v>
      </c>
      <c r="H1923" s="42">
        <v>211</v>
      </c>
    </row>
    <row r="1924" spans="1:8" ht="15" customHeight="1">
      <c r="A1924" s="26">
        <v>7229974</v>
      </c>
      <c r="B1924" s="30" t="s">
        <v>4164</v>
      </c>
      <c r="C1924" s="29" t="s">
        <v>18959</v>
      </c>
      <c r="D1924" s="29" t="s">
        <v>32123</v>
      </c>
      <c r="E1924" s="29" t="s">
        <v>45503</v>
      </c>
      <c r="F1924" s="36" t="s">
        <v>54401</v>
      </c>
      <c r="G1924" s="39">
        <v>32583.86</v>
      </c>
      <c r="H1924" s="42">
        <v>211</v>
      </c>
    </row>
    <row r="1925" spans="1:8" ht="15" customHeight="1">
      <c r="A1925" s="26">
        <v>7229982</v>
      </c>
      <c r="B1925" s="30" t="s">
        <v>4165</v>
      </c>
      <c r="C1925" s="29" t="s">
        <v>18960</v>
      </c>
      <c r="D1925" s="29" t="s">
        <v>32124</v>
      </c>
      <c r="E1925" s="29" t="s">
        <v>45504</v>
      </c>
      <c r="F1925" s="36" t="s">
        <v>54401</v>
      </c>
      <c r="G1925" s="39">
        <v>1654768.59</v>
      </c>
      <c r="H1925" s="42">
        <v>211</v>
      </c>
    </row>
    <row r="1926" spans="1:8" ht="15" customHeight="1">
      <c r="A1926" s="26">
        <v>7229993</v>
      </c>
      <c r="B1926" s="30" t="s">
        <v>4166</v>
      </c>
      <c r="C1926" s="29" t="s">
        <v>18961</v>
      </c>
      <c r="D1926" s="29" t="s">
        <v>32125</v>
      </c>
      <c r="E1926" s="29" t="s">
        <v>45505</v>
      </c>
      <c r="F1926" s="36" t="s">
        <v>54401</v>
      </c>
      <c r="G1926" s="39">
        <v>875264.44</v>
      </c>
      <c r="H1926" s="42">
        <v>211</v>
      </c>
    </row>
    <row r="1927" spans="1:8" ht="15" customHeight="1">
      <c r="A1927" s="26">
        <v>7231327</v>
      </c>
      <c r="B1927" s="30" t="s">
        <v>4167</v>
      </c>
      <c r="C1927" s="29" t="s">
        <v>18962</v>
      </c>
      <c r="D1927" s="29" t="s">
        <v>32126</v>
      </c>
      <c r="E1927" s="29" t="s">
        <v>45506</v>
      </c>
      <c r="F1927" s="36" t="s">
        <v>54401</v>
      </c>
      <c r="G1927" s="39">
        <v>2904743.69</v>
      </c>
      <c r="H1927" s="42">
        <v>211</v>
      </c>
    </row>
    <row r="1928" spans="1:8" ht="15" customHeight="1">
      <c r="A1928" s="26">
        <v>7232241</v>
      </c>
      <c r="B1928" s="30" t="s">
        <v>4168</v>
      </c>
      <c r="C1928" s="29" t="s">
        <v>18963</v>
      </c>
      <c r="D1928" s="29" t="s">
        <v>32127</v>
      </c>
      <c r="E1928" s="29" t="s">
        <v>45507</v>
      </c>
      <c r="F1928" s="36" t="s">
        <v>54401</v>
      </c>
      <c r="G1928" s="39">
        <f>1660507.93+15563</f>
        <v>1676070.93</v>
      </c>
      <c r="H1928" s="42">
        <v>211</v>
      </c>
    </row>
    <row r="1929" spans="1:8" ht="15" customHeight="1">
      <c r="A1929" s="26">
        <v>7248846</v>
      </c>
      <c r="B1929" s="30" t="s">
        <v>4169</v>
      </c>
      <c r="C1929" s="29" t="s">
        <v>18964</v>
      </c>
      <c r="D1929" s="29" t="s">
        <v>32128</v>
      </c>
      <c r="E1929" s="29" t="s">
        <v>45508</v>
      </c>
      <c r="F1929" s="36" t="s">
        <v>54401</v>
      </c>
      <c r="G1929" s="39">
        <v>86168.08</v>
      </c>
      <c r="H1929" s="42">
        <v>211</v>
      </c>
    </row>
    <row r="1930" spans="1:8" ht="15" customHeight="1">
      <c r="A1930" s="26">
        <v>7248885</v>
      </c>
      <c r="B1930" s="30" t="s">
        <v>4170</v>
      </c>
      <c r="C1930" s="29" t="s">
        <v>18965</v>
      </c>
      <c r="D1930" s="29" t="s">
        <v>32129</v>
      </c>
      <c r="E1930" s="29" t="s">
        <v>1550</v>
      </c>
      <c r="F1930" s="36" t="s">
        <v>54412</v>
      </c>
      <c r="G1930" s="39">
        <v>103738.53</v>
      </c>
      <c r="H1930" s="42">
        <v>211</v>
      </c>
    </row>
    <row r="1931" spans="1:8" ht="15" customHeight="1">
      <c r="A1931" s="26">
        <v>7276499</v>
      </c>
      <c r="B1931" s="30" t="s">
        <v>4171</v>
      </c>
      <c r="C1931" s="29" t="s">
        <v>18966</v>
      </c>
      <c r="D1931" s="29" t="s">
        <v>32130</v>
      </c>
      <c r="E1931" s="29" t="s">
        <v>45509</v>
      </c>
      <c r="F1931" s="36" t="s">
        <v>54401</v>
      </c>
      <c r="G1931" s="39">
        <v>152179.19</v>
      </c>
      <c r="H1931" s="42">
        <v>211</v>
      </c>
    </row>
    <row r="1932" spans="1:8" ht="15" customHeight="1">
      <c r="A1932" s="26">
        <v>7305031</v>
      </c>
      <c r="B1932" s="30" t="s">
        <v>4172</v>
      </c>
      <c r="C1932" s="29" t="s">
        <v>18967</v>
      </c>
      <c r="D1932" s="29" t="s">
        <v>32131</v>
      </c>
      <c r="E1932" s="29" t="s">
        <v>45510</v>
      </c>
      <c r="F1932" s="36" t="s">
        <v>54401</v>
      </c>
      <c r="G1932" s="39">
        <v>2377789.21</v>
      </c>
      <c r="H1932" s="42">
        <v>211</v>
      </c>
    </row>
    <row r="1933" spans="1:8" ht="15" customHeight="1">
      <c r="A1933" s="26">
        <v>7309890</v>
      </c>
      <c r="B1933" s="30" t="s">
        <v>4173</v>
      </c>
      <c r="C1933" s="29" t="s">
        <v>18968</v>
      </c>
      <c r="D1933" s="29" t="s">
        <v>32132</v>
      </c>
      <c r="E1933" s="29" t="s">
        <v>45511</v>
      </c>
      <c r="F1933" s="36" t="s">
        <v>54401</v>
      </c>
      <c r="G1933" s="39">
        <v>26800</v>
      </c>
      <c r="H1933" s="42">
        <v>211</v>
      </c>
    </row>
    <row r="1934" spans="1:8" ht="15" customHeight="1">
      <c r="A1934" s="26">
        <v>7313892</v>
      </c>
      <c r="B1934" s="30" t="s">
        <v>4174</v>
      </c>
      <c r="C1934" s="29" t="s">
        <v>18969</v>
      </c>
      <c r="D1934" s="29" t="s">
        <v>32133</v>
      </c>
      <c r="E1934" s="29" t="s">
        <v>45512</v>
      </c>
      <c r="F1934" s="36" t="s">
        <v>54401</v>
      </c>
      <c r="G1934" s="39">
        <v>72441.69</v>
      </c>
      <c r="H1934" s="42">
        <v>211</v>
      </c>
    </row>
    <row r="1935" spans="1:8" ht="15" customHeight="1">
      <c r="A1935" s="26">
        <v>7313893</v>
      </c>
      <c r="B1935" s="30" t="s">
        <v>4174</v>
      </c>
      <c r="C1935" s="29" t="s">
        <v>18969</v>
      </c>
      <c r="D1935" s="29" t="s">
        <v>32133</v>
      </c>
      <c r="E1935" s="29" t="s">
        <v>45513</v>
      </c>
      <c r="F1935" s="36" t="s">
        <v>54401</v>
      </c>
      <c r="G1935" s="39">
        <v>39133.33</v>
      </c>
      <c r="H1935" s="42">
        <v>211</v>
      </c>
    </row>
    <row r="1936" spans="1:8" ht="15" customHeight="1">
      <c r="A1936" s="26">
        <v>7314270</v>
      </c>
      <c r="B1936" s="30" t="s">
        <v>4175</v>
      </c>
      <c r="C1936" s="29" t="s">
        <v>18970</v>
      </c>
      <c r="D1936" s="29" t="s">
        <v>32134</v>
      </c>
      <c r="E1936" s="29" t="s">
        <v>45514</v>
      </c>
      <c r="F1936" s="36" t="s">
        <v>54401</v>
      </c>
      <c r="G1936" s="39">
        <v>1378655.86</v>
      </c>
      <c r="H1936" s="42">
        <v>211</v>
      </c>
    </row>
    <row r="1937" spans="1:8" ht="15" customHeight="1">
      <c r="A1937" s="26">
        <v>7318298</v>
      </c>
      <c r="B1937" s="30" t="s">
        <v>4176</v>
      </c>
      <c r="C1937" s="29" t="s">
        <v>18971</v>
      </c>
      <c r="D1937" s="29" t="s">
        <v>32135</v>
      </c>
      <c r="E1937" s="29" t="s">
        <v>45515</v>
      </c>
      <c r="F1937" s="36" t="s">
        <v>54401</v>
      </c>
      <c r="G1937" s="39">
        <v>345911.41</v>
      </c>
      <c r="H1937" s="42">
        <v>211</v>
      </c>
    </row>
    <row r="1938" spans="1:8" ht="15" customHeight="1">
      <c r="A1938" s="26">
        <v>7333797</v>
      </c>
      <c r="B1938" s="30" t="s">
        <v>4177</v>
      </c>
      <c r="C1938" s="29" t="s">
        <v>18972</v>
      </c>
      <c r="D1938" s="29" t="s">
        <v>32136</v>
      </c>
      <c r="E1938" s="29" t="s">
        <v>45516</v>
      </c>
      <c r="F1938" s="36" t="s">
        <v>54401</v>
      </c>
      <c r="G1938" s="39">
        <v>423572.86</v>
      </c>
      <c r="H1938" s="42">
        <v>211</v>
      </c>
    </row>
    <row r="1939" spans="1:8" ht="15" customHeight="1">
      <c r="A1939" s="26">
        <v>7335220</v>
      </c>
      <c r="B1939" s="30" t="s">
        <v>4178</v>
      </c>
      <c r="C1939" s="29" t="s">
        <v>18973</v>
      </c>
      <c r="D1939" s="29" t="s">
        <v>32137</v>
      </c>
      <c r="E1939" s="29" t="s">
        <v>44573</v>
      </c>
      <c r="F1939" s="36" t="s">
        <v>54401</v>
      </c>
      <c r="G1939" s="39">
        <f>1232104.58+273377</f>
        <v>1505481.58</v>
      </c>
      <c r="H1939" s="42">
        <v>211</v>
      </c>
    </row>
    <row r="1940" spans="1:8" ht="15" customHeight="1">
      <c r="A1940" s="26">
        <v>7350860</v>
      </c>
      <c r="B1940" s="30" t="s">
        <v>4179</v>
      </c>
      <c r="C1940" s="29" t="s">
        <v>18974</v>
      </c>
      <c r="D1940" s="29" t="s">
        <v>32138</v>
      </c>
      <c r="E1940" s="29" t="s">
        <v>45517</v>
      </c>
      <c r="F1940" s="36" t="s">
        <v>54401</v>
      </c>
      <c r="G1940" s="39">
        <v>233268.75</v>
      </c>
      <c r="H1940" s="42">
        <v>211</v>
      </c>
    </row>
    <row r="1941" spans="1:8" ht="15" customHeight="1">
      <c r="A1941" s="26">
        <v>7360299</v>
      </c>
      <c r="B1941" s="30" t="s">
        <v>4180</v>
      </c>
      <c r="C1941" s="29" t="s">
        <v>18975</v>
      </c>
      <c r="D1941" s="29" t="s">
        <v>32139</v>
      </c>
      <c r="E1941" s="29" t="s">
        <v>45518</v>
      </c>
      <c r="F1941" s="36" t="s">
        <v>54401</v>
      </c>
      <c r="G1941" s="39">
        <f>1074216.73+427581</f>
        <v>1501797.73</v>
      </c>
      <c r="H1941" s="42">
        <v>211</v>
      </c>
    </row>
    <row r="1942" spans="1:8" ht="15" customHeight="1">
      <c r="A1942" s="26">
        <v>7432749</v>
      </c>
      <c r="B1942" s="30" t="s">
        <v>4181</v>
      </c>
      <c r="C1942" s="29" t="s">
        <v>18976</v>
      </c>
      <c r="D1942" s="29" t="s">
        <v>32140</v>
      </c>
      <c r="E1942" s="29" t="s">
        <v>1643</v>
      </c>
      <c r="F1942" s="36" t="s">
        <v>54401</v>
      </c>
      <c r="G1942" s="39">
        <v>429249.01</v>
      </c>
      <c r="H1942" s="42">
        <v>211</v>
      </c>
    </row>
    <row r="1943" spans="1:8" ht="15" customHeight="1">
      <c r="A1943" s="26">
        <v>7436285</v>
      </c>
      <c r="B1943" s="30" t="s">
        <v>4182</v>
      </c>
      <c r="C1943" s="29" t="s">
        <v>18977</v>
      </c>
      <c r="D1943" s="29" t="s">
        <v>32141</v>
      </c>
      <c r="E1943" s="29" t="s">
        <v>711</v>
      </c>
      <c r="F1943" s="36" t="s">
        <v>54406</v>
      </c>
      <c r="G1943" s="39">
        <v>160238.48000000001</v>
      </c>
      <c r="H1943" s="42">
        <v>211</v>
      </c>
    </row>
    <row r="1944" spans="1:8" ht="15" customHeight="1">
      <c r="A1944" s="26">
        <v>7437897</v>
      </c>
      <c r="B1944" s="30" t="s">
        <v>4183</v>
      </c>
      <c r="C1944" s="29" t="s">
        <v>18978</v>
      </c>
      <c r="D1944" s="29" t="s">
        <v>32142</v>
      </c>
      <c r="E1944" s="29" t="s">
        <v>45519</v>
      </c>
      <c r="F1944" s="36" t="s">
        <v>54401</v>
      </c>
      <c r="G1944" s="39">
        <v>381790.67</v>
      </c>
      <c r="H1944" s="42">
        <v>211</v>
      </c>
    </row>
    <row r="1945" spans="1:8" ht="15" customHeight="1">
      <c r="A1945" s="26">
        <v>7463508</v>
      </c>
      <c r="B1945" s="30" t="s">
        <v>4184</v>
      </c>
      <c r="C1945" s="26" t="s">
        <v>18979</v>
      </c>
      <c r="D1945" s="26" t="s">
        <v>32143</v>
      </c>
      <c r="E1945" s="26" t="s">
        <v>45520</v>
      </c>
      <c r="F1945" s="37" t="s">
        <v>54401</v>
      </c>
      <c r="G1945" s="39">
        <v>95268.91</v>
      </c>
      <c r="H1945" s="42">
        <v>211</v>
      </c>
    </row>
    <row r="1946" spans="1:8" ht="15" customHeight="1">
      <c r="A1946" s="26">
        <v>7478808</v>
      </c>
      <c r="B1946" s="30" t="s">
        <v>4185</v>
      </c>
      <c r="C1946" s="29" t="s">
        <v>18980</v>
      </c>
      <c r="D1946" s="29" t="s">
        <v>32144</v>
      </c>
      <c r="E1946" s="29" t="s">
        <v>43926</v>
      </c>
      <c r="F1946" s="36" t="s">
        <v>54401</v>
      </c>
      <c r="G1946" s="39">
        <v>574261.28</v>
      </c>
      <c r="H1946" s="42">
        <v>211</v>
      </c>
    </row>
    <row r="1947" spans="1:8" ht="15" customHeight="1">
      <c r="A1947" s="26">
        <v>7481602</v>
      </c>
      <c r="B1947" s="30" t="s">
        <v>4186</v>
      </c>
      <c r="C1947" s="29" t="s">
        <v>18981</v>
      </c>
      <c r="D1947" s="29" t="s">
        <v>32145</v>
      </c>
      <c r="E1947" s="29" t="s">
        <v>45521</v>
      </c>
      <c r="F1947" s="36" t="s">
        <v>54401</v>
      </c>
      <c r="G1947" s="39">
        <v>172524.06</v>
      </c>
      <c r="H1947" s="42">
        <v>211</v>
      </c>
    </row>
    <row r="1948" spans="1:8" ht="15" customHeight="1">
      <c r="A1948" s="26">
        <v>7521616</v>
      </c>
      <c r="B1948" s="30" t="s">
        <v>4187</v>
      </c>
      <c r="C1948" s="29" t="s">
        <v>18982</v>
      </c>
      <c r="D1948" s="29" t="s">
        <v>32146</v>
      </c>
      <c r="E1948" s="29" t="s">
        <v>45522</v>
      </c>
      <c r="F1948" s="36" t="s">
        <v>54401</v>
      </c>
      <c r="G1948" s="39">
        <f>4941933.97+40037</f>
        <v>4981970.97</v>
      </c>
      <c r="H1948" s="42">
        <v>211</v>
      </c>
    </row>
    <row r="1949" spans="1:8" ht="15" customHeight="1">
      <c r="A1949" s="26">
        <v>7555976</v>
      </c>
      <c r="B1949" s="30" t="s">
        <v>4188</v>
      </c>
      <c r="C1949" s="29" t="s">
        <v>18983</v>
      </c>
      <c r="D1949" s="29" t="s">
        <v>32147</v>
      </c>
      <c r="E1949" s="29" t="s">
        <v>45523</v>
      </c>
      <c r="F1949" s="36" t="s">
        <v>54409</v>
      </c>
      <c r="G1949" s="39">
        <f>6073785.23+436952</f>
        <v>6510737.2300000004</v>
      </c>
      <c r="H1949" s="42">
        <v>211</v>
      </c>
    </row>
    <row r="1950" spans="1:8" ht="15" customHeight="1">
      <c r="A1950" s="26">
        <v>7721464</v>
      </c>
      <c r="B1950" s="30" t="s">
        <v>4189</v>
      </c>
      <c r="C1950" s="29" t="s">
        <v>18984</v>
      </c>
      <c r="D1950" s="29" t="s">
        <v>32148</v>
      </c>
      <c r="E1950" s="29" t="s">
        <v>45524</v>
      </c>
      <c r="F1950" s="36" t="s">
        <v>54401</v>
      </c>
      <c r="G1950" s="39">
        <v>115720.42</v>
      </c>
      <c r="H1950" s="42">
        <v>211</v>
      </c>
    </row>
    <row r="1951" spans="1:8" ht="15" customHeight="1">
      <c r="A1951" s="26">
        <v>7726319</v>
      </c>
      <c r="B1951" s="30" t="s">
        <v>4190</v>
      </c>
      <c r="C1951" s="29" t="s">
        <v>18985</v>
      </c>
      <c r="D1951" s="29" t="s">
        <v>32149</v>
      </c>
      <c r="E1951" s="29" t="s">
        <v>45525</v>
      </c>
      <c r="F1951" s="36" t="s">
        <v>54401</v>
      </c>
      <c r="G1951" s="39">
        <v>317118.67</v>
      </c>
      <c r="H1951" s="42">
        <v>211</v>
      </c>
    </row>
    <row r="1952" spans="1:8" ht="15" customHeight="1">
      <c r="A1952" s="26">
        <v>7838211</v>
      </c>
      <c r="B1952" s="30" t="s">
        <v>4191</v>
      </c>
      <c r="C1952" s="29" t="s">
        <v>18986</v>
      </c>
      <c r="D1952" s="29" t="s">
        <v>32150</v>
      </c>
      <c r="E1952" s="29" t="s">
        <v>45526</v>
      </c>
      <c r="F1952" s="36" t="s">
        <v>54401</v>
      </c>
      <c r="G1952" s="39">
        <v>479461.19</v>
      </c>
      <c r="H1952" s="42">
        <v>211</v>
      </c>
    </row>
    <row r="1953" spans="1:8" ht="15" customHeight="1">
      <c r="A1953" s="26">
        <v>8016123</v>
      </c>
      <c r="B1953" s="30" t="s">
        <v>4192</v>
      </c>
      <c r="C1953" s="29" t="s">
        <v>18987</v>
      </c>
      <c r="D1953" s="29" t="s">
        <v>32151</v>
      </c>
      <c r="E1953" s="29" t="s">
        <v>45527</v>
      </c>
      <c r="F1953" s="36" t="s">
        <v>54401</v>
      </c>
      <c r="G1953" s="39">
        <v>2988555.28</v>
      </c>
      <c r="H1953" s="42">
        <v>211</v>
      </c>
    </row>
    <row r="1954" spans="1:8" ht="15" customHeight="1">
      <c r="A1954" s="26">
        <v>8031590</v>
      </c>
      <c r="B1954" s="30" t="s">
        <v>4193</v>
      </c>
      <c r="C1954" s="29" t="s">
        <v>18988</v>
      </c>
      <c r="D1954" s="29" t="s">
        <v>32152</v>
      </c>
      <c r="E1954" s="29" t="s">
        <v>45528</v>
      </c>
      <c r="F1954" s="36" t="s">
        <v>54439</v>
      </c>
      <c r="G1954" s="39">
        <v>594730.12</v>
      </c>
      <c r="H1954" s="42">
        <v>211</v>
      </c>
    </row>
    <row r="1955" spans="1:8" ht="15" customHeight="1">
      <c r="A1955" s="26">
        <v>8040564</v>
      </c>
      <c r="B1955" s="30" t="s">
        <v>4194</v>
      </c>
      <c r="C1955" s="29" t="s">
        <v>18989</v>
      </c>
      <c r="D1955" s="29" t="s">
        <v>32153</v>
      </c>
      <c r="E1955" s="29" t="s">
        <v>612</v>
      </c>
      <c r="F1955" s="36" t="s">
        <v>54401</v>
      </c>
      <c r="G1955" s="39">
        <v>75098.100000000006</v>
      </c>
      <c r="H1955" s="42">
        <v>211</v>
      </c>
    </row>
    <row r="1956" spans="1:8" ht="15" customHeight="1">
      <c r="A1956" s="26">
        <v>8104508</v>
      </c>
      <c r="B1956" s="30" t="s">
        <v>4195</v>
      </c>
      <c r="C1956" s="29" t="s">
        <v>18990</v>
      </c>
      <c r="D1956" s="29" t="s">
        <v>32154</v>
      </c>
      <c r="E1956" s="29" t="s">
        <v>45529</v>
      </c>
      <c r="F1956" s="36" t="s">
        <v>54412</v>
      </c>
      <c r="G1956" s="39">
        <v>14000</v>
      </c>
      <c r="H1956" s="42">
        <v>211</v>
      </c>
    </row>
    <row r="1957" spans="1:8" ht="15" customHeight="1">
      <c r="A1957" s="26">
        <v>8473827</v>
      </c>
      <c r="B1957" s="30" t="s">
        <v>4196</v>
      </c>
      <c r="C1957" s="29" t="s">
        <v>18991</v>
      </c>
      <c r="D1957" s="29" t="s">
        <v>32155</v>
      </c>
      <c r="E1957" s="29" t="s">
        <v>45530</v>
      </c>
      <c r="F1957" s="36" t="s">
        <v>54401</v>
      </c>
      <c r="G1957" s="39">
        <v>3431429.66</v>
      </c>
      <c r="H1957" s="42">
        <v>211</v>
      </c>
    </row>
    <row r="1958" spans="1:8" ht="15" customHeight="1">
      <c r="A1958" s="26">
        <v>8649711</v>
      </c>
      <c r="B1958" s="30" t="s">
        <v>4197</v>
      </c>
      <c r="C1958" s="29" t="s">
        <v>18992</v>
      </c>
      <c r="D1958" s="29" t="s">
        <v>32156</v>
      </c>
      <c r="E1958" s="29" t="s">
        <v>45531</v>
      </c>
      <c r="F1958" s="36" t="s">
        <v>54401</v>
      </c>
      <c r="G1958" s="39">
        <v>1192132.26</v>
      </c>
      <c r="H1958" s="42">
        <v>211</v>
      </c>
    </row>
    <row r="1959" spans="1:8" ht="15" customHeight="1">
      <c r="A1959" s="26">
        <v>8709930</v>
      </c>
      <c r="B1959" s="30" t="s">
        <v>4198</v>
      </c>
      <c r="C1959" s="29" t="s">
        <v>18993</v>
      </c>
      <c r="D1959" s="29" t="s">
        <v>32157</v>
      </c>
      <c r="E1959" s="29" t="s">
        <v>45532</v>
      </c>
      <c r="F1959" s="36" t="s">
        <v>54401</v>
      </c>
      <c r="G1959" s="39">
        <v>878183.06</v>
      </c>
      <c r="H1959" s="42">
        <v>211</v>
      </c>
    </row>
    <row r="1960" spans="1:8" ht="15" customHeight="1">
      <c r="A1960" s="26">
        <v>8866527</v>
      </c>
      <c r="B1960" s="30" t="s">
        <v>4199</v>
      </c>
      <c r="C1960" s="26" t="s">
        <v>18994</v>
      </c>
      <c r="D1960" s="26" t="s">
        <v>32158</v>
      </c>
      <c r="E1960" s="26" t="s">
        <v>45533</v>
      </c>
      <c r="F1960" s="37" t="s">
        <v>54412</v>
      </c>
      <c r="G1960" s="39">
        <v>1500</v>
      </c>
      <c r="H1960" s="42">
        <v>211</v>
      </c>
    </row>
    <row r="1961" spans="1:8" ht="15" customHeight="1">
      <c r="A1961" s="26">
        <v>9022803</v>
      </c>
      <c r="B1961" s="30" t="s">
        <v>4200</v>
      </c>
      <c r="C1961" s="29" t="s">
        <v>18995</v>
      </c>
      <c r="D1961" s="29" t="s">
        <v>32159</v>
      </c>
      <c r="E1961" s="29" t="s">
        <v>45534</v>
      </c>
      <c r="F1961" s="36" t="s">
        <v>54401</v>
      </c>
      <c r="G1961" s="39">
        <v>601484.72</v>
      </c>
      <c r="H1961" s="42">
        <v>211</v>
      </c>
    </row>
    <row r="1962" spans="1:8" ht="15" customHeight="1">
      <c r="A1962" s="26">
        <v>9023232</v>
      </c>
      <c r="B1962" s="30" t="s">
        <v>4201</v>
      </c>
      <c r="C1962" s="29" t="s">
        <v>18996</v>
      </c>
      <c r="D1962" s="29" t="s">
        <v>32160</v>
      </c>
      <c r="E1962" s="29" t="s">
        <v>45535</v>
      </c>
      <c r="F1962" s="36" t="s">
        <v>54401</v>
      </c>
      <c r="G1962" s="39">
        <v>923892.59</v>
      </c>
      <c r="H1962" s="42">
        <v>211</v>
      </c>
    </row>
    <row r="1963" spans="1:8" ht="15" customHeight="1">
      <c r="A1963" s="26">
        <v>9082096</v>
      </c>
      <c r="B1963" s="30" t="s">
        <v>4202</v>
      </c>
      <c r="C1963" s="29" t="s">
        <v>18997</v>
      </c>
      <c r="D1963" s="29" t="s">
        <v>32161</v>
      </c>
      <c r="E1963" s="29" t="s">
        <v>44084</v>
      </c>
      <c r="F1963" s="36" t="s">
        <v>54401</v>
      </c>
      <c r="G1963" s="39">
        <v>1243094.8799999999</v>
      </c>
      <c r="H1963" s="42">
        <v>211</v>
      </c>
    </row>
    <row r="1964" spans="1:8" ht="15" customHeight="1">
      <c r="A1964" s="26">
        <v>9128777</v>
      </c>
      <c r="B1964" s="30" t="s">
        <v>4203</v>
      </c>
      <c r="C1964" s="29" t="s">
        <v>18998</v>
      </c>
      <c r="D1964" s="29" t="s">
        <v>32162</v>
      </c>
      <c r="E1964" s="29" t="s">
        <v>45536</v>
      </c>
      <c r="F1964" s="36" t="s">
        <v>54401</v>
      </c>
      <c r="G1964" s="39">
        <v>64904.52</v>
      </c>
      <c r="H1964" s="42">
        <v>211</v>
      </c>
    </row>
    <row r="1965" spans="1:8" ht="15" customHeight="1">
      <c r="A1965" s="26">
        <v>9272104</v>
      </c>
      <c r="B1965" s="30" t="s">
        <v>4204</v>
      </c>
      <c r="C1965" s="29" t="s">
        <v>18999</v>
      </c>
      <c r="D1965" s="29" t="s">
        <v>32163</v>
      </c>
      <c r="E1965" s="29" t="s">
        <v>45537</v>
      </c>
      <c r="F1965" s="36" t="s">
        <v>54401</v>
      </c>
      <c r="G1965" s="39">
        <v>4987650.57</v>
      </c>
      <c r="H1965" s="42">
        <v>211</v>
      </c>
    </row>
    <row r="1966" spans="1:8" ht="15" customHeight="1">
      <c r="A1966" s="26">
        <v>9286653</v>
      </c>
      <c r="B1966" s="30" t="s">
        <v>3284</v>
      </c>
      <c r="C1966" s="29" t="s">
        <v>17204</v>
      </c>
      <c r="D1966" s="29" t="s">
        <v>32164</v>
      </c>
      <c r="E1966" s="29" t="s">
        <v>43926</v>
      </c>
      <c r="F1966" s="36" t="s">
        <v>54401</v>
      </c>
      <c r="G1966" s="39">
        <v>13983.2</v>
      </c>
      <c r="H1966" s="42">
        <v>211</v>
      </c>
    </row>
    <row r="1967" spans="1:8" ht="15" customHeight="1">
      <c r="A1967" s="26">
        <v>9375005</v>
      </c>
      <c r="B1967" s="30" t="s">
        <v>4205</v>
      </c>
      <c r="C1967" s="29" t="s">
        <v>19000</v>
      </c>
      <c r="D1967" s="29" t="s">
        <v>32165</v>
      </c>
      <c r="E1967" s="29" t="s">
        <v>748</v>
      </c>
      <c r="F1967" s="36" t="s">
        <v>54401</v>
      </c>
      <c r="G1967" s="39">
        <v>836940.45</v>
      </c>
      <c r="H1967" s="42">
        <v>211</v>
      </c>
    </row>
    <row r="1968" spans="1:8" ht="15" customHeight="1">
      <c r="A1968" s="26">
        <v>9375014</v>
      </c>
      <c r="B1968" s="30" t="s">
        <v>4206</v>
      </c>
      <c r="C1968" s="29" t="s">
        <v>19001</v>
      </c>
      <c r="D1968" s="29" t="s">
        <v>32166</v>
      </c>
      <c r="E1968" s="29" t="s">
        <v>45538</v>
      </c>
      <c r="F1968" s="36" t="s">
        <v>54420</v>
      </c>
      <c r="G1968" s="39">
        <v>902279.11</v>
      </c>
      <c r="H1968" s="42">
        <v>211</v>
      </c>
    </row>
    <row r="1969" spans="1:8" ht="15" customHeight="1">
      <c r="A1969" s="26">
        <v>9375021</v>
      </c>
      <c r="B1969" s="30" t="s">
        <v>4207</v>
      </c>
      <c r="C1969" s="29" t="s">
        <v>19002</v>
      </c>
      <c r="D1969" s="29" t="s">
        <v>32167</v>
      </c>
      <c r="E1969" s="29" t="s">
        <v>44407</v>
      </c>
      <c r="F1969" s="36" t="s">
        <v>54428</v>
      </c>
      <c r="G1969" s="39">
        <v>651745.69999999995</v>
      </c>
      <c r="H1969" s="42">
        <v>211</v>
      </c>
    </row>
    <row r="1970" spans="1:8" ht="15" customHeight="1">
      <c r="A1970" s="26">
        <v>9375064</v>
      </c>
      <c r="B1970" s="30" t="s">
        <v>4208</v>
      </c>
      <c r="C1970" s="29" t="s">
        <v>19003</v>
      </c>
      <c r="D1970" s="29" t="s">
        <v>32168</v>
      </c>
      <c r="E1970" s="29" t="s">
        <v>45539</v>
      </c>
      <c r="F1970" s="36" t="s">
        <v>54401</v>
      </c>
      <c r="G1970" s="39">
        <v>3834210.18</v>
      </c>
      <c r="H1970" s="42">
        <v>211</v>
      </c>
    </row>
    <row r="1971" spans="1:8" ht="15" customHeight="1">
      <c r="A1971" s="26">
        <v>9375172</v>
      </c>
      <c r="B1971" s="30" t="s">
        <v>4209</v>
      </c>
      <c r="C1971" s="29" t="s">
        <v>19004</v>
      </c>
      <c r="D1971" s="29" t="s">
        <v>32169</v>
      </c>
      <c r="E1971" s="29" t="s">
        <v>45540</v>
      </c>
      <c r="F1971" s="36" t="s">
        <v>54407</v>
      </c>
      <c r="G1971" s="39">
        <v>3315507.16</v>
      </c>
      <c r="H1971" s="42">
        <v>211</v>
      </c>
    </row>
    <row r="1972" spans="1:8" ht="15" customHeight="1">
      <c r="A1972" s="26">
        <v>9375179</v>
      </c>
      <c r="B1972" s="30" t="s">
        <v>4210</v>
      </c>
      <c r="C1972" s="29" t="s">
        <v>19005</v>
      </c>
      <c r="D1972" s="29" t="s">
        <v>32170</v>
      </c>
      <c r="E1972" s="29" t="s">
        <v>44973</v>
      </c>
      <c r="F1972" s="36" t="s">
        <v>54401</v>
      </c>
      <c r="G1972" s="39">
        <v>1105785.9099999999</v>
      </c>
      <c r="H1972" s="42">
        <v>211</v>
      </c>
    </row>
    <row r="1973" spans="1:8" ht="15" customHeight="1">
      <c r="A1973" s="26">
        <v>9375181</v>
      </c>
      <c r="B1973" s="30" t="s">
        <v>4211</v>
      </c>
      <c r="C1973" s="29" t="s">
        <v>19006</v>
      </c>
      <c r="D1973" s="29" t="s">
        <v>32171</v>
      </c>
      <c r="E1973" s="29" t="s">
        <v>45541</v>
      </c>
      <c r="F1973" s="36" t="s">
        <v>54401</v>
      </c>
      <c r="G1973" s="39">
        <v>2973726.43</v>
      </c>
      <c r="H1973" s="42">
        <v>211</v>
      </c>
    </row>
    <row r="1974" spans="1:8" ht="15" customHeight="1">
      <c r="A1974" s="26">
        <v>9375196</v>
      </c>
      <c r="B1974" s="30" t="s">
        <v>4212</v>
      </c>
      <c r="C1974" s="29" t="s">
        <v>19007</v>
      </c>
      <c r="D1974" s="29" t="s">
        <v>32172</v>
      </c>
      <c r="E1974" s="29" t="s">
        <v>45542</v>
      </c>
      <c r="F1974" s="36" t="s">
        <v>54401</v>
      </c>
      <c r="G1974" s="39">
        <v>460480.94</v>
      </c>
      <c r="H1974" s="42">
        <v>211</v>
      </c>
    </row>
    <row r="1975" spans="1:8" ht="15" customHeight="1">
      <c r="A1975" s="26">
        <v>9375290</v>
      </c>
      <c r="B1975" s="30" t="s">
        <v>4213</v>
      </c>
      <c r="C1975" s="29" t="s">
        <v>19008</v>
      </c>
      <c r="D1975" s="29" t="s">
        <v>32173</v>
      </c>
      <c r="E1975" s="29" t="s">
        <v>45543</v>
      </c>
      <c r="F1975" s="36" t="s">
        <v>54401</v>
      </c>
      <c r="G1975" s="39">
        <v>6165076.3799999999</v>
      </c>
      <c r="H1975" s="42">
        <v>211</v>
      </c>
    </row>
    <row r="1976" spans="1:8" ht="15" customHeight="1">
      <c r="A1976" s="26">
        <v>9375294</v>
      </c>
      <c r="B1976" s="30" t="s">
        <v>4214</v>
      </c>
      <c r="C1976" s="26" t="s">
        <v>19009</v>
      </c>
      <c r="D1976" s="26" t="s">
        <v>32174</v>
      </c>
      <c r="E1976" s="26" t="s">
        <v>43926</v>
      </c>
      <c r="F1976" s="37" t="s">
        <v>54407</v>
      </c>
      <c r="G1976" s="39">
        <v>388748.68</v>
      </c>
      <c r="H1976" s="42">
        <v>211</v>
      </c>
    </row>
    <row r="1977" spans="1:8" ht="15" customHeight="1">
      <c r="A1977" s="26">
        <v>9375319</v>
      </c>
      <c r="B1977" s="30" t="s">
        <v>4215</v>
      </c>
      <c r="C1977" s="29" t="s">
        <v>19010</v>
      </c>
      <c r="D1977" s="29" t="s">
        <v>32175</v>
      </c>
      <c r="E1977" s="29" t="s">
        <v>45544</v>
      </c>
      <c r="F1977" s="36" t="s">
        <v>54401</v>
      </c>
      <c r="G1977" s="39">
        <v>1064636.8799999999</v>
      </c>
      <c r="H1977" s="42">
        <v>211</v>
      </c>
    </row>
    <row r="1978" spans="1:8" ht="15" customHeight="1">
      <c r="A1978" s="26">
        <v>9375368</v>
      </c>
      <c r="B1978" s="30" t="s">
        <v>4216</v>
      </c>
      <c r="C1978" s="29" t="s">
        <v>19011</v>
      </c>
      <c r="D1978" s="29" t="s">
        <v>32176</v>
      </c>
      <c r="E1978" s="29" t="s">
        <v>45545</v>
      </c>
      <c r="F1978" s="36" t="s">
        <v>54401</v>
      </c>
      <c r="G1978" s="39">
        <v>160383.20000000001</v>
      </c>
      <c r="H1978" s="42">
        <v>211</v>
      </c>
    </row>
    <row r="1979" spans="1:8" ht="15" customHeight="1">
      <c r="A1979" s="26">
        <v>9375383</v>
      </c>
      <c r="B1979" s="30" t="s">
        <v>4217</v>
      </c>
      <c r="C1979" s="29" t="s">
        <v>19012</v>
      </c>
      <c r="D1979" s="29" t="s">
        <v>32177</v>
      </c>
      <c r="E1979" s="29" t="s">
        <v>45546</v>
      </c>
      <c r="F1979" s="36" t="s">
        <v>54401</v>
      </c>
      <c r="G1979" s="39">
        <v>255019.53</v>
      </c>
      <c r="H1979" s="42">
        <v>211</v>
      </c>
    </row>
    <row r="1980" spans="1:8" ht="15" customHeight="1">
      <c r="A1980" s="26">
        <v>9375388</v>
      </c>
      <c r="B1980" s="30" t="s">
        <v>4218</v>
      </c>
      <c r="C1980" s="26" t="s">
        <v>19013</v>
      </c>
      <c r="D1980" s="26" t="s">
        <v>32178</v>
      </c>
      <c r="E1980" s="26" t="s">
        <v>43926</v>
      </c>
      <c r="F1980" s="37" t="s">
        <v>54401</v>
      </c>
      <c r="G1980" s="39">
        <v>505541.89</v>
      </c>
      <c r="H1980" s="42">
        <v>211</v>
      </c>
    </row>
    <row r="1981" spans="1:8" ht="15" customHeight="1">
      <c r="A1981" s="26">
        <v>9380029</v>
      </c>
      <c r="B1981" s="30" t="s">
        <v>4219</v>
      </c>
      <c r="C1981" s="29" t="s">
        <v>17204</v>
      </c>
      <c r="D1981" s="29" t="s">
        <v>32179</v>
      </c>
      <c r="E1981" s="29" t="s">
        <v>43926</v>
      </c>
      <c r="F1981" s="36" t="s">
        <v>54401</v>
      </c>
      <c r="G1981" s="39">
        <v>83768.14</v>
      </c>
      <c r="H1981" s="42">
        <v>211</v>
      </c>
    </row>
    <row r="1982" spans="1:8" ht="15" customHeight="1">
      <c r="A1982" s="26">
        <v>9380083</v>
      </c>
      <c r="B1982" s="30" t="s">
        <v>4220</v>
      </c>
      <c r="C1982" s="29" t="s">
        <v>19014</v>
      </c>
      <c r="D1982" s="29" t="s">
        <v>32180</v>
      </c>
      <c r="E1982" s="29" t="s">
        <v>45547</v>
      </c>
      <c r="F1982" s="36" t="s">
        <v>54423</v>
      </c>
      <c r="G1982" s="39">
        <f>2444092.82-105834</f>
        <v>2338258.8199999998</v>
      </c>
      <c r="H1982" s="42">
        <v>211</v>
      </c>
    </row>
    <row r="1983" spans="1:8" ht="15" customHeight="1">
      <c r="A1983" s="26">
        <v>9393459</v>
      </c>
      <c r="B1983" s="30" t="s">
        <v>4221</v>
      </c>
      <c r="C1983" s="29" t="s">
        <v>17204</v>
      </c>
      <c r="D1983" s="29" t="s">
        <v>32181</v>
      </c>
      <c r="E1983" s="29" t="s">
        <v>45548</v>
      </c>
      <c r="F1983" s="36" t="s">
        <v>54401</v>
      </c>
      <c r="G1983" s="39">
        <v>318343.32</v>
      </c>
      <c r="H1983" s="42">
        <v>211</v>
      </c>
    </row>
    <row r="1984" spans="1:8" ht="15" customHeight="1">
      <c r="A1984" s="26">
        <v>9395177</v>
      </c>
      <c r="B1984" s="30" t="s">
        <v>4222</v>
      </c>
      <c r="C1984" s="29" t="s">
        <v>17204</v>
      </c>
      <c r="D1984" s="29" t="s">
        <v>30349</v>
      </c>
      <c r="E1984" s="29" t="s">
        <v>43926</v>
      </c>
      <c r="F1984" s="36" t="s">
        <v>54401</v>
      </c>
      <c r="G1984" s="39">
        <v>259530.55</v>
      </c>
      <c r="H1984" s="42">
        <v>211</v>
      </c>
    </row>
    <row r="1985" spans="1:8" ht="15" customHeight="1">
      <c r="A1985" s="26">
        <v>9395195</v>
      </c>
      <c r="B1985" s="30" t="s">
        <v>4223</v>
      </c>
      <c r="C1985" s="29" t="s">
        <v>19015</v>
      </c>
      <c r="D1985" s="29" t="s">
        <v>32182</v>
      </c>
      <c r="E1985" s="29" t="s">
        <v>45549</v>
      </c>
      <c r="F1985" s="36" t="s">
        <v>54401</v>
      </c>
      <c r="G1985" s="39">
        <v>1452595.87</v>
      </c>
      <c r="H1985" s="42">
        <v>211</v>
      </c>
    </row>
    <row r="1986" spans="1:8" ht="15" customHeight="1">
      <c r="A1986" s="26">
        <v>9395198</v>
      </c>
      <c r="B1986" s="30" t="s">
        <v>4224</v>
      </c>
      <c r="C1986" s="29" t="s">
        <v>19016</v>
      </c>
      <c r="D1986" s="29" t="s">
        <v>32183</v>
      </c>
      <c r="E1986" s="29" t="s">
        <v>45550</v>
      </c>
      <c r="F1986" s="36" t="s">
        <v>54401</v>
      </c>
      <c r="G1986" s="39">
        <v>326068.71000000002</v>
      </c>
      <c r="H1986" s="42">
        <v>211</v>
      </c>
    </row>
    <row r="1987" spans="1:8" ht="15" customHeight="1">
      <c r="A1987" s="26">
        <v>9395254</v>
      </c>
      <c r="B1987" s="30" t="s">
        <v>4225</v>
      </c>
      <c r="C1987" s="29" t="s">
        <v>19017</v>
      </c>
      <c r="D1987" s="29" t="s">
        <v>32184</v>
      </c>
      <c r="E1987" s="29" t="s">
        <v>45551</v>
      </c>
      <c r="F1987" s="36" t="s">
        <v>54401</v>
      </c>
      <c r="G1987" s="39">
        <v>188535.49</v>
      </c>
      <c r="H1987" s="42">
        <v>211</v>
      </c>
    </row>
    <row r="1988" spans="1:8" ht="15" customHeight="1">
      <c r="A1988" s="26">
        <v>9396030</v>
      </c>
      <c r="B1988" s="30" t="s">
        <v>4226</v>
      </c>
      <c r="C1988" s="29" t="s">
        <v>19018</v>
      </c>
      <c r="D1988" s="29" t="s">
        <v>32185</v>
      </c>
      <c r="E1988" s="29" t="s">
        <v>45552</v>
      </c>
      <c r="F1988" s="36" t="s">
        <v>54401</v>
      </c>
      <c r="G1988" s="39">
        <v>27680.68</v>
      </c>
      <c r="H1988" s="42">
        <v>211</v>
      </c>
    </row>
    <row r="1989" spans="1:8" ht="15" customHeight="1">
      <c r="A1989" s="26">
        <v>9396104</v>
      </c>
      <c r="B1989" s="30" t="s">
        <v>4227</v>
      </c>
      <c r="C1989" s="29" t="s">
        <v>19019</v>
      </c>
      <c r="D1989" s="29" t="s">
        <v>32186</v>
      </c>
      <c r="E1989" s="29" t="s">
        <v>45553</v>
      </c>
      <c r="F1989" s="36" t="s">
        <v>54409</v>
      </c>
      <c r="G1989" s="39">
        <v>1733152.67</v>
      </c>
      <c r="H1989" s="42">
        <v>211</v>
      </c>
    </row>
    <row r="1990" spans="1:8" ht="15" customHeight="1">
      <c r="A1990" s="26">
        <v>9396158</v>
      </c>
      <c r="B1990" s="30" t="s">
        <v>4228</v>
      </c>
      <c r="C1990" s="26" t="s">
        <v>19020</v>
      </c>
      <c r="D1990" s="26" t="s">
        <v>32187</v>
      </c>
      <c r="E1990" s="26" t="s">
        <v>43926</v>
      </c>
      <c r="F1990" s="37" t="s">
        <v>54402</v>
      </c>
      <c r="G1990" s="39">
        <v>13890.17</v>
      </c>
      <c r="H1990" s="42">
        <v>211</v>
      </c>
    </row>
    <row r="1991" spans="1:8" ht="15" customHeight="1">
      <c r="A1991" s="26">
        <v>9396260</v>
      </c>
      <c r="B1991" s="30" t="s">
        <v>4229</v>
      </c>
      <c r="C1991" s="29" t="s">
        <v>19021</v>
      </c>
      <c r="D1991" s="29" t="s">
        <v>32188</v>
      </c>
      <c r="E1991" s="29" t="s">
        <v>45554</v>
      </c>
      <c r="F1991" s="36" t="s">
        <v>54401</v>
      </c>
      <c r="G1991" s="39">
        <v>1549132.01</v>
      </c>
      <c r="H1991" s="42">
        <v>211</v>
      </c>
    </row>
    <row r="1992" spans="1:8" ht="15" customHeight="1">
      <c r="A1992" s="26">
        <v>9396459</v>
      </c>
      <c r="B1992" s="30" t="s">
        <v>4230</v>
      </c>
      <c r="C1992" s="26" t="s">
        <v>19022</v>
      </c>
      <c r="D1992" s="26" t="s">
        <v>32181</v>
      </c>
      <c r="E1992" s="26" t="s">
        <v>43926</v>
      </c>
      <c r="F1992" s="37" t="s">
        <v>54401</v>
      </c>
      <c r="G1992" s="39">
        <v>1111892.4099999999</v>
      </c>
      <c r="H1992" s="42">
        <v>211</v>
      </c>
    </row>
    <row r="1993" spans="1:8" ht="15" customHeight="1">
      <c r="A1993" s="26">
        <v>9396557</v>
      </c>
      <c r="B1993" s="30" t="s">
        <v>4231</v>
      </c>
      <c r="C1993" s="29" t="s">
        <v>19023</v>
      </c>
      <c r="D1993" s="29" t="s">
        <v>32189</v>
      </c>
      <c r="E1993" s="29" t="s">
        <v>45555</v>
      </c>
      <c r="F1993" s="36" t="s">
        <v>54401</v>
      </c>
      <c r="G1993" s="39">
        <v>161619.16</v>
      </c>
      <c r="H1993" s="42">
        <v>211</v>
      </c>
    </row>
    <row r="1994" spans="1:8" ht="15" customHeight="1">
      <c r="A1994" s="26">
        <v>9396578</v>
      </c>
      <c r="B1994" s="30" t="s">
        <v>4232</v>
      </c>
      <c r="C1994" s="29" t="s">
        <v>17204</v>
      </c>
      <c r="D1994" s="29" t="s">
        <v>30349</v>
      </c>
      <c r="E1994" s="29" t="s">
        <v>43926</v>
      </c>
      <c r="F1994" s="36" t="s">
        <v>54401</v>
      </c>
      <c r="G1994" s="39">
        <v>256532.47</v>
      </c>
      <c r="H1994" s="42">
        <v>211</v>
      </c>
    </row>
    <row r="1995" spans="1:8" ht="15" customHeight="1">
      <c r="A1995" s="26">
        <v>9396591</v>
      </c>
      <c r="B1995" s="30" t="s">
        <v>4233</v>
      </c>
      <c r="C1995" s="26" t="s">
        <v>19024</v>
      </c>
      <c r="D1995" s="26" t="s">
        <v>32190</v>
      </c>
      <c r="E1995" s="26" t="s">
        <v>45556</v>
      </c>
      <c r="F1995" s="37" t="s">
        <v>54401</v>
      </c>
      <c r="G1995" s="39">
        <v>2384224.9300000002</v>
      </c>
      <c r="H1995" s="42">
        <v>211</v>
      </c>
    </row>
    <row r="1996" spans="1:8" ht="15" customHeight="1">
      <c r="A1996" s="26">
        <v>9396596</v>
      </c>
      <c r="B1996" s="30" t="s">
        <v>4234</v>
      </c>
      <c r="C1996" s="29" t="s">
        <v>19025</v>
      </c>
      <c r="D1996" s="29" t="s">
        <v>32191</v>
      </c>
      <c r="E1996" s="29" t="s">
        <v>45557</v>
      </c>
      <c r="F1996" s="36" t="s">
        <v>54401</v>
      </c>
      <c r="G1996" s="39">
        <v>63106.96</v>
      </c>
      <c r="H1996" s="42">
        <v>211</v>
      </c>
    </row>
    <row r="1997" spans="1:8" ht="15" customHeight="1">
      <c r="A1997" s="26">
        <v>9396689</v>
      </c>
      <c r="B1997" s="30" t="s">
        <v>4235</v>
      </c>
      <c r="C1997" s="29" t="s">
        <v>19026</v>
      </c>
      <c r="D1997" s="29" t="s">
        <v>32192</v>
      </c>
      <c r="E1997" s="29" t="s">
        <v>45558</v>
      </c>
      <c r="F1997" s="36" t="s">
        <v>54401</v>
      </c>
      <c r="G1997" s="39">
        <v>630394.13</v>
      </c>
      <c r="H1997" s="42">
        <v>211</v>
      </c>
    </row>
    <row r="1998" spans="1:8" ht="15" customHeight="1">
      <c r="A1998" s="26">
        <v>9397211</v>
      </c>
      <c r="B1998" s="30" t="s">
        <v>4236</v>
      </c>
      <c r="C1998" s="29" t="s">
        <v>19027</v>
      </c>
      <c r="D1998" s="29" t="s">
        <v>32193</v>
      </c>
      <c r="E1998" s="29" t="s">
        <v>45559</v>
      </c>
      <c r="F1998" s="36" t="s">
        <v>54402</v>
      </c>
      <c r="G1998" s="39">
        <f>3295850.56-133213</f>
        <v>3162637.56</v>
      </c>
      <c r="H1998" s="42">
        <v>211</v>
      </c>
    </row>
    <row r="1999" spans="1:8" ht="15" customHeight="1">
      <c r="A1999" s="26">
        <v>9397296</v>
      </c>
      <c r="B1999" s="30" t="s">
        <v>4237</v>
      </c>
      <c r="C1999" s="29" t="s">
        <v>19028</v>
      </c>
      <c r="D1999" s="29" t="s">
        <v>32194</v>
      </c>
      <c r="E1999" s="29" t="s">
        <v>45560</v>
      </c>
      <c r="F1999" s="36" t="s">
        <v>54401</v>
      </c>
      <c r="G1999" s="39">
        <v>147735.39000000001</v>
      </c>
      <c r="H1999" s="42">
        <v>211</v>
      </c>
    </row>
    <row r="2000" spans="1:8" ht="15" customHeight="1">
      <c r="A2000" s="26">
        <v>9397492</v>
      </c>
      <c r="B2000" s="30" t="s">
        <v>4238</v>
      </c>
      <c r="C2000" s="29" t="s">
        <v>19029</v>
      </c>
      <c r="D2000" s="29" t="s">
        <v>32195</v>
      </c>
      <c r="E2000" s="29" t="s">
        <v>45561</v>
      </c>
      <c r="F2000" s="36" t="s">
        <v>54401</v>
      </c>
      <c r="G2000" s="39">
        <v>1391436.16</v>
      </c>
      <c r="H2000" s="42">
        <v>211</v>
      </c>
    </row>
    <row r="2001" spans="1:8" ht="15" customHeight="1">
      <c r="A2001" s="26">
        <v>9397565</v>
      </c>
      <c r="B2001" s="30" t="s">
        <v>4239</v>
      </c>
      <c r="C2001" s="29" t="s">
        <v>19030</v>
      </c>
      <c r="D2001" s="29" t="s">
        <v>32196</v>
      </c>
      <c r="E2001" s="29" t="s">
        <v>45562</v>
      </c>
      <c r="F2001" s="36" t="s">
        <v>54401</v>
      </c>
      <c r="G2001" s="39">
        <v>1118364.8400000001</v>
      </c>
      <c r="H2001" s="42">
        <v>211</v>
      </c>
    </row>
    <row r="2002" spans="1:8" ht="15" customHeight="1">
      <c r="A2002" s="26">
        <v>9397839</v>
      </c>
      <c r="B2002" s="30" t="s">
        <v>4240</v>
      </c>
      <c r="C2002" s="29" t="s">
        <v>19031</v>
      </c>
      <c r="D2002" s="29" t="s">
        <v>32197</v>
      </c>
      <c r="E2002" s="29" t="s">
        <v>45563</v>
      </c>
      <c r="F2002" s="36" t="s">
        <v>54401</v>
      </c>
      <c r="G2002" s="39">
        <v>2515801.13</v>
      </c>
      <c r="H2002" s="42">
        <v>211</v>
      </c>
    </row>
    <row r="2003" spans="1:8" ht="15" customHeight="1">
      <c r="A2003" s="26">
        <v>9398252</v>
      </c>
      <c r="B2003" s="30" t="s">
        <v>4241</v>
      </c>
      <c r="C2003" s="29" t="s">
        <v>19032</v>
      </c>
      <c r="D2003" s="29" t="s">
        <v>32198</v>
      </c>
      <c r="E2003" s="29" t="s">
        <v>45564</v>
      </c>
      <c r="F2003" s="36" t="s">
        <v>54401</v>
      </c>
      <c r="G2003" s="39">
        <v>275469.52</v>
      </c>
      <c r="H2003" s="42">
        <v>211</v>
      </c>
    </row>
    <row r="2004" spans="1:8" ht="15" customHeight="1">
      <c r="A2004" s="26">
        <v>9398370</v>
      </c>
      <c r="B2004" s="30" t="s">
        <v>4242</v>
      </c>
      <c r="C2004" s="29" t="s">
        <v>17204</v>
      </c>
      <c r="D2004" s="29" t="s">
        <v>32199</v>
      </c>
      <c r="E2004" s="29" t="s">
        <v>43926</v>
      </c>
      <c r="F2004" s="36" t="s">
        <v>54401</v>
      </c>
      <c r="G2004" s="39">
        <v>556889.5</v>
      </c>
      <c r="H2004" s="42">
        <v>211</v>
      </c>
    </row>
    <row r="2005" spans="1:8" ht="15" customHeight="1">
      <c r="A2005" s="26">
        <v>9398546</v>
      </c>
      <c r="B2005" s="30" t="s">
        <v>4243</v>
      </c>
      <c r="C2005" s="29" t="s">
        <v>19033</v>
      </c>
      <c r="D2005" s="29" t="s">
        <v>32200</v>
      </c>
      <c r="E2005" s="29" t="s">
        <v>45565</v>
      </c>
      <c r="F2005" s="36" t="s">
        <v>54401</v>
      </c>
      <c r="G2005" s="39">
        <v>5060143.54</v>
      </c>
      <c r="H2005" s="42">
        <v>211</v>
      </c>
    </row>
    <row r="2006" spans="1:8" ht="15" customHeight="1">
      <c r="A2006" s="26">
        <v>9398606</v>
      </c>
      <c r="B2006" s="30" t="s">
        <v>4244</v>
      </c>
      <c r="C2006" s="29" t="s">
        <v>19034</v>
      </c>
      <c r="D2006" s="29" t="s">
        <v>32201</v>
      </c>
      <c r="E2006" s="29" t="s">
        <v>45566</v>
      </c>
      <c r="F2006" s="36" t="s">
        <v>54401</v>
      </c>
      <c r="G2006" s="39">
        <v>196632.8</v>
      </c>
      <c r="H2006" s="42">
        <v>211</v>
      </c>
    </row>
    <row r="2007" spans="1:8" ht="15" customHeight="1">
      <c r="A2007" s="26">
        <v>9398642</v>
      </c>
      <c r="B2007" s="30" t="s">
        <v>4245</v>
      </c>
      <c r="C2007" s="29" t="s">
        <v>17204</v>
      </c>
      <c r="D2007" s="29" t="s">
        <v>32202</v>
      </c>
      <c r="E2007" s="29" t="s">
        <v>45567</v>
      </c>
      <c r="F2007" s="36" t="s">
        <v>54401</v>
      </c>
      <c r="G2007" s="39">
        <v>207336.82</v>
      </c>
      <c r="H2007" s="42">
        <v>211</v>
      </c>
    </row>
    <row r="2008" spans="1:8" ht="15" customHeight="1">
      <c r="A2008" s="26">
        <v>9398646</v>
      </c>
      <c r="B2008" s="30" t="s">
        <v>4246</v>
      </c>
      <c r="C2008" s="29" t="s">
        <v>19035</v>
      </c>
      <c r="D2008" s="29" t="s">
        <v>32203</v>
      </c>
      <c r="E2008" s="29" t="s">
        <v>45568</v>
      </c>
      <c r="F2008" s="36" t="s">
        <v>54401</v>
      </c>
      <c r="G2008" s="39">
        <v>1581127.8</v>
      </c>
      <c r="H2008" s="42">
        <v>211</v>
      </c>
    </row>
    <row r="2009" spans="1:8" ht="15" customHeight="1">
      <c r="A2009" s="26">
        <v>9398702</v>
      </c>
      <c r="B2009" s="30" t="s">
        <v>4247</v>
      </c>
      <c r="C2009" s="29" t="s">
        <v>19036</v>
      </c>
      <c r="D2009" s="29" t="s">
        <v>32204</v>
      </c>
      <c r="E2009" s="29" t="s">
        <v>45569</v>
      </c>
      <c r="F2009" s="36" t="s">
        <v>54401</v>
      </c>
      <c r="G2009" s="39">
        <v>532414.43999999994</v>
      </c>
      <c r="H2009" s="42">
        <v>211</v>
      </c>
    </row>
    <row r="2010" spans="1:8" ht="15" customHeight="1">
      <c r="A2010" s="26">
        <v>9399084</v>
      </c>
      <c r="B2010" s="30" t="s">
        <v>4248</v>
      </c>
      <c r="C2010" s="29" t="s">
        <v>19037</v>
      </c>
      <c r="D2010" s="29" t="s">
        <v>32205</v>
      </c>
      <c r="E2010" s="29" t="s">
        <v>45570</v>
      </c>
      <c r="F2010" s="36" t="s">
        <v>54401</v>
      </c>
      <c r="G2010" s="39">
        <v>458547.07</v>
      </c>
      <c r="H2010" s="42">
        <v>211</v>
      </c>
    </row>
    <row r="2011" spans="1:8" ht="15" customHeight="1">
      <c r="A2011" s="26">
        <v>9399121</v>
      </c>
      <c r="B2011" s="30" t="s">
        <v>4249</v>
      </c>
      <c r="C2011" s="26" t="s">
        <v>19038</v>
      </c>
      <c r="D2011" s="26" t="s">
        <v>32206</v>
      </c>
      <c r="E2011" s="26" t="s">
        <v>43926</v>
      </c>
      <c r="F2011" s="37" t="s">
        <v>54401</v>
      </c>
      <c r="G2011" s="39">
        <v>29109.24</v>
      </c>
      <c r="H2011" s="42">
        <v>211</v>
      </c>
    </row>
    <row r="2012" spans="1:8" ht="15" customHeight="1">
      <c r="A2012" s="26">
        <v>9399529</v>
      </c>
      <c r="B2012" s="30" t="s">
        <v>4250</v>
      </c>
      <c r="C2012" s="29" t="s">
        <v>19039</v>
      </c>
      <c r="D2012" s="29" t="s">
        <v>32207</v>
      </c>
      <c r="E2012" s="29" t="s">
        <v>44190</v>
      </c>
      <c r="F2012" s="36" t="s">
        <v>54406</v>
      </c>
      <c r="G2012" s="39">
        <v>1599069.7</v>
      </c>
      <c r="H2012" s="42">
        <v>211</v>
      </c>
    </row>
    <row r="2013" spans="1:8" ht="15" customHeight="1">
      <c r="A2013" s="26">
        <v>9430563</v>
      </c>
      <c r="B2013" s="30" t="s">
        <v>4251</v>
      </c>
      <c r="C2013" s="29" t="s">
        <v>19040</v>
      </c>
      <c r="D2013" s="29" t="s">
        <v>32208</v>
      </c>
      <c r="E2013" s="29" t="s">
        <v>44512</v>
      </c>
      <c r="F2013" s="36" t="s">
        <v>54401</v>
      </c>
      <c r="G2013" s="39">
        <v>1172170.1299999999</v>
      </c>
      <c r="H2013" s="42">
        <v>211</v>
      </c>
    </row>
    <row r="2014" spans="1:8" ht="15" customHeight="1">
      <c r="A2014" s="26">
        <v>9434794</v>
      </c>
      <c r="B2014" s="30" t="s">
        <v>4252</v>
      </c>
      <c r="C2014" s="29" t="s">
        <v>19041</v>
      </c>
      <c r="D2014" s="29" t="s">
        <v>32209</v>
      </c>
      <c r="E2014" s="29" t="s">
        <v>45571</v>
      </c>
      <c r="F2014" s="36" t="s">
        <v>54401</v>
      </c>
      <c r="G2014" s="39">
        <v>772901.7</v>
      </c>
      <c r="H2014" s="42">
        <v>211</v>
      </c>
    </row>
    <row r="2015" spans="1:8" ht="15" customHeight="1">
      <c r="A2015" s="26">
        <v>9510604</v>
      </c>
      <c r="B2015" s="30" t="s">
        <v>4253</v>
      </c>
      <c r="C2015" s="29" t="s">
        <v>19042</v>
      </c>
      <c r="D2015" s="29" t="s">
        <v>32210</v>
      </c>
      <c r="E2015" s="29" t="s">
        <v>45572</v>
      </c>
      <c r="F2015" s="36" t="s">
        <v>54401</v>
      </c>
      <c r="G2015" s="39">
        <v>202731.3</v>
      </c>
      <c r="H2015" s="42">
        <v>211</v>
      </c>
    </row>
    <row r="2016" spans="1:8" ht="15" customHeight="1">
      <c r="A2016" s="26">
        <v>9511753</v>
      </c>
      <c r="B2016" s="30" t="s">
        <v>4254</v>
      </c>
      <c r="C2016" s="29" t="s">
        <v>19043</v>
      </c>
      <c r="D2016" s="29" t="s">
        <v>32211</v>
      </c>
      <c r="E2016" s="29" t="s">
        <v>45573</v>
      </c>
      <c r="F2016" s="36" t="s">
        <v>54401</v>
      </c>
      <c r="G2016" s="39">
        <f>3091875.52+25546</f>
        <v>3117421.52</v>
      </c>
      <c r="H2016" s="42">
        <v>211</v>
      </c>
    </row>
    <row r="2017" spans="1:8" ht="15" customHeight="1">
      <c r="A2017" s="26">
        <v>9511792</v>
      </c>
      <c r="B2017" s="30" t="s">
        <v>4255</v>
      </c>
      <c r="C2017" s="29" t="s">
        <v>19044</v>
      </c>
      <c r="D2017" s="29" t="s">
        <v>32212</v>
      </c>
      <c r="E2017" s="29" t="s">
        <v>45574</v>
      </c>
      <c r="F2017" s="36" t="s">
        <v>54402</v>
      </c>
      <c r="G2017" s="39">
        <v>95210.5</v>
      </c>
      <c r="H2017" s="42">
        <v>211</v>
      </c>
    </row>
    <row r="2018" spans="1:8" ht="15" customHeight="1">
      <c r="A2018" s="26">
        <v>9512684</v>
      </c>
      <c r="B2018" s="30" t="s">
        <v>4256</v>
      </c>
      <c r="C2018" s="29" t="s">
        <v>19045</v>
      </c>
      <c r="D2018" s="29" t="s">
        <v>32213</v>
      </c>
      <c r="E2018" s="29" t="s">
        <v>45575</v>
      </c>
      <c r="F2018" s="36" t="s">
        <v>54401</v>
      </c>
      <c r="G2018" s="39">
        <f>149365.57+43079</f>
        <v>192444.57</v>
      </c>
      <c r="H2018" s="42">
        <v>211</v>
      </c>
    </row>
    <row r="2019" spans="1:8" ht="15" customHeight="1">
      <c r="A2019" s="26">
        <v>9513515</v>
      </c>
      <c r="B2019" s="30" t="s">
        <v>4257</v>
      </c>
      <c r="C2019" s="29" t="s">
        <v>19046</v>
      </c>
      <c r="D2019" s="29" t="s">
        <v>32214</v>
      </c>
      <c r="E2019" s="29" t="s">
        <v>45576</v>
      </c>
      <c r="F2019" s="36" t="s">
        <v>54401</v>
      </c>
      <c r="G2019" s="39">
        <v>5986</v>
      </c>
      <c r="H2019" s="42">
        <v>211</v>
      </c>
    </row>
    <row r="2020" spans="1:8" ht="15" customHeight="1">
      <c r="A2020" s="26">
        <v>9515720</v>
      </c>
      <c r="B2020" s="30" t="s">
        <v>4258</v>
      </c>
      <c r="C2020" s="29" t="s">
        <v>19047</v>
      </c>
      <c r="D2020" s="29" t="s">
        <v>32215</v>
      </c>
      <c r="E2020" s="29" t="s">
        <v>45577</v>
      </c>
      <c r="F2020" s="36" t="s">
        <v>54401</v>
      </c>
      <c r="G2020" s="39">
        <v>7886044.0899999999</v>
      </c>
      <c r="H2020" s="42">
        <v>211</v>
      </c>
    </row>
    <row r="2021" spans="1:8" ht="15" customHeight="1">
      <c r="A2021" s="26">
        <v>9515951</v>
      </c>
      <c r="B2021" s="30" t="s">
        <v>4259</v>
      </c>
      <c r="C2021" s="29" t="s">
        <v>19048</v>
      </c>
      <c r="D2021" s="29" t="s">
        <v>32216</v>
      </c>
      <c r="E2021" s="29" t="s">
        <v>45578</v>
      </c>
      <c r="F2021" s="36" t="s">
        <v>54401</v>
      </c>
      <c r="G2021" s="39">
        <v>13872.6</v>
      </c>
      <c r="H2021" s="42">
        <v>211</v>
      </c>
    </row>
    <row r="2022" spans="1:8" ht="15" customHeight="1">
      <c r="A2022" s="26">
        <v>9516357</v>
      </c>
      <c r="B2022" s="30" t="s">
        <v>4260</v>
      </c>
      <c r="C2022" s="29" t="s">
        <v>19049</v>
      </c>
      <c r="D2022" s="29" t="s">
        <v>32217</v>
      </c>
      <c r="E2022" s="29" t="s">
        <v>45579</v>
      </c>
      <c r="F2022" s="36" t="s">
        <v>54401</v>
      </c>
      <c r="G2022" s="39">
        <v>79768.509999999995</v>
      </c>
      <c r="H2022" s="42">
        <v>211</v>
      </c>
    </row>
    <row r="2023" spans="1:8" ht="15" customHeight="1">
      <c r="A2023" s="26">
        <v>9516491</v>
      </c>
      <c r="B2023" s="30" t="s">
        <v>4261</v>
      </c>
      <c r="C2023" s="29" t="s">
        <v>19050</v>
      </c>
      <c r="D2023" s="29" t="s">
        <v>32218</v>
      </c>
      <c r="E2023" s="29" t="s">
        <v>45580</v>
      </c>
      <c r="F2023" s="36" t="s">
        <v>54401</v>
      </c>
      <c r="G2023" s="39">
        <v>146622.19</v>
      </c>
      <c r="H2023" s="42">
        <v>211</v>
      </c>
    </row>
    <row r="2024" spans="1:8" ht="15" customHeight="1">
      <c r="A2024" s="26">
        <v>9516901</v>
      </c>
      <c r="B2024" s="30" t="s">
        <v>4262</v>
      </c>
      <c r="C2024" s="29" t="s">
        <v>17204</v>
      </c>
      <c r="D2024" s="29" t="s">
        <v>32219</v>
      </c>
      <c r="E2024" s="29" t="s">
        <v>43926</v>
      </c>
      <c r="F2024" s="36" t="s">
        <v>54401</v>
      </c>
      <c r="G2024" s="39">
        <v>58956.36</v>
      </c>
      <c r="H2024" s="42">
        <v>211</v>
      </c>
    </row>
    <row r="2025" spans="1:8" ht="15" customHeight="1">
      <c r="A2025" s="26">
        <v>9517326</v>
      </c>
      <c r="B2025" s="30" t="s">
        <v>4263</v>
      </c>
      <c r="C2025" s="29" t="s">
        <v>19051</v>
      </c>
      <c r="D2025" s="29" t="s">
        <v>32220</v>
      </c>
      <c r="E2025" s="29" t="s">
        <v>45581</v>
      </c>
      <c r="F2025" s="36" t="s">
        <v>54401</v>
      </c>
      <c r="G2025" s="39">
        <f>7601815.64+345716-807925</f>
        <v>7139606.6399999997</v>
      </c>
      <c r="H2025" s="42">
        <v>211</v>
      </c>
    </row>
    <row r="2026" spans="1:8" ht="15" customHeight="1">
      <c r="A2026" s="26">
        <v>9518050</v>
      </c>
      <c r="B2026" s="30" t="s">
        <v>4264</v>
      </c>
      <c r="C2026" s="29" t="s">
        <v>19052</v>
      </c>
      <c r="D2026" s="29" t="s">
        <v>32221</v>
      </c>
      <c r="E2026" s="29" t="s">
        <v>45582</v>
      </c>
      <c r="F2026" s="36" t="s">
        <v>54402</v>
      </c>
      <c r="G2026" s="39">
        <v>3643083.81</v>
      </c>
      <c r="H2026" s="42">
        <v>211</v>
      </c>
    </row>
    <row r="2027" spans="1:8" ht="15" customHeight="1">
      <c r="A2027" s="26">
        <v>9518090</v>
      </c>
      <c r="B2027" s="30" t="s">
        <v>4265</v>
      </c>
      <c r="C2027" s="29" t="s">
        <v>19053</v>
      </c>
      <c r="D2027" s="29" t="s">
        <v>32222</v>
      </c>
      <c r="E2027" s="29" t="s">
        <v>45583</v>
      </c>
      <c r="F2027" s="36" t="s">
        <v>54423</v>
      </c>
      <c r="G2027" s="39">
        <v>1154675.3999999999</v>
      </c>
      <c r="H2027" s="42">
        <v>211</v>
      </c>
    </row>
    <row r="2028" spans="1:8" ht="15" customHeight="1">
      <c r="A2028" s="26">
        <v>9518366</v>
      </c>
      <c r="B2028" s="30" t="s">
        <v>4266</v>
      </c>
      <c r="C2028" s="29" t="s">
        <v>19054</v>
      </c>
      <c r="D2028" s="29" t="s">
        <v>32223</v>
      </c>
      <c r="E2028" s="29" t="s">
        <v>733</v>
      </c>
      <c r="F2028" s="36" t="s">
        <v>54440</v>
      </c>
      <c r="G2028" s="39">
        <v>728358.11</v>
      </c>
      <c r="H2028" s="42">
        <v>211</v>
      </c>
    </row>
    <row r="2029" spans="1:8" ht="15" customHeight="1">
      <c r="A2029" s="26">
        <v>9518432</v>
      </c>
      <c r="B2029" s="30" t="s">
        <v>4267</v>
      </c>
      <c r="C2029" s="29" t="s">
        <v>19055</v>
      </c>
      <c r="D2029" s="29" t="s">
        <v>32224</v>
      </c>
      <c r="E2029" s="29" t="s">
        <v>45584</v>
      </c>
      <c r="F2029" s="36" t="s">
        <v>54401</v>
      </c>
      <c r="G2029" s="39">
        <v>592078.72</v>
      </c>
      <c r="H2029" s="42">
        <v>211</v>
      </c>
    </row>
    <row r="2030" spans="1:8" ht="15" customHeight="1">
      <c r="A2030" s="26">
        <v>9520102</v>
      </c>
      <c r="B2030" s="30" t="s">
        <v>4268</v>
      </c>
      <c r="C2030" s="29" t="s">
        <v>19056</v>
      </c>
      <c r="D2030" s="29" t="s">
        <v>32225</v>
      </c>
      <c r="E2030" s="29" t="s">
        <v>45585</v>
      </c>
      <c r="F2030" s="36" t="s">
        <v>54401</v>
      </c>
      <c r="G2030" s="39">
        <f>140484.28+1802861+1385711</f>
        <v>3329056.2800000003</v>
      </c>
      <c r="H2030" s="42">
        <v>211</v>
      </c>
    </row>
    <row r="2031" spans="1:8" ht="15" customHeight="1">
      <c r="A2031" s="26">
        <v>9520193</v>
      </c>
      <c r="B2031" s="30" t="s">
        <v>4269</v>
      </c>
      <c r="C2031" s="29" t="s">
        <v>19057</v>
      </c>
      <c r="D2031" s="29" t="s">
        <v>32226</v>
      </c>
      <c r="E2031" s="29" t="s">
        <v>44355</v>
      </c>
      <c r="F2031" s="36" t="s">
        <v>54401</v>
      </c>
      <c r="G2031" s="39">
        <f>565124.46+25479</f>
        <v>590603.46</v>
      </c>
      <c r="H2031" s="42">
        <v>211</v>
      </c>
    </row>
    <row r="2032" spans="1:8" ht="15" customHeight="1">
      <c r="A2032" s="26">
        <v>9520199</v>
      </c>
      <c r="B2032" s="30" t="s">
        <v>4270</v>
      </c>
      <c r="C2032" s="29" t="s">
        <v>19058</v>
      </c>
      <c r="D2032" s="29" t="s">
        <v>32227</v>
      </c>
      <c r="E2032" s="29" t="s">
        <v>43943</v>
      </c>
      <c r="F2032" s="36" t="s">
        <v>54401</v>
      </c>
      <c r="G2032" s="39">
        <v>259321.75</v>
      </c>
      <c r="H2032" s="42">
        <v>211</v>
      </c>
    </row>
    <row r="2033" spans="1:8" ht="15" customHeight="1">
      <c r="A2033" s="26">
        <v>9520242</v>
      </c>
      <c r="B2033" s="30" t="s">
        <v>4271</v>
      </c>
      <c r="C2033" s="29" t="s">
        <v>19059</v>
      </c>
      <c r="D2033" s="29" t="s">
        <v>32228</v>
      </c>
      <c r="E2033" s="29" t="s">
        <v>45586</v>
      </c>
      <c r="F2033" s="36" t="s">
        <v>54406</v>
      </c>
      <c r="G2033" s="39">
        <v>96864.73</v>
      </c>
      <c r="H2033" s="42">
        <v>211</v>
      </c>
    </row>
    <row r="2034" spans="1:8" ht="15" customHeight="1">
      <c r="A2034" s="26">
        <v>9520344</v>
      </c>
      <c r="B2034" s="30" t="s">
        <v>4272</v>
      </c>
      <c r="C2034" s="29" t="s">
        <v>19060</v>
      </c>
      <c r="D2034" s="29" t="s">
        <v>32229</v>
      </c>
      <c r="E2034" s="29" t="s">
        <v>45587</v>
      </c>
      <c r="F2034" s="36" t="s">
        <v>54401</v>
      </c>
      <c r="G2034" s="39">
        <v>237531.56</v>
      </c>
      <c r="H2034" s="42">
        <v>211</v>
      </c>
    </row>
    <row r="2035" spans="1:8" ht="15" customHeight="1">
      <c r="A2035" s="26">
        <v>9520596</v>
      </c>
      <c r="B2035" s="30" t="s">
        <v>4273</v>
      </c>
      <c r="C2035" s="26" t="s">
        <v>19061</v>
      </c>
      <c r="D2035" s="26" t="s">
        <v>32230</v>
      </c>
      <c r="E2035" s="26" t="s">
        <v>43926</v>
      </c>
      <c r="F2035" s="37" t="s">
        <v>54401</v>
      </c>
      <c r="G2035" s="39">
        <v>844437.36</v>
      </c>
      <c r="H2035" s="42">
        <v>211</v>
      </c>
    </row>
    <row r="2036" spans="1:8" ht="15" customHeight="1">
      <c r="A2036" s="26">
        <v>9521318</v>
      </c>
      <c r="B2036" s="30" t="s">
        <v>4274</v>
      </c>
      <c r="C2036" s="29" t="s">
        <v>19062</v>
      </c>
      <c r="D2036" s="29" t="s">
        <v>32231</v>
      </c>
      <c r="E2036" s="29" t="s">
        <v>45588</v>
      </c>
      <c r="F2036" s="36" t="s">
        <v>54407</v>
      </c>
      <c r="G2036" s="39">
        <v>3421355.11</v>
      </c>
      <c r="H2036" s="42">
        <v>211</v>
      </c>
    </row>
    <row r="2037" spans="1:8" ht="15" customHeight="1">
      <c r="A2037" s="26">
        <v>9521495</v>
      </c>
      <c r="B2037" s="30" t="s">
        <v>4275</v>
      </c>
      <c r="C2037" s="29" t="s">
        <v>19063</v>
      </c>
      <c r="D2037" s="29" t="s">
        <v>32232</v>
      </c>
      <c r="E2037" s="29" t="s">
        <v>45589</v>
      </c>
      <c r="F2037" s="36" t="s">
        <v>54401</v>
      </c>
      <c r="G2037" s="39">
        <v>33752.379999999997</v>
      </c>
      <c r="H2037" s="42">
        <v>211</v>
      </c>
    </row>
    <row r="2038" spans="1:8" ht="15" customHeight="1">
      <c r="A2038" s="26">
        <v>9522442</v>
      </c>
      <c r="B2038" s="30" t="s">
        <v>4276</v>
      </c>
      <c r="C2038" s="29" t="s">
        <v>19064</v>
      </c>
      <c r="D2038" s="29" t="s">
        <v>32233</v>
      </c>
      <c r="E2038" s="29" t="s">
        <v>45590</v>
      </c>
      <c r="F2038" s="36" t="s">
        <v>54401</v>
      </c>
      <c r="G2038" s="39">
        <v>2165627.7200000002</v>
      </c>
      <c r="H2038" s="42">
        <v>211</v>
      </c>
    </row>
    <row r="2039" spans="1:8" ht="15" customHeight="1">
      <c r="A2039" s="26">
        <v>9522496</v>
      </c>
      <c r="B2039" s="30" t="s">
        <v>4277</v>
      </c>
      <c r="C2039" s="29" t="s">
        <v>19065</v>
      </c>
      <c r="D2039" s="29" t="s">
        <v>32234</v>
      </c>
      <c r="E2039" s="29" t="s">
        <v>45591</v>
      </c>
      <c r="F2039" s="36" t="s">
        <v>54401</v>
      </c>
      <c r="G2039" s="39">
        <v>904513.51</v>
      </c>
      <c r="H2039" s="42">
        <v>211</v>
      </c>
    </row>
    <row r="2040" spans="1:8" ht="15" customHeight="1">
      <c r="A2040" s="26">
        <v>9522554</v>
      </c>
      <c r="B2040" s="30" t="s">
        <v>4278</v>
      </c>
      <c r="C2040" s="29" t="s">
        <v>19066</v>
      </c>
      <c r="D2040" s="29" t="s">
        <v>32235</v>
      </c>
      <c r="E2040" s="29" t="s">
        <v>45592</v>
      </c>
      <c r="F2040" s="36" t="s">
        <v>54401</v>
      </c>
      <c r="G2040" s="39">
        <f>1354011.38+20975</f>
        <v>1374986.38</v>
      </c>
      <c r="H2040" s="42">
        <v>211</v>
      </c>
    </row>
    <row r="2041" spans="1:8" ht="15" customHeight="1">
      <c r="A2041" s="26">
        <v>9522667</v>
      </c>
      <c r="B2041" s="30" t="s">
        <v>4279</v>
      </c>
      <c r="C2041" s="29" t="s">
        <v>17204</v>
      </c>
      <c r="D2041" s="29" t="s">
        <v>30349</v>
      </c>
      <c r="E2041" s="29" t="s">
        <v>43926</v>
      </c>
      <c r="F2041" s="36" t="s">
        <v>54401</v>
      </c>
      <c r="G2041" s="39">
        <v>422245.05</v>
      </c>
      <c r="H2041" s="42">
        <v>211</v>
      </c>
    </row>
    <row r="2042" spans="1:8" ht="15" customHeight="1">
      <c r="A2042" s="26">
        <v>9522968</v>
      </c>
      <c r="B2042" s="30" t="s">
        <v>4280</v>
      </c>
      <c r="C2042" s="29" t="s">
        <v>19067</v>
      </c>
      <c r="D2042" s="29" t="s">
        <v>32236</v>
      </c>
      <c r="E2042" s="29" t="s">
        <v>43926</v>
      </c>
      <c r="F2042" s="36" t="s">
        <v>54401</v>
      </c>
      <c r="G2042" s="39">
        <v>46627.73</v>
      </c>
      <c r="H2042" s="42">
        <v>211</v>
      </c>
    </row>
    <row r="2043" spans="1:8" ht="15" customHeight="1">
      <c r="A2043" s="26">
        <v>9523114</v>
      </c>
      <c r="B2043" s="30" t="s">
        <v>4281</v>
      </c>
      <c r="C2043" s="29" t="s">
        <v>19068</v>
      </c>
      <c r="D2043" s="29" t="s">
        <v>32237</v>
      </c>
      <c r="E2043" s="29" t="s">
        <v>45593</v>
      </c>
      <c r="F2043" s="36" t="s">
        <v>54401</v>
      </c>
      <c r="G2043" s="39">
        <f>668362.99+1355416</f>
        <v>2023778.99</v>
      </c>
      <c r="H2043" s="42">
        <v>211</v>
      </c>
    </row>
    <row r="2044" spans="1:8" ht="15" customHeight="1">
      <c r="A2044" s="26">
        <v>9523274</v>
      </c>
      <c r="B2044" s="30" t="s">
        <v>4282</v>
      </c>
      <c r="C2044" s="29" t="s">
        <v>19069</v>
      </c>
      <c r="D2044" s="29" t="s">
        <v>32238</v>
      </c>
      <c r="E2044" s="29" t="s">
        <v>45594</v>
      </c>
      <c r="F2044" s="36" t="s">
        <v>54402</v>
      </c>
      <c r="G2044" s="39">
        <v>2453151.7799999998</v>
      </c>
      <c r="H2044" s="42">
        <v>211</v>
      </c>
    </row>
    <row r="2045" spans="1:8" ht="15" customHeight="1">
      <c r="A2045" s="26">
        <v>9523285</v>
      </c>
      <c r="B2045" s="30" t="s">
        <v>4283</v>
      </c>
      <c r="C2045" s="29" t="s">
        <v>19070</v>
      </c>
      <c r="D2045" s="29" t="s">
        <v>32239</v>
      </c>
      <c r="E2045" s="29" t="s">
        <v>45595</v>
      </c>
      <c r="F2045" s="36" t="s">
        <v>54401</v>
      </c>
      <c r="G2045" s="39">
        <v>108054.93</v>
      </c>
      <c r="H2045" s="42">
        <v>211</v>
      </c>
    </row>
    <row r="2046" spans="1:8" ht="15" customHeight="1">
      <c r="A2046" s="26">
        <v>9523669</v>
      </c>
      <c r="B2046" s="30" t="s">
        <v>4284</v>
      </c>
      <c r="C2046" s="29" t="s">
        <v>19071</v>
      </c>
      <c r="D2046" s="29" t="s">
        <v>32240</v>
      </c>
      <c r="E2046" s="29" t="s">
        <v>45596</v>
      </c>
      <c r="F2046" s="36" t="s">
        <v>54401</v>
      </c>
      <c r="G2046" s="39">
        <v>668337.86</v>
      </c>
      <c r="H2046" s="42">
        <v>211</v>
      </c>
    </row>
    <row r="2047" spans="1:8" ht="15" customHeight="1">
      <c r="A2047" s="26">
        <v>9523737</v>
      </c>
      <c r="B2047" s="30" t="s">
        <v>4285</v>
      </c>
      <c r="C2047" s="29" t="s">
        <v>19072</v>
      </c>
      <c r="D2047" s="29" t="s">
        <v>32241</v>
      </c>
      <c r="E2047" s="29" t="s">
        <v>45597</v>
      </c>
      <c r="F2047" s="36" t="s">
        <v>54401</v>
      </c>
      <c r="G2047" s="39">
        <v>714934.99</v>
      </c>
      <c r="H2047" s="42">
        <v>211</v>
      </c>
    </row>
    <row r="2048" spans="1:8" ht="15" customHeight="1">
      <c r="A2048" s="26">
        <v>9523897</v>
      </c>
      <c r="B2048" s="30" t="s">
        <v>4286</v>
      </c>
      <c r="C2048" s="29" t="s">
        <v>19073</v>
      </c>
      <c r="D2048" s="29" t="s">
        <v>32242</v>
      </c>
      <c r="E2048" s="29" t="s">
        <v>44084</v>
      </c>
      <c r="F2048" s="36" t="s">
        <v>54401</v>
      </c>
      <c r="G2048" s="39">
        <v>566693.9</v>
      </c>
      <c r="H2048" s="42">
        <v>211</v>
      </c>
    </row>
    <row r="2049" spans="1:8" ht="15" customHeight="1">
      <c r="A2049" s="26">
        <v>9524087</v>
      </c>
      <c r="B2049" s="30" t="s">
        <v>4287</v>
      </c>
      <c r="C2049" s="29" t="s">
        <v>19074</v>
      </c>
      <c r="D2049" s="29" t="s">
        <v>32243</v>
      </c>
      <c r="E2049" s="29" t="s">
        <v>45598</v>
      </c>
      <c r="F2049" s="36" t="s">
        <v>54401</v>
      </c>
      <c r="G2049" s="39">
        <v>181506.17</v>
      </c>
      <c r="H2049" s="42">
        <v>211</v>
      </c>
    </row>
    <row r="2050" spans="1:8" ht="15" customHeight="1">
      <c r="A2050" s="26">
        <v>9524267</v>
      </c>
      <c r="B2050" s="30" t="s">
        <v>4288</v>
      </c>
      <c r="C2050" s="29" t="s">
        <v>19075</v>
      </c>
      <c r="D2050" s="29" t="s">
        <v>32244</v>
      </c>
      <c r="E2050" s="29" t="s">
        <v>45599</v>
      </c>
      <c r="F2050" s="36" t="s">
        <v>54401</v>
      </c>
      <c r="G2050" s="39">
        <f>2517460.66+1125294</f>
        <v>3642754.66</v>
      </c>
      <c r="H2050" s="42">
        <v>211</v>
      </c>
    </row>
    <row r="2051" spans="1:8" ht="15" customHeight="1">
      <c r="A2051" s="26">
        <v>9524320</v>
      </c>
      <c r="B2051" s="30" t="s">
        <v>4289</v>
      </c>
      <c r="C2051" s="29" t="s">
        <v>19076</v>
      </c>
      <c r="D2051" s="29" t="s">
        <v>32245</v>
      </c>
      <c r="E2051" s="29" t="s">
        <v>45600</v>
      </c>
      <c r="F2051" s="36" t="s">
        <v>54402</v>
      </c>
      <c r="G2051" s="39">
        <f>6508375.96-5773</f>
        <v>6502602.96</v>
      </c>
      <c r="H2051" s="42">
        <v>211</v>
      </c>
    </row>
    <row r="2052" spans="1:8" ht="15" customHeight="1">
      <c r="A2052" s="26">
        <v>9524417</v>
      </c>
      <c r="B2052" s="30" t="s">
        <v>4290</v>
      </c>
      <c r="C2052" s="29" t="s">
        <v>19077</v>
      </c>
      <c r="D2052" s="29" t="s">
        <v>32246</v>
      </c>
      <c r="E2052" s="29" t="s">
        <v>45601</v>
      </c>
      <c r="F2052" s="36" t="s">
        <v>54401</v>
      </c>
      <c r="G2052" s="39">
        <v>184966.47</v>
      </c>
      <c r="H2052" s="42">
        <v>211</v>
      </c>
    </row>
    <row r="2053" spans="1:8" ht="15" customHeight="1">
      <c r="A2053" s="26">
        <v>9524466</v>
      </c>
      <c r="B2053" s="30" t="s">
        <v>4291</v>
      </c>
      <c r="C2053" s="26" t="s">
        <v>19078</v>
      </c>
      <c r="D2053" s="26" t="s">
        <v>30376</v>
      </c>
      <c r="E2053" s="26" t="s">
        <v>43926</v>
      </c>
      <c r="F2053" s="37" t="s">
        <v>54401</v>
      </c>
      <c r="G2053" s="39">
        <v>117672.66</v>
      </c>
      <c r="H2053" s="42">
        <v>211</v>
      </c>
    </row>
    <row r="2054" spans="1:8" ht="15" customHeight="1">
      <c r="A2054" s="26">
        <v>9524728</v>
      </c>
      <c r="B2054" s="30" t="s">
        <v>4292</v>
      </c>
      <c r="C2054" s="29" t="s">
        <v>19079</v>
      </c>
      <c r="D2054" s="29" t="s">
        <v>32247</v>
      </c>
      <c r="E2054" s="29" t="s">
        <v>45602</v>
      </c>
      <c r="F2054" s="36" t="s">
        <v>54401</v>
      </c>
      <c r="G2054" s="39">
        <v>904101.86</v>
      </c>
      <c r="H2054" s="42">
        <v>211</v>
      </c>
    </row>
    <row r="2055" spans="1:8" ht="15" customHeight="1">
      <c r="A2055" s="26">
        <v>9525316</v>
      </c>
      <c r="B2055" s="30" t="s">
        <v>4293</v>
      </c>
      <c r="C2055" s="29" t="s">
        <v>19080</v>
      </c>
      <c r="D2055" s="29" t="s">
        <v>32248</v>
      </c>
      <c r="E2055" s="29" t="s">
        <v>45603</v>
      </c>
      <c r="F2055" s="36" t="s">
        <v>54401</v>
      </c>
      <c r="G2055" s="39">
        <v>366665.25</v>
      </c>
      <c r="H2055" s="42">
        <v>211</v>
      </c>
    </row>
    <row r="2056" spans="1:8" ht="15" customHeight="1">
      <c r="A2056" s="26">
        <v>9525380</v>
      </c>
      <c r="B2056" s="30" t="s">
        <v>4294</v>
      </c>
      <c r="C2056" s="29" t="s">
        <v>19081</v>
      </c>
      <c r="D2056" s="29" t="s">
        <v>32249</v>
      </c>
      <c r="E2056" s="29" t="s">
        <v>45604</v>
      </c>
      <c r="F2056" s="36" t="s">
        <v>54402</v>
      </c>
      <c r="G2056" s="39">
        <f>10395892.01-37260</f>
        <v>10358632.01</v>
      </c>
      <c r="H2056" s="42">
        <v>211</v>
      </c>
    </row>
    <row r="2057" spans="1:8" ht="15" customHeight="1">
      <c r="A2057" s="26">
        <v>9525433</v>
      </c>
      <c r="B2057" s="30" t="s">
        <v>4295</v>
      </c>
      <c r="C2057" s="29" t="s">
        <v>19082</v>
      </c>
      <c r="D2057" s="29" t="s">
        <v>32250</v>
      </c>
      <c r="E2057" s="29" t="s">
        <v>45605</v>
      </c>
      <c r="F2057" s="36" t="s">
        <v>54402</v>
      </c>
      <c r="G2057" s="39">
        <v>590639.84</v>
      </c>
      <c r="H2057" s="42">
        <v>211</v>
      </c>
    </row>
    <row r="2058" spans="1:8" ht="15" customHeight="1">
      <c r="A2058" s="26">
        <v>9525499</v>
      </c>
      <c r="B2058" s="30" t="s">
        <v>4296</v>
      </c>
      <c r="C2058" s="29" t="s">
        <v>19083</v>
      </c>
      <c r="D2058" s="29" t="s">
        <v>32251</v>
      </c>
      <c r="E2058" s="29" t="s">
        <v>45606</v>
      </c>
      <c r="F2058" s="36" t="s">
        <v>54401</v>
      </c>
      <c r="G2058" s="39">
        <v>1027627.97</v>
      </c>
      <c r="H2058" s="42">
        <v>211</v>
      </c>
    </row>
    <row r="2059" spans="1:8" ht="15" customHeight="1">
      <c r="A2059" s="26">
        <v>9525629</v>
      </c>
      <c r="B2059" s="30" t="s">
        <v>4297</v>
      </c>
      <c r="C2059" s="29" t="s">
        <v>19084</v>
      </c>
      <c r="D2059" s="29" t="s">
        <v>32252</v>
      </c>
      <c r="E2059" s="29" t="s">
        <v>45607</v>
      </c>
      <c r="F2059" s="36" t="s">
        <v>54401</v>
      </c>
      <c r="G2059" s="39">
        <v>4449518.63</v>
      </c>
      <c r="H2059" s="42">
        <v>211</v>
      </c>
    </row>
    <row r="2060" spans="1:8" ht="15" customHeight="1">
      <c r="A2060" s="26">
        <v>9525642</v>
      </c>
      <c r="B2060" s="30" t="s">
        <v>4298</v>
      </c>
      <c r="C2060" s="29" t="s">
        <v>19085</v>
      </c>
      <c r="D2060" s="29" t="s">
        <v>32253</v>
      </c>
      <c r="E2060" s="29" t="s">
        <v>45608</v>
      </c>
      <c r="F2060" s="36" t="s">
        <v>54401</v>
      </c>
      <c r="G2060" s="39">
        <v>229041.69</v>
      </c>
      <c r="H2060" s="42">
        <v>211</v>
      </c>
    </row>
    <row r="2061" spans="1:8" ht="15" customHeight="1">
      <c r="A2061" s="26">
        <v>9525684</v>
      </c>
      <c r="B2061" s="30" t="s">
        <v>4299</v>
      </c>
      <c r="C2061" s="29" t="s">
        <v>19086</v>
      </c>
      <c r="D2061" s="29" t="s">
        <v>32254</v>
      </c>
      <c r="E2061" s="29" t="s">
        <v>43926</v>
      </c>
      <c r="F2061" s="36" t="s">
        <v>54401</v>
      </c>
      <c r="G2061" s="39">
        <v>6432</v>
      </c>
      <c r="H2061" s="42">
        <v>211</v>
      </c>
    </row>
    <row r="2062" spans="1:8" ht="15" customHeight="1">
      <c r="A2062" s="26">
        <v>9526091</v>
      </c>
      <c r="B2062" s="30" t="s">
        <v>4300</v>
      </c>
      <c r="C2062" s="29" t="s">
        <v>19087</v>
      </c>
      <c r="D2062" s="29" t="s">
        <v>32255</v>
      </c>
      <c r="E2062" s="29" t="s">
        <v>45609</v>
      </c>
      <c r="F2062" s="36" t="s">
        <v>54401</v>
      </c>
      <c r="G2062" s="39">
        <v>5032785.17</v>
      </c>
      <c r="H2062" s="42">
        <v>211</v>
      </c>
    </row>
    <row r="2063" spans="1:8" ht="15" customHeight="1">
      <c r="A2063" s="26">
        <v>9526132</v>
      </c>
      <c r="B2063" s="30" t="s">
        <v>4301</v>
      </c>
      <c r="C2063" s="29" t="s">
        <v>17204</v>
      </c>
      <c r="D2063" s="29" t="s">
        <v>30376</v>
      </c>
      <c r="E2063" s="29" t="s">
        <v>43926</v>
      </c>
      <c r="F2063" s="36" t="s">
        <v>54401</v>
      </c>
      <c r="G2063" s="39">
        <v>504272.87</v>
      </c>
      <c r="H2063" s="42">
        <v>211</v>
      </c>
    </row>
    <row r="2064" spans="1:8" ht="15" customHeight="1">
      <c r="A2064" s="26">
        <v>9526261</v>
      </c>
      <c r="B2064" s="30" t="s">
        <v>4302</v>
      </c>
      <c r="C2064" s="29" t="s">
        <v>19088</v>
      </c>
      <c r="D2064" s="29" t="s">
        <v>32256</v>
      </c>
      <c r="E2064" s="29" t="s">
        <v>45610</v>
      </c>
      <c r="F2064" s="36" t="s">
        <v>54402</v>
      </c>
      <c r="G2064" s="39">
        <f>9746185.3-26924</f>
        <v>9719261.3000000007</v>
      </c>
      <c r="H2064" s="42">
        <v>211</v>
      </c>
    </row>
    <row r="2065" spans="1:8" ht="15" customHeight="1">
      <c r="A2065" s="26">
        <v>9526688</v>
      </c>
      <c r="B2065" s="30" t="s">
        <v>4303</v>
      </c>
      <c r="C2065" s="26" t="s">
        <v>19089</v>
      </c>
      <c r="D2065" s="26" t="s">
        <v>32257</v>
      </c>
      <c r="E2065" s="26" t="s">
        <v>43926</v>
      </c>
      <c r="F2065" s="37" t="s">
        <v>54401</v>
      </c>
      <c r="G2065" s="39">
        <f>106724.57+578252</f>
        <v>684976.57000000007</v>
      </c>
      <c r="H2065" s="42">
        <v>211</v>
      </c>
    </row>
    <row r="2066" spans="1:8" ht="15" customHeight="1">
      <c r="A2066" s="26">
        <v>9526766</v>
      </c>
      <c r="B2066" s="30" t="s">
        <v>4304</v>
      </c>
      <c r="C2066" s="29" t="s">
        <v>19090</v>
      </c>
      <c r="D2066" s="29" t="s">
        <v>32258</v>
      </c>
      <c r="E2066" s="29" t="s">
        <v>45611</v>
      </c>
      <c r="F2066" s="36" t="s">
        <v>54440</v>
      </c>
      <c r="G2066" s="39">
        <v>2611076.87</v>
      </c>
      <c r="H2066" s="42">
        <v>211</v>
      </c>
    </row>
    <row r="2067" spans="1:8" ht="15" customHeight="1">
      <c r="A2067" s="26">
        <v>9526810</v>
      </c>
      <c r="B2067" s="30" t="s">
        <v>4305</v>
      </c>
      <c r="C2067" s="29" t="s">
        <v>19091</v>
      </c>
      <c r="D2067" s="29" t="s">
        <v>32259</v>
      </c>
      <c r="E2067" s="29" t="s">
        <v>45612</v>
      </c>
      <c r="F2067" s="36" t="s">
        <v>54402</v>
      </c>
      <c r="G2067" s="39">
        <v>724945.7</v>
      </c>
      <c r="H2067" s="42">
        <v>211</v>
      </c>
    </row>
    <row r="2068" spans="1:8" ht="15" customHeight="1">
      <c r="A2068" s="26">
        <v>9526989</v>
      </c>
      <c r="B2068" s="30" t="s">
        <v>4306</v>
      </c>
      <c r="C2068" s="29" t="s">
        <v>17204</v>
      </c>
      <c r="D2068" s="29" t="s">
        <v>32260</v>
      </c>
      <c r="E2068" s="29" t="s">
        <v>43926</v>
      </c>
      <c r="F2068" s="36" t="s">
        <v>54401</v>
      </c>
      <c r="G2068" s="39">
        <v>17917.560000000001</v>
      </c>
      <c r="H2068" s="42">
        <v>211</v>
      </c>
    </row>
    <row r="2069" spans="1:8" ht="15" customHeight="1">
      <c r="A2069" s="26">
        <v>9527022</v>
      </c>
      <c r="B2069" s="30" t="s">
        <v>4307</v>
      </c>
      <c r="C2069" s="29" t="s">
        <v>19092</v>
      </c>
      <c r="D2069" s="29" t="s">
        <v>32261</v>
      </c>
      <c r="E2069" s="29" t="s">
        <v>45613</v>
      </c>
      <c r="F2069" s="36" t="s">
        <v>54401</v>
      </c>
      <c r="G2069" s="39">
        <f>3105046.62+140141</f>
        <v>3245187.62</v>
      </c>
      <c r="H2069" s="42">
        <v>211</v>
      </c>
    </row>
    <row r="2070" spans="1:8" ht="15" customHeight="1">
      <c r="A2070" s="26">
        <v>9527200</v>
      </c>
      <c r="B2070" s="30" t="s">
        <v>4308</v>
      </c>
      <c r="C2070" s="26" t="s">
        <v>19093</v>
      </c>
      <c r="D2070" s="26" t="s">
        <v>32262</v>
      </c>
      <c r="E2070" s="26" t="s">
        <v>45614</v>
      </c>
      <c r="F2070" s="37" t="s">
        <v>54401</v>
      </c>
      <c r="G2070" s="39">
        <v>247734.64</v>
      </c>
      <c r="H2070" s="42">
        <v>211</v>
      </c>
    </row>
    <row r="2071" spans="1:8" ht="15" customHeight="1">
      <c r="A2071" s="26">
        <v>9527213</v>
      </c>
      <c r="B2071" s="30" t="s">
        <v>4309</v>
      </c>
      <c r="C2071" s="29" t="s">
        <v>19094</v>
      </c>
      <c r="D2071" s="29" t="s">
        <v>32263</v>
      </c>
      <c r="E2071" s="29" t="s">
        <v>45615</v>
      </c>
      <c r="F2071" s="36" t="s">
        <v>54401</v>
      </c>
      <c r="G2071" s="39">
        <v>459813.78</v>
      </c>
      <c r="H2071" s="42">
        <v>211</v>
      </c>
    </row>
    <row r="2072" spans="1:8" ht="15" customHeight="1">
      <c r="A2072" s="26">
        <v>9527366</v>
      </c>
      <c r="B2072" s="30" t="s">
        <v>4310</v>
      </c>
      <c r="C2072" s="29" t="s">
        <v>19095</v>
      </c>
      <c r="D2072" s="29" t="s">
        <v>32264</v>
      </c>
      <c r="E2072" s="29" t="s">
        <v>45616</v>
      </c>
      <c r="F2072" s="36" t="s">
        <v>54402</v>
      </c>
      <c r="G2072" s="39">
        <v>7397883.0300000003</v>
      </c>
      <c r="H2072" s="42">
        <v>211</v>
      </c>
    </row>
    <row r="2073" spans="1:8" ht="15" customHeight="1">
      <c r="A2073" s="26">
        <v>9527390</v>
      </c>
      <c r="B2073" s="30" t="s">
        <v>4311</v>
      </c>
      <c r="C2073" s="29" t="s">
        <v>19096</v>
      </c>
      <c r="D2073" s="29" t="s">
        <v>32265</v>
      </c>
      <c r="E2073" s="29" t="s">
        <v>45617</v>
      </c>
      <c r="F2073" s="36" t="s">
        <v>54402</v>
      </c>
      <c r="G2073" s="39">
        <v>539666.67000000004</v>
      </c>
      <c r="H2073" s="42">
        <v>211</v>
      </c>
    </row>
    <row r="2074" spans="1:8" ht="15" customHeight="1">
      <c r="A2074" s="26">
        <v>9527406</v>
      </c>
      <c r="B2074" s="30" t="s">
        <v>4312</v>
      </c>
      <c r="C2074" s="29" t="s">
        <v>19097</v>
      </c>
      <c r="D2074" s="29" t="s">
        <v>32266</v>
      </c>
      <c r="E2074" s="29" t="s">
        <v>45618</v>
      </c>
      <c r="F2074" s="36" t="s">
        <v>54401</v>
      </c>
      <c r="G2074" s="39">
        <f>1267189.5+539540</f>
        <v>1806729.5</v>
      </c>
      <c r="H2074" s="42">
        <v>211</v>
      </c>
    </row>
    <row r="2075" spans="1:8" ht="15" customHeight="1">
      <c r="A2075" s="26">
        <v>9527897</v>
      </c>
      <c r="B2075" s="30" t="s">
        <v>4313</v>
      </c>
      <c r="C2075" s="29" t="s">
        <v>19098</v>
      </c>
      <c r="D2075" s="29" t="s">
        <v>32267</v>
      </c>
      <c r="E2075" s="29" t="s">
        <v>45619</v>
      </c>
      <c r="F2075" s="36" t="s">
        <v>54401</v>
      </c>
      <c r="G2075" s="39">
        <v>27016.81</v>
      </c>
      <c r="H2075" s="42">
        <v>211</v>
      </c>
    </row>
    <row r="2076" spans="1:8" ht="15" customHeight="1">
      <c r="A2076" s="26">
        <v>9527907</v>
      </c>
      <c r="B2076" s="30" t="s">
        <v>4314</v>
      </c>
      <c r="C2076" s="29" t="s">
        <v>19099</v>
      </c>
      <c r="D2076" s="29" t="s">
        <v>32268</v>
      </c>
      <c r="E2076" s="29" t="s">
        <v>45620</v>
      </c>
      <c r="F2076" s="36" t="s">
        <v>54401</v>
      </c>
      <c r="G2076" s="39">
        <f>536991.96+1365534</f>
        <v>1902525.96</v>
      </c>
      <c r="H2076" s="42">
        <v>211</v>
      </c>
    </row>
    <row r="2077" spans="1:8" ht="15" customHeight="1">
      <c r="A2077" s="26">
        <v>9528388</v>
      </c>
      <c r="B2077" s="30" t="s">
        <v>4315</v>
      </c>
      <c r="C2077" s="29" t="s">
        <v>19100</v>
      </c>
      <c r="D2077" s="29" t="s">
        <v>32269</v>
      </c>
      <c r="E2077" s="29" t="s">
        <v>45621</v>
      </c>
      <c r="F2077" s="36" t="s">
        <v>54401</v>
      </c>
      <c r="G2077" s="39">
        <v>5955053.3099999996</v>
      </c>
      <c r="H2077" s="42">
        <v>211</v>
      </c>
    </row>
    <row r="2078" spans="1:8" ht="15" customHeight="1">
      <c r="A2078" s="26">
        <v>9528964</v>
      </c>
      <c r="B2078" s="30" t="s">
        <v>4316</v>
      </c>
      <c r="C2078" s="29" t="s">
        <v>19101</v>
      </c>
      <c r="D2078" s="29" t="s">
        <v>32270</v>
      </c>
      <c r="E2078" s="29" t="s">
        <v>45622</v>
      </c>
      <c r="F2078" s="36" t="s">
        <v>54401</v>
      </c>
      <c r="G2078" s="39">
        <v>3039795.93</v>
      </c>
      <c r="H2078" s="42">
        <v>211</v>
      </c>
    </row>
    <row r="2079" spans="1:8" ht="15" customHeight="1">
      <c r="A2079" s="26">
        <v>9529065</v>
      </c>
      <c r="B2079" s="30" t="s">
        <v>4317</v>
      </c>
      <c r="C2079" s="29" t="s">
        <v>19102</v>
      </c>
      <c r="D2079" s="29" t="s">
        <v>32271</v>
      </c>
      <c r="E2079" s="29" t="s">
        <v>45623</v>
      </c>
      <c r="F2079" s="36" t="s">
        <v>54401</v>
      </c>
      <c r="G2079" s="39">
        <v>166537.23000000001</v>
      </c>
      <c r="H2079" s="42">
        <v>211</v>
      </c>
    </row>
    <row r="2080" spans="1:8" ht="15" customHeight="1">
      <c r="A2080" s="26">
        <v>9529066</v>
      </c>
      <c r="B2080" s="30" t="s">
        <v>4318</v>
      </c>
      <c r="C2080" s="29" t="s">
        <v>19103</v>
      </c>
      <c r="D2080" s="29" t="s">
        <v>32272</v>
      </c>
      <c r="E2080" s="29" t="s">
        <v>45624</v>
      </c>
      <c r="F2080" s="36" t="s">
        <v>54402</v>
      </c>
      <c r="G2080" s="39">
        <f>51233296.16-676889</f>
        <v>50556407.159999996</v>
      </c>
      <c r="H2080" s="42">
        <v>211</v>
      </c>
    </row>
    <row r="2081" spans="1:8" ht="15" customHeight="1">
      <c r="A2081" s="26">
        <v>9529300</v>
      </c>
      <c r="B2081" s="30" t="s">
        <v>4319</v>
      </c>
      <c r="C2081" s="26" t="s">
        <v>19104</v>
      </c>
      <c r="D2081" s="26" t="s">
        <v>32273</v>
      </c>
      <c r="E2081" s="26" t="s">
        <v>45625</v>
      </c>
      <c r="F2081" s="37" t="s">
        <v>54402</v>
      </c>
      <c r="G2081" s="39">
        <v>846450.01</v>
      </c>
      <c r="H2081" s="42">
        <v>211</v>
      </c>
    </row>
    <row r="2082" spans="1:8" ht="15" customHeight="1">
      <c r="A2082" s="26">
        <v>9529706</v>
      </c>
      <c r="B2082" s="29" t="s">
        <v>4320</v>
      </c>
      <c r="C2082" s="29" t="s">
        <v>17204</v>
      </c>
      <c r="D2082" s="29" t="s">
        <v>30349</v>
      </c>
      <c r="E2082" s="29" t="s">
        <v>43926</v>
      </c>
      <c r="F2082" s="36" t="s">
        <v>54401</v>
      </c>
      <c r="G2082" s="39">
        <v>1060778.72</v>
      </c>
      <c r="H2082" s="42">
        <v>211</v>
      </c>
    </row>
    <row r="2083" spans="1:8" ht="15" customHeight="1">
      <c r="A2083" s="26">
        <v>9530130</v>
      </c>
      <c r="B2083" s="29" t="s">
        <v>4321</v>
      </c>
      <c r="C2083" s="29" t="s">
        <v>19105</v>
      </c>
      <c r="D2083" s="29" t="s">
        <v>32221</v>
      </c>
      <c r="E2083" s="29" t="s">
        <v>45626</v>
      </c>
      <c r="F2083" s="36" t="s">
        <v>54402</v>
      </c>
      <c r="G2083" s="39">
        <f>6623468.03-259946</f>
        <v>6363522.0300000003</v>
      </c>
      <c r="H2083" s="42">
        <v>211</v>
      </c>
    </row>
    <row r="2084" spans="1:8" ht="15" customHeight="1">
      <c r="A2084" s="26">
        <v>9530963</v>
      </c>
      <c r="B2084" s="26" t="s">
        <v>4322</v>
      </c>
      <c r="C2084" s="32"/>
      <c r="D2084" s="32"/>
      <c r="E2084" s="26" t="s">
        <v>45627</v>
      </c>
      <c r="F2084" s="26" t="s">
        <v>54402</v>
      </c>
      <c r="G2084" s="41">
        <v>13364962</v>
      </c>
      <c r="H2084" s="26">
        <v>4729</v>
      </c>
    </row>
    <row r="2085" spans="1:8" ht="15" customHeight="1">
      <c r="A2085" s="26">
        <v>9531126</v>
      </c>
      <c r="B2085" s="29" t="s">
        <v>4323</v>
      </c>
      <c r="C2085" s="29" t="s">
        <v>19106</v>
      </c>
      <c r="D2085" s="29" t="s">
        <v>32274</v>
      </c>
      <c r="E2085" s="29" t="s">
        <v>45628</v>
      </c>
      <c r="F2085" s="36" t="s">
        <v>54401</v>
      </c>
      <c r="G2085" s="39">
        <v>1408780.14</v>
      </c>
      <c r="H2085" s="42">
        <v>211</v>
      </c>
    </row>
    <row r="2086" spans="1:8" ht="15" customHeight="1">
      <c r="A2086" s="26">
        <v>9531282</v>
      </c>
      <c r="B2086" s="29" t="s">
        <v>4324</v>
      </c>
      <c r="C2086" s="29" t="s">
        <v>19107</v>
      </c>
      <c r="D2086" s="29" t="s">
        <v>32275</v>
      </c>
      <c r="E2086" s="29" t="s">
        <v>45629</v>
      </c>
      <c r="F2086" s="36" t="s">
        <v>54401</v>
      </c>
      <c r="G2086" s="39">
        <f>1629739.78+68529+39230</f>
        <v>1737498.78</v>
      </c>
      <c r="H2086" s="42">
        <v>211</v>
      </c>
    </row>
    <row r="2087" spans="1:8" ht="15" customHeight="1">
      <c r="A2087" s="26">
        <v>9531283</v>
      </c>
      <c r="B2087" s="29" t="s">
        <v>4325</v>
      </c>
      <c r="C2087" s="29" t="s">
        <v>19108</v>
      </c>
      <c r="D2087" s="29" t="s">
        <v>32276</v>
      </c>
      <c r="E2087" s="29" t="s">
        <v>45630</v>
      </c>
      <c r="F2087" s="36" t="s">
        <v>54401</v>
      </c>
      <c r="G2087" s="39">
        <v>4311653.3600000003</v>
      </c>
      <c r="H2087" s="42">
        <v>211</v>
      </c>
    </row>
    <row r="2088" spans="1:8" ht="15" customHeight="1">
      <c r="A2088" s="26">
        <v>9531561</v>
      </c>
      <c r="B2088" s="29" t="s">
        <v>4326</v>
      </c>
      <c r="C2088" s="29" t="s">
        <v>19109</v>
      </c>
      <c r="D2088" s="29" t="s">
        <v>30387</v>
      </c>
      <c r="E2088" s="29" t="s">
        <v>45631</v>
      </c>
      <c r="F2088" s="36" t="s">
        <v>54401</v>
      </c>
      <c r="G2088" s="39">
        <v>634667.9</v>
      </c>
      <c r="H2088" s="42">
        <v>211</v>
      </c>
    </row>
    <row r="2089" spans="1:8" ht="15" customHeight="1">
      <c r="A2089" s="26">
        <v>9531607</v>
      </c>
      <c r="B2089" s="29" t="s">
        <v>4327</v>
      </c>
      <c r="C2089" s="26" t="s">
        <v>19110</v>
      </c>
      <c r="D2089" s="26" t="s">
        <v>32277</v>
      </c>
      <c r="E2089" s="26" t="s">
        <v>45632</v>
      </c>
      <c r="F2089" s="37" t="s">
        <v>54401</v>
      </c>
      <c r="G2089" s="39">
        <f>904253.06+82735</f>
        <v>986988.06</v>
      </c>
      <c r="H2089" s="42">
        <v>211</v>
      </c>
    </row>
    <row r="2090" spans="1:8" ht="15" customHeight="1">
      <c r="A2090" s="26">
        <v>9531691</v>
      </c>
      <c r="B2090" s="29" t="s">
        <v>4328</v>
      </c>
      <c r="C2090" s="29" t="s">
        <v>19111</v>
      </c>
      <c r="D2090" s="29" t="s">
        <v>32278</v>
      </c>
      <c r="E2090" s="29" t="s">
        <v>45633</v>
      </c>
      <c r="F2090" s="36" t="s">
        <v>54402</v>
      </c>
      <c r="G2090" s="39">
        <v>71142.86</v>
      </c>
      <c r="H2090" s="42">
        <v>211</v>
      </c>
    </row>
    <row r="2091" spans="1:8" ht="15" customHeight="1">
      <c r="A2091" s="26">
        <v>9531850</v>
      </c>
      <c r="B2091" s="29" t="s">
        <v>4329</v>
      </c>
      <c r="C2091" s="29" t="s">
        <v>19112</v>
      </c>
      <c r="D2091" s="29" t="s">
        <v>32279</v>
      </c>
      <c r="E2091" s="29" t="s">
        <v>45634</v>
      </c>
      <c r="F2091" s="36" t="s">
        <v>54401</v>
      </c>
      <c r="G2091" s="39">
        <v>21646.5</v>
      </c>
      <c r="H2091" s="42">
        <v>211</v>
      </c>
    </row>
    <row r="2092" spans="1:8" ht="15" customHeight="1">
      <c r="A2092" s="26">
        <v>9532244</v>
      </c>
      <c r="B2092" s="29" t="s">
        <v>4330</v>
      </c>
      <c r="C2092" s="29" t="s">
        <v>19113</v>
      </c>
      <c r="D2092" s="29" t="s">
        <v>32280</v>
      </c>
      <c r="E2092" s="29" t="s">
        <v>45635</v>
      </c>
      <c r="F2092" s="36" t="s">
        <v>54409</v>
      </c>
      <c r="G2092" s="39">
        <f>9949365.29+550996+986402</f>
        <v>11486763.289999999</v>
      </c>
      <c r="H2092" s="42">
        <v>211</v>
      </c>
    </row>
    <row r="2093" spans="1:8" ht="15" customHeight="1">
      <c r="A2093" s="26">
        <v>9532245</v>
      </c>
      <c r="B2093" s="29" t="s">
        <v>4331</v>
      </c>
      <c r="C2093" s="29" t="s">
        <v>19114</v>
      </c>
      <c r="D2093" s="29" t="s">
        <v>32281</v>
      </c>
      <c r="E2093" s="29" t="s">
        <v>45636</v>
      </c>
      <c r="F2093" s="36" t="s">
        <v>54441</v>
      </c>
      <c r="G2093" s="39">
        <v>1019539.91</v>
      </c>
      <c r="H2093" s="42">
        <v>211</v>
      </c>
    </row>
    <row r="2094" spans="1:8" ht="15" customHeight="1">
      <c r="A2094" s="26">
        <v>9532250</v>
      </c>
      <c r="B2094" s="29" t="s">
        <v>4332</v>
      </c>
      <c r="C2094" s="29" t="s">
        <v>19115</v>
      </c>
      <c r="D2094" s="29" t="s">
        <v>32282</v>
      </c>
      <c r="E2094" s="29" t="s">
        <v>44923</v>
      </c>
      <c r="F2094" s="36" t="s">
        <v>54406</v>
      </c>
      <c r="G2094" s="39">
        <v>2862437.02</v>
      </c>
      <c r="H2094" s="42">
        <v>211</v>
      </c>
    </row>
    <row r="2095" spans="1:8" ht="15" customHeight="1">
      <c r="A2095" s="26">
        <v>9532358</v>
      </c>
      <c r="B2095" s="29" t="s">
        <v>4333</v>
      </c>
      <c r="C2095" s="29" t="s">
        <v>17204</v>
      </c>
      <c r="D2095" s="29" t="s">
        <v>30349</v>
      </c>
      <c r="E2095" s="29" t="s">
        <v>43926</v>
      </c>
      <c r="F2095" s="36" t="s">
        <v>54401</v>
      </c>
      <c r="G2095" s="39">
        <f>621568.68+1873205+904833</f>
        <v>3399606.68</v>
      </c>
      <c r="H2095" s="42">
        <v>211</v>
      </c>
    </row>
    <row r="2096" spans="1:8" ht="15" customHeight="1">
      <c r="A2096" s="26">
        <v>9532846</v>
      </c>
      <c r="B2096" s="29" t="s">
        <v>4334</v>
      </c>
      <c r="C2096" s="29" t="s">
        <v>17204</v>
      </c>
      <c r="D2096" s="29" t="s">
        <v>30349</v>
      </c>
      <c r="E2096" s="29" t="s">
        <v>43926</v>
      </c>
      <c r="F2096" s="36" t="s">
        <v>54401</v>
      </c>
      <c r="G2096" s="39">
        <v>564477.38</v>
      </c>
      <c r="H2096" s="42">
        <v>211</v>
      </c>
    </row>
    <row r="2097" spans="1:8" ht="15" customHeight="1">
      <c r="A2097" s="26">
        <v>9533130</v>
      </c>
      <c r="B2097" s="29" t="s">
        <v>4335</v>
      </c>
      <c r="C2097" s="29" t="s">
        <v>19116</v>
      </c>
      <c r="D2097" s="29" t="s">
        <v>32283</v>
      </c>
      <c r="E2097" s="29" t="s">
        <v>45637</v>
      </c>
      <c r="F2097" s="36" t="s">
        <v>54401</v>
      </c>
      <c r="G2097" s="39">
        <v>3687222.7</v>
      </c>
      <c r="H2097" s="42">
        <v>211</v>
      </c>
    </row>
    <row r="2098" spans="1:8" ht="15" customHeight="1">
      <c r="A2098" s="26">
        <v>9533208</v>
      </c>
      <c r="B2098" s="29" t="s">
        <v>4336</v>
      </c>
      <c r="C2098" s="29" t="s">
        <v>19117</v>
      </c>
      <c r="D2098" s="29" t="s">
        <v>32284</v>
      </c>
      <c r="E2098" s="29" t="s">
        <v>45638</v>
      </c>
      <c r="F2098" s="36" t="s">
        <v>54402</v>
      </c>
      <c r="G2098" s="39">
        <v>211023.52</v>
      </c>
      <c r="H2098" s="42">
        <v>211</v>
      </c>
    </row>
    <row r="2099" spans="1:8" ht="15" customHeight="1">
      <c r="A2099" s="26">
        <v>9533618</v>
      </c>
      <c r="B2099" s="29" t="s">
        <v>4337</v>
      </c>
      <c r="C2099" s="29" t="s">
        <v>19118</v>
      </c>
      <c r="D2099" s="29" t="s">
        <v>32285</v>
      </c>
      <c r="E2099" s="29" t="s">
        <v>45639</v>
      </c>
      <c r="F2099" s="36" t="s">
        <v>54441</v>
      </c>
      <c r="G2099" s="39">
        <f>6536812.99-358806</f>
        <v>6178006.9900000002</v>
      </c>
      <c r="H2099" s="42">
        <v>211</v>
      </c>
    </row>
    <row r="2100" spans="1:8" ht="15" customHeight="1">
      <c r="A2100" s="26">
        <v>9533648</v>
      </c>
      <c r="B2100" s="29" t="s">
        <v>4338</v>
      </c>
      <c r="C2100" s="29" t="s">
        <v>19119</v>
      </c>
      <c r="D2100" s="29" t="s">
        <v>32286</v>
      </c>
      <c r="E2100" s="29" t="s">
        <v>45640</v>
      </c>
      <c r="F2100" s="36" t="s">
        <v>54401</v>
      </c>
      <c r="G2100" s="39">
        <f>762306.79+259977</f>
        <v>1022283.79</v>
      </c>
      <c r="H2100" s="42">
        <v>211</v>
      </c>
    </row>
    <row r="2101" spans="1:8" ht="15" customHeight="1">
      <c r="A2101" s="26">
        <v>9533797</v>
      </c>
      <c r="B2101" s="29" t="s">
        <v>4339</v>
      </c>
      <c r="C2101" s="29" t="s">
        <v>19120</v>
      </c>
      <c r="D2101" s="29" t="s">
        <v>32287</v>
      </c>
      <c r="E2101" s="29" t="s">
        <v>45641</v>
      </c>
      <c r="F2101" s="36" t="s">
        <v>54401</v>
      </c>
      <c r="G2101" s="39">
        <v>20764.7</v>
      </c>
      <c r="H2101" s="42">
        <v>211</v>
      </c>
    </row>
    <row r="2102" spans="1:8" ht="15" customHeight="1">
      <c r="A2102" s="26">
        <v>9533926</v>
      </c>
      <c r="B2102" s="29" t="s">
        <v>4340</v>
      </c>
      <c r="C2102" s="29" t="s">
        <v>19121</v>
      </c>
      <c r="D2102" s="29" t="s">
        <v>32288</v>
      </c>
      <c r="E2102" s="29" t="s">
        <v>45642</v>
      </c>
      <c r="F2102" s="36" t="s">
        <v>54401</v>
      </c>
      <c r="G2102" s="39">
        <v>770367.72</v>
      </c>
      <c r="H2102" s="42">
        <v>211</v>
      </c>
    </row>
    <row r="2103" spans="1:8" ht="15" customHeight="1">
      <c r="A2103" s="26">
        <v>9534233</v>
      </c>
      <c r="B2103" s="29" t="s">
        <v>4341</v>
      </c>
      <c r="C2103" s="29" t="s">
        <v>19122</v>
      </c>
      <c r="D2103" s="29" t="s">
        <v>32289</v>
      </c>
      <c r="E2103" s="29" t="s">
        <v>45643</v>
      </c>
      <c r="F2103" s="36" t="s">
        <v>54406</v>
      </c>
      <c r="G2103" s="39">
        <v>600229.81999999995</v>
      </c>
      <c r="H2103" s="42">
        <v>211</v>
      </c>
    </row>
    <row r="2104" spans="1:8" ht="15" customHeight="1">
      <c r="A2104" s="26">
        <v>9534279</v>
      </c>
      <c r="B2104" s="29" t="s">
        <v>4342</v>
      </c>
      <c r="C2104" s="29" t="s">
        <v>19123</v>
      </c>
      <c r="D2104" s="29" t="s">
        <v>32290</v>
      </c>
      <c r="E2104" s="29" t="s">
        <v>45644</v>
      </c>
      <c r="F2104" s="36" t="s">
        <v>54401</v>
      </c>
      <c r="G2104" s="39">
        <v>400008.5</v>
      </c>
      <c r="H2104" s="42">
        <v>211</v>
      </c>
    </row>
    <row r="2105" spans="1:8" ht="15" customHeight="1">
      <c r="A2105" s="26">
        <v>9534953</v>
      </c>
      <c r="B2105" s="29" t="s">
        <v>4343</v>
      </c>
      <c r="C2105" s="29" t="s">
        <v>19124</v>
      </c>
      <c r="D2105" s="29" t="s">
        <v>32291</v>
      </c>
      <c r="E2105" s="29" t="s">
        <v>45645</v>
      </c>
      <c r="F2105" s="36" t="s">
        <v>54401</v>
      </c>
      <c r="G2105" s="39">
        <f>297019.77+24537</f>
        <v>321556.77</v>
      </c>
      <c r="H2105" s="42">
        <v>211</v>
      </c>
    </row>
    <row r="2106" spans="1:8" ht="15" customHeight="1">
      <c r="A2106" s="26">
        <v>9536667</v>
      </c>
      <c r="B2106" s="29" t="s">
        <v>4344</v>
      </c>
      <c r="C2106" s="29" t="s">
        <v>19125</v>
      </c>
      <c r="D2106" s="29" t="s">
        <v>32292</v>
      </c>
      <c r="E2106" s="29" t="s">
        <v>45646</v>
      </c>
      <c r="F2106" s="36" t="s">
        <v>54401</v>
      </c>
      <c r="G2106" s="39">
        <v>104326.47</v>
      </c>
      <c r="H2106" s="42">
        <v>211</v>
      </c>
    </row>
    <row r="2107" spans="1:8" ht="15" customHeight="1">
      <c r="A2107" s="26">
        <v>9590025</v>
      </c>
      <c r="B2107" s="29" t="s">
        <v>4345</v>
      </c>
      <c r="C2107" s="29" t="s">
        <v>19126</v>
      </c>
      <c r="D2107" s="29" t="s">
        <v>32293</v>
      </c>
      <c r="E2107" s="29" t="s">
        <v>45647</v>
      </c>
      <c r="F2107" s="36" t="s">
        <v>54401</v>
      </c>
      <c r="G2107" s="39">
        <v>6217962.29</v>
      </c>
      <c r="H2107" s="42">
        <v>211</v>
      </c>
    </row>
    <row r="2108" spans="1:8" ht="15" customHeight="1">
      <c r="A2108" s="26">
        <v>9590033</v>
      </c>
      <c r="B2108" s="29" t="s">
        <v>4346</v>
      </c>
      <c r="C2108" s="29" t="s">
        <v>19127</v>
      </c>
      <c r="D2108" s="29" t="s">
        <v>32294</v>
      </c>
      <c r="E2108" s="29" t="s">
        <v>45648</v>
      </c>
      <c r="F2108" s="36" t="s">
        <v>54401</v>
      </c>
      <c r="G2108" s="39">
        <f>2797527.56+25760</f>
        <v>2823287.56</v>
      </c>
      <c r="H2108" s="42">
        <v>211</v>
      </c>
    </row>
    <row r="2109" spans="1:8" ht="15" customHeight="1">
      <c r="A2109" s="26">
        <v>9590072</v>
      </c>
      <c r="B2109" s="29" t="s">
        <v>4347</v>
      </c>
      <c r="C2109" s="26" t="s">
        <v>19128</v>
      </c>
      <c r="D2109" s="26" t="s">
        <v>32295</v>
      </c>
      <c r="E2109" s="26" t="s">
        <v>43926</v>
      </c>
      <c r="F2109" s="37" t="s">
        <v>54401</v>
      </c>
      <c r="G2109" s="39">
        <v>506287.47</v>
      </c>
      <c r="H2109" s="42">
        <v>211</v>
      </c>
    </row>
    <row r="2110" spans="1:8" ht="15" customHeight="1">
      <c r="A2110" s="26">
        <v>9590094</v>
      </c>
      <c r="B2110" s="29" t="s">
        <v>4348</v>
      </c>
      <c r="C2110" s="29" t="s">
        <v>19129</v>
      </c>
      <c r="D2110" s="29" t="s">
        <v>32296</v>
      </c>
      <c r="E2110" s="29" t="s">
        <v>45649</v>
      </c>
      <c r="F2110" s="36" t="s">
        <v>54414</v>
      </c>
      <c r="G2110" s="39">
        <v>2966040.74</v>
      </c>
      <c r="H2110" s="42">
        <v>211</v>
      </c>
    </row>
    <row r="2111" spans="1:8" ht="15" customHeight="1">
      <c r="A2111" s="26">
        <v>9590106</v>
      </c>
      <c r="B2111" s="29" t="s">
        <v>4349</v>
      </c>
      <c r="C2111" s="29" t="s">
        <v>19130</v>
      </c>
      <c r="D2111" s="29" t="s">
        <v>32297</v>
      </c>
      <c r="E2111" s="29" t="s">
        <v>45650</v>
      </c>
      <c r="F2111" s="36" t="s">
        <v>54401</v>
      </c>
      <c r="G2111" s="39">
        <v>925308.61</v>
      </c>
      <c r="H2111" s="42">
        <v>211</v>
      </c>
    </row>
    <row r="2112" spans="1:8" ht="15" customHeight="1">
      <c r="A2112" s="26">
        <v>9590115</v>
      </c>
      <c r="B2112" s="29" t="s">
        <v>4350</v>
      </c>
      <c r="C2112" s="29" t="s">
        <v>19131</v>
      </c>
      <c r="D2112" s="29" t="s">
        <v>32298</v>
      </c>
      <c r="E2112" s="29" t="s">
        <v>45651</v>
      </c>
      <c r="F2112" s="36" t="s">
        <v>54401</v>
      </c>
      <c r="G2112" s="39">
        <v>1189249.28</v>
      </c>
      <c r="H2112" s="42">
        <v>211</v>
      </c>
    </row>
    <row r="2113" spans="1:8" ht="15" customHeight="1">
      <c r="A2113" s="26">
        <v>9590134</v>
      </c>
      <c r="B2113" s="29" t="s">
        <v>4351</v>
      </c>
      <c r="C2113" s="29" t="s">
        <v>19132</v>
      </c>
      <c r="D2113" s="29" t="s">
        <v>32299</v>
      </c>
      <c r="E2113" s="29" t="s">
        <v>45652</v>
      </c>
      <c r="F2113" s="36" t="s">
        <v>54401</v>
      </c>
      <c r="G2113" s="39">
        <v>3132563.84</v>
      </c>
      <c r="H2113" s="42">
        <v>211</v>
      </c>
    </row>
    <row r="2114" spans="1:8" ht="15" customHeight="1">
      <c r="A2114" s="26">
        <v>9590140</v>
      </c>
      <c r="B2114" s="29" t="s">
        <v>4352</v>
      </c>
      <c r="C2114" s="29" t="s">
        <v>19133</v>
      </c>
      <c r="D2114" s="29" t="s">
        <v>32300</v>
      </c>
      <c r="E2114" s="29" t="s">
        <v>45653</v>
      </c>
      <c r="F2114" s="36" t="s">
        <v>54401</v>
      </c>
      <c r="G2114" s="39">
        <f>5113647.74+206738</f>
        <v>5320385.74</v>
      </c>
      <c r="H2114" s="42">
        <v>211</v>
      </c>
    </row>
    <row r="2115" spans="1:8" ht="15" customHeight="1">
      <c r="A2115" s="26">
        <v>9590146</v>
      </c>
      <c r="B2115" s="29" t="s">
        <v>4353</v>
      </c>
      <c r="C2115" s="29" t="s">
        <v>19134</v>
      </c>
      <c r="D2115" s="29" t="s">
        <v>32301</v>
      </c>
      <c r="E2115" s="29" t="s">
        <v>45654</v>
      </c>
      <c r="F2115" s="36" t="s">
        <v>54414</v>
      </c>
      <c r="G2115" s="39">
        <v>332959.18</v>
      </c>
      <c r="H2115" s="42">
        <v>211</v>
      </c>
    </row>
    <row r="2116" spans="1:8" ht="15" customHeight="1">
      <c r="A2116" s="26">
        <v>9590157</v>
      </c>
      <c r="B2116" s="29" t="s">
        <v>4354</v>
      </c>
      <c r="C2116" s="29" t="s">
        <v>19135</v>
      </c>
      <c r="D2116" s="29" t="s">
        <v>32302</v>
      </c>
      <c r="E2116" s="29" t="s">
        <v>45655</v>
      </c>
      <c r="F2116" s="36" t="s">
        <v>54414</v>
      </c>
      <c r="G2116" s="39">
        <v>4308482.21</v>
      </c>
      <c r="H2116" s="42">
        <v>211</v>
      </c>
    </row>
    <row r="2117" spans="1:8" ht="15" customHeight="1">
      <c r="A2117" s="26">
        <v>9590174</v>
      </c>
      <c r="B2117" s="29" t="s">
        <v>4355</v>
      </c>
      <c r="C2117" s="26" t="s">
        <v>17204</v>
      </c>
      <c r="D2117" s="26" t="s">
        <v>30349</v>
      </c>
      <c r="E2117" s="26" t="s">
        <v>43926</v>
      </c>
      <c r="F2117" s="37" t="s">
        <v>54401</v>
      </c>
      <c r="G2117" s="39">
        <v>507242.52</v>
      </c>
      <c r="H2117" s="42">
        <v>211</v>
      </c>
    </row>
    <row r="2118" spans="1:8" ht="15" customHeight="1">
      <c r="A2118" s="26">
        <v>9590175</v>
      </c>
      <c r="B2118" s="29" t="s">
        <v>4356</v>
      </c>
      <c r="C2118" s="29" t="s">
        <v>17204</v>
      </c>
      <c r="D2118" s="29" t="s">
        <v>32303</v>
      </c>
      <c r="E2118" s="29" t="s">
        <v>45656</v>
      </c>
      <c r="F2118" s="36" t="s">
        <v>54414</v>
      </c>
      <c r="G2118" s="39">
        <v>2040459.74</v>
      </c>
      <c r="H2118" s="42">
        <v>211</v>
      </c>
    </row>
    <row r="2119" spans="1:8" ht="15" customHeight="1">
      <c r="A2119" s="26">
        <v>9590178</v>
      </c>
      <c r="B2119" s="29" t="s">
        <v>4357</v>
      </c>
      <c r="C2119" s="29" t="s">
        <v>19136</v>
      </c>
      <c r="D2119" s="29" t="s">
        <v>32304</v>
      </c>
      <c r="E2119" s="29" t="s">
        <v>45657</v>
      </c>
      <c r="F2119" s="36" t="s">
        <v>54401</v>
      </c>
      <c r="G2119" s="39">
        <f>259692.48+411119+579323</f>
        <v>1250134.48</v>
      </c>
      <c r="H2119" s="42">
        <v>211</v>
      </c>
    </row>
    <row r="2120" spans="1:8" ht="15" customHeight="1">
      <c r="A2120" s="26">
        <v>9590193</v>
      </c>
      <c r="B2120" s="29" t="s">
        <v>4358</v>
      </c>
      <c r="C2120" s="29" t="s">
        <v>19137</v>
      </c>
      <c r="D2120" s="29" t="s">
        <v>32305</v>
      </c>
      <c r="E2120" s="29" t="s">
        <v>45658</v>
      </c>
      <c r="F2120" s="36" t="s">
        <v>54414</v>
      </c>
      <c r="G2120" s="39">
        <v>2786940.71</v>
      </c>
      <c r="H2120" s="42">
        <v>211</v>
      </c>
    </row>
    <row r="2121" spans="1:8" ht="15" customHeight="1">
      <c r="A2121" s="26">
        <v>9590224</v>
      </c>
      <c r="B2121" s="29" t="s">
        <v>4359</v>
      </c>
      <c r="C2121" s="29" t="s">
        <v>19138</v>
      </c>
      <c r="D2121" s="29" t="s">
        <v>32306</v>
      </c>
      <c r="E2121" s="29" t="s">
        <v>45659</v>
      </c>
      <c r="F2121" s="36" t="s">
        <v>54414</v>
      </c>
      <c r="G2121" s="39">
        <f>10543669.82-207507</f>
        <v>10336162.82</v>
      </c>
      <c r="H2121" s="42">
        <v>211</v>
      </c>
    </row>
    <row r="2122" spans="1:8" ht="15" customHeight="1">
      <c r="A2122" s="26">
        <v>9590232</v>
      </c>
      <c r="B2122" s="29" t="s">
        <v>4360</v>
      </c>
      <c r="C2122" s="26" t="s">
        <v>19139</v>
      </c>
      <c r="D2122" s="26" t="s">
        <v>32307</v>
      </c>
      <c r="E2122" s="26" t="s">
        <v>43926</v>
      </c>
      <c r="F2122" s="37" t="s">
        <v>54401</v>
      </c>
      <c r="G2122" s="39">
        <v>134014.5</v>
      </c>
      <c r="H2122" s="42">
        <v>211</v>
      </c>
    </row>
    <row r="2123" spans="1:8" ht="15" customHeight="1">
      <c r="A2123" s="26">
        <v>9590233</v>
      </c>
      <c r="B2123" s="29" t="s">
        <v>4361</v>
      </c>
      <c r="C2123" s="29" t="s">
        <v>19140</v>
      </c>
      <c r="D2123" s="29" t="s">
        <v>32308</v>
      </c>
      <c r="E2123" s="29" t="s">
        <v>45660</v>
      </c>
      <c r="F2123" s="36" t="s">
        <v>54401</v>
      </c>
      <c r="G2123" s="39">
        <v>401259.23</v>
      </c>
      <c r="H2123" s="42">
        <v>211</v>
      </c>
    </row>
    <row r="2124" spans="1:8" ht="15" customHeight="1">
      <c r="A2124" s="26">
        <v>9590253</v>
      </c>
      <c r="B2124" s="29" t="s">
        <v>4362</v>
      </c>
      <c r="C2124" s="29" t="s">
        <v>19141</v>
      </c>
      <c r="D2124" s="29" t="s">
        <v>32309</v>
      </c>
      <c r="E2124" s="29" t="s">
        <v>45661</v>
      </c>
      <c r="F2124" s="36" t="s">
        <v>54414</v>
      </c>
      <c r="G2124" s="39">
        <v>2356165.37</v>
      </c>
      <c r="H2124" s="42">
        <v>211</v>
      </c>
    </row>
    <row r="2125" spans="1:8" ht="15" customHeight="1">
      <c r="A2125" s="26">
        <v>9590311</v>
      </c>
      <c r="B2125" s="29" t="s">
        <v>4363</v>
      </c>
      <c r="C2125" s="29" t="s">
        <v>19142</v>
      </c>
      <c r="D2125" s="29" t="s">
        <v>32310</v>
      </c>
      <c r="E2125" s="29" t="s">
        <v>43926</v>
      </c>
      <c r="F2125" s="36" t="s">
        <v>54401</v>
      </c>
      <c r="G2125" s="39">
        <f>525792.15+372061</f>
        <v>897853.15</v>
      </c>
      <c r="H2125" s="42">
        <v>211</v>
      </c>
    </row>
    <row r="2126" spans="1:8" ht="15" customHeight="1">
      <c r="A2126" s="26">
        <v>9590320</v>
      </c>
      <c r="B2126" s="29" t="s">
        <v>4364</v>
      </c>
      <c r="C2126" s="29" t="s">
        <v>19143</v>
      </c>
      <c r="D2126" s="29" t="s">
        <v>32311</v>
      </c>
      <c r="E2126" s="29" t="s">
        <v>45662</v>
      </c>
      <c r="F2126" s="36" t="s">
        <v>54401</v>
      </c>
      <c r="G2126" s="39">
        <f>1136169.33+406700</f>
        <v>1542869.33</v>
      </c>
      <c r="H2126" s="42">
        <v>211</v>
      </c>
    </row>
    <row r="2127" spans="1:8" ht="15" customHeight="1">
      <c r="A2127" s="26">
        <v>9590354</v>
      </c>
      <c r="B2127" s="29" t="s">
        <v>4365</v>
      </c>
      <c r="C2127" s="29" t="s">
        <v>19144</v>
      </c>
      <c r="D2127" s="29" t="s">
        <v>32312</v>
      </c>
      <c r="E2127" s="29" t="s">
        <v>45663</v>
      </c>
      <c r="F2127" s="36" t="s">
        <v>54401</v>
      </c>
      <c r="G2127" s="39">
        <f>449807.3+284285</f>
        <v>734092.3</v>
      </c>
      <c r="H2127" s="42">
        <v>211</v>
      </c>
    </row>
    <row r="2128" spans="1:8" ht="15" customHeight="1">
      <c r="A2128" s="26">
        <v>9590360</v>
      </c>
      <c r="B2128" s="29" t="s">
        <v>4366</v>
      </c>
      <c r="C2128" s="29" t="s">
        <v>19145</v>
      </c>
      <c r="D2128" s="29" t="s">
        <v>32313</v>
      </c>
      <c r="E2128" s="29" t="s">
        <v>45664</v>
      </c>
      <c r="F2128" s="36" t="s">
        <v>54401</v>
      </c>
      <c r="G2128" s="39">
        <v>169447.03</v>
      </c>
      <c r="H2128" s="42">
        <v>211</v>
      </c>
    </row>
    <row r="2129" spans="1:8" ht="15" customHeight="1">
      <c r="A2129" s="26">
        <v>9590365</v>
      </c>
      <c r="B2129" s="29" t="s">
        <v>4367</v>
      </c>
      <c r="C2129" s="29" t="s">
        <v>19146</v>
      </c>
      <c r="D2129" s="29" t="s">
        <v>32314</v>
      </c>
      <c r="E2129" s="29" t="s">
        <v>43926</v>
      </c>
      <c r="F2129" s="36" t="s">
        <v>54401</v>
      </c>
      <c r="G2129" s="39">
        <v>1866951.07</v>
      </c>
      <c r="H2129" s="42">
        <v>211</v>
      </c>
    </row>
    <row r="2130" spans="1:8" ht="15" customHeight="1">
      <c r="A2130" s="26">
        <v>9620297</v>
      </c>
      <c r="B2130" s="29" t="s">
        <v>4368</v>
      </c>
      <c r="C2130" s="29" t="s">
        <v>19147</v>
      </c>
      <c r="D2130" s="29" t="s">
        <v>32315</v>
      </c>
      <c r="E2130" s="29" t="s">
        <v>45665</v>
      </c>
      <c r="F2130" s="36" t="s">
        <v>54401</v>
      </c>
      <c r="G2130" s="39">
        <f>3030404.44-213002</f>
        <v>2817402.44</v>
      </c>
      <c r="H2130" s="42">
        <v>211</v>
      </c>
    </row>
    <row r="2131" spans="1:8" ht="15" customHeight="1">
      <c r="A2131" s="26">
        <v>9635545</v>
      </c>
      <c r="B2131" s="29" t="s">
        <v>4369</v>
      </c>
      <c r="C2131" s="29" t="s">
        <v>19148</v>
      </c>
      <c r="D2131" s="29" t="s">
        <v>32316</v>
      </c>
      <c r="E2131" s="29" t="s">
        <v>717</v>
      </c>
      <c r="F2131" s="36" t="s">
        <v>54409</v>
      </c>
      <c r="G2131" s="39">
        <v>3034942.31</v>
      </c>
      <c r="H2131" s="42">
        <v>211</v>
      </c>
    </row>
    <row r="2132" spans="1:8" ht="15" customHeight="1">
      <c r="A2132" s="26">
        <v>9635565</v>
      </c>
      <c r="B2132" s="29" t="s">
        <v>4370</v>
      </c>
      <c r="C2132" s="26" t="s">
        <v>19149</v>
      </c>
      <c r="D2132" s="26" t="s">
        <v>32317</v>
      </c>
      <c r="E2132" s="26" t="s">
        <v>44264</v>
      </c>
      <c r="F2132" s="37" t="s">
        <v>54401</v>
      </c>
      <c r="G2132" s="39">
        <v>830134.36</v>
      </c>
      <c r="H2132" s="42">
        <v>211</v>
      </c>
    </row>
    <row r="2133" spans="1:8" ht="15" customHeight="1">
      <c r="A2133" s="26">
        <v>9635593</v>
      </c>
      <c r="B2133" s="29" t="s">
        <v>4371</v>
      </c>
      <c r="C2133" s="29" t="s">
        <v>19150</v>
      </c>
      <c r="D2133" s="29" t="s">
        <v>32318</v>
      </c>
      <c r="E2133" s="29" t="s">
        <v>45666</v>
      </c>
      <c r="F2133" s="36" t="s">
        <v>54401</v>
      </c>
      <c r="G2133" s="39">
        <v>5254072.4000000004</v>
      </c>
      <c r="H2133" s="42">
        <v>211</v>
      </c>
    </row>
    <row r="2134" spans="1:8" ht="15" customHeight="1">
      <c r="A2134" s="26">
        <v>9635837</v>
      </c>
      <c r="B2134" s="29" t="s">
        <v>4372</v>
      </c>
      <c r="C2134" s="29" t="s">
        <v>19151</v>
      </c>
      <c r="D2134" s="29" t="s">
        <v>32319</v>
      </c>
      <c r="E2134" s="29" t="s">
        <v>45667</v>
      </c>
      <c r="F2134" s="36" t="s">
        <v>54401</v>
      </c>
      <c r="G2134" s="39">
        <v>6308519.5199999996</v>
      </c>
      <c r="H2134" s="42">
        <v>211</v>
      </c>
    </row>
    <row r="2135" spans="1:8" ht="15" customHeight="1">
      <c r="A2135" s="26">
        <v>9636025</v>
      </c>
      <c r="B2135" s="29" t="s">
        <v>4373</v>
      </c>
      <c r="C2135" s="29" t="s">
        <v>19152</v>
      </c>
      <c r="D2135" s="29" t="s">
        <v>32320</v>
      </c>
      <c r="E2135" s="29" t="s">
        <v>45668</v>
      </c>
      <c r="F2135" s="36" t="s">
        <v>54401</v>
      </c>
      <c r="G2135" s="39">
        <f>3008778.45+79761</f>
        <v>3088539.45</v>
      </c>
      <c r="H2135" s="42">
        <v>211</v>
      </c>
    </row>
    <row r="2136" spans="1:8" ht="15" customHeight="1">
      <c r="A2136" s="26">
        <v>9636037</v>
      </c>
      <c r="B2136" s="29" t="s">
        <v>4374</v>
      </c>
      <c r="C2136" s="29" t="s">
        <v>17204</v>
      </c>
      <c r="D2136" s="29" t="s">
        <v>32321</v>
      </c>
      <c r="E2136" s="29" t="s">
        <v>43926</v>
      </c>
      <c r="F2136" s="36" t="s">
        <v>54401</v>
      </c>
      <c r="G2136" s="39">
        <v>167398.53</v>
      </c>
      <c r="H2136" s="42">
        <v>211</v>
      </c>
    </row>
    <row r="2137" spans="1:8" ht="15" customHeight="1">
      <c r="A2137" s="26">
        <v>9636280</v>
      </c>
      <c r="B2137" s="29" t="s">
        <v>4375</v>
      </c>
      <c r="C2137" s="29" t="s">
        <v>19153</v>
      </c>
      <c r="D2137" s="29" t="s">
        <v>32322</v>
      </c>
      <c r="E2137" s="29" t="s">
        <v>45669</v>
      </c>
      <c r="F2137" s="36" t="s">
        <v>54401</v>
      </c>
      <c r="G2137" s="39">
        <v>176445.43</v>
      </c>
      <c r="H2137" s="42">
        <v>211</v>
      </c>
    </row>
    <row r="2138" spans="1:8" ht="15" customHeight="1">
      <c r="A2138" s="26">
        <v>9645042</v>
      </c>
      <c r="B2138" s="29" t="s">
        <v>4376</v>
      </c>
      <c r="C2138" s="29" t="s">
        <v>19154</v>
      </c>
      <c r="D2138" s="29" t="s">
        <v>32323</v>
      </c>
      <c r="E2138" s="29" t="s">
        <v>45670</v>
      </c>
      <c r="F2138" s="36" t="s">
        <v>54401</v>
      </c>
      <c r="G2138" s="39">
        <f>525404.68+94831</f>
        <v>620235.68000000005</v>
      </c>
      <c r="H2138" s="42">
        <v>211</v>
      </c>
    </row>
    <row r="2139" spans="1:8" ht="15" customHeight="1">
      <c r="A2139" s="26">
        <v>9650238</v>
      </c>
      <c r="B2139" s="29" t="s">
        <v>4377</v>
      </c>
      <c r="C2139" s="29" t="s">
        <v>19155</v>
      </c>
      <c r="D2139" s="29" t="s">
        <v>32324</v>
      </c>
      <c r="E2139" s="29" t="s">
        <v>45671</v>
      </c>
      <c r="F2139" s="36" t="s">
        <v>54401</v>
      </c>
      <c r="G2139" s="39">
        <v>4337014.8899999997</v>
      </c>
      <c r="H2139" s="42">
        <v>211</v>
      </c>
    </row>
    <row r="2140" spans="1:8" ht="15" customHeight="1">
      <c r="A2140" s="26">
        <v>9650482</v>
      </c>
      <c r="B2140" s="29" t="s">
        <v>4378</v>
      </c>
      <c r="C2140" s="29" t="s">
        <v>19156</v>
      </c>
      <c r="D2140" s="29" t="s">
        <v>32325</v>
      </c>
      <c r="E2140" s="29" t="s">
        <v>45672</v>
      </c>
      <c r="F2140" s="36" t="s">
        <v>54401</v>
      </c>
      <c r="G2140" s="39">
        <v>252079.84</v>
      </c>
      <c r="H2140" s="42">
        <v>211</v>
      </c>
    </row>
    <row r="2141" spans="1:8" ht="15" customHeight="1">
      <c r="A2141" s="26">
        <v>9653321</v>
      </c>
      <c r="B2141" s="29" t="s">
        <v>4379</v>
      </c>
      <c r="C2141" s="29" t="s">
        <v>17204</v>
      </c>
      <c r="D2141" s="29" t="s">
        <v>30349</v>
      </c>
      <c r="E2141" s="29" t="s">
        <v>43926</v>
      </c>
      <c r="F2141" s="36" t="s">
        <v>54401</v>
      </c>
      <c r="G2141" s="39">
        <v>613749.44999999995</v>
      </c>
      <c r="H2141" s="42">
        <v>211</v>
      </c>
    </row>
    <row r="2142" spans="1:8" ht="15" customHeight="1">
      <c r="A2142" s="26">
        <v>9653816</v>
      </c>
      <c r="B2142" s="29" t="s">
        <v>4380</v>
      </c>
      <c r="C2142" s="29" t="s">
        <v>19157</v>
      </c>
      <c r="D2142" s="29" t="s">
        <v>32326</v>
      </c>
      <c r="E2142" s="29" t="s">
        <v>45673</v>
      </c>
      <c r="F2142" s="36" t="s">
        <v>54401</v>
      </c>
      <c r="G2142" s="39">
        <v>4933</v>
      </c>
      <c r="H2142" s="42">
        <v>211</v>
      </c>
    </row>
    <row r="2143" spans="1:8" ht="15" customHeight="1">
      <c r="A2143" s="26">
        <v>9659007</v>
      </c>
      <c r="B2143" s="29" t="s">
        <v>4381</v>
      </c>
      <c r="C2143" s="29" t="s">
        <v>19158</v>
      </c>
      <c r="D2143" s="29" t="s">
        <v>32327</v>
      </c>
      <c r="E2143" s="29" t="s">
        <v>45674</v>
      </c>
      <c r="F2143" s="36" t="s">
        <v>54401</v>
      </c>
      <c r="G2143" s="39">
        <v>395466.9</v>
      </c>
      <c r="H2143" s="42">
        <v>211</v>
      </c>
    </row>
    <row r="2144" spans="1:8" ht="15" customHeight="1">
      <c r="A2144" s="26">
        <v>9659387</v>
      </c>
      <c r="B2144" s="29" t="s">
        <v>4382</v>
      </c>
      <c r="C2144" s="29" t="s">
        <v>19159</v>
      </c>
      <c r="D2144" s="29" t="s">
        <v>32328</v>
      </c>
      <c r="E2144" s="29" t="s">
        <v>45675</v>
      </c>
      <c r="F2144" s="36" t="s">
        <v>54401</v>
      </c>
      <c r="G2144" s="39">
        <v>1135372</v>
      </c>
      <c r="H2144" s="42">
        <v>211</v>
      </c>
    </row>
    <row r="2145" spans="1:8" ht="15" customHeight="1">
      <c r="A2145" s="26">
        <v>9726746</v>
      </c>
      <c r="B2145" s="29" t="s">
        <v>4383</v>
      </c>
      <c r="C2145" s="29" t="s">
        <v>19160</v>
      </c>
      <c r="D2145" s="29" t="s">
        <v>32329</v>
      </c>
      <c r="E2145" s="29" t="s">
        <v>45676</v>
      </c>
      <c r="F2145" s="36" t="s">
        <v>54401</v>
      </c>
      <c r="G2145" s="39">
        <v>4072207.3</v>
      </c>
      <c r="H2145" s="42">
        <v>211</v>
      </c>
    </row>
    <row r="2146" spans="1:8" ht="15" customHeight="1">
      <c r="A2146" s="26">
        <v>9800715</v>
      </c>
      <c r="B2146" s="29" t="s">
        <v>4384</v>
      </c>
      <c r="C2146" s="29" t="s">
        <v>19161</v>
      </c>
      <c r="D2146" s="29" t="s">
        <v>32330</v>
      </c>
      <c r="E2146" s="29" t="s">
        <v>45677</v>
      </c>
      <c r="F2146" s="36" t="s">
        <v>54401</v>
      </c>
      <c r="G2146" s="39">
        <f>636903.13+172455</f>
        <v>809358.13</v>
      </c>
      <c r="H2146" s="42">
        <v>211</v>
      </c>
    </row>
    <row r="2147" spans="1:8" ht="15" customHeight="1">
      <c r="A2147" s="26">
        <v>9955482</v>
      </c>
      <c r="B2147" s="29" t="s">
        <v>4385</v>
      </c>
      <c r="C2147" s="29" t="s">
        <v>19162</v>
      </c>
      <c r="D2147" s="29" t="s">
        <v>30376</v>
      </c>
      <c r="E2147" s="29" t="s">
        <v>45678</v>
      </c>
      <c r="F2147" s="36" t="s">
        <v>54401</v>
      </c>
      <c r="G2147" s="39">
        <v>774818.42</v>
      </c>
      <c r="H2147" s="42">
        <v>211</v>
      </c>
    </row>
    <row r="2148" spans="1:8" ht="15" customHeight="1">
      <c r="A2148" s="26">
        <v>9993298</v>
      </c>
      <c r="B2148" s="29" t="s">
        <v>4386</v>
      </c>
      <c r="C2148" s="26" t="s">
        <v>19163</v>
      </c>
      <c r="D2148" s="26" t="s">
        <v>32331</v>
      </c>
      <c r="E2148" s="26" t="s">
        <v>45679</v>
      </c>
      <c r="F2148" s="37" t="s">
        <v>54401</v>
      </c>
      <c r="G2148" s="39">
        <v>173242.69</v>
      </c>
      <c r="H2148" s="42">
        <v>211</v>
      </c>
    </row>
    <row r="2149" spans="1:8" ht="15" customHeight="1">
      <c r="A2149" s="26">
        <v>10010030</v>
      </c>
      <c r="B2149" s="29" t="s">
        <v>4387</v>
      </c>
      <c r="C2149" s="26" t="s">
        <v>19164</v>
      </c>
      <c r="D2149" s="26" t="s">
        <v>32332</v>
      </c>
      <c r="E2149" s="26" t="s">
        <v>45680</v>
      </c>
      <c r="F2149" s="37" t="s">
        <v>54401</v>
      </c>
      <c r="G2149" s="39">
        <v>170574.6</v>
      </c>
      <c r="H2149" s="42">
        <v>211</v>
      </c>
    </row>
    <row r="2150" spans="1:8" ht="15" customHeight="1">
      <c r="A2150" s="26">
        <v>10103836</v>
      </c>
      <c r="B2150" s="29" t="s">
        <v>4388</v>
      </c>
      <c r="C2150" s="29" t="s">
        <v>19165</v>
      </c>
      <c r="D2150" s="29" t="s">
        <v>32333</v>
      </c>
      <c r="E2150" s="29" t="s">
        <v>45681</v>
      </c>
      <c r="F2150" s="36" t="s">
        <v>54401</v>
      </c>
      <c r="G2150" s="39">
        <f>516231.4+2657142</f>
        <v>3173373.4</v>
      </c>
      <c r="H2150" s="42">
        <v>211</v>
      </c>
    </row>
    <row r="2151" spans="1:8" ht="15" customHeight="1">
      <c r="A2151" s="26">
        <v>10173327</v>
      </c>
      <c r="B2151" s="29" t="s">
        <v>4389</v>
      </c>
      <c r="C2151" s="26" t="s">
        <v>19166</v>
      </c>
      <c r="D2151" s="26" t="s">
        <v>32334</v>
      </c>
      <c r="E2151" s="26" t="s">
        <v>45682</v>
      </c>
      <c r="F2151" s="37" t="s">
        <v>54401</v>
      </c>
      <c r="G2151" s="39">
        <v>1874012.62</v>
      </c>
      <c r="H2151" s="42">
        <v>211</v>
      </c>
    </row>
    <row r="2152" spans="1:8" ht="15" customHeight="1">
      <c r="A2152" s="26">
        <v>10178122</v>
      </c>
      <c r="B2152" s="29" t="s">
        <v>4390</v>
      </c>
      <c r="C2152" s="29" t="s">
        <v>19167</v>
      </c>
      <c r="D2152" s="29" t="s">
        <v>32335</v>
      </c>
      <c r="E2152" s="29" t="s">
        <v>45683</v>
      </c>
      <c r="F2152" s="36" t="s">
        <v>54401</v>
      </c>
      <c r="G2152" s="39">
        <v>349866.86</v>
      </c>
      <c r="H2152" s="42">
        <v>211</v>
      </c>
    </row>
    <row r="2153" spans="1:8" ht="15" customHeight="1">
      <c r="A2153" s="26">
        <v>10251407</v>
      </c>
      <c r="B2153" s="29" t="s">
        <v>4391</v>
      </c>
      <c r="C2153" s="29" t="s">
        <v>17204</v>
      </c>
      <c r="D2153" s="29" t="s">
        <v>32336</v>
      </c>
      <c r="E2153" s="29" t="s">
        <v>43926</v>
      </c>
      <c r="F2153" s="36" t="s">
        <v>54401</v>
      </c>
      <c r="G2153" s="39">
        <v>194440.83</v>
      </c>
      <c r="H2153" s="42">
        <v>211</v>
      </c>
    </row>
    <row r="2154" spans="1:8" ht="15" customHeight="1">
      <c r="A2154" s="26">
        <v>10255502</v>
      </c>
      <c r="B2154" s="29" t="s">
        <v>4392</v>
      </c>
      <c r="C2154" s="26" t="s">
        <v>19168</v>
      </c>
      <c r="D2154" s="26" t="s">
        <v>32337</v>
      </c>
      <c r="E2154" s="26" t="s">
        <v>45684</v>
      </c>
      <c r="F2154" s="37" t="s">
        <v>54401</v>
      </c>
      <c r="G2154" s="39">
        <v>33146.1</v>
      </c>
      <c r="H2154" s="42">
        <v>211</v>
      </c>
    </row>
    <row r="2155" spans="1:8" ht="15" customHeight="1">
      <c r="A2155" s="26">
        <v>10286364</v>
      </c>
      <c r="B2155" s="29" t="s">
        <v>4393</v>
      </c>
      <c r="C2155" s="26" t="s">
        <v>19169</v>
      </c>
      <c r="D2155" s="26" t="s">
        <v>32338</v>
      </c>
      <c r="E2155" s="26" t="s">
        <v>43926</v>
      </c>
      <c r="F2155" s="37" t="s">
        <v>54401</v>
      </c>
      <c r="G2155" s="39">
        <v>60980.85</v>
      </c>
      <c r="H2155" s="42">
        <v>211</v>
      </c>
    </row>
    <row r="2156" spans="1:8" ht="15" customHeight="1">
      <c r="A2156" s="26">
        <v>10537766</v>
      </c>
      <c r="B2156" s="29" t="s">
        <v>4394</v>
      </c>
      <c r="C2156" s="29" t="s">
        <v>19170</v>
      </c>
      <c r="D2156" s="29" t="s">
        <v>32339</v>
      </c>
      <c r="E2156" s="29" t="s">
        <v>45685</v>
      </c>
      <c r="F2156" s="36" t="s">
        <v>54401</v>
      </c>
      <c r="G2156" s="39">
        <v>160205.07</v>
      </c>
      <c r="H2156" s="42">
        <v>211</v>
      </c>
    </row>
    <row r="2157" spans="1:8" ht="15" customHeight="1">
      <c r="A2157" s="26">
        <v>10766989</v>
      </c>
      <c r="B2157" s="29" t="s">
        <v>4395</v>
      </c>
      <c r="C2157" s="29" t="s">
        <v>19171</v>
      </c>
      <c r="D2157" s="29" t="s">
        <v>32340</v>
      </c>
      <c r="E2157" s="29" t="s">
        <v>45686</v>
      </c>
      <c r="F2157" s="36" t="s">
        <v>54401</v>
      </c>
      <c r="G2157" s="39">
        <v>4457793.47</v>
      </c>
      <c r="H2157" s="42">
        <v>211</v>
      </c>
    </row>
    <row r="2158" spans="1:8" ht="15" customHeight="1">
      <c r="A2158" s="26">
        <v>11186486</v>
      </c>
      <c r="B2158" s="29" t="s">
        <v>4396</v>
      </c>
      <c r="C2158" s="29" t="s">
        <v>19172</v>
      </c>
      <c r="D2158" s="29" t="s">
        <v>32341</v>
      </c>
      <c r="E2158" s="29" t="s">
        <v>45687</v>
      </c>
      <c r="F2158" s="36" t="s">
        <v>54401</v>
      </c>
      <c r="G2158" s="39">
        <v>180961.39</v>
      </c>
      <c r="H2158" s="42">
        <v>211</v>
      </c>
    </row>
    <row r="2159" spans="1:8" ht="15" customHeight="1">
      <c r="A2159" s="26">
        <v>11187920</v>
      </c>
      <c r="B2159" s="29" t="s">
        <v>4397</v>
      </c>
      <c r="C2159" s="29" t="s">
        <v>17204</v>
      </c>
      <c r="D2159" s="29" t="s">
        <v>30349</v>
      </c>
      <c r="E2159" s="29" t="s">
        <v>43926</v>
      </c>
      <c r="F2159" s="36" t="s">
        <v>54401</v>
      </c>
      <c r="G2159" s="39">
        <v>103026.34</v>
      </c>
      <c r="H2159" s="42">
        <v>211</v>
      </c>
    </row>
    <row r="2160" spans="1:8" ht="15" customHeight="1">
      <c r="A2160" s="26">
        <v>11189663</v>
      </c>
      <c r="B2160" s="29" t="s">
        <v>4398</v>
      </c>
      <c r="C2160" s="29" t="s">
        <v>19173</v>
      </c>
      <c r="D2160" s="29" t="s">
        <v>32342</v>
      </c>
      <c r="E2160" s="29" t="s">
        <v>44355</v>
      </c>
      <c r="F2160" s="36" t="s">
        <v>54401</v>
      </c>
      <c r="G2160" s="39">
        <v>899288.46</v>
      </c>
      <c r="H2160" s="42">
        <v>211</v>
      </c>
    </row>
    <row r="2161" spans="1:8" ht="15" customHeight="1">
      <c r="A2161" s="26">
        <v>11206542</v>
      </c>
      <c r="B2161" s="29" t="s">
        <v>4399</v>
      </c>
      <c r="C2161" s="29" t="s">
        <v>19174</v>
      </c>
      <c r="D2161" s="29" t="s">
        <v>32343</v>
      </c>
      <c r="E2161" s="29" t="s">
        <v>45688</v>
      </c>
      <c r="F2161" s="36" t="s">
        <v>54401</v>
      </c>
      <c r="G2161" s="39">
        <v>777310.02</v>
      </c>
      <c r="H2161" s="42">
        <v>211</v>
      </c>
    </row>
    <row r="2162" spans="1:8" ht="15" customHeight="1">
      <c r="A2162" s="26">
        <v>11210918</v>
      </c>
      <c r="B2162" s="29" t="s">
        <v>4400</v>
      </c>
      <c r="C2162" s="29" t="s">
        <v>19175</v>
      </c>
      <c r="D2162" s="29" t="s">
        <v>32344</v>
      </c>
      <c r="E2162" s="29" t="s">
        <v>45689</v>
      </c>
      <c r="F2162" s="36" t="s">
        <v>54401</v>
      </c>
      <c r="G2162" s="39">
        <f>946117.72+43458</f>
        <v>989575.72</v>
      </c>
      <c r="H2162" s="42">
        <v>211</v>
      </c>
    </row>
    <row r="2163" spans="1:8" ht="15" customHeight="1">
      <c r="A2163" s="26">
        <v>11223852</v>
      </c>
      <c r="B2163" s="29" t="s">
        <v>4401</v>
      </c>
      <c r="C2163" s="29" t="s">
        <v>19176</v>
      </c>
      <c r="D2163" s="29" t="s">
        <v>32345</v>
      </c>
      <c r="E2163" s="29" t="s">
        <v>45690</v>
      </c>
      <c r="F2163" s="36" t="s">
        <v>54401</v>
      </c>
      <c r="G2163" s="39">
        <v>447877.28</v>
      </c>
      <c r="H2163" s="42">
        <v>211</v>
      </c>
    </row>
    <row r="2164" spans="1:8" ht="15" customHeight="1">
      <c r="A2164" s="26">
        <v>11232116</v>
      </c>
      <c r="B2164" s="29" t="s">
        <v>4402</v>
      </c>
      <c r="C2164" s="29" t="s">
        <v>19177</v>
      </c>
      <c r="D2164" s="29" t="s">
        <v>32346</v>
      </c>
      <c r="E2164" s="29" t="s">
        <v>45691</v>
      </c>
      <c r="F2164" s="36" t="s">
        <v>54401</v>
      </c>
      <c r="G2164" s="39">
        <v>4365266.38</v>
      </c>
      <c r="H2164" s="42">
        <v>211</v>
      </c>
    </row>
    <row r="2165" spans="1:8" ht="15" customHeight="1">
      <c r="A2165" s="26">
        <v>11257446</v>
      </c>
      <c r="B2165" s="29" t="s">
        <v>4403</v>
      </c>
      <c r="C2165" s="29" t="s">
        <v>19178</v>
      </c>
      <c r="D2165" s="29" t="s">
        <v>32347</v>
      </c>
      <c r="E2165" s="29" t="s">
        <v>45692</v>
      </c>
      <c r="F2165" s="36" t="s">
        <v>54424</v>
      </c>
      <c r="G2165" s="39">
        <v>311305.92</v>
      </c>
      <c r="H2165" s="42">
        <v>211</v>
      </c>
    </row>
    <row r="2166" spans="1:8" ht="15" customHeight="1">
      <c r="A2166" s="26">
        <v>11258956</v>
      </c>
      <c r="B2166" s="29" t="s">
        <v>4404</v>
      </c>
      <c r="C2166" s="29" t="s">
        <v>19179</v>
      </c>
      <c r="D2166" s="29" t="s">
        <v>32348</v>
      </c>
      <c r="E2166" s="29" t="s">
        <v>43926</v>
      </c>
      <c r="F2166" s="36" t="s">
        <v>54401</v>
      </c>
      <c r="G2166" s="39">
        <v>21899.16</v>
      </c>
      <c r="H2166" s="42">
        <v>211</v>
      </c>
    </row>
    <row r="2167" spans="1:8" ht="15" customHeight="1">
      <c r="A2167" s="26">
        <v>11292238</v>
      </c>
      <c r="B2167" s="29" t="s">
        <v>4405</v>
      </c>
      <c r="C2167" s="29" t="s">
        <v>19180</v>
      </c>
      <c r="D2167" s="29" t="s">
        <v>32349</v>
      </c>
      <c r="E2167" s="29" t="s">
        <v>950</v>
      </c>
      <c r="F2167" s="36" t="s">
        <v>54401</v>
      </c>
      <c r="G2167" s="39">
        <v>305183.3</v>
      </c>
      <c r="H2167" s="42">
        <v>211</v>
      </c>
    </row>
    <row r="2168" spans="1:8" ht="15" customHeight="1">
      <c r="A2168" s="26">
        <v>11307605</v>
      </c>
      <c r="B2168" s="29" t="s">
        <v>4406</v>
      </c>
      <c r="C2168" s="26" t="s">
        <v>19181</v>
      </c>
      <c r="D2168" s="26" t="s">
        <v>32350</v>
      </c>
      <c r="E2168" s="26" t="s">
        <v>45693</v>
      </c>
      <c r="F2168" s="37" t="s">
        <v>54401</v>
      </c>
      <c r="G2168" s="39">
        <v>984167.81</v>
      </c>
      <c r="H2168" s="42">
        <v>211</v>
      </c>
    </row>
    <row r="2169" spans="1:8" ht="15" customHeight="1">
      <c r="A2169" s="26">
        <v>11325384</v>
      </c>
      <c r="B2169" s="29" t="s">
        <v>4407</v>
      </c>
      <c r="C2169" s="29" t="s">
        <v>19182</v>
      </c>
      <c r="D2169" s="29" t="s">
        <v>32351</v>
      </c>
      <c r="E2169" s="29" t="s">
        <v>45694</v>
      </c>
      <c r="F2169" s="36" t="s">
        <v>54401</v>
      </c>
      <c r="G2169" s="39">
        <v>390862.3</v>
      </c>
      <c r="H2169" s="42">
        <v>211</v>
      </c>
    </row>
    <row r="2170" spans="1:8" ht="15" customHeight="1">
      <c r="A2170" s="26">
        <v>11325630</v>
      </c>
      <c r="B2170" s="29" t="s">
        <v>4408</v>
      </c>
      <c r="C2170" s="29" t="s">
        <v>19183</v>
      </c>
      <c r="D2170" s="29" t="s">
        <v>32352</v>
      </c>
      <c r="E2170" s="29" t="s">
        <v>45695</v>
      </c>
      <c r="F2170" s="36" t="s">
        <v>54401</v>
      </c>
      <c r="G2170" s="39">
        <v>334342.34999999998</v>
      </c>
      <c r="H2170" s="42">
        <v>211</v>
      </c>
    </row>
    <row r="2171" spans="1:8" ht="15" customHeight="1">
      <c r="A2171" s="26">
        <v>11336621</v>
      </c>
      <c r="B2171" s="29" t="s">
        <v>4409</v>
      </c>
      <c r="C2171" s="29" t="s">
        <v>19184</v>
      </c>
      <c r="D2171" s="29" t="s">
        <v>32353</v>
      </c>
      <c r="E2171" s="29" t="s">
        <v>45696</v>
      </c>
      <c r="F2171" s="36" t="s">
        <v>54401</v>
      </c>
      <c r="G2171" s="39">
        <v>336584.18</v>
      </c>
      <c r="H2171" s="42">
        <v>211</v>
      </c>
    </row>
    <row r="2172" spans="1:8" ht="15" customHeight="1">
      <c r="A2172" s="26">
        <v>11341634</v>
      </c>
      <c r="B2172" s="29" t="s">
        <v>4410</v>
      </c>
      <c r="C2172" s="29" t="s">
        <v>19185</v>
      </c>
      <c r="D2172" s="29" t="s">
        <v>32354</v>
      </c>
      <c r="E2172" s="29" t="s">
        <v>45697</v>
      </c>
      <c r="F2172" s="36" t="s">
        <v>54401</v>
      </c>
      <c r="G2172" s="39">
        <v>4416040.8099999996</v>
      </c>
      <c r="H2172" s="42">
        <v>211</v>
      </c>
    </row>
    <row r="2173" spans="1:8" ht="15" customHeight="1">
      <c r="A2173" s="26">
        <v>11344990</v>
      </c>
      <c r="B2173" s="30" t="s">
        <v>4411</v>
      </c>
      <c r="C2173" s="29" t="s">
        <v>19186</v>
      </c>
      <c r="D2173" s="29" t="s">
        <v>32355</v>
      </c>
      <c r="E2173" s="29" t="s">
        <v>45698</v>
      </c>
      <c r="F2173" s="36" t="s">
        <v>54401</v>
      </c>
      <c r="G2173" s="39">
        <v>145247.60999999999</v>
      </c>
      <c r="H2173" s="42">
        <v>211</v>
      </c>
    </row>
    <row r="2174" spans="1:8" ht="15" customHeight="1">
      <c r="A2174" s="26">
        <v>11427086</v>
      </c>
      <c r="B2174" s="29" t="s">
        <v>4412</v>
      </c>
      <c r="C2174" s="29" t="s">
        <v>19187</v>
      </c>
      <c r="D2174" s="29" t="s">
        <v>32356</v>
      </c>
      <c r="E2174" s="29" t="s">
        <v>45699</v>
      </c>
      <c r="F2174" s="36" t="s">
        <v>54401</v>
      </c>
      <c r="G2174" s="39">
        <f>119223.38+142541</f>
        <v>261764.38</v>
      </c>
      <c r="H2174" s="42">
        <v>211</v>
      </c>
    </row>
    <row r="2175" spans="1:8" ht="15" customHeight="1">
      <c r="A2175" s="26">
        <v>11429647</v>
      </c>
      <c r="B2175" s="29" t="s">
        <v>4413</v>
      </c>
      <c r="C2175" s="29" t="s">
        <v>19188</v>
      </c>
      <c r="D2175" s="29" t="s">
        <v>32357</v>
      </c>
      <c r="E2175" s="29" t="s">
        <v>45700</v>
      </c>
      <c r="F2175" s="36" t="s">
        <v>54401</v>
      </c>
      <c r="G2175" s="39">
        <v>91625.1</v>
      </c>
      <c r="H2175" s="42">
        <v>211</v>
      </c>
    </row>
    <row r="2176" spans="1:8" ht="15" customHeight="1">
      <c r="A2176" s="26">
        <v>11440987</v>
      </c>
      <c r="B2176" s="29" t="s">
        <v>4414</v>
      </c>
      <c r="C2176" s="29" t="s">
        <v>19189</v>
      </c>
      <c r="D2176" s="29" t="s">
        <v>32358</v>
      </c>
      <c r="E2176" s="29" t="s">
        <v>45701</v>
      </c>
      <c r="F2176" s="36" t="s">
        <v>54401</v>
      </c>
      <c r="G2176" s="39">
        <v>529526.36</v>
      </c>
      <c r="H2176" s="42">
        <v>211</v>
      </c>
    </row>
    <row r="2177" spans="1:8" ht="15" customHeight="1">
      <c r="A2177" s="26">
        <v>11511385</v>
      </c>
      <c r="B2177" s="29" t="s">
        <v>4415</v>
      </c>
      <c r="C2177" s="29" t="s">
        <v>19190</v>
      </c>
      <c r="D2177" s="29" t="s">
        <v>32359</v>
      </c>
      <c r="E2177" s="29" t="s">
        <v>45702</v>
      </c>
      <c r="F2177" s="36" t="s">
        <v>54401</v>
      </c>
      <c r="G2177" s="39">
        <v>583711.28</v>
      </c>
      <c r="H2177" s="42">
        <v>211</v>
      </c>
    </row>
    <row r="2178" spans="1:8" ht="15" customHeight="1">
      <c r="A2178" s="26">
        <v>11521370</v>
      </c>
      <c r="B2178" s="29" t="s">
        <v>4416</v>
      </c>
      <c r="C2178" s="29" t="s">
        <v>19191</v>
      </c>
      <c r="D2178" s="29" t="s">
        <v>32360</v>
      </c>
      <c r="E2178" s="29" t="s">
        <v>45703</v>
      </c>
      <c r="F2178" s="36" t="s">
        <v>54401</v>
      </c>
      <c r="G2178" s="39">
        <f>82965.95+2383140+246752</f>
        <v>2712857.95</v>
      </c>
      <c r="H2178" s="42">
        <v>211</v>
      </c>
    </row>
    <row r="2179" spans="1:8" ht="15" customHeight="1">
      <c r="A2179" s="26">
        <v>12201044</v>
      </c>
      <c r="B2179" s="29" t="s">
        <v>4417</v>
      </c>
      <c r="C2179" s="29" t="s">
        <v>19192</v>
      </c>
      <c r="D2179" s="29" t="s">
        <v>32361</v>
      </c>
      <c r="E2179" s="29" t="s">
        <v>45704</v>
      </c>
      <c r="F2179" s="36" t="s">
        <v>54401</v>
      </c>
      <c r="G2179" s="39">
        <f>3233023.52-8546+1723122</f>
        <v>4947599.5199999996</v>
      </c>
      <c r="H2179" s="42">
        <v>211</v>
      </c>
    </row>
    <row r="2180" spans="1:8" ht="15" customHeight="1">
      <c r="A2180" s="26">
        <v>12277749</v>
      </c>
      <c r="B2180" s="29" t="s">
        <v>4418</v>
      </c>
      <c r="C2180" s="29" t="s">
        <v>19193</v>
      </c>
      <c r="D2180" s="29" t="s">
        <v>32362</v>
      </c>
      <c r="E2180" s="29" t="s">
        <v>45705</v>
      </c>
      <c r="F2180" s="36" t="s">
        <v>54401</v>
      </c>
      <c r="G2180" s="39">
        <f>739980.74+790631</f>
        <v>1530611.74</v>
      </c>
      <c r="H2180" s="42">
        <v>211</v>
      </c>
    </row>
    <row r="2181" spans="1:8" ht="15" customHeight="1">
      <c r="A2181" s="26">
        <v>12542134</v>
      </c>
      <c r="B2181" s="29" t="s">
        <v>4419</v>
      </c>
      <c r="C2181" s="29" t="s">
        <v>19194</v>
      </c>
      <c r="D2181" s="29" t="s">
        <v>32363</v>
      </c>
      <c r="E2181" s="29" t="s">
        <v>45706</v>
      </c>
      <c r="F2181" s="36" t="s">
        <v>54401</v>
      </c>
      <c r="G2181" s="39">
        <v>264210.17</v>
      </c>
      <c r="H2181" s="42">
        <v>211</v>
      </c>
    </row>
    <row r="2182" spans="1:8" ht="15" customHeight="1">
      <c r="A2182" s="26">
        <v>12568214</v>
      </c>
      <c r="B2182" s="29" t="s">
        <v>4420</v>
      </c>
      <c r="C2182" s="29" t="s">
        <v>19195</v>
      </c>
      <c r="D2182" s="29" t="s">
        <v>32364</v>
      </c>
      <c r="E2182" s="29" t="s">
        <v>45707</v>
      </c>
      <c r="F2182" s="36" t="s">
        <v>54401</v>
      </c>
      <c r="G2182" s="39">
        <v>489988.18</v>
      </c>
      <c r="H2182" s="42">
        <v>211</v>
      </c>
    </row>
    <row r="2183" spans="1:8" ht="15" customHeight="1">
      <c r="A2183" s="26">
        <v>12969043</v>
      </c>
      <c r="B2183" s="29" t="s">
        <v>4421</v>
      </c>
      <c r="C2183" s="29" t="s">
        <v>19196</v>
      </c>
      <c r="D2183" s="29" t="s">
        <v>32365</v>
      </c>
      <c r="E2183" s="29" t="s">
        <v>45708</v>
      </c>
      <c r="F2183" s="36" t="s">
        <v>54401</v>
      </c>
      <c r="G2183" s="39">
        <v>475595.38</v>
      </c>
      <c r="H2183" s="42">
        <v>211</v>
      </c>
    </row>
    <row r="2184" spans="1:8" ht="15" customHeight="1">
      <c r="A2184" s="26">
        <v>13176456</v>
      </c>
      <c r="B2184" s="29" t="s">
        <v>4422</v>
      </c>
      <c r="C2184" s="29" t="s">
        <v>19197</v>
      </c>
      <c r="D2184" s="29" t="s">
        <v>32366</v>
      </c>
      <c r="E2184" s="29" t="s">
        <v>43926</v>
      </c>
      <c r="F2184" s="36" t="s">
        <v>54401</v>
      </c>
      <c r="G2184" s="39">
        <v>302998.96999999997</v>
      </c>
      <c r="H2184" s="42">
        <v>211</v>
      </c>
    </row>
    <row r="2185" spans="1:8" ht="15" customHeight="1">
      <c r="A2185" s="26">
        <v>13242165</v>
      </c>
      <c r="B2185" s="29" t="s">
        <v>4423</v>
      </c>
      <c r="C2185" s="29" t="s">
        <v>19198</v>
      </c>
      <c r="D2185" s="29" t="s">
        <v>32367</v>
      </c>
      <c r="E2185" s="29" t="s">
        <v>45709</v>
      </c>
      <c r="F2185" s="36" t="s">
        <v>54401</v>
      </c>
      <c r="G2185" s="39">
        <f>5366081.08+169224-23352</f>
        <v>5511953.0800000001</v>
      </c>
      <c r="H2185" s="42">
        <v>211</v>
      </c>
    </row>
    <row r="2186" spans="1:8" ht="15" customHeight="1">
      <c r="A2186" s="26">
        <v>13279031</v>
      </c>
      <c r="B2186" s="29" t="s">
        <v>4424</v>
      </c>
      <c r="C2186" s="29" t="s">
        <v>19199</v>
      </c>
      <c r="D2186" s="29" t="s">
        <v>32368</v>
      </c>
      <c r="E2186" s="29" t="s">
        <v>44094</v>
      </c>
      <c r="F2186" s="36" t="s">
        <v>54401</v>
      </c>
      <c r="G2186" s="39">
        <v>2517147.37</v>
      </c>
      <c r="H2186" s="42">
        <v>211</v>
      </c>
    </row>
    <row r="2187" spans="1:8" ht="15" customHeight="1">
      <c r="A2187" s="26">
        <v>13354296</v>
      </c>
      <c r="B2187" s="29" t="s">
        <v>4425</v>
      </c>
      <c r="C2187" s="29" t="s">
        <v>19200</v>
      </c>
      <c r="D2187" s="29" t="s">
        <v>32369</v>
      </c>
      <c r="E2187" s="29" t="s">
        <v>45710</v>
      </c>
      <c r="F2187" s="36" t="s">
        <v>54401</v>
      </c>
      <c r="G2187" s="39">
        <f>2789190.77+86065</f>
        <v>2875255.77</v>
      </c>
      <c r="H2187" s="42">
        <v>211</v>
      </c>
    </row>
    <row r="2188" spans="1:8" ht="15" customHeight="1">
      <c r="A2188" s="26">
        <v>13449609</v>
      </c>
      <c r="B2188" s="29" t="s">
        <v>4426</v>
      </c>
      <c r="C2188" s="29" t="s">
        <v>19201</v>
      </c>
      <c r="D2188" s="29" t="s">
        <v>32370</v>
      </c>
      <c r="E2188" s="29" t="s">
        <v>45711</v>
      </c>
      <c r="F2188" s="36" t="s">
        <v>54413</v>
      </c>
      <c r="G2188" s="39">
        <f>6291173.71-344965</f>
        <v>5946208.71</v>
      </c>
      <c r="H2188" s="42">
        <v>211</v>
      </c>
    </row>
    <row r="2189" spans="1:8" ht="15" customHeight="1">
      <c r="A2189" s="26">
        <v>13449811</v>
      </c>
      <c r="B2189" s="29" t="s">
        <v>4427</v>
      </c>
      <c r="C2189" s="29" t="s">
        <v>19202</v>
      </c>
      <c r="D2189" s="29" t="s">
        <v>32371</v>
      </c>
      <c r="E2189" s="29" t="s">
        <v>45712</v>
      </c>
      <c r="F2189" s="36" t="s">
        <v>54401</v>
      </c>
      <c r="G2189" s="39">
        <v>249002.14</v>
      </c>
      <c r="H2189" s="42">
        <v>211</v>
      </c>
    </row>
    <row r="2190" spans="1:8" ht="15" customHeight="1">
      <c r="A2190" s="26">
        <v>13459096</v>
      </c>
      <c r="B2190" s="29" t="s">
        <v>4428</v>
      </c>
      <c r="C2190" s="29" t="s">
        <v>19203</v>
      </c>
      <c r="D2190" s="29" t="s">
        <v>32372</v>
      </c>
      <c r="E2190" s="29" t="s">
        <v>45006</v>
      </c>
      <c r="F2190" s="36" t="s">
        <v>54401</v>
      </c>
      <c r="G2190" s="39">
        <v>1942022.22</v>
      </c>
      <c r="H2190" s="42">
        <v>211</v>
      </c>
    </row>
    <row r="2191" spans="1:8" ht="15" customHeight="1">
      <c r="A2191" s="26">
        <v>13464639</v>
      </c>
      <c r="B2191" s="29" t="s">
        <v>4429</v>
      </c>
      <c r="C2191" s="26" t="s">
        <v>19204</v>
      </c>
      <c r="D2191" s="26" t="s">
        <v>32373</v>
      </c>
      <c r="E2191" s="26" t="s">
        <v>45713</v>
      </c>
      <c r="F2191" s="37" t="s">
        <v>54401</v>
      </c>
      <c r="G2191" s="39">
        <v>321268.81</v>
      </c>
      <c r="H2191" s="42">
        <v>211</v>
      </c>
    </row>
    <row r="2192" spans="1:8" ht="15" customHeight="1">
      <c r="A2192" s="26">
        <v>13472036</v>
      </c>
      <c r="B2192" s="29" t="s">
        <v>4430</v>
      </c>
      <c r="C2192" s="29" t="s">
        <v>19205</v>
      </c>
      <c r="D2192" s="29" t="s">
        <v>32374</v>
      </c>
      <c r="E2192" s="29" t="s">
        <v>45714</v>
      </c>
      <c r="F2192" s="36" t="s">
        <v>54401</v>
      </c>
      <c r="G2192" s="39">
        <v>1896824.52</v>
      </c>
      <c r="H2192" s="42">
        <v>211</v>
      </c>
    </row>
    <row r="2193" spans="1:8" ht="15" customHeight="1">
      <c r="A2193" s="26">
        <v>13473580</v>
      </c>
      <c r="B2193" s="29" t="s">
        <v>4431</v>
      </c>
      <c r="C2193" s="29" t="s">
        <v>19206</v>
      </c>
      <c r="D2193" s="29" t="s">
        <v>32375</v>
      </c>
      <c r="E2193" s="29" t="s">
        <v>45715</v>
      </c>
      <c r="F2193" s="36" t="s">
        <v>54401</v>
      </c>
      <c r="G2193" s="39">
        <v>722136.26</v>
      </c>
      <c r="H2193" s="42">
        <v>211</v>
      </c>
    </row>
    <row r="2194" spans="1:8" ht="15" customHeight="1">
      <c r="A2194" s="26">
        <v>13474887</v>
      </c>
      <c r="B2194" s="29" t="s">
        <v>4432</v>
      </c>
      <c r="C2194" s="29" t="s">
        <v>19207</v>
      </c>
      <c r="D2194" s="29" t="s">
        <v>32376</v>
      </c>
      <c r="E2194" s="29" t="s">
        <v>45716</v>
      </c>
      <c r="F2194" s="36" t="s">
        <v>54401</v>
      </c>
      <c r="G2194" s="39">
        <v>3716177.91</v>
      </c>
      <c r="H2194" s="42">
        <v>211</v>
      </c>
    </row>
    <row r="2195" spans="1:8" ht="15" customHeight="1">
      <c r="A2195" s="26">
        <v>13474947</v>
      </c>
      <c r="B2195" s="29" t="s">
        <v>4433</v>
      </c>
      <c r="C2195" s="29" t="s">
        <v>19208</v>
      </c>
      <c r="D2195" s="29" t="s">
        <v>32377</v>
      </c>
      <c r="E2195" s="29" t="s">
        <v>45717</v>
      </c>
      <c r="F2195" s="36" t="s">
        <v>54401</v>
      </c>
      <c r="G2195" s="39">
        <v>1170402.03</v>
      </c>
      <c r="H2195" s="42">
        <v>211</v>
      </c>
    </row>
    <row r="2196" spans="1:8" ht="15" customHeight="1">
      <c r="A2196" s="26">
        <v>13507592</v>
      </c>
      <c r="B2196" s="29" t="s">
        <v>4434</v>
      </c>
      <c r="C2196" s="29" t="s">
        <v>19209</v>
      </c>
      <c r="D2196" s="29" t="s">
        <v>32378</v>
      </c>
      <c r="E2196" s="29" t="s">
        <v>618</v>
      </c>
      <c r="F2196" s="36" t="s">
        <v>54425</v>
      </c>
      <c r="G2196" s="39">
        <v>879080.26</v>
      </c>
      <c r="H2196" s="42">
        <v>211</v>
      </c>
    </row>
    <row r="2197" spans="1:8" ht="15" customHeight="1">
      <c r="A2197" s="26">
        <v>13509176</v>
      </c>
      <c r="B2197" s="29" t="s">
        <v>4435</v>
      </c>
      <c r="C2197" s="29" t="s">
        <v>19210</v>
      </c>
      <c r="D2197" s="29" t="s">
        <v>32379</v>
      </c>
      <c r="E2197" s="29" t="s">
        <v>45718</v>
      </c>
      <c r="F2197" s="36" t="s">
        <v>54401</v>
      </c>
      <c r="G2197" s="39">
        <v>43130.67</v>
      </c>
      <c r="H2197" s="42">
        <v>211</v>
      </c>
    </row>
    <row r="2198" spans="1:8" ht="15" customHeight="1">
      <c r="A2198" s="26">
        <v>13513877</v>
      </c>
      <c r="B2198" s="29" t="s">
        <v>4436</v>
      </c>
      <c r="C2198" s="29" t="s">
        <v>19211</v>
      </c>
      <c r="D2198" s="29" t="s">
        <v>32380</v>
      </c>
      <c r="E2198" s="29" t="s">
        <v>45719</v>
      </c>
      <c r="F2198" s="36" t="s">
        <v>54401</v>
      </c>
      <c r="G2198" s="39">
        <f>3295643.43+318223</f>
        <v>3613866.43</v>
      </c>
      <c r="H2198" s="42">
        <v>211</v>
      </c>
    </row>
    <row r="2199" spans="1:8" ht="15" customHeight="1">
      <c r="A2199" s="26">
        <v>13516199</v>
      </c>
      <c r="B2199" s="29" t="s">
        <v>4437</v>
      </c>
      <c r="C2199" s="29" t="s">
        <v>19212</v>
      </c>
      <c r="D2199" s="29" t="s">
        <v>32381</v>
      </c>
      <c r="E2199" s="29" t="s">
        <v>43926</v>
      </c>
      <c r="F2199" s="36" t="s">
        <v>54401</v>
      </c>
      <c r="G2199" s="39">
        <v>190357.36</v>
      </c>
      <c r="H2199" s="42">
        <v>211</v>
      </c>
    </row>
    <row r="2200" spans="1:8" ht="15" customHeight="1">
      <c r="A2200" s="26">
        <v>13520721</v>
      </c>
      <c r="B2200" s="29" t="s">
        <v>4438</v>
      </c>
      <c r="C2200" s="26" t="s">
        <v>19213</v>
      </c>
      <c r="D2200" s="26" t="s">
        <v>32382</v>
      </c>
      <c r="E2200" s="26" t="s">
        <v>45720</v>
      </c>
      <c r="F2200" s="37" t="s">
        <v>54401</v>
      </c>
      <c r="G2200" s="39">
        <f>771884.64+590890</f>
        <v>1362774.6400000001</v>
      </c>
      <c r="H2200" s="42">
        <v>211</v>
      </c>
    </row>
    <row r="2201" spans="1:8" ht="15" customHeight="1">
      <c r="A2201" s="26">
        <v>13520947</v>
      </c>
      <c r="B2201" s="29" t="s">
        <v>4439</v>
      </c>
      <c r="C2201" s="29" t="s">
        <v>17204</v>
      </c>
      <c r="D2201" s="29" t="s">
        <v>30349</v>
      </c>
      <c r="E2201" s="29" t="s">
        <v>43926</v>
      </c>
      <c r="F2201" s="36" t="s">
        <v>54401</v>
      </c>
      <c r="G2201" s="39">
        <v>67020.84</v>
      </c>
      <c r="H2201" s="42">
        <v>211</v>
      </c>
    </row>
    <row r="2202" spans="1:8" ht="15" customHeight="1">
      <c r="A2202" s="26">
        <v>13536944</v>
      </c>
      <c r="B2202" s="29" t="s">
        <v>4440</v>
      </c>
      <c r="C2202" s="26" t="s">
        <v>19214</v>
      </c>
      <c r="D2202" s="26" t="s">
        <v>32383</v>
      </c>
      <c r="E2202" s="26" t="s">
        <v>45721</v>
      </c>
      <c r="F2202" s="37" t="s">
        <v>54401</v>
      </c>
      <c r="G2202" s="39">
        <v>222508.74</v>
      </c>
      <c r="H2202" s="42">
        <v>211</v>
      </c>
    </row>
    <row r="2203" spans="1:8" ht="15" customHeight="1">
      <c r="A2203" s="26">
        <v>13541061</v>
      </c>
      <c r="B2203" s="29" t="s">
        <v>4441</v>
      </c>
      <c r="C2203" s="29" t="s">
        <v>19215</v>
      </c>
      <c r="D2203" s="29" t="s">
        <v>32384</v>
      </c>
      <c r="E2203" s="29" t="s">
        <v>45722</v>
      </c>
      <c r="F2203" s="36" t="s">
        <v>54401</v>
      </c>
      <c r="G2203" s="39">
        <f>7547102.42+140654+52210</f>
        <v>7739966.4199999999</v>
      </c>
      <c r="H2203" s="42">
        <v>211</v>
      </c>
    </row>
    <row r="2204" spans="1:8" ht="15" customHeight="1">
      <c r="A2204" s="26">
        <v>13542147</v>
      </c>
      <c r="B2204" s="29" t="s">
        <v>4442</v>
      </c>
      <c r="C2204" s="29" t="s">
        <v>17204</v>
      </c>
      <c r="D2204" s="29" t="s">
        <v>30349</v>
      </c>
      <c r="E2204" s="29" t="s">
        <v>43926</v>
      </c>
      <c r="F2204" s="36" t="s">
        <v>54401</v>
      </c>
      <c r="G2204" s="39">
        <v>161210.07999999999</v>
      </c>
      <c r="H2204" s="42">
        <v>211</v>
      </c>
    </row>
    <row r="2205" spans="1:8" ht="15" customHeight="1">
      <c r="A2205" s="26">
        <v>13567926</v>
      </c>
      <c r="B2205" s="29" t="s">
        <v>4443</v>
      </c>
      <c r="C2205" s="29" t="s">
        <v>19216</v>
      </c>
      <c r="D2205" s="29" t="s">
        <v>32385</v>
      </c>
      <c r="E2205" s="29" t="s">
        <v>45723</v>
      </c>
      <c r="F2205" s="36" t="s">
        <v>54401</v>
      </c>
      <c r="G2205" s="39">
        <f>319988.82+44814</f>
        <v>364802.82</v>
      </c>
      <c r="H2205" s="42">
        <v>211</v>
      </c>
    </row>
    <row r="2206" spans="1:8" ht="15" customHeight="1">
      <c r="A2206" s="26">
        <v>13617586</v>
      </c>
      <c r="B2206" s="29" t="s">
        <v>4444</v>
      </c>
      <c r="C2206" s="29" t="s">
        <v>19217</v>
      </c>
      <c r="D2206" s="29" t="s">
        <v>32386</v>
      </c>
      <c r="E2206" s="29" t="s">
        <v>45724</v>
      </c>
      <c r="F2206" s="36" t="s">
        <v>54401</v>
      </c>
      <c r="G2206" s="39">
        <v>1858647.04</v>
      </c>
      <c r="H2206" s="42">
        <v>211</v>
      </c>
    </row>
    <row r="2207" spans="1:8" ht="15" customHeight="1">
      <c r="A2207" s="26">
        <v>13617813</v>
      </c>
      <c r="B2207" s="29" t="s">
        <v>4445</v>
      </c>
      <c r="C2207" s="29" t="s">
        <v>19218</v>
      </c>
      <c r="D2207" s="29" t="s">
        <v>32387</v>
      </c>
      <c r="E2207" s="29" t="s">
        <v>45725</v>
      </c>
      <c r="F2207" s="36" t="s">
        <v>54401</v>
      </c>
      <c r="G2207" s="39">
        <v>2503067.25</v>
      </c>
      <c r="H2207" s="42">
        <v>211</v>
      </c>
    </row>
    <row r="2208" spans="1:8" ht="15" customHeight="1">
      <c r="A2208" s="26">
        <v>13686290</v>
      </c>
      <c r="B2208" s="29" t="s">
        <v>4446</v>
      </c>
      <c r="C2208" s="29" t="s">
        <v>17204</v>
      </c>
      <c r="D2208" s="29" t="s">
        <v>30349</v>
      </c>
      <c r="E2208" s="29" t="s">
        <v>43926</v>
      </c>
      <c r="F2208" s="36" t="s">
        <v>54401</v>
      </c>
      <c r="G2208" s="39">
        <v>109242.53</v>
      </c>
      <c r="H2208" s="42">
        <v>211</v>
      </c>
    </row>
    <row r="2209" spans="1:8" ht="15" customHeight="1">
      <c r="A2209" s="26">
        <v>13700689</v>
      </c>
      <c r="B2209" s="29" t="s">
        <v>4447</v>
      </c>
      <c r="C2209" s="29" t="s">
        <v>19219</v>
      </c>
      <c r="D2209" s="29" t="s">
        <v>32388</v>
      </c>
      <c r="E2209" s="29" t="s">
        <v>731</v>
      </c>
      <c r="F2209" s="36" t="s">
        <v>54401</v>
      </c>
      <c r="G2209" s="39">
        <f>2033817.88+254235</f>
        <v>2288052.88</v>
      </c>
      <c r="H2209" s="42">
        <v>211</v>
      </c>
    </row>
    <row r="2210" spans="1:8" ht="15" customHeight="1">
      <c r="A2210" s="26">
        <v>13702581</v>
      </c>
      <c r="B2210" s="29" t="s">
        <v>4448</v>
      </c>
      <c r="C2210" s="29" t="s">
        <v>19220</v>
      </c>
      <c r="D2210" s="29" t="s">
        <v>32389</v>
      </c>
      <c r="E2210" s="29" t="s">
        <v>45726</v>
      </c>
      <c r="F2210" s="36" t="s">
        <v>54401</v>
      </c>
      <c r="G2210" s="39">
        <f>3984590.5+277472</f>
        <v>4262062.5</v>
      </c>
      <c r="H2210" s="42">
        <v>211</v>
      </c>
    </row>
    <row r="2211" spans="1:8" ht="15" customHeight="1">
      <c r="A2211" s="26">
        <v>13702857</v>
      </c>
      <c r="B2211" s="29" t="s">
        <v>4449</v>
      </c>
      <c r="C2211" s="29" t="s">
        <v>19221</v>
      </c>
      <c r="D2211" s="29" t="s">
        <v>32390</v>
      </c>
      <c r="E2211" s="29" t="s">
        <v>45727</v>
      </c>
      <c r="F2211" s="36" t="s">
        <v>54402</v>
      </c>
      <c r="G2211" s="39">
        <f>33997040.04-286264</f>
        <v>33710776.039999999</v>
      </c>
      <c r="H2211" s="42">
        <v>211</v>
      </c>
    </row>
    <row r="2212" spans="1:8" ht="15" customHeight="1">
      <c r="A2212" s="26">
        <v>13704217</v>
      </c>
      <c r="B2212" s="29" t="s">
        <v>4450</v>
      </c>
      <c r="C2212" s="29" t="s">
        <v>19222</v>
      </c>
      <c r="D2212" s="29" t="s">
        <v>32391</v>
      </c>
      <c r="E2212" s="29" t="s">
        <v>45728</v>
      </c>
      <c r="F2212" s="36" t="s">
        <v>54401</v>
      </c>
      <c r="G2212" s="39">
        <v>1765934.38</v>
      </c>
      <c r="H2212" s="42">
        <v>211</v>
      </c>
    </row>
    <row r="2213" spans="1:8" ht="15" customHeight="1">
      <c r="A2213" s="26">
        <v>13717379</v>
      </c>
      <c r="B2213" s="29" t="s">
        <v>4451</v>
      </c>
      <c r="C2213" s="29" t="s">
        <v>19223</v>
      </c>
      <c r="D2213" s="29" t="s">
        <v>32392</v>
      </c>
      <c r="E2213" s="29" t="s">
        <v>45729</v>
      </c>
      <c r="F2213" s="36" t="s">
        <v>54401</v>
      </c>
      <c r="G2213" s="39">
        <v>529608.87</v>
      </c>
      <c r="H2213" s="42">
        <v>211</v>
      </c>
    </row>
    <row r="2214" spans="1:8" ht="15" customHeight="1">
      <c r="A2214" s="26">
        <v>13742609</v>
      </c>
      <c r="B2214" s="29" t="s">
        <v>4452</v>
      </c>
      <c r="C2214" s="26" t="s">
        <v>19224</v>
      </c>
      <c r="D2214" s="26" t="s">
        <v>32393</v>
      </c>
      <c r="E2214" s="26" t="s">
        <v>45730</v>
      </c>
      <c r="F2214" s="37" t="s">
        <v>54401</v>
      </c>
      <c r="G2214" s="39">
        <v>77340.77</v>
      </c>
      <c r="H2214" s="42">
        <v>211</v>
      </c>
    </row>
    <row r="2215" spans="1:8" ht="15" customHeight="1">
      <c r="A2215" s="26">
        <v>13743023</v>
      </c>
      <c r="B2215" s="29" t="s">
        <v>4453</v>
      </c>
      <c r="C2215" s="29" t="s">
        <v>19225</v>
      </c>
      <c r="D2215" s="29" t="s">
        <v>32394</v>
      </c>
      <c r="E2215" s="29" t="s">
        <v>43926</v>
      </c>
      <c r="F2215" s="36" t="s">
        <v>54401</v>
      </c>
      <c r="G2215" s="39">
        <v>1722767.05</v>
      </c>
      <c r="H2215" s="42">
        <v>211</v>
      </c>
    </row>
    <row r="2216" spans="1:8" ht="15" customHeight="1">
      <c r="A2216" s="26">
        <v>13744890</v>
      </c>
      <c r="B2216" s="29" t="s">
        <v>4454</v>
      </c>
      <c r="C2216" s="29" t="s">
        <v>19226</v>
      </c>
      <c r="D2216" s="29" t="s">
        <v>32395</v>
      </c>
      <c r="E2216" s="29" t="s">
        <v>45731</v>
      </c>
      <c r="F2216" s="36" t="s">
        <v>54401</v>
      </c>
      <c r="G2216" s="39">
        <v>660508.04</v>
      </c>
      <c r="H2216" s="42">
        <v>211</v>
      </c>
    </row>
    <row r="2217" spans="1:8" ht="15" customHeight="1">
      <c r="A2217" s="26">
        <v>13745865</v>
      </c>
      <c r="B2217" s="29" t="s">
        <v>4455</v>
      </c>
      <c r="C2217" s="29" t="s">
        <v>19227</v>
      </c>
      <c r="D2217" s="29" t="s">
        <v>32396</v>
      </c>
      <c r="E2217" s="29" t="s">
        <v>45732</v>
      </c>
      <c r="F2217" s="36" t="s">
        <v>54401</v>
      </c>
      <c r="G2217" s="39">
        <v>844307.54</v>
      </c>
      <c r="H2217" s="42">
        <v>211</v>
      </c>
    </row>
    <row r="2218" spans="1:8" ht="15" customHeight="1">
      <c r="A2218" s="26">
        <v>13746948</v>
      </c>
      <c r="B2218" s="29" t="s">
        <v>4456</v>
      </c>
      <c r="C2218" s="29" t="s">
        <v>19228</v>
      </c>
      <c r="D2218" s="29" t="s">
        <v>32397</v>
      </c>
      <c r="E2218" s="29" t="s">
        <v>45733</v>
      </c>
      <c r="F2218" s="36" t="s">
        <v>54401</v>
      </c>
      <c r="G2218" s="39">
        <v>1452953.93</v>
      </c>
      <c r="H2218" s="42">
        <v>211</v>
      </c>
    </row>
    <row r="2219" spans="1:8" ht="15" customHeight="1">
      <c r="A2219" s="26">
        <v>13762230</v>
      </c>
      <c r="B2219" s="29" t="s">
        <v>4457</v>
      </c>
      <c r="C2219" s="29" t="s">
        <v>19229</v>
      </c>
      <c r="D2219" s="29" t="s">
        <v>32398</v>
      </c>
      <c r="E2219" s="29" t="s">
        <v>44345</v>
      </c>
      <c r="F2219" s="36" t="s">
        <v>54401</v>
      </c>
      <c r="G2219" s="39">
        <v>632096.34</v>
      </c>
      <c r="H2219" s="42">
        <v>211</v>
      </c>
    </row>
    <row r="2220" spans="1:8" ht="15" customHeight="1">
      <c r="A2220" s="26">
        <v>13775831</v>
      </c>
      <c r="B2220" s="29" t="s">
        <v>4458</v>
      </c>
      <c r="C2220" s="26" t="s">
        <v>19230</v>
      </c>
      <c r="D2220" s="26" t="s">
        <v>32399</v>
      </c>
      <c r="E2220" s="26" t="s">
        <v>45734</v>
      </c>
      <c r="F2220" s="37" t="s">
        <v>54401</v>
      </c>
      <c r="G2220" s="39">
        <v>7100</v>
      </c>
      <c r="H2220" s="42">
        <v>211</v>
      </c>
    </row>
    <row r="2221" spans="1:8" ht="15" customHeight="1">
      <c r="A2221" s="26">
        <v>13800107</v>
      </c>
      <c r="B2221" s="29" t="s">
        <v>4459</v>
      </c>
      <c r="C2221" s="29" t="s">
        <v>19231</v>
      </c>
      <c r="D2221" s="29" t="s">
        <v>32400</v>
      </c>
      <c r="E2221" s="29" t="s">
        <v>45735</v>
      </c>
      <c r="F2221" s="36" t="s">
        <v>54401</v>
      </c>
      <c r="G2221" s="39">
        <f>651985.93+372011</f>
        <v>1023996.93</v>
      </c>
      <c r="H2221" s="42">
        <v>211</v>
      </c>
    </row>
    <row r="2222" spans="1:8" ht="15" customHeight="1">
      <c r="A2222" s="26">
        <v>13837472</v>
      </c>
      <c r="B2222" s="29" t="s">
        <v>4460</v>
      </c>
      <c r="C2222" s="26" t="s">
        <v>19232</v>
      </c>
      <c r="D2222" s="26" t="s">
        <v>32401</v>
      </c>
      <c r="E2222" s="26" t="s">
        <v>45736</v>
      </c>
      <c r="F2222" s="37" t="s">
        <v>54401</v>
      </c>
      <c r="G2222" s="39">
        <v>2976747.11</v>
      </c>
      <c r="H2222" s="42">
        <v>211</v>
      </c>
    </row>
    <row r="2223" spans="1:8" ht="15" customHeight="1">
      <c r="A2223" s="26">
        <v>13840646</v>
      </c>
      <c r="B2223" s="29" t="s">
        <v>4461</v>
      </c>
      <c r="C2223" s="29" t="s">
        <v>19233</v>
      </c>
      <c r="D2223" s="29" t="s">
        <v>32402</v>
      </c>
      <c r="E2223" s="29" t="s">
        <v>45737</v>
      </c>
      <c r="F2223" s="36" t="s">
        <v>54401</v>
      </c>
      <c r="G2223" s="39">
        <f>1455436.23+19335+45263</f>
        <v>1520034.23</v>
      </c>
      <c r="H2223" s="42">
        <v>211</v>
      </c>
    </row>
    <row r="2224" spans="1:8" ht="15" customHeight="1">
      <c r="A2224" s="26">
        <v>13840759</v>
      </c>
      <c r="B2224" s="29" t="s">
        <v>4462</v>
      </c>
      <c r="C2224" s="29" t="s">
        <v>19234</v>
      </c>
      <c r="D2224" s="29" t="s">
        <v>32403</v>
      </c>
      <c r="E2224" s="29" t="s">
        <v>45738</v>
      </c>
      <c r="F2224" s="36" t="s">
        <v>54401</v>
      </c>
      <c r="G2224" s="39">
        <v>2320303.42</v>
      </c>
      <c r="H2224" s="42">
        <v>211</v>
      </c>
    </row>
    <row r="2225" spans="1:8" ht="15" customHeight="1">
      <c r="A2225" s="26">
        <v>13841377</v>
      </c>
      <c r="B2225" s="29" t="s">
        <v>4463</v>
      </c>
      <c r="C2225" s="29" t="s">
        <v>19235</v>
      </c>
      <c r="D2225" s="29" t="s">
        <v>32404</v>
      </c>
      <c r="E2225" s="29" t="s">
        <v>45739</v>
      </c>
      <c r="F2225" s="36" t="s">
        <v>54401</v>
      </c>
      <c r="G2225" s="39">
        <v>66834.33</v>
      </c>
      <c r="H2225" s="42">
        <v>211</v>
      </c>
    </row>
    <row r="2226" spans="1:8" ht="15" customHeight="1">
      <c r="A2226" s="26">
        <v>13844759</v>
      </c>
      <c r="B2226" s="29" t="s">
        <v>4464</v>
      </c>
      <c r="C2226" s="29" t="s">
        <v>19236</v>
      </c>
      <c r="D2226" s="29" t="s">
        <v>32405</v>
      </c>
      <c r="E2226" s="29" t="s">
        <v>45740</v>
      </c>
      <c r="F2226" s="36" t="s">
        <v>54401</v>
      </c>
      <c r="G2226" s="39">
        <v>4032187.53</v>
      </c>
      <c r="H2226" s="42">
        <v>211</v>
      </c>
    </row>
    <row r="2227" spans="1:8" ht="15" customHeight="1">
      <c r="A2227" s="26">
        <v>13854123</v>
      </c>
      <c r="B2227" s="29" t="s">
        <v>4465</v>
      </c>
      <c r="C2227" s="29" t="s">
        <v>19237</v>
      </c>
      <c r="D2227" s="29" t="s">
        <v>32406</v>
      </c>
      <c r="E2227" s="29" t="s">
        <v>45741</v>
      </c>
      <c r="F2227" s="36" t="s">
        <v>54401</v>
      </c>
      <c r="G2227" s="39">
        <v>263581.59999999998</v>
      </c>
      <c r="H2227" s="42">
        <v>211</v>
      </c>
    </row>
    <row r="2228" spans="1:8" ht="15" customHeight="1">
      <c r="A2228" s="26">
        <v>13860991</v>
      </c>
      <c r="B2228" s="29" t="s">
        <v>4466</v>
      </c>
      <c r="C2228" s="29" t="s">
        <v>19238</v>
      </c>
      <c r="D2228" s="29" t="s">
        <v>32407</v>
      </c>
      <c r="E2228" s="29" t="s">
        <v>45742</v>
      </c>
      <c r="F2228" s="36" t="s">
        <v>54401</v>
      </c>
      <c r="G2228" s="39">
        <v>1050256.19</v>
      </c>
      <c r="H2228" s="42">
        <v>211</v>
      </c>
    </row>
    <row r="2229" spans="1:8" ht="15" customHeight="1">
      <c r="A2229" s="26">
        <v>13882655</v>
      </c>
      <c r="B2229" s="29" t="s">
        <v>4467</v>
      </c>
      <c r="C2229" s="26" t="s">
        <v>19239</v>
      </c>
      <c r="D2229" s="26" t="s">
        <v>32408</v>
      </c>
      <c r="E2229" s="26" t="s">
        <v>45743</v>
      </c>
      <c r="F2229" s="37" t="s">
        <v>54401</v>
      </c>
      <c r="G2229" s="39">
        <v>322496.38</v>
      </c>
      <c r="H2229" s="42">
        <v>211</v>
      </c>
    </row>
    <row r="2230" spans="1:8" ht="15" customHeight="1">
      <c r="A2230" s="26">
        <v>13886672</v>
      </c>
      <c r="B2230" s="29" t="s">
        <v>4468</v>
      </c>
      <c r="C2230" s="29" t="s">
        <v>19240</v>
      </c>
      <c r="D2230" s="29" t="s">
        <v>32409</v>
      </c>
      <c r="E2230" s="29" t="s">
        <v>45744</v>
      </c>
      <c r="F2230" s="36" t="s">
        <v>54401</v>
      </c>
      <c r="G2230" s="39">
        <v>132455.09</v>
      </c>
      <c r="H2230" s="42">
        <v>211</v>
      </c>
    </row>
    <row r="2231" spans="1:8" ht="15" customHeight="1">
      <c r="A2231" s="26">
        <v>13906375</v>
      </c>
      <c r="B2231" s="29" t="s">
        <v>4469</v>
      </c>
      <c r="C2231" s="26" t="s">
        <v>19241</v>
      </c>
      <c r="D2231" s="26" t="s">
        <v>30376</v>
      </c>
      <c r="E2231" s="26" t="s">
        <v>45745</v>
      </c>
      <c r="F2231" s="37" t="s">
        <v>54406</v>
      </c>
      <c r="G2231" s="39">
        <v>459220.98</v>
      </c>
      <c r="H2231" s="42">
        <v>211</v>
      </c>
    </row>
    <row r="2232" spans="1:8" ht="15" customHeight="1">
      <c r="A2232" s="26">
        <v>13906589</v>
      </c>
      <c r="B2232" s="29" t="s">
        <v>4470</v>
      </c>
      <c r="C2232" s="29" t="s">
        <v>17204</v>
      </c>
      <c r="D2232" s="29" t="s">
        <v>32410</v>
      </c>
      <c r="E2232" s="29" t="s">
        <v>43926</v>
      </c>
      <c r="F2232" s="36" t="s">
        <v>54401</v>
      </c>
      <c r="G2232" s="39">
        <v>204532.95</v>
      </c>
      <c r="H2232" s="42">
        <v>211</v>
      </c>
    </row>
    <row r="2233" spans="1:8" ht="15" customHeight="1">
      <c r="A2233" s="26">
        <v>13921429</v>
      </c>
      <c r="B2233" s="29" t="s">
        <v>4471</v>
      </c>
      <c r="C2233" s="29" t="s">
        <v>19242</v>
      </c>
      <c r="D2233" s="29" t="s">
        <v>32411</v>
      </c>
      <c r="E2233" s="29" t="s">
        <v>45746</v>
      </c>
      <c r="F2233" s="36" t="s">
        <v>54412</v>
      </c>
      <c r="G2233" s="39">
        <v>688025.32</v>
      </c>
      <c r="H2233" s="42">
        <v>211</v>
      </c>
    </row>
    <row r="2234" spans="1:8" ht="15" customHeight="1">
      <c r="A2234" s="26">
        <v>13924303</v>
      </c>
      <c r="B2234" s="29" t="s">
        <v>4472</v>
      </c>
      <c r="C2234" s="29" t="s">
        <v>19243</v>
      </c>
      <c r="D2234" s="29" t="s">
        <v>32412</v>
      </c>
      <c r="E2234" s="29" t="s">
        <v>45747</v>
      </c>
      <c r="F2234" s="36" t="s">
        <v>54401</v>
      </c>
      <c r="G2234" s="39">
        <v>3467825.78</v>
      </c>
      <c r="H2234" s="42">
        <v>211</v>
      </c>
    </row>
    <row r="2235" spans="1:8" ht="15" customHeight="1">
      <c r="A2235" s="26">
        <v>13929111</v>
      </c>
      <c r="B2235" s="29" t="s">
        <v>4473</v>
      </c>
      <c r="C2235" s="29" t="s">
        <v>19244</v>
      </c>
      <c r="D2235" s="29" t="s">
        <v>32413</v>
      </c>
      <c r="E2235" s="29" t="s">
        <v>45748</v>
      </c>
      <c r="F2235" s="36" t="s">
        <v>54401</v>
      </c>
      <c r="G2235" s="39">
        <v>3313615.48</v>
      </c>
      <c r="H2235" s="42">
        <v>211</v>
      </c>
    </row>
    <row r="2236" spans="1:8" ht="15" customHeight="1">
      <c r="A2236" s="26">
        <v>13929318</v>
      </c>
      <c r="B2236" s="29" t="s">
        <v>4474</v>
      </c>
      <c r="C2236" s="29" t="s">
        <v>17204</v>
      </c>
      <c r="D2236" s="29" t="s">
        <v>30349</v>
      </c>
      <c r="E2236" s="29" t="s">
        <v>43926</v>
      </c>
      <c r="F2236" s="36" t="s">
        <v>54401</v>
      </c>
      <c r="G2236" s="39">
        <v>319696.96999999997</v>
      </c>
      <c r="H2236" s="42">
        <v>211</v>
      </c>
    </row>
    <row r="2237" spans="1:8" ht="15" customHeight="1">
      <c r="A2237" s="26">
        <v>13929630</v>
      </c>
      <c r="B2237" s="29" t="s">
        <v>4475</v>
      </c>
      <c r="C2237" s="26" t="s">
        <v>19245</v>
      </c>
      <c r="D2237" s="26" t="s">
        <v>32414</v>
      </c>
      <c r="E2237" s="26" t="s">
        <v>44131</v>
      </c>
      <c r="F2237" s="37" t="s">
        <v>54401</v>
      </c>
      <c r="G2237" s="39">
        <v>460210.66</v>
      </c>
      <c r="H2237" s="42">
        <v>211</v>
      </c>
    </row>
    <row r="2238" spans="1:8" ht="15" customHeight="1">
      <c r="A2238" s="26">
        <v>13991927</v>
      </c>
      <c r="B2238" s="29" t="s">
        <v>4476</v>
      </c>
      <c r="C2238" s="29" t="s">
        <v>19246</v>
      </c>
      <c r="D2238" s="29" t="s">
        <v>32415</v>
      </c>
      <c r="E2238" s="29" t="s">
        <v>45749</v>
      </c>
      <c r="F2238" s="36" t="s">
        <v>54401</v>
      </c>
      <c r="G2238" s="39">
        <v>1143244.6200000001</v>
      </c>
      <c r="H2238" s="42">
        <v>211</v>
      </c>
    </row>
    <row r="2239" spans="1:8" ht="15" customHeight="1">
      <c r="A2239" s="26">
        <v>14011694</v>
      </c>
      <c r="B2239" s="29" t="s">
        <v>4477</v>
      </c>
      <c r="C2239" s="29" t="s">
        <v>17204</v>
      </c>
      <c r="D2239" s="29" t="s">
        <v>30349</v>
      </c>
      <c r="E2239" s="29" t="s">
        <v>43926</v>
      </c>
      <c r="F2239" s="36" t="s">
        <v>54401</v>
      </c>
      <c r="G2239" s="39">
        <v>352576.1</v>
      </c>
      <c r="H2239" s="42">
        <v>211</v>
      </c>
    </row>
    <row r="2240" spans="1:8" ht="15" customHeight="1">
      <c r="A2240" s="26">
        <v>14249776</v>
      </c>
      <c r="B2240" s="29" t="s">
        <v>4478</v>
      </c>
      <c r="C2240" s="29" t="s">
        <v>19247</v>
      </c>
      <c r="D2240" s="29" t="s">
        <v>32416</v>
      </c>
      <c r="E2240" s="29" t="s">
        <v>45750</v>
      </c>
      <c r="F2240" s="36" t="s">
        <v>54401</v>
      </c>
      <c r="G2240" s="39">
        <f>679317.36+273701</f>
        <v>953018.36</v>
      </c>
      <c r="H2240" s="42">
        <v>211</v>
      </c>
    </row>
    <row r="2241" spans="1:8" ht="15" customHeight="1">
      <c r="A2241" s="26">
        <v>14251920</v>
      </c>
      <c r="B2241" s="29" t="s">
        <v>4479</v>
      </c>
      <c r="C2241" s="29" t="s">
        <v>19248</v>
      </c>
      <c r="D2241" s="29" t="s">
        <v>32417</v>
      </c>
      <c r="E2241" s="29" t="s">
        <v>43926</v>
      </c>
      <c r="F2241" s="36" t="s">
        <v>54401</v>
      </c>
      <c r="G2241" s="39">
        <v>84317.93</v>
      </c>
      <c r="H2241" s="42">
        <v>211</v>
      </c>
    </row>
    <row r="2242" spans="1:8" ht="15" customHeight="1">
      <c r="A2242" s="26">
        <v>14321389</v>
      </c>
      <c r="B2242" s="29" t="s">
        <v>4480</v>
      </c>
      <c r="C2242" s="29" t="s">
        <v>19249</v>
      </c>
      <c r="D2242" s="29" t="s">
        <v>32418</v>
      </c>
      <c r="E2242" s="29" t="s">
        <v>45751</v>
      </c>
      <c r="F2242" s="36" t="s">
        <v>54401</v>
      </c>
      <c r="G2242" s="39">
        <v>2658353.21</v>
      </c>
      <c r="H2242" s="42">
        <v>211</v>
      </c>
    </row>
    <row r="2243" spans="1:8" ht="15" customHeight="1">
      <c r="A2243" s="26">
        <v>14399538</v>
      </c>
      <c r="B2243" s="29" t="s">
        <v>4481</v>
      </c>
      <c r="C2243" s="29" t="s">
        <v>19250</v>
      </c>
      <c r="D2243" s="29" t="s">
        <v>32419</v>
      </c>
      <c r="E2243" s="29" t="s">
        <v>45752</v>
      </c>
      <c r="F2243" s="36" t="s">
        <v>54401</v>
      </c>
      <c r="G2243" s="39">
        <v>3534469.78</v>
      </c>
      <c r="H2243" s="42">
        <v>211</v>
      </c>
    </row>
    <row r="2244" spans="1:8" ht="15" customHeight="1">
      <c r="A2244" s="26">
        <v>16161197</v>
      </c>
      <c r="B2244" s="29" t="s">
        <v>4482</v>
      </c>
      <c r="C2244" s="29" t="s">
        <v>19251</v>
      </c>
      <c r="D2244" s="29" t="s">
        <v>32420</v>
      </c>
      <c r="E2244" s="29" t="s">
        <v>45753</v>
      </c>
      <c r="F2244" s="36" t="s">
        <v>54401</v>
      </c>
      <c r="G2244" s="39">
        <f>93136.32+617861</f>
        <v>710997.32000000007</v>
      </c>
      <c r="H2244" s="42">
        <v>211</v>
      </c>
    </row>
    <row r="2245" spans="1:8" ht="15" customHeight="1">
      <c r="A2245" s="26">
        <v>16185655</v>
      </c>
      <c r="B2245" s="29" t="s">
        <v>4483</v>
      </c>
      <c r="C2245" s="29" t="s">
        <v>19252</v>
      </c>
      <c r="D2245" s="29" t="s">
        <v>32421</v>
      </c>
      <c r="E2245" s="29" t="s">
        <v>45754</v>
      </c>
      <c r="F2245" s="36" t="s">
        <v>54401</v>
      </c>
      <c r="G2245" s="39">
        <v>376822.48</v>
      </c>
      <c r="H2245" s="42">
        <v>211</v>
      </c>
    </row>
    <row r="2246" spans="1:8" ht="15" customHeight="1">
      <c r="A2246" s="26">
        <v>16249761</v>
      </c>
      <c r="B2246" s="29" t="s">
        <v>4484</v>
      </c>
      <c r="C2246" s="29" t="s">
        <v>19253</v>
      </c>
      <c r="D2246" s="29" t="s">
        <v>32422</v>
      </c>
      <c r="E2246" s="29" t="s">
        <v>45755</v>
      </c>
      <c r="F2246" s="36" t="s">
        <v>54401</v>
      </c>
      <c r="G2246" s="39">
        <f>4549209.98+101232</f>
        <v>4650441.9800000004</v>
      </c>
      <c r="H2246" s="42">
        <v>211</v>
      </c>
    </row>
    <row r="2247" spans="1:8" ht="15" customHeight="1">
      <c r="A2247" s="26">
        <v>16645194</v>
      </c>
      <c r="B2247" s="29" t="s">
        <v>4485</v>
      </c>
      <c r="C2247" s="29" t="s">
        <v>19254</v>
      </c>
      <c r="D2247" s="29" t="s">
        <v>32423</v>
      </c>
      <c r="E2247" s="29" t="s">
        <v>45756</v>
      </c>
      <c r="F2247" s="36" t="s">
        <v>54401</v>
      </c>
      <c r="G2247" s="39">
        <v>411776.76</v>
      </c>
      <c r="H2247" s="42">
        <v>211</v>
      </c>
    </row>
    <row r="2248" spans="1:8" ht="15" customHeight="1">
      <c r="A2248" s="26">
        <v>16675510</v>
      </c>
      <c r="B2248" s="29" t="s">
        <v>4486</v>
      </c>
      <c r="C2248" s="29" t="s">
        <v>19255</v>
      </c>
      <c r="D2248" s="29" t="s">
        <v>32424</v>
      </c>
      <c r="E2248" s="29" t="s">
        <v>45757</v>
      </c>
      <c r="F2248" s="36" t="s">
        <v>54401</v>
      </c>
      <c r="G2248" s="39">
        <v>180506.57</v>
      </c>
      <c r="H2248" s="42">
        <v>211</v>
      </c>
    </row>
    <row r="2249" spans="1:8" ht="15" customHeight="1">
      <c r="A2249" s="26">
        <v>16749907</v>
      </c>
      <c r="B2249" s="29" t="s">
        <v>4487</v>
      </c>
      <c r="C2249" s="29" t="s">
        <v>19256</v>
      </c>
      <c r="D2249" s="29" t="s">
        <v>32425</v>
      </c>
      <c r="E2249" s="29" t="s">
        <v>45758</v>
      </c>
      <c r="F2249" s="36" t="s">
        <v>54401</v>
      </c>
      <c r="G2249" s="39">
        <v>690675.35</v>
      </c>
      <c r="H2249" s="42">
        <v>211</v>
      </c>
    </row>
    <row r="2250" spans="1:8" ht="15" customHeight="1">
      <c r="A2250" s="26">
        <v>16757997</v>
      </c>
      <c r="B2250" s="29" t="s">
        <v>4488</v>
      </c>
      <c r="C2250" s="29" t="s">
        <v>19257</v>
      </c>
      <c r="D2250" s="29" t="s">
        <v>32426</v>
      </c>
      <c r="E2250" s="29" t="s">
        <v>45006</v>
      </c>
      <c r="F2250" s="36" t="s">
        <v>54401</v>
      </c>
      <c r="G2250" s="39">
        <f>1197729.28+1552659</f>
        <v>2750388.2800000003</v>
      </c>
      <c r="H2250" s="42">
        <v>211</v>
      </c>
    </row>
    <row r="2251" spans="1:8" ht="15" customHeight="1">
      <c r="A2251" s="26">
        <v>16855366</v>
      </c>
      <c r="B2251" s="29" t="s">
        <v>4489</v>
      </c>
      <c r="C2251" s="29" t="s">
        <v>19258</v>
      </c>
      <c r="D2251" s="29" t="s">
        <v>32427</v>
      </c>
      <c r="E2251" s="29" t="s">
        <v>45759</v>
      </c>
      <c r="F2251" s="36" t="s">
        <v>54401</v>
      </c>
      <c r="G2251" s="39">
        <v>352136.78</v>
      </c>
      <c r="H2251" s="42">
        <v>211</v>
      </c>
    </row>
    <row r="2252" spans="1:8" ht="15" customHeight="1">
      <c r="A2252" s="26">
        <v>17052571</v>
      </c>
      <c r="B2252" s="29" t="s">
        <v>4490</v>
      </c>
      <c r="C2252" s="29" t="s">
        <v>19259</v>
      </c>
      <c r="D2252" s="29" t="s">
        <v>30376</v>
      </c>
      <c r="E2252" s="29" t="s">
        <v>45760</v>
      </c>
      <c r="F2252" s="36" t="s">
        <v>54401</v>
      </c>
      <c r="G2252" s="39">
        <v>167820.19</v>
      </c>
      <c r="H2252" s="42">
        <v>211</v>
      </c>
    </row>
    <row r="2253" spans="1:8" ht="15" customHeight="1">
      <c r="A2253" s="26">
        <v>17053638</v>
      </c>
      <c r="B2253" s="29" t="s">
        <v>4491</v>
      </c>
      <c r="C2253" s="29" t="s">
        <v>19260</v>
      </c>
      <c r="D2253" s="29" t="s">
        <v>32428</v>
      </c>
      <c r="E2253" s="29" t="s">
        <v>45761</v>
      </c>
      <c r="F2253" s="36" t="s">
        <v>54401</v>
      </c>
      <c r="G2253" s="39">
        <v>2171317.5699999998</v>
      </c>
      <c r="H2253" s="42">
        <v>211</v>
      </c>
    </row>
    <row r="2254" spans="1:8" ht="15" customHeight="1">
      <c r="A2254" s="26">
        <v>17056396</v>
      </c>
      <c r="B2254" s="29" t="s">
        <v>4492</v>
      </c>
      <c r="C2254" s="29" t="s">
        <v>19261</v>
      </c>
      <c r="D2254" s="29" t="s">
        <v>32429</v>
      </c>
      <c r="E2254" s="29" t="s">
        <v>45762</v>
      </c>
      <c r="F2254" s="36" t="s">
        <v>54401</v>
      </c>
      <c r="G2254" s="39">
        <f>1367898.17+31630</f>
        <v>1399528.17</v>
      </c>
      <c r="H2254" s="42">
        <v>211</v>
      </c>
    </row>
    <row r="2255" spans="1:8" ht="15" customHeight="1">
      <c r="A2255" s="26">
        <v>17070996</v>
      </c>
      <c r="B2255" s="29" t="s">
        <v>4493</v>
      </c>
      <c r="C2255" s="29" t="s">
        <v>19262</v>
      </c>
      <c r="D2255" s="29" t="s">
        <v>32430</v>
      </c>
      <c r="E2255" s="29" t="s">
        <v>45763</v>
      </c>
      <c r="F2255" s="36" t="s">
        <v>54412</v>
      </c>
      <c r="G2255" s="39">
        <v>94135.71</v>
      </c>
      <c r="H2255" s="42">
        <v>211</v>
      </c>
    </row>
    <row r="2256" spans="1:8" ht="15" customHeight="1">
      <c r="A2256" s="26">
        <v>17076198</v>
      </c>
      <c r="B2256" s="29" t="s">
        <v>4494</v>
      </c>
      <c r="C2256" s="29" t="s">
        <v>19263</v>
      </c>
      <c r="D2256" s="29" t="s">
        <v>32431</v>
      </c>
      <c r="E2256" s="29" t="s">
        <v>45764</v>
      </c>
      <c r="F2256" s="36" t="s">
        <v>54401</v>
      </c>
      <c r="G2256" s="39">
        <v>94075.61</v>
      </c>
      <c r="H2256" s="42">
        <v>211</v>
      </c>
    </row>
    <row r="2257" spans="1:8" ht="15" customHeight="1">
      <c r="A2257" s="26">
        <v>17109513</v>
      </c>
      <c r="B2257" s="29" t="s">
        <v>4495</v>
      </c>
      <c r="C2257" s="29" t="s">
        <v>19264</v>
      </c>
      <c r="D2257" s="29" t="s">
        <v>32432</v>
      </c>
      <c r="E2257" s="29" t="s">
        <v>45765</v>
      </c>
      <c r="F2257" s="36" t="s">
        <v>54401</v>
      </c>
      <c r="G2257" s="39">
        <v>60768.7</v>
      </c>
      <c r="H2257" s="42">
        <v>211</v>
      </c>
    </row>
    <row r="2258" spans="1:8" ht="15" customHeight="1">
      <c r="A2258" s="26">
        <v>17175582</v>
      </c>
      <c r="B2258" s="29" t="s">
        <v>4496</v>
      </c>
      <c r="C2258" s="29" t="s">
        <v>19265</v>
      </c>
      <c r="D2258" s="29" t="s">
        <v>30623</v>
      </c>
      <c r="E2258" s="29" t="s">
        <v>45766</v>
      </c>
      <c r="F2258" s="36" t="s">
        <v>54409</v>
      </c>
      <c r="G2258" s="39">
        <v>1279562.6100000001</v>
      </c>
      <c r="H2258" s="42">
        <v>211</v>
      </c>
    </row>
    <row r="2259" spans="1:8" ht="15" customHeight="1">
      <c r="A2259" s="26">
        <v>17175670</v>
      </c>
      <c r="B2259" s="29" t="s">
        <v>4497</v>
      </c>
      <c r="C2259" s="29" t="s">
        <v>19266</v>
      </c>
      <c r="D2259" s="29" t="s">
        <v>32433</v>
      </c>
      <c r="E2259" s="29" t="s">
        <v>45767</v>
      </c>
      <c r="F2259" s="36" t="s">
        <v>54401</v>
      </c>
      <c r="G2259" s="39">
        <v>5403166.6200000001</v>
      </c>
      <c r="H2259" s="42">
        <v>211</v>
      </c>
    </row>
    <row r="2260" spans="1:8" ht="15" customHeight="1">
      <c r="A2260" s="26">
        <v>17188888</v>
      </c>
      <c r="B2260" s="29" t="s">
        <v>4498</v>
      </c>
      <c r="C2260" s="29" t="s">
        <v>19267</v>
      </c>
      <c r="D2260" s="29" t="s">
        <v>32434</v>
      </c>
      <c r="E2260" s="29" t="s">
        <v>45768</v>
      </c>
      <c r="F2260" s="36" t="s">
        <v>54401</v>
      </c>
      <c r="G2260" s="39">
        <v>664483.18999999994</v>
      </c>
      <c r="H2260" s="42">
        <v>211</v>
      </c>
    </row>
    <row r="2261" spans="1:8" ht="15" customHeight="1">
      <c r="A2261" s="26">
        <v>17315106</v>
      </c>
      <c r="B2261" s="29" t="s">
        <v>4499</v>
      </c>
      <c r="C2261" s="29" t="s">
        <v>19268</v>
      </c>
      <c r="D2261" s="29" t="s">
        <v>32435</v>
      </c>
      <c r="E2261" s="29" t="s">
        <v>45769</v>
      </c>
      <c r="F2261" s="36" t="s">
        <v>54401</v>
      </c>
      <c r="G2261" s="39">
        <v>73553.33</v>
      </c>
      <c r="H2261" s="42">
        <v>211</v>
      </c>
    </row>
    <row r="2262" spans="1:8" ht="15" customHeight="1">
      <c r="A2262" s="26">
        <v>17321733</v>
      </c>
      <c r="B2262" s="29" t="s">
        <v>4500</v>
      </c>
      <c r="C2262" s="26" t="s">
        <v>19269</v>
      </c>
      <c r="D2262" s="26" t="s">
        <v>32436</v>
      </c>
      <c r="E2262" s="26" t="s">
        <v>45314</v>
      </c>
      <c r="F2262" s="37" t="s">
        <v>54401</v>
      </c>
      <c r="G2262" s="39">
        <f>3992611.56+338559</f>
        <v>4331170.5600000005</v>
      </c>
      <c r="H2262" s="42">
        <v>211</v>
      </c>
    </row>
    <row r="2263" spans="1:8" ht="15" customHeight="1">
      <c r="A2263" s="26">
        <v>17328036</v>
      </c>
      <c r="B2263" s="29" t="s">
        <v>4501</v>
      </c>
      <c r="C2263" s="29" t="s">
        <v>19270</v>
      </c>
      <c r="D2263" s="29" t="s">
        <v>32437</v>
      </c>
      <c r="E2263" s="29" t="s">
        <v>45770</v>
      </c>
      <c r="F2263" s="36" t="s">
        <v>54401</v>
      </c>
      <c r="G2263" s="39">
        <v>132989.04999999999</v>
      </c>
      <c r="H2263" s="42">
        <v>211</v>
      </c>
    </row>
    <row r="2264" spans="1:8" ht="15" customHeight="1">
      <c r="A2264" s="26">
        <v>17332384</v>
      </c>
      <c r="B2264" s="29" t="s">
        <v>4502</v>
      </c>
      <c r="C2264" s="29" t="s">
        <v>19271</v>
      </c>
      <c r="D2264" s="29" t="s">
        <v>32438</v>
      </c>
      <c r="E2264" s="29" t="s">
        <v>45771</v>
      </c>
      <c r="F2264" s="36" t="s">
        <v>54401</v>
      </c>
      <c r="G2264" s="39">
        <f>607927.01+74702</f>
        <v>682629.01</v>
      </c>
      <c r="H2264" s="42">
        <v>211</v>
      </c>
    </row>
    <row r="2265" spans="1:8" ht="15" customHeight="1">
      <c r="A2265" s="26">
        <v>17423350</v>
      </c>
      <c r="B2265" s="29" t="s">
        <v>4503</v>
      </c>
      <c r="C2265" s="29" t="s">
        <v>19272</v>
      </c>
      <c r="D2265" s="29" t="s">
        <v>32439</v>
      </c>
      <c r="E2265" s="29" t="s">
        <v>45772</v>
      </c>
      <c r="F2265" s="36" t="s">
        <v>54401</v>
      </c>
      <c r="G2265" s="39">
        <v>757628.45</v>
      </c>
      <c r="H2265" s="42">
        <v>211</v>
      </c>
    </row>
    <row r="2266" spans="1:8" ht="15" customHeight="1">
      <c r="A2266" s="26">
        <v>17528473</v>
      </c>
      <c r="B2266" s="29" t="s">
        <v>4504</v>
      </c>
      <c r="C2266" s="29" t="s">
        <v>17204</v>
      </c>
      <c r="D2266" s="29" t="s">
        <v>32440</v>
      </c>
      <c r="E2266" s="29" t="s">
        <v>43926</v>
      </c>
      <c r="F2266" s="36" t="s">
        <v>54401</v>
      </c>
      <c r="G2266" s="39">
        <v>83809.52</v>
      </c>
      <c r="H2266" s="42">
        <v>211</v>
      </c>
    </row>
    <row r="2267" spans="1:8" ht="15" customHeight="1">
      <c r="A2267" s="26">
        <v>17548376</v>
      </c>
      <c r="B2267" s="29" t="s">
        <v>4505</v>
      </c>
      <c r="C2267" s="29" t="s">
        <v>19273</v>
      </c>
      <c r="D2267" s="29" t="s">
        <v>32441</v>
      </c>
      <c r="E2267" s="29" t="s">
        <v>45773</v>
      </c>
      <c r="F2267" s="36" t="s">
        <v>54442</v>
      </c>
      <c r="G2267" s="39">
        <v>248714.09</v>
      </c>
      <c r="H2267" s="42">
        <v>211</v>
      </c>
    </row>
    <row r="2268" spans="1:8" ht="15" customHeight="1">
      <c r="A2268" s="26">
        <v>17587972</v>
      </c>
      <c r="B2268" s="29" t="s">
        <v>4506</v>
      </c>
      <c r="C2268" s="29" t="s">
        <v>19274</v>
      </c>
      <c r="D2268" s="29" t="s">
        <v>32442</v>
      </c>
      <c r="E2268" s="29" t="s">
        <v>45774</v>
      </c>
      <c r="F2268" s="36" t="s">
        <v>54401</v>
      </c>
      <c r="G2268" s="39">
        <v>383251.71</v>
      </c>
      <c r="H2268" s="42">
        <v>211</v>
      </c>
    </row>
    <row r="2269" spans="1:8" ht="15" customHeight="1">
      <c r="A2269" s="26">
        <v>17590020</v>
      </c>
      <c r="B2269" s="29" t="s">
        <v>4507</v>
      </c>
      <c r="C2269" s="29" t="s">
        <v>19275</v>
      </c>
      <c r="D2269" s="29" t="s">
        <v>32443</v>
      </c>
      <c r="E2269" s="29" t="s">
        <v>45775</v>
      </c>
      <c r="F2269" s="36" t="s">
        <v>54401</v>
      </c>
      <c r="G2269" s="39">
        <v>1374161.32</v>
      </c>
      <c r="H2269" s="42">
        <v>211</v>
      </c>
    </row>
    <row r="2270" spans="1:8" ht="15" customHeight="1">
      <c r="A2270" s="26">
        <v>17592928</v>
      </c>
      <c r="B2270" s="29" t="s">
        <v>4508</v>
      </c>
      <c r="C2270" s="29" t="s">
        <v>19276</v>
      </c>
      <c r="D2270" s="29" t="s">
        <v>32444</v>
      </c>
      <c r="E2270" s="29" t="s">
        <v>45776</v>
      </c>
      <c r="F2270" s="36" t="s">
        <v>54401</v>
      </c>
      <c r="G2270" s="39">
        <f>495016.44+70344</f>
        <v>565360.43999999994</v>
      </c>
      <c r="H2270" s="42">
        <v>211</v>
      </c>
    </row>
    <row r="2271" spans="1:8" ht="15" customHeight="1">
      <c r="A2271" s="26">
        <v>17632975</v>
      </c>
      <c r="B2271" s="29" t="s">
        <v>4509</v>
      </c>
      <c r="C2271" s="29" t="s">
        <v>19277</v>
      </c>
      <c r="D2271" s="29" t="s">
        <v>32445</v>
      </c>
      <c r="E2271" s="29" t="s">
        <v>45777</v>
      </c>
      <c r="F2271" s="36" t="s">
        <v>54401</v>
      </c>
      <c r="G2271" s="39">
        <f>4731402.39+31225</f>
        <v>4762627.3899999997</v>
      </c>
      <c r="H2271" s="42">
        <v>211</v>
      </c>
    </row>
    <row r="2272" spans="1:8" ht="15" customHeight="1">
      <c r="A2272" s="26">
        <v>17646967</v>
      </c>
      <c r="B2272" s="29" t="s">
        <v>4510</v>
      </c>
      <c r="C2272" s="29" t="s">
        <v>19278</v>
      </c>
      <c r="D2272" s="29" t="s">
        <v>32446</v>
      </c>
      <c r="E2272" s="29" t="s">
        <v>45778</v>
      </c>
      <c r="F2272" s="36" t="s">
        <v>54401</v>
      </c>
      <c r="G2272" s="39">
        <v>86798.03</v>
      </c>
      <c r="H2272" s="42">
        <v>211</v>
      </c>
    </row>
    <row r="2273" spans="1:8" ht="15" customHeight="1">
      <c r="A2273" s="26">
        <v>17688844</v>
      </c>
      <c r="B2273" s="29" t="s">
        <v>4511</v>
      </c>
      <c r="C2273" s="29" t="s">
        <v>19279</v>
      </c>
      <c r="D2273" s="29" t="s">
        <v>32447</v>
      </c>
      <c r="E2273" s="29" t="s">
        <v>45779</v>
      </c>
      <c r="F2273" s="36" t="s">
        <v>54401</v>
      </c>
      <c r="G2273" s="39">
        <v>3230318.91</v>
      </c>
      <c r="H2273" s="42">
        <v>211</v>
      </c>
    </row>
    <row r="2274" spans="1:8" ht="15" customHeight="1">
      <c r="A2274" s="26">
        <v>17788110</v>
      </c>
      <c r="B2274" s="29" t="s">
        <v>4512</v>
      </c>
      <c r="C2274" s="29" t="s">
        <v>19280</v>
      </c>
      <c r="D2274" s="29" t="s">
        <v>32448</v>
      </c>
      <c r="E2274" s="29" t="s">
        <v>45780</v>
      </c>
      <c r="F2274" s="36" t="s">
        <v>54401</v>
      </c>
      <c r="G2274" s="39">
        <v>100134.45</v>
      </c>
      <c r="H2274" s="42">
        <v>211</v>
      </c>
    </row>
    <row r="2275" spans="1:8" ht="15" customHeight="1">
      <c r="A2275" s="26">
        <v>17954647</v>
      </c>
      <c r="B2275" s="29" t="s">
        <v>4513</v>
      </c>
      <c r="C2275" s="26" t="s">
        <v>19281</v>
      </c>
      <c r="D2275" s="26" t="s">
        <v>32449</v>
      </c>
      <c r="E2275" s="26" t="s">
        <v>45781</v>
      </c>
      <c r="F2275" s="37" t="s">
        <v>54401</v>
      </c>
      <c r="G2275" s="39">
        <v>3556230.71</v>
      </c>
      <c r="H2275" s="42">
        <v>211</v>
      </c>
    </row>
    <row r="2276" spans="1:8" ht="15" customHeight="1">
      <c r="A2276" s="26">
        <v>18185761</v>
      </c>
      <c r="B2276" s="29" t="s">
        <v>4514</v>
      </c>
      <c r="C2276" s="29" t="s">
        <v>19282</v>
      </c>
      <c r="D2276" s="29" t="s">
        <v>32450</v>
      </c>
      <c r="E2276" s="29" t="s">
        <v>45782</v>
      </c>
      <c r="F2276" s="36" t="s">
        <v>54412</v>
      </c>
      <c r="G2276" s="39">
        <v>14117.65</v>
      </c>
      <c r="H2276" s="42">
        <v>211</v>
      </c>
    </row>
    <row r="2277" spans="1:8" ht="15" customHeight="1">
      <c r="A2277" s="26">
        <v>18221618</v>
      </c>
      <c r="B2277" s="29" t="s">
        <v>4515</v>
      </c>
      <c r="C2277" s="29" t="s">
        <v>19283</v>
      </c>
      <c r="D2277" s="29" t="s">
        <v>32451</v>
      </c>
      <c r="E2277" s="29" t="s">
        <v>45783</v>
      </c>
      <c r="F2277" s="36" t="s">
        <v>54401</v>
      </c>
      <c r="G2277" s="39">
        <v>4629764.9400000004</v>
      </c>
      <c r="H2277" s="42">
        <v>211</v>
      </c>
    </row>
    <row r="2278" spans="1:8" ht="15" customHeight="1">
      <c r="A2278" s="26">
        <v>18396414</v>
      </c>
      <c r="B2278" s="29" t="s">
        <v>4516</v>
      </c>
      <c r="C2278" s="29" t="s">
        <v>19284</v>
      </c>
      <c r="D2278" s="29" t="s">
        <v>32452</v>
      </c>
      <c r="E2278" s="29" t="s">
        <v>45784</v>
      </c>
      <c r="F2278" s="36" t="s">
        <v>54401</v>
      </c>
      <c r="G2278" s="39">
        <v>1134247.1499999999</v>
      </c>
      <c r="H2278" s="42">
        <v>211</v>
      </c>
    </row>
    <row r="2279" spans="1:8" ht="15" customHeight="1">
      <c r="A2279" s="26">
        <v>18971947</v>
      </c>
      <c r="B2279" s="29" t="s">
        <v>4517</v>
      </c>
      <c r="C2279" s="29" t="s">
        <v>19285</v>
      </c>
      <c r="D2279" s="29" t="s">
        <v>32453</v>
      </c>
      <c r="E2279" s="29" t="s">
        <v>45785</v>
      </c>
      <c r="F2279" s="36" t="s">
        <v>54401</v>
      </c>
      <c r="G2279" s="39">
        <v>189848.99</v>
      </c>
      <c r="H2279" s="42">
        <v>211</v>
      </c>
    </row>
    <row r="2280" spans="1:8" ht="15" customHeight="1">
      <c r="A2280" s="26">
        <v>19032810</v>
      </c>
      <c r="B2280" s="29" t="s">
        <v>4518</v>
      </c>
      <c r="C2280" s="29" t="s">
        <v>17204</v>
      </c>
      <c r="D2280" s="29" t="s">
        <v>30376</v>
      </c>
      <c r="E2280" s="29" t="s">
        <v>43926</v>
      </c>
      <c r="F2280" s="36" t="s">
        <v>54401</v>
      </c>
      <c r="G2280" s="39">
        <v>35740.17</v>
      </c>
      <c r="H2280" s="42">
        <v>211</v>
      </c>
    </row>
    <row r="2281" spans="1:8" ht="15" customHeight="1">
      <c r="A2281" s="26">
        <v>19053738</v>
      </c>
      <c r="B2281" s="29" t="s">
        <v>4519</v>
      </c>
      <c r="C2281" s="29" t="s">
        <v>19286</v>
      </c>
      <c r="D2281" s="29" t="s">
        <v>32454</v>
      </c>
      <c r="E2281" s="29" t="s">
        <v>45786</v>
      </c>
      <c r="F2281" s="36" t="s">
        <v>54401</v>
      </c>
      <c r="G2281" s="39">
        <f>1301319.43+172008</f>
        <v>1473327.43</v>
      </c>
      <c r="H2281" s="42">
        <v>211</v>
      </c>
    </row>
    <row r="2282" spans="1:8" ht="15" customHeight="1">
      <c r="A2282" s="26">
        <v>19054484</v>
      </c>
      <c r="B2282" s="29" t="s">
        <v>4520</v>
      </c>
      <c r="C2282" s="26" t="s">
        <v>19287</v>
      </c>
      <c r="D2282" s="26" t="s">
        <v>32455</v>
      </c>
      <c r="E2282" s="26" t="s">
        <v>45787</v>
      </c>
      <c r="F2282" s="37" t="s">
        <v>54409</v>
      </c>
      <c r="G2282" s="39">
        <v>359018.63</v>
      </c>
      <c r="H2282" s="42">
        <v>211</v>
      </c>
    </row>
    <row r="2283" spans="1:8" ht="15" customHeight="1">
      <c r="A2283" s="26">
        <v>19061084</v>
      </c>
      <c r="B2283" s="29" t="s">
        <v>4521</v>
      </c>
      <c r="C2283" s="29" t="s">
        <v>19288</v>
      </c>
      <c r="D2283" s="29" t="s">
        <v>32456</v>
      </c>
      <c r="E2283" s="29" t="s">
        <v>45788</v>
      </c>
      <c r="F2283" s="36" t="s">
        <v>54409</v>
      </c>
      <c r="G2283" s="39">
        <f>2970282.3-68390</f>
        <v>2901892.3</v>
      </c>
      <c r="H2283" s="42">
        <v>211</v>
      </c>
    </row>
    <row r="2284" spans="1:8" ht="15" customHeight="1">
      <c r="A2284" s="26">
        <v>19069958</v>
      </c>
      <c r="B2284" s="29" t="s">
        <v>4522</v>
      </c>
      <c r="C2284" s="29" t="s">
        <v>19289</v>
      </c>
      <c r="D2284" s="29" t="s">
        <v>32457</v>
      </c>
      <c r="E2284" s="29" t="s">
        <v>731</v>
      </c>
      <c r="F2284" s="36" t="s">
        <v>54401</v>
      </c>
      <c r="G2284" s="39">
        <v>3187388.52</v>
      </c>
      <c r="H2284" s="42">
        <v>211</v>
      </c>
    </row>
    <row r="2285" spans="1:8" ht="15" customHeight="1">
      <c r="A2285" s="26">
        <v>19075513</v>
      </c>
      <c r="B2285" s="29" t="s">
        <v>4523</v>
      </c>
      <c r="C2285" s="29" t="s">
        <v>19290</v>
      </c>
      <c r="D2285" s="29" t="s">
        <v>32458</v>
      </c>
      <c r="E2285" s="29" t="s">
        <v>44802</v>
      </c>
      <c r="F2285" s="36" t="s">
        <v>54401</v>
      </c>
      <c r="G2285" s="39">
        <v>72085.990000000005</v>
      </c>
      <c r="H2285" s="42">
        <v>211</v>
      </c>
    </row>
    <row r="2286" spans="1:8" ht="15" customHeight="1">
      <c r="A2286" s="26">
        <v>19095074</v>
      </c>
      <c r="B2286" s="29" t="s">
        <v>4524</v>
      </c>
      <c r="C2286" s="29" t="s">
        <v>19291</v>
      </c>
      <c r="D2286" s="29" t="s">
        <v>32459</v>
      </c>
      <c r="E2286" s="29" t="s">
        <v>45789</v>
      </c>
      <c r="F2286" s="36" t="s">
        <v>54401</v>
      </c>
      <c r="G2286" s="39">
        <v>123238.1</v>
      </c>
      <c r="H2286" s="42">
        <v>211</v>
      </c>
    </row>
    <row r="2287" spans="1:8" ht="15" customHeight="1">
      <c r="A2287" s="26">
        <v>19097000</v>
      </c>
      <c r="B2287" s="29" t="s">
        <v>4525</v>
      </c>
      <c r="C2287" s="29" t="s">
        <v>19292</v>
      </c>
      <c r="D2287" s="29" t="s">
        <v>32460</v>
      </c>
      <c r="E2287" s="29" t="s">
        <v>45790</v>
      </c>
      <c r="F2287" s="36" t="s">
        <v>54409</v>
      </c>
      <c r="G2287" s="39">
        <v>41757.839999999997</v>
      </c>
      <c r="H2287" s="42">
        <v>211</v>
      </c>
    </row>
    <row r="2288" spans="1:8" ht="15" customHeight="1">
      <c r="A2288" s="26">
        <v>19105629</v>
      </c>
      <c r="B2288" s="29" t="s">
        <v>4526</v>
      </c>
      <c r="C2288" s="29" t="s">
        <v>19293</v>
      </c>
      <c r="D2288" s="29" t="s">
        <v>32461</v>
      </c>
      <c r="E2288" s="29" t="s">
        <v>45791</v>
      </c>
      <c r="F2288" s="36" t="s">
        <v>54401</v>
      </c>
      <c r="G2288" s="39">
        <v>142573.15</v>
      </c>
      <c r="H2288" s="42">
        <v>211</v>
      </c>
    </row>
    <row r="2289" spans="1:8" ht="15" customHeight="1">
      <c r="A2289" s="26">
        <v>19107843</v>
      </c>
      <c r="B2289" s="29" t="s">
        <v>4527</v>
      </c>
      <c r="C2289" s="29" t="s">
        <v>19294</v>
      </c>
      <c r="D2289" s="29" t="s">
        <v>32462</v>
      </c>
      <c r="E2289" s="29" t="s">
        <v>45792</v>
      </c>
      <c r="F2289" s="36" t="s">
        <v>54401</v>
      </c>
      <c r="G2289" s="39">
        <v>285547.53000000003</v>
      </c>
      <c r="H2289" s="42">
        <v>211</v>
      </c>
    </row>
    <row r="2290" spans="1:8" ht="15" customHeight="1">
      <c r="A2290" s="26">
        <v>19109480</v>
      </c>
      <c r="B2290" s="29" t="s">
        <v>4528</v>
      </c>
      <c r="C2290" s="29" t="s">
        <v>19295</v>
      </c>
      <c r="D2290" s="29" t="s">
        <v>32463</v>
      </c>
      <c r="E2290" s="29" t="s">
        <v>45793</v>
      </c>
      <c r="F2290" s="36" t="s">
        <v>54401</v>
      </c>
      <c r="G2290" s="39">
        <v>158903.88</v>
      </c>
      <c r="H2290" s="42">
        <v>211</v>
      </c>
    </row>
    <row r="2291" spans="1:8" ht="15" customHeight="1">
      <c r="A2291" s="26">
        <v>19119126</v>
      </c>
      <c r="B2291" s="29" t="s">
        <v>4529</v>
      </c>
      <c r="C2291" s="29" t="s">
        <v>19296</v>
      </c>
      <c r="D2291" s="29" t="s">
        <v>32464</v>
      </c>
      <c r="E2291" s="29" t="s">
        <v>45794</v>
      </c>
      <c r="F2291" s="36" t="s">
        <v>54401</v>
      </c>
      <c r="G2291" s="39">
        <v>262873.65999999997</v>
      </c>
      <c r="H2291" s="42">
        <v>211</v>
      </c>
    </row>
    <row r="2292" spans="1:8" ht="15" customHeight="1">
      <c r="A2292" s="26">
        <v>19119187</v>
      </c>
      <c r="B2292" s="29" t="s">
        <v>4530</v>
      </c>
      <c r="C2292" s="29" t="s">
        <v>19297</v>
      </c>
      <c r="D2292" s="29" t="s">
        <v>32465</v>
      </c>
      <c r="E2292" s="29" t="s">
        <v>45795</v>
      </c>
      <c r="F2292" s="36" t="s">
        <v>54401</v>
      </c>
      <c r="G2292" s="39">
        <v>1008942.22</v>
      </c>
      <c r="H2292" s="42">
        <v>211</v>
      </c>
    </row>
    <row r="2293" spans="1:8" ht="15" customHeight="1">
      <c r="A2293" s="26">
        <v>19141179</v>
      </c>
      <c r="B2293" s="29" t="s">
        <v>4531</v>
      </c>
      <c r="C2293" s="29" t="s">
        <v>19298</v>
      </c>
      <c r="D2293" s="29" t="s">
        <v>32466</v>
      </c>
      <c r="E2293" s="29" t="s">
        <v>45796</v>
      </c>
      <c r="F2293" s="36" t="s">
        <v>54401</v>
      </c>
      <c r="G2293" s="39">
        <f>3094928.69+167068+25531</f>
        <v>3287527.69</v>
      </c>
      <c r="H2293" s="42">
        <v>211</v>
      </c>
    </row>
    <row r="2294" spans="1:8" ht="15" customHeight="1">
      <c r="A2294" s="26">
        <v>19143351</v>
      </c>
      <c r="B2294" s="29" t="s">
        <v>4532</v>
      </c>
      <c r="C2294" s="29" t="s">
        <v>19299</v>
      </c>
      <c r="D2294" s="29" t="s">
        <v>32467</v>
      </c>
      <c r="E2294" s="29" t="s">
        <v>45797</v>
      </c>
      <c r="F2294" s="36" t="s">
        <v>54401</v>
      </c>
      <c r="G2294" s="39">
        <v>1244126.57</v>
      </c>
      <c r="H2294" s="42">
        <v>211</v>
      </c>
    </row>
    <row r="2295" spans="1:8" ht="15" customHeight="1">
      <c r="A2295" s="26">
        <v>19145889</v>
      </c>
      <c r="B2295" s="29" t="s">
        <v>4533</v>
      </c>
      <c r="C2295" s="29" t="s">
        <v>19300</v>
      </c>
      <c r="D2295" s="29" t="s">
        <v>32468</v>
      </c>
      <c r="E2295" s="29" t="s">
        <v>45798</v>
      </c>
      <c r="F2295" s="36" t="s">
        <v>54401</v>
      </c>
      <c r="G2295" s="39">
        <v>200500.43</v>
      </c>
      <c r="H2295" s="42">
        <v>211</v>
      </c>
    </row>
    <row r="2296" spans="1:8" ht="15" customHeight="1">
      <c r="A2296" s="26">
        <v>19146837</v>
      </c>
      <c r="B2296" s="29" t="s">
        <v>4534</v>
      </c>
      <c r="C2296" s="29" t="s">
        <v>17204</v>
      </c>
      <c r="D2296" s="29" t="s">
        <v>32469</v>
      </c>
      <c r="E2296" s="29" t="s">
        <v>45799</v>
      </c>
      <c r="F2296" s="36" t="s">
        <v>54413</v>
      </c>
      <c r="G2296" s="39">
        <v>303207.14</v>
      </c>
      <c r="H2296" s="42">
        <v>211</v>
      </c>
    </row>
    <row r="2297" spans="1:8" ht="15" customHeight="1">
      <c r="A2297" s="26">
        <v>19149676</v>
      </c>
      <c r="B2297" s="29" t="s">
        <v>4535</v>
      </c>
      <c r="C2297" s="29" t="s">
        <v>19301</v>
      </c>
      <c r="D2297" s="29" t="s">
        <v>32470</v>
      </c>
      <c r="E2297" s="29" t="s">
        <v>45800</v>
      </c>
      <c r="F2297" s="36" t="s">
        <v>54401</v>
      </c>
      <c r="G2297" s="39">
        <v>1057708.9099999999</v>
      </c>
      <c r="H2297" s="42">
        <v>211</v>
      </c>
    </row>
    <row r="2298" spans="1:8" ht="15" customHeight="1">
      <c r="A2298" s="26">
        <v>19150019</v>
      </c>
      <c r="B2298" s="29" t="s">
        <v>4536</v>
      </c>
      <c r="C2298" s="29" t="s">
        <v>19302</v>
      </c>
      <c r="D2298" s="29" t="s">
        <v>32471</v>
      </c>
      <c r="E2298" s="29" t="s">
        <v>45801</v>
      </c>
      <c r="F2298" s="36" t="s">
        <v>54401</v>
      </c>
      <c r="G2298" s="39">
        <v>204646.11</v>
      </c>
      <c r="H2298" s="42">
        <v>211</v>
      </c>
    </row>
    <row r="2299" spans="1:8" ht="15" customHeight="1">
      <c r="A2299" s="26">
        <v>19152897</v>
      </c>
      <c r="B2299" s="29" t="s">
        <v>4537</v>
      </c>
      <c r="C2299" s="29" t="s">
        <v>19303</v>
      </c>
      <c r="D2299" s="29" t="s">
        <v>32472</v>
      </c>
      <c r="E2299" s="29" t="s">
        <v>45802</v>
      </c>
      <c r="F2299" s="36" t="s">
        <v>54401</v>
      </c>
      <c r="G2299" s="39">
        <f>284531.05+26117</f>
        <v>310648.05</v>
      </c>
      <c r="H2299" s="42">
        <v>211</v>
      </c>
    </row>
    <row r="2300" spans="1:8" ht="15" customHeight="1">
      <c r="A2300" s="26">
        <v>19163687</v>
      </c>
      <c r="B2300" s="29" t="s">
        <v>4538</v>
      </c>
      <c r="C2300" s="29" t="s">
        <v>19304</v>
      </c>
      <c r="D2300" s="29" t="s">
        <v>32473</v>
      </c>
      <c r="E2300" s="29" t="s">
        <v>45803</v>
      </c>
      <c r="F2300" s="36" t="s">
        <v>54401</v>
      </c>
      <c r="G2300" s="39">
        <v>1125629.05</v>
      </c>
      <c r="H2300" s="42">
        <v>211</v>
      </c>
    </row>
    <row r="2301" spans="1:8" ht="15" customHeight="1">
      <c r="A2301" s="26">
        <v>19169951</v>
      </c>
      <c r="B2301" s="29" t="s">
        <v>4539</v>
      </c>
      <c r="C2301" s="29" t="s">
        <v>19305</v>
      </c>
      <c r="D2301" s="29" t="s">
        <v>32474</v>
      </c>
      <c r="E2301" s="29" t="s">
        <v>45804</v>
      </c>
      <c r="F2301" s="36" t="s">
        <v>54412</v>
      </c>
      <c r="G2301" s="39">
        <v>150436.34</v>
      </c>
      <c r="H2301" s="42">
        <v>211</v>
      </c>
    </row>
    <row r="2302" spans="1:8" ht="15" customHeight="1">
      <c r="A2302" s="26">
        <v>19172188</v>
      </c>
      <c r="B2302" s="29" t="s">
        <v>4540</v>
      </c>
      <c r="C2302" s="29" t="s">
        <v>19306</v>
      </c>
      <c r="D2302" s="29" t="s">
        <v>32475</v>
      </c>
      <c r="E2302" s="29" t="s">
        <v>45805</v>
      </c>
      <c r="F2302" s="36" t="s">
        <v>54401</v>
      </c>
      <c r="G2302" s="39">
        <v>190206.87</v>
      </c>
      <c r="H2302" s="42">
        <v>211</v>
      </c>
    </row>
    <row r="2303" spans="1:8" ht="15" customHeight="1">
      <c r="A2303" s="26">
        <v>19183574</v>
      </c>
      <c r="B2303" s="29" t="s">
        <v>4541</v>
      </c>
      <c r="C2303" s="29" t="s">
        <v>17204</v>
      </c>
      <c r="D2303" s="29" t="s">
        <v>32476</v>
      </c>
      <c r="E2303" s="29" t="s">
        <v>43926</v>
      </c>
      <c r="F2303" s="36" t="s">
        <v>54401</v>
      </c>
      <c r="G2303" s="39">
        <v>10890.75</v>
      </c>
      <c r="H2303" s="42">
        <v>211</v>
      </c>
    </row>
    <row r="2304" spans="1:8" ht="15" customHeight="1">
      <c r="A2304" s="26">
        <v>19188516</v>
      </c>
      <c r="B2304" s="29" t="s">
        <v>4542</v>
      </c>
      <c r="C2304" s="29" t="s">
        <v>19307</v>
      </c>
      <c r="D2304" s="29" t="s">
        <v>32477</v>
      </c>
      <c r="E2304" s="29" t="s">
        <v>45806</v>
      </c>
      <c r="F2304" s="36" t="s">
        <v>54401</v>
      </c>
      <c r="G2304" s="39">
        <f>1203728.75+946414+69816+228885</f>
        <v>2448843.75</v>
      </c>
      <c r="H2304" s="42">
        <v>211</v>
      </c>
    </row>
    <row r="2305" spans="1:8" ht="15" customHeight="1">
      <c r="A2305" s="26">
        <v>19190617</v>
      </c>
      <c r="B2305" s="29" t="s">
        <v>4543</v>
      </c>
      <c r="C2305" s="29" t="s">
        <v>19308</v>
      </c>
      <c r="D2305" s="29" t="s">
        <v>32478</v>
      </c>
      <c r="E2305" s="29" t="s">
        <v>45807</v>
      </c>
      <c r="F2305" s="36" t="s">
        <v>54401</v>
      </c>
      <c r="G2305" s="39">
        <f>17049305.82+1368974</f>
        <v>18418279.82</v>
      </c>
      <c r="H2305" s="42">
        <v>211</v>
      </c>
    </row>
    <row r="2306" spans="1:8" ht="15" customHeight="1">
      <c r="A2306" s="26">
        <v>19193403</v>
      </c>
      <c r="B2306" s="29" t="s">
        <v>4544</v>
      </c>
      <c r="C2306" s="29" t="s">
        <v>19309</v>
      </c>
      <c r="D2306" s="29" t="s">
        <v>32479</v>
      </c>
      <c r="E2306" s="29" t="s">
        <v>45808</v>
      </c>
      <c r="F2306" s="36" t="s">
        <v>54401</v>
      </c>
      <c r="G2306" s="39">
        <v>8843917.8699999992</v>
      </c>
      <c r="H2306" s="42">
        <v>211</v>
      </c>
    </row>
    <row r="2307" spans="1:8" ht="15" customHeight="1">
      <c r="A2307" s="26">
        <v>19194746</v>
      </c>
      <c r="B2307" s="29" t="s">
        <v>4545</v>
      </c>
      <c r="C2307" s="29" t="s">
        <v>19310</v>
      </c>
      <c r="D2307" s="29" t="s">
        <v>32480</v>
      </c>
      <c r="E2307" s="29" t="s">
        <v>45809</v>
      </c>
      <c r="F2307" s="36" t="s">
        <v>54401</v>
      </c>
      <c r="G2307" s="39">
        <v>223736.27</v>
      </c>
      <c r="H2307" s="42">
        <v>211</v>
      </c>
    </row>
    <row r="2308" spans="1:8" ht="15" customHeight="1">
      <c r="A2308" s="26">
        <v>19195572</v>
      </c>
      <c r="B2308" s="29" t="s">
        <v>4546</v>
      </c>
      <c r="C2308" s="29" t="s">
        <v>17204</v>
      </c>
      <c r="D2308" s="29" t="s">
        <v>32481</v>
      </c>
      <c r="E2308" s="29" t="s">
        <v>43926</v>
      </c>
      <c r="F2308" s="36" t="s">
        <v>54401</v>
      </c>
      <c r="G2308" s="39">
        <v>23382.7</v>
      </c>
      <c r="H2308" s="42">
        <v>211</v>
      </c>
    </row>
    <row r="2309" spans="1:8" ht="15" customHeight="1">
      <c r="A2309" s="26">
        <v>19197525</v>
      </c>
      <c r="B2309" s="29" t="s">
        <v>4547</v>
      </c>
      <c r="C2309" s="29" t="s">
        <v>19311</v>
      </c>
      <c r="D2309" s="29" t="s">
        <v>32482</v>
      </c>
      <c r="E2309" s="29" t="s">
        <v>45810</v>
      </c>
      <c r="F2309" s="36" t="s">
        <v>54401</v>
      </c>
      <c r="G2309" s="39">
        <v>397612.27</v>
      </c>
      <c r="H2309" s="42">
        <v>211</v>
      </c>
    </row>
    <row r="2310" spans="1:8" ht="15" customHeight="1">
      <c r="A2310" s="26">
        <v>19197994</v>
      </c>
      <c r="B2310" s="29" t="s">
        <v>4548</v>
      </c>
      <c r="C2310" s="29" t="s">
        <v>19312</v>
      </c>
      <c r="D2310" s="29" t="s">
        <v>32483</v>
      </c>
      <c r="E2310" s="29" t="s">
        <v>45811</v>
      </c>
      <c r="F2310" s="36" t="s">
        <v>54401</v>
      </c>
      <c r="G2310" s="39">
        <v>6891590.04</v>
      </c>
      <c r="H2310" s="42">
        <v>211</v>
      </c>
    </row>
    <row r="2311" spans="1:8" ht="15" customHeight="1">
      <c r="A2311" s="26">
        <v>19204140</v>
      </c>
      <c r="B2311" s="29" t="s">
        <v>4549</v>
      </c>
      <c r="C2311" s="29" t="s">
        <v>19313</v>
      </c>
      <c r="D2311" s="29" t="s">
        <v>32484</v>
      </c>
      <c r="E2311" s="29" t="s">
        <v>45812</v>
      </c>
      <c r="F2311" s="36" t="s">
        <v>54441</v>
      </c>
      <c r="G2311" s="39">
        <f>64257308.88-179918</f>
        <v>64077390.880000003</v>
      </c>
      <c r="H2311" s="42">
        <v>211</v>
      </c>
    </row>
    <row r="2312" spans="1:8" ht="15" customHeight="1">
      <c r="A2312" s="26">
        <v>19206457</v>
      </c>
      <c r="B2312" s="29" t="s">
        <v>4550</v>
      </c>
      <c r="C2312" s="29" t="s">
        <v>19314</v>
      </c>
      <c r="D2312" s="29" t="s">
        <v>32485</v>
      </c>
      <c r="E2312" s="29" t="s">
        <v>45813</v>
      </c>
      <c r="F2312" s="36" t="s">
        <v>54401</v>
      </c>
      <c r="G2312" s="39">
        <v>497716.76</v>
      </c>
      <c r="H2312" s="42">
        <v>211</v>
      </c>
    </row>
    <row r="2313" spans="1:8" ht="15" customHeight="1">
      <c r="A2313" s="26">
        <v>19216798</v>
      </c>
      <c r="B2313" s="29" t="s">
        <v>4551</v>
      </c>
      <c r="C2313" s="26" t="s">
        <v>19315</v>
      </c>
      <c r="D2313" s="26" t="s">
        <v>32486</v>
      </c>
      <c r="E2313" s="26" t="s">
        <v>45814</v>
      </c>
      <c r="F2313" s="37" t="s">
        <v>54401</v>
      </c>
      <c r="G2313" s="39">
        <v>500015.42</v>
      </c>
      <c r="H2313" s="42">
        <v>211</v>
      </c>
    </row>
    <row r="2314" spans="1:8" ht="15" customHeight="1">
      <c r="A2314" s="26">
        <v>19217781</v>
      </c>
      <c r="B2314" s="29" t="s">
        <v>4552</v>
      </c>
      <c r="C2314" s="29" t="s">
        <v>19316</v>
      </c>
      <c r="D2314" s="29" t="s">
        <v>32487</v>
      </c>
      <c r="E2314" s="29" t="s">
        <v>45815</v>
      </c>
      <c r="F2314" s="36" t="s">
        <v>54443</v>
      </c>
      <c r="G2314" s="39">
        <v>462628.57</v>
      </c>
      <c r="H2314" s="42">
        <v>211</v>
      </c>
    </row>
    <row r="2315" spans="1:8" ht="15" customHeight="1">
      <c r="A2315" s="26">
        <v>19229052</v>
      </c>
      <c r="B2315" s="29" t="s">
        <v>4553</v>
      </c>
      <c r="C2315" s="29" t="s">
        <v>19317</v>
      </c>
      <c r="D2315" s="29" t="s">
        <v>32488</v>
      </c>
      <c r="E2315" s="29" t="s">
        <v>45816</v>
      </c>
      <c r="F2315" s="36" t="s">
        <v>54401</v>
      </c>
      <c r="G2315" s="39">
        <v>4201680.6500000004</v>
      </c>
      <c r="H2315" s="42">
        <v>211</v>
      </c>
    </row>
    <row r="2316" spans="1:8" ht="15" customHeight="1">
      <c r="A2316" s="26">
        <v>19233826</v>
      </c>
      <c r="B2316" s="29" t="s">
        <v>4554</v>
      </c>
      <c r="C2316" s="29" t="s">
        <v>19318</v>
      </c>
      <c r="D2316" s="29" t="s">
        <v>32489</v>
      </c>
      <c r="E2316" s="29" t="s">
        <v>45817</v>
      </c>
      <c r="F2316" s="36" t="s">
        <v>54401</v>
      </c>
      <c r="G2316" s="39">
        <v>116919.4</v>
      </c>
      <c r="H2316" s="42">
        <v>211</v>
      </c>
    </row>
    <row r="2317" spans="1:8" ht="15" customHeight="1">
      <c r="A2317" s="26">
        <v>19243035</v>
      </c>
      <c r="B2317" s="29" t="s">
        <v>4555</v>
      </c>
      <c r="C2317" s="29" t="s">
        <v>19319</v>
      </c>
      <c r="D2317" s="29" t="s">
        <v>32490</v>
      </c>
      <c r="E2317" s="29" t="s">
        <v>45818</v>
      </c>
      <c r="F2317" s="36" t="s">
        <v>54401</v>
      </c>
      <c r="G2317" s="39">
        <v>190019.12</v>
      </c>
      <c r="H2317" s="42">
        <v>211</v>
      </c>
    </row>
    <row r="2318" spans="1:8" ht="15" customHeight="1">
      <c r="A2318" s="26">
        <v>19243827</v>
      </c>
      <c r="B2318" s="29" t="s">
        <v>4556</v>
      </c>
      <c r="C2318" s="29" t="s">
        <v>19320</v>
      </c>
      <c r="D2318" s="29" t="s">
        <v>32491</v>
      </c>
      <c r="E2318" s="29" t="s">
        <v>45819</v>
      </c>
      <c r="F2318" s="36" t="s">
        <v>54401</v>
      </c>
      <c r="G2318" s="39">
        <v>77264.22</v>
      </c>
      <c r="H2318" s="42">
        <v>211</v>
      </c>
    </row>
    <row r="2319" spans="1:8" ht="15" customHeight="1">
      <c r="A2319" s="26">
        <v>19244436</v>
      </c>
      <c r="B2319" s="29" t="s">
        <v>4557</v>
      </c>
      <c r="C2319" s="29" t="s">
        <v>19321</v>
      </c>
      <c r="D2319" s="29" t="s">
        <v>32492</v>
      </c>
      <c r="E2319" s="29" t="s">
        <v>45820</v>
      </c>
      <c r="F2319" s="36" t="s">
        <v>54401</v>
      </c>
      <c r="G2319" s="39">
        <v>3111654.17</v>
      </c>
      <c r="H2319" s="42">
        <v>211</v>
      </c>
    </row>
    <row r="2320" spans="1:8" ht="15" customHeight="1">
      <c r="A2320" s="26">
        <v>19247552</v>
      </c>
      <c r="B2320" s="29" t="s">
        <v>4558</v>
      </c>
      <c r="C2320" s="29" t="s">
        <v>19322</v>
      </c>
      <c r="D2320" s="29" t="s">
        <v>32493</v>
      </c>
      <c r="E2320" s="29" t="s">
        <v>45821</v>
      </c>
      <c r="F2320" s="36" t="s">
        <v>54401</v>
      </c>
      <c r="G2320" s="39">
        <f>832647.92+143000+352534</f>
        <v>1328181.92</v>
      </c>
      <c r="H2320" s="42">
        <v>211</v>
      </c>
    </row>
    <row r="2321" spans="1:8" ht="15" customHeight="1">
      <c r="A2321" s="26">
        <v>19249738</v>
      </c>
      <c r="B2321" s="29" t="s">
        <v>4559</v>
      </c>
      <c r="C2321" s="29" t="s">
        <v>19323</v>
      </c>
      <c r="D2321" s="29" t="s">
        <v>32494</v>
      </c>
      <c r="E2321" s="29" t="s">
        <v>45822</v>
      </c>
      <c r="F2321" s="36" t="s">
        <v>54401</v>
      </c>
      <c r="G2321" s="39">
        <v>935174.57</v>
      </c>
      <c r="H2321" s="42">
        <v>211</v>
      </c>
    </row>
    <row r="2322" spans="1:8" ht="15" customHeight="1">
      <c r="A2322" s="26">
        <v>19255926</v>
      </c>
      <c r="B2322" s="29" t="s">
        <v>4560</v>
      </c>
      <c r="C2322" s="29" t="s">
        <v>19324</v>
      </c>
      <c r="D2322" s="29" t="s">
        <v>32495</v>
      </c>
      <c r="E2322" s="29" t="s">
        <v>45823</v>
      </c>
      <c r="F2322" s="36" t="s">
        <v>54401</v>
      </c>
      <c r="G2322" s="39">
        <v>3531837.19</v>
      </c>
      <c r="H2322" s="42">
        <v>211</v>
      </c>
    </row>
    <row r="2323" spans="1:8" ht="15" customHeight="1">
      <c r="A2323" s="26">
        <v>19262898</v>
      </c>
      <c r="B2323" s="29" t="s">
        <v>4561</v>
      </c>
      <c r="C2323" s="29" t="s">
        <v>19325</v>
      </c>
      <c r="D2323" s="29" t="s">
        <v>32496</v>
      </c>
      <c r="E2323" s="29" t="s">
        <v>45824</v>
      </c>
      <c r="F2323" s="36" t="s">
        <v>54401</v>
      </c>
      <c r="G2323" s="39">
        <v>708545.7</v>
      </c>
      <c r="H2323" s="42">
        <v>211</v>
      </c>
    </row>
    <row r="2324" spans="1:8" ht="15" customHeight="1">
      <c r="A2324" s="26">
        <v>19272586</v>
      </c>
      <c r="B2324" s="29" t="s">
        <v>4562</v>
      </c>
      <c r="C2324" s="29" t="s">
        <v>19326</v>
      </c>
      <c r="D2324" s="29" t="s">
        <v>32497</v>
      </c>
      <c r="E2324" s="29" t="s">
        <v>45825</v>
      </c>
      <c r="F2324" s="36" t="s">
        <v>54401</v>
      </c>
      <c r="G2324" s="39">
        <f>948653.94+164531</f>
        <v>1113184.94</v>
      </c>
      <c r="H2324" s="42">
        <v>211</v>
      </c>
    </row>
    <row r="2325" spans="1:8" ht="15" customHeight="1">
      <c r="A2325" s="26">
        <v>19273721</v>
      </c>
      <c r="B2325" s="29" t="s">
        <v>4563</v>
      </c>
      <c r="C2325" s="29" t="s">
        <v>19327</v>
      </c>
      <c r="D2325" s="29" t="s">
        <v>32498</v>
      </c>
      <c r="E2325" s="29" t="s">
        <v>45826</v>
      </c>
      <c r="F2325" s="36" t="s">
        <v>54401</v>
      </c>
      <c r="G2325" s="39">
        <v>239820.53</v>
      </c>
      <c r="H2325" s="42">
        <v>211</v>
      </c>
    </row>
    <row r="2326" spans="1:8" ht="15" customHeight="1">
      <c r="A2326" s="26">
        <v>19276284</v>
      </c>
      <c r="B2326" s="29" t="s">
        <v>4564</v>
      </c>
      <c r="C2326" s="29" t="s">
        <v>19328</v>
      </c>
      <c r="D2326" s="29" t="s">
        <v>32499</v>
      </c>
      <c r="E2326" s="29" t="s">
        <v>45827</v>
      </c>
      <c r="F2326" s="36" t="s">
        <v>54423</v>
      </c>
      <c r="G2326" s="39">
        <v>734294.98</v>
      </c>
      <c r="H2326" s="42">
        <v>211</v>
      </c>
    </row>
    <row r="2327" spans="1:8" ht="15" customHeight="1">
      <c r="A2327" s="26">
        <v>19278732</v>
      </c>
      <c r="B2327" s="29" t="s">
        <v>4565</v>
      </c>
      <c r="C2327" s="29" t="s">
        <v>19329</v>
      </c>
      <c r="D2327" s="29" t="s">
        <v>32500</v>
      </c>
      <c r="E2327" s="29" t="s">
        <v>45828</v>
      </c>
      <c r="F2327" s="36" t="s">
        <v>54401</v>
      </c>
      <c r="G2327" s="39">
        <f>1841249.43+300596</f>
        <v>2141845.4299999997</v>
      </c>
      <c r="H2327" s="42">
        <v>211</v>
      </c>
    </row>
    <row r="2328" spans="1:8" ht="15" customHeight="1">
      <c r="A2328" s="26">
        <v>19280390</v>
      </c>
      <c r="B2328" s="29" t="s">
        <v>4566</v>
      </c>
      <c r="C2328" s="29" t="s">
        <v>17204</v>
      </c>
      <c r="D2328" s="29" t="s">
        <v>32501</v>
      </c>
      <c r="E2328" s="29" t="s">
        <v>43926</v>
      </c>
      <c r="F2328" s="36" t="s">
        <v>54401</v>
      </c>
      <c r="G2328" s="39">
        <v>334458.84000000003</v>
      </c>
      <c r="H2328" s="42">
        <v>211</v>
      </c>
    </row>
    <row r="2329" spans="1:8" ht="15" customHeight="1">
      <c r="A2329" s="26">
        <v>19282731</v>
      </c>
      <c r="B2329" s="29" t="s">
        <v>4567</v>
      </c>
      <c r="C2329" s="29" t="s">
        <v>17204</v>
      </c>
      <c r="D2329" s="29" t="s">
        <v>32502</v>
      </c>
      <c r="E2329" s="29" t="s">
        <v>43926</v>
      </c>
      <c r="F2329" s="36" t="s">
        <v>54401</v>
      </c>
      <c r="G2329" s="39">
        <v>14865.54</v>
      </c>
      <c r="H2329" s="42">
        <v>211</v>
      </c>
    </row>
    <row r="2330" spans="1:8" ht="15" customHeight="1">
      <c r="A2330" s="26">
        <v>19287214</v>
      </c>
      <c r="B2330" s="29" t="s">
        <v>4568</v>
      </c>
      <c r="C2330" s="29" t="s">
        <v>19330</v>
      </c>
      <c r="D2330" s="29" t="s">
        <v>32503</v>
      </c>
      <c r="E2330" s="29" t="s">
        <v>45829</v>
      </c>
      <c r="F2330" s="36" t="s">
        <v>54401</v>
      </c>
      <c r="G2330" s="39">
        <f>479717.4+100322</f>
        <v>580039.4</v>
      </c>
      <c r="H2330" s="42">
        <v>211</v>
      </c>
    </row>
    <row r="2331" spans="1:8" ht="15" customHeight="1">
      <c r="A2331" s="26">
        <v>19288880</v>
      </c>
      <c r="B2331" s="29" t="s">
        <v>4569</v>
      </c>
      <c r="C2331" s="29" t="s">
        <v>19331</v>
      </c>
      <c r="D2331" s="29" t="s">
        <v>32504</v>
      </c>
      <c r="E2331" s="29" t="s">
        <v>45830</v>
      </c>
      <c r="F2331" s="36" t="s">
        <v>54401</v>
      </c>
      <c r="G2331" s="39">
        <f>4771542.39+1417022</f>
        <v>6188564.3899999997</v>
      </c>
      <c r="H2331" s="42">
        <v>211</v>
      </c>
    </row>
    <row r="2332" spans="1:8" ht="15" customHeight="1">
      <c r="A2332" s="26">
        <v>19296059</v>
      </c>
      <c r="B2332" s="29" t="s">
        <v>4570</v>
      </c>
      <c r="C2332" s="29" t="s">
        <v>19332</v>
      </c>
      <c r="D2332" s="29" t="s">
        <v>32505</v>
      </c>
      <c r="E2332" s="29" t="s">
        <v>45831</v>
      </c>
      <c r="F2332" s="36" t="s">
        <v>54401</v>
      </c>
      <c r="G2332" s="39">
        <v>1206755.03</v>
      </c>
      <c r="H2332" s="42">
        <v>211</v>
      </c>
    </row>
    <row r="2333" spans="1:8" ht="15" customHeight="1">
      <c r="A2333" s="26">
        <v>19302301</v>
      </c>
      <c r="B2333" s="29" t="s">
        <v>4571</v>
      </c>
      <c r="C2333" s="29" t="s">
        <v>19333</v>
      </c>
      <c r="D2333" s="29" t="s">
        <v>32506</v>
      </c>
      <c r="E2333" s="29" t="s">
        <v>45832</v>
      </c>
      <c r="F2333" s="36" t="s">
        <v>54401</v>
      </c>
      <c r="G2333" s="39">
        <v>2389083.19</v>
      </c>
      <c r="H2333" s="42">
        <v>211</v>
      </c>
    </row>
    <row r="2334" spans="1:8" ht="15" customHeight="1">
      <c r="A2334" s="26">
        <v>19307258</v>
      </c>
      <c r="B2334" s="29" t="s">
        <v>4572</v>
      </c>
      <c r="C2334" s="26" t="s">
        <v>19334</v>
      </c>
      <c r="D2334" s="26" t="s">
        <v>32507</v>
      </c>
      <c r="E2334" s="26" t="s">
        <v>45833</v>
      </c>
      <c r="F2334" s="37" t="s">
        <v>54401</v>
      </c>
      <c r="G2334" s="39">
        <v>178564.56</v>
      </c>
      <c r="H2334" s="42">
        <v>211</v>
      </c>
    </row>
    <row r="2335" spans="1:8" ht="15" customHeight="1">
      <c r="A2335" s="26">
        <v>19309013</v>
      </c>
      <c r="B2335" s="29" t="s">
        <v>4573</v>
      </c>
      <c r="C2335" s="29" t="s">
        <v>19335</v>
      </c>
      <c r="D2335" s="29" t="s">
        <v>32508</v>
      </c>
      <c r="E2335" s="29" t="s">
        <v>45834</v>
      </c>
      <c r="F2335" s="36" t="s">
        <v>54401</v>
      </c>
      <c r="G2335" s="39">
        <v>1972245.12</v>
      </c>
      <c r="H2335" s="42">
        <v>211</v>
      </c>
    </row>
    <row r="2336" spans="1:8" ht="15" customHeight="1">
      <c r="A2336" s="26">
        <v>19315134</v>
      </c>
      <c r="B2336" s="29" t="s">
        <v>4574</v>
      </c>
      <c r="C2336" s="29" t="s">
        <v>19336</v>
      </c>
      <c r="D2336" s="29" t="s">
        <v>32509</v>
      </c>
      <c r="E2336" s="29" t="s">
        <v>45835</v>
      </c>
      <c r="F2336" s="36" t="s">
        <v>54401</v>
      </c>
      <c r="G2336" s="39">
        <f>3569720.09+413166</f>
        <v>3982886.09</v>
      </c>
      <c r="H2336" s="42">
        <v>211</v>
      </c>
    </row>
    <row r="2337" spans="1:8" ht="15" customHeight="1">
      <c r="A2337" s="26">
        <v>19327806</v>
      </c>
      <c r="B2337" s="29" t="s">
        <v>4575</v>
      </c>
      <c r="C2337" s="29" t="s">
        <v>19337</v>
      </c>
      <c r="D2337" s="29" t="s">
        <v>32510</v>
      </c>
      <c r="E2337" s="29" t="s">
        <v>45836</v>
      </c>
      <c r="F2337" s="36" t="s">
        <v>54401</v>
      </c>
      <c r="G2337" s="39">
        <f>1683349.85+44890</f>
        <v>1728239.85</v>
      </c>
      <c r="H2337" s="42">
        <v>211</v>
      </c>
    </row>
    <row r="2338" spans="1:8" ht="15" customHeight="1">
      <c r="A2338" s="26">
        <v>19336558</v>
      </c>
      <c r="B2338" s="29" t="s">
        <v>4576</v>
      </c>
      <c r="C2338" s="29" t="s">
        <v>19338</v>
      </c>
      <c r="D2338" s="29" t="s">
        <v>32511</v>
      </c>
      <c r="E2338" s="29" t="s">
        <v>44512</v>
      </c>
      <c r="F2338" s="36" t="s">
        <v>54401</v>
      </c>
      <c r="G2338" s="39">
        <v>1828036.82</v>
      </c>
      <c r="H2338" s="42">
        <v>211</v>
      </c>
    </row>
    <row r="2339" spans="1:8" ht="15" customHeight="1">
      <c r="A2339" s="26">
        <v>19338976</v>
      </c>
      <c r="B2339" s="29" t="s">
        <v>4577</v>
      </c>
      <c r="C2339" s="29" t="s">
        <v>19339</v>
      </c>
      <c r="D2339" s="29" t="s">
        <v>32512</v>
      </c>
      <c r="E2339" s="29" t="s">
        <v>45093</v>
      </c>
      <c r="F2339" s="36" t="s">
        <v>54401</v>
      </c>
      <c r="G2339" s="39">
        <f>419440.78+303755</f>
        <v>723195.78</v>
      </c>
      <c r="H2339" s="42">
        <v>211</v>
      </c>
    </row>
    <row r="2340" spans="1:8" ht="15" customHeight="1">
      <c r="A2340" s="26">
        <v>19347210</v>
      </c>
      <c r="B2340" s="29" t="s">
        <v>4578</v>
      </c>
      <c r="C2340" s="29" t="s">
        <v>19340</v>
      </c>
      <c r="D2340" s="29" t="s">
        <v>32513</v>
      </c>
      <c r="E2340" s="29" t="s">
        <v>45837</v>
      </c>
      <c r="F2340" s="36" t="s">
        <v>54401</v>
      </c>
      <c r="G2340" s="39">
        <v>67725.539999999994</v>
      </c>
      <c r="H2340" s="42">
        <v>211</v>
      </c>
    </row>
    <row r="2341" spans="1:8" ht="15" customHeight="1">
      <c r="A2341" s="26">
        <v>19355161</v>
      </c>
      <c r="B2341" s="29" t="s">
        <v>4579</v>
      </c>
      <c r="C2341" s="29" t="s">
        <v>19341</v>
      </c>
      <c r="D2341" s="29" t="s">
        <v>32514</v>
      </c>
      <c r="E2341" s="29" t="s">
        <v>45838</v>
      </c>
      <c r="F2341" s="36" t="s">
        <v>54412</v>
      </c>
      <c r="G2341" s="39">
        <v>290274.12</v>
      </c>
      <c r="H2341" s="42">
        <v>211</v>
      </c>
    </row>
    <row r="2342" spans="1:8" ht="15" customHeight="1">
      <c r="A2342" s="26">
        <v>19357217</v>
      </c>
      <c r="B2342" s="29" t="s">
        <v>4580</v>
      </c>
      <c r="C2342" s="26" t="s">
        <v>19342</v>
      </c>
      <c r="D2342" s="26" t="s">
        <v>32515</v>
      </c>
      <c r="E2342" s="26" t="s">
        <v>45839</v>
      </c>
      <c r="F2342" s="37" t="s">
        <v>54401</v>
      </c>
      <c r="G2342" s="39">
        <v>3174723.32</v>
      </c>
      <c r="H2342" s="42">
        <v>211</v>
      </c>
    </row>
    <row r="2343" spans="1:8" ht="15" customHeight="1">
      <c r="A2343" s="26">
        <v>19363541</v>
      </c>
      <c r="B2343" s="29" t="s">
        <v>4581</v>
      </c>
      <c r="C2343" s="29" t="s">
        <v>19343</v>
      </c>
      <c r="D2343" s="29" t="s">
        <v>32516</v>
      </c>
      <c r="E2343" s="29" t="s">
        <v>45840</v>
      </c>
      <c r="F2343" s="36" t="s">
        <v>54401</v>
      </c>
      <c r="G2343" s="39">
        <v>307067.23</v>
      </c>
      <c r="H2343" s="42">
        <v>211</v>
      </c>
    </row>
    <row r="2344" spans="1:8" ht="15" customHeight="1">
      <c r="A2344" s="26">
        <v>19378017</v>
      </c>
      <c r="B2344" s="29" t="s">
        <v>4582</v>
      </c>
      <c r="C2344" s="29" t="s">
        <v>19344</v>
      </c>
      <c r="D2344" s="29" t="s">
        <v>32517</v>
      </c>
      <c r="E2344" s="29" t="s">
        <v>44113</v>
      </c>
      <c r="F2344" s="36" t="s">
        <v>54401</v>
      </c>
      <c r="G2344" s="39">
        <f>1025173.72+36879</f>
        <v>1062052.72</v>
      </c>
      <c r="H2344" s="42">
        <v>211</v>
      </c>
    </row>
    <row r="2345" spans="1:8" ht="15" customHeight="1">
      <c r="A2345" s="26">
        <v>19378181</v>
      </c>
      <c r="B2345" s="29" t="s">
        <v>4583</v>
      </c>
      <c r="C2345" s="29" t="s">
        <v>19345</v>
      </c>
      <c r="D2345" s="29" t="s">
        <v>32518</v>
      </c>
      <c r="E2345" s="29" t="s">
        <v>44084</v>
      </c>
      <c r="F2345" s="36" t="s">
        <v>54401</v>
      </c>
      <c r="G2345" s="39">
        <v>377279.02</v>
      </c>
      <c r="H2345" s="42">
        <v>211</v>
      </c>
    </row>
    <row r="2346" spans="1:8" ht="15" customHeight="1">
      <c r="A2346" s="26">
        <v>19389907</v>
      </c>
      <c r="B2346" s="29" t="s">
        <v>4584</v>
      </c>
      <c r="C2346" s="29" t="s">
        <v>19346</v>
      </c>
      <c r="D2346" s="29" t="s">
        <v>32519</v>
      </c>
      <c r="E2346" s="29" t="s">
        <v>45841</v>
      </c>
      <c r="F2346" s="36" t="s">
        <v>54401</v>
      </c>
      <c r="G2346" s="39">
        <v>395437.33</v>
      </c>
      <c r="H2346" s="42">
        <v>211</v>
      </c>
    </row>
    <row r="2347" spans="1:8" ht="15" customHeight="1">
      <c r="A2347" s="26">
        <v>19397619</v>
      </c>
      <c r="B2347" s="29" t="s">
        <v>4585</v>
      </c>
      <c r="C2347" s="29" t="s">
        <v>19347</v>
      </c>
      <c r="D2347" s="29" t="s">
        <v>32520</v>
      </c>
      <c r="E2347" s="29" t="s">
        <v>45842</v>
      </c>
      <c r="F2347" s="36" t="s">
        <v>54401</v>
      </c>
      <c r="G2347" s="39">
        <v>3639624.88</v>
      </c>
      <c r="H2347" s="42">
        <v>211</v>
      </c>
    </row>
    <row r="2348" spans="1:8" ht="15" customHeight="1">
      <c r="A2348" s="26">
        <v>19400983</v>
      </c>
      <c r="B2348" s="29" t="s">
        <v>4586</v>
      </c>
      <c r="C2348" s="29" t="s">
        <v>19348</v>
      </c>
      <c r="D2348" s="29" t="s">
        <v>32521</v>
      </c>
      <c r="E2348" s="29" t="s">
        <v>45843</v>
      </c>
      <c r="F2348" s="36" t="s">
        <v>54401</v>
      </c>
      <c r="G2348" s="39">
        <v>446513.18</v>
      </c>
      <c r="H2348" s="42">
        <v>211</v>
      </c>
    </row>
    <row r="2349" spans="1:8" ht="15" customHeight="1">
      <c r="A2349" s="26">
        <v>19401419</v>
      </c>
      <c r="B2349" s="29" t="s">
        <v>4587</v>
      </c>
      <c r="C2349" s="29" t="s">
        <v>19349</v>
      </c>
      <c r="D2349" s="29" t="s">
        <v>32522</v>
      </c>
      <c r="E2349" s="29" t="s">
        <v>43926</v>
      </c>
      <c r="F2349" s="36" t="s">
        <v>54401</v>
      </c>
      <c r="G2349" s="39">
        <v>155654.29999999999</v>
      </c>
      <c r="H2349" s="42">
        <v>211</v>
      </c>
    </row>
    <row r="2350" spans="1:8" ht="15" customHeight="1">
      <c r="A2350" s="26">
        <v>19401517</v>
      </c>
      <c r="B2350" s="29" t="s">
        <v>4588</v>
      </c>
      <c r="C2350" s="29" t="s">
        <v>19350</v>
      </c>
      <c r="D2350" s="29" t="s">
        <v>32523</v>
      </c>
      <c r="E2350" s="29" t="s">
        <v>45844</v>
      </c>
      <c r="F2350" s="36" t="s">
        <v>54401</v>
      </c>
      <c r="G2350" s="39">
        <v>730997.6</v>
      </c>
      <c r="H2350" s="42">
        <v>211</v>
      </c>
    </row>
    <row r="2351" spans="1:8" ht="15" customHeight="1">
      <c r="A2351" s="26">
        <v>19415559</v>
      </c>
      <c r="B2351" s="29" t="s">
        <v>4589</v>
      </c>
      <c r="C2351" s="29" t="s">
        <v>19351</v>
      </c>
      <c r="D2351" s="29" t="s">
        <v>32524</v>
      </c>
      <c r="E2351" s="29" t="s">
        <v>43926</v>
      </c>
      <c r="F2351" s="36" t="s">
        <v>54401</v>
      </c>
      <c r="G2351" s="39">
        <v>32512.6</v>
      </c>
      <c r="H2351" s="42">
        <v>211</v>
      </c>
    </row>
    <row r="2352" spans="1:8" ht="15" customHeight="1">
      <c r="A2352" s="26">
        <v>19433633</v>
      </c>
      <c r="B2352" s="29" t="s">
        <v>4590</v>
      </c>
      <c r="C2352" s="29" t="s">
        <v>19352</v>
      </c>
      <c r="D2352" s="29" t="s">
        <v>32525</v>
      </c>
      <c r="E2352" s="29" t="s">
        <v>45845</v>
      </c>
      <c r="F2352" s="36" t="s">
        <v>54401</v>
      </c>
      <c r="G2352" s="39">
        <v>3812368.05</v>
      </c>
      <c r="H2352" s="42">
        <v>211</v>
      </c>
    </row>
    <row r="2353" spans="1:8" ht="15" customHeight="1">
      <c r="A2353" s="26">
        <v>19435700</v>
      </c>
      <c r="B2353" s="29" t="s">
        <v>4591</v>
      </c>
      <c r="C2353" s="29" t="s">
        <v>19353</v>
      </c>
      <c r="D2353" s="29" t="s">
        <v>32526</v>
      </c>
      <c r="E2353" s="29" t="s">
        <v>45846</v>
      </c>
      <c r="F2353" s="36" t="s">
        <v>54401</v>
      </c>
      <c r="G2353" s="39">
        <f>485926.87+457932</f>
        <v>943858.87</v>
      </c>
      <c r="H2353" s="42">
        <v>211</v>
      </c>
    </row>
    <row r="2354" spans="1:8" ht="15" customHeight="1">
      <c r="A2354" s="26">
        <v>19439095</v>
      </c>
      <c r="B2354" s="29" t="s">
        <v>4592</v>
      </c>
      <c r="C2354" s="29" t="s">
        <v>19354</v>
      </c>
      <c r="D2354" s="29" t="s">
        <v>32527</v>
      </c>
      <c r="E2354" s="29" t="s">
        <v>45847</v>
      </c>
      <c r="F2354" s="36" t="s">
        <v>54401</v>
      </c>
      <c r="G2354" s="39">
        <v>4470031.05</v>
      </c>
      <c r="H2354" s="42">
        <v>211</v>
      </c>
    </row>
    <row r="2355" spans="1:8" ht="15" customHeight="1">
      <c r="A2355" s="26">
        <v>19439823</v>
      </c>
      <c r="B2355" s="29" t="s">
        <v>4593</v>
      </c>
      <c r="C2355" s="29" t="s">
        <v>19355</v>
      </c>
      <c r="D2355" s="29" t="s">
        <v>32528</v>
      </c>
      <c r="E2355" s="29" t="s">
        <v>45848</v>
      </c>
      <c r="F2355" s="36" t="s">
        <v>54401</v>
      </c>
      <c r="G2355" s="39">
        <v>1406180.33</v>
      </c>
      <c r="H2355" s="42">
        <v>211</v>
      </c>
    </row>
    <row r="2356" spans="1:8" ht="15" customHeight="1">
      <c r="A2356" s="26">
        <v>19442489</v>
      </c>
      <c r="B2356" s="29" t="s">
        <v>4594</v>
      </c>
      <c r="C2356" s="29" t="s">
        <v>19356</v>
      </c>
      <c r="D2356" s="29" t="s">
        <v>30376</v>
      </c>
      <c r="E2356" s="29" t="s">
        <v>45849</v>
      </c>
      <c r="F2356" s="36" t="s">
        <v>54401</v>
      </c>
      <c r="G2356" s="39">
        <v>1811954.19</v>
      </c>
      <c r="H2356" s="42">
        <v>211</v>
      </c>
    </row>
    <row r="2357" spans="1:8" ht="15" customHeight="1">
      <c r="A2357" s="26">
        <v>19451443</v>
      </c>
      <c r="B2357" s="29" t="s">
        <v>4595</v>
      </c>
      <c r="C2357" s="29" t="s">
        <v>19357</v>
      </c>
      <c r="D2357" s="29" t="s">
        <v>32529</v>
      </c>
      <c r="E2357" s="29" t="s">
        <v>45850</v>
      </c>
      <c r="F2357" s="36" t="s">
        <v>54401</v>
      </c>
      <c r="G2357" s="39">
        <v>21597.34</v>
      </c>
      <c r="H2357" s="42">
        <v>211</v>
      </c>
    </row>
    <row r="2358" spans="1:8" ht="15" customHeight="1">
      <c r="A2358" s="26">
        <v>19463040</v>
      </c>
      <c r="B2358" s="29" t="s">
        <v>4596</v>
      </c>
      <c r="C2358" s="29" t="s">
        <v>19358</v>
      </c>
      <c r="D2358" s="29" t="s">
        <v>32530</v>
      </c>
      <c r="E2358" s="29" t="s">
        <v>45851</v>
      </c>
      <c r="F2358" s="36" t="s">
        <v>54409</v>
      </c>
      <c r="G2358" s="39">
        <v>340796.71</v>
      </c>
      <c r="H2358" s="42">
        <v>211</v>
      </c>
    </row>
    <row r="2359" spans="1:8" ht="15" customHeight="1">
      <c r="A2359" s="26">
        <v>19463698</v>
      </c>
      <c r="B2359" s="29" t="s">
        <v>4597</v>
      </c>
      <c r="C2359" s="29" t="s">
        <v>19359</v>
      </c>
      <c r="D2359" s="29" t="s">
        <v>32531</v>
      </c>
      <c r="E2359" s="29" t="s">
        <v>45852</v>
      </c>
      <c r="F2359" s="36" t="s">
        <v>54401</v>
      </c>
      <c r="G2359" s="39">
        <v>21518.49</v>
      </c>
      <c r="H2359" s="42">
        <v>211</v>
      </c>
    </row>
    <row r="2360" spans="1:8" ht="15" customHeight="1">
      <c r="A2360" s="26">
        <v>19466788</v>
      </c>
      <c r="B2360" s="29" t="s">
        <v>4598</v>
      </c>
      <c r="C2360" s="29" t="s">
        <v>19360</v>
      </c>
      <c r="D2360" s="29" t="s">
        <v>32532</v>
      </c>
      <c r="E2360" s="29" t="s">
        <v>44769</v>
      </c>
      <c r="F2360" s="36" t="s">
        <v>54401</v>
      </c>
      <c r="G2360" s="39">
        <f>4221857.79+183359</f>
        <v>4405216.79</v>
      </c>
      <c r="H2360" s="42">
        <v>211</v>
      </c>
    </row>
    <row r="2361" spans="1:8" ht="15" customHeight="1">
      <c r="A2361" s="26">
        <v>19469628</v>
      </c>
      <c r="B2361" s="29" t="s">
        <v>4599</v>
      </c>
      <c r="C2361" s="29" t="s">
        <v>19361</v>
      </c>
      <c r="D2361" s="29" t="s">
        <v>32533</v>
      </c>
      <c r="E2361" s="29" t="s">
        <v>43949</v>
      </c>
      <c r="F2361" s="36" t="s">
        <v>54401</v>
      </c>
      <c r="G2361" s="39">
        <v>24285.72</v>
      </c>
      <c r="H2361" s="42">
        <v>211</v>
      </c>
    </row>
    <row r="2362" spans="1:8" ht="15" customHeight="1">
      <c r="A2362" s="26">
        <v>19473079</v>
      </c>
      <c r="B2362" s="29" t="s">
        <v>4600</v>
      </c>
      <c r="C2362" s="29" t="s">
        <v>17204</v>
      </c>
      <c r="D2362" s="29" t="s">
        <v>32534</v>
      </c>
      <c r="E2362" s="29" t="s">
        <v>43926</v>
      </c>
      <c r="F2362" s="36" t="s">
        <v>54401</v>
      </c>
      <c r="G2362" s="39">
        <f>119480.63+225461</f>
        <v>344941.63</v>
      </c>
      <c r="H2362" s="42">
        <v>211</v>
      </c>
    </row>
    <row r="2363" spans="1:8" ht="15" customHeight="1">
      <c r="A2363" s="26">
        <v>19474630</v>
      </c>
      <c r="B2363" s="29" t="s">
        <v>4601</v>
      </c>
      <c r="C2363" s="29" t="s">
        <v>19362</v>
      </c>
      <c r="D2363" s="29" t="s">
        <v>32535</v>
      </c>
      <c r="E2363" s="29" t="s">
        <v>45853</v>
      </c>
      <c r="F2363" s="36" t="s">
        <v>54401</v>
      </c>
      <c r="G2363" s="39">
        <v>8632694</v>
      </c>
      <c r="H2363" s="42">
        <v>211</v>
      </c>
    </row>
    <row r="2364" spans="1:8" ht="15" customHeight="1">
      <c r="A2364" s="26">
        <v>19481151</v>
      </c>
      <c r="B2364" s="29" t="s">
        <v>4602</v>
      </c>
      <c r="C2364" s="29" t="s">
        <v>19363</v>
      </c>
      <c r="D2364" s="29" t="s">
        <v>32536</v>
      </c>
      <c r="E2364" s="29" t="s">
        <v>45854</v>
      </c>
      <c r="F2364" s="36" t="s">
        <v>54401</v>
      </c>
      <c r="G2364" s="39">
        <v>2738994.78</v>
      </c>
      <c r="H2364" s="42">
        <v>211</v>
      </c>
    </row>
    <row r="2365" spans="1:8" ht="15" customHeight="1">
      <c r="A2365" s="26">
        <v>19482415</v>
      </c>
      <c r="B2365" s="29" t="s">
        <v>4603</v>
      </c>
      <c r="C2365" s="29" t="s">
        <v>19364</v>
      </c>
      <c r="D2365" s="29" t="s">
        <v>32537</v>
      </c>
      <c r="E2365" s="29" t="s">
        <v>45855</v>
      </c>
      <c r="F2365" s="36" t="s">
        <v>54401</v>
      </c>
      <c r="G2365" s="39">
        <v>401418.42</v>
      </c>
      <c r="H2365" s="42">
        <v>211</v>
      </c>
    </row>
    <row r="2366" spans="1:8" ht="15" customHeight="1">
      <c r="A2366" s="26">
        <v>19483248</v>
      </c>
      <c r="B2366" s="29" t="s">
        <v>4604</v>
      </c>
      <c r="C2366" s="29" t="s">
        <v>19365</v>
      </c>
      <c r="D2366" s="29" t="s">
        <v>32538</v>
      </c>
      <c r="E2366" s="29" t="s">
        <v>45856</v>
      </c>
      <c r="F2366" s="36" t="s">
        <v>54401</v>
      </c>
      <c r="G2366" s="39">
        <v>157941.34</v>
      </c>
      <c r="H2366" s="42">
        <v>211</v>
      </c>
    </row>
    <row r="2367" spans="1:8" ht="15" customHeight="1">
      <c r="A2367" s="26">
        <v>19483647</v>
      </c>
      <c r="B2367" s="29" t="s">
        <v>4605</v>
      </c>
      <c r="C2367" s="26" t="s">
        <v>19366</v>
      </c>
      <c r="D2367" s="26" t="s">
        <v>32539</v>
      </c>
      <c r="E2367" s="26" t="s">
        <v>45857</v>
      </c>
      <c r="F2367" s="37" t="s">
        <v>54401</v>
      </c>
      <c r="G2367" s="39">
        <v>2194194.21</v>
      </c>
      <c r="H2367" s="42">
        <v>211</v>
      </c>
    </row>
    <row r="2368" spans="1:8" ht="15" customHeight="1">
      <c r="A2368" s="26">
        <v>19489330</v>
      </c>
      <c r="B2368" s="29" t="s">
        <v>4606</v>
      </c>
      <c r="C2368" s="29" t="s">
        <v>19367</v>
      </c>
      <c r="D2368" s="29" t="s">
        <v>32540</v>
      </c>
      <c r="E2368" s="29" t="s">
        <v>45858</v>
      </c>
      <c r="F2368" s="36" t="s">
        <v>54401</v>
      </c>
      <c r="G2368" s="39">
        <f>690059.29+121398</f>
        <v>811457.29</v>
      </c>
      <c r="H2368" s="42">
        <v>211</v>
      </c>
    </row>
    <row r="2369" spans="1:8" ht="15" customHeight="1">
      <c r="A2369" s="26">
        <v>19491963</v>
      </c>
      <c r="B2369" s="29" t="s">
        <v>4607</v>
      </c>
      <c r="C2369" s="29" t="s">
        <v>19368</v>
      </c>
      <c r="D2369" s="29" t="s">
        <v>32541</v>
      </c>
      <c r="E2369" s="29" t="s">
        <v>45859</v>
      </c>
      <c r="F2369" s="36" t="s">
        <v>54401</v>
      </c>
      <c r="G2369" s="39">
        <f>1189352.9+67360</f>
        <v>1256712.8999999999</v>
      </c>
      <c r="H2369" s="42">
        <v>211</v>
      </c>
    </row>
    <row r="2370" spans="1:8" ht="15" customHeight="1">
      <c r="A2370" s="26">
        <v>19495581</v>
      </c>
      <c r="B2370" s="29" t="s">
        <v>4608</v>
      </c>
      <c r="C2370" s="29" t="s">
        <v>19369</v>
      </c>
      <c r="D2370" s="29" t="s">
        <v>32542</v>
      </c>
      <c r="E2370" s="29" t="s">
        <v>45860</v>
      </c>
      <c r="F2370" s="36" t="s">
        <v>54401</v>
      </c>
      <c r="G2370" s="39">
        <f>146896.13+669098-26160</f>
        <v>789834.13</v>
      </c>
      <c r="H2370" s="42">
        <v>211</v>
      </c>
    </row>
    <row r="2371" spans="1:8" ht="15" customHeight="1">
      <c r="A2371" s="26">
        <v>19619150</v>
      </c>
      <c r="B2371" s="29" t="s">
        <v>4609</v>
      </c>
      <c r="C2371" s="29" t="s">
        <v>19370</v>
      </c>
      <c r="D2371" s="29" t="s">
        <v>32543</v>
      </c>
      <c r="E2371" s="29" t="s">
        <v>45861</v>
      </c>
      <c r="F2371" s="36" t="s">
        <v>54401</v>
      </c>
      <c r="G2371" s="39">
        <v>5663399.04</v>
      </c>
      <c r="H2371" s="42">
        <v>211</v>
      </c>
    </row>
    <row r="2372" spans="1:8" ht="15" customHeight="1">
      <c r="A2372" s="26">
        <v>19773345</v>
      </c>
      <c r="B2372" s="29" t="s">
        <v>4610</v>
      </c>
      <c r="C2372" s="29" t="s">
        <v>17204</v>
      </c>
      <c r="D2372" s="29" t="s">
        <v>30349</v>
      </c>
      <c r="E2372" s="29" t="s">
        <v>43926</v>
      </c>
      <c r="F2372" s="36" t="s">
        <v>54401</v>
      </c>
      <c r="G2372" s="39">
        <v>149648.85999999999</v>
      </c>
      <c r="H2372" s="42">
        <v>211</v>
      </c>
    </row>
    <row r="2373" spans="1:8" ht="15" customHeight="1">
      <c r="A2373" s="26">
        <v>20217731</v>
      </c>
      <c r="B2373" s="29" t="s">
        <v>4611</v>
      </c>
      <c r="C2373" s="29" t="s">
        <v>19371</v>
      </c>
      <c r="D2373" s="29" t="s">
        <v>32544</v>
      </c>
      <c r="E2373" s="29" t="s">
        <v>45862</v>
      </c>
      <c r="F2373" s="36" t="s">
        <v>54401</v>
      </c>
      <c r="G2373" s="39">
        <v>8899840.7300000004</v>
      </c>
      <c r="H2373" s="42">
        <v>211</v>
      </c>
    </row>
    <row r="2374" spans="1:8" ht="15" customHeight="1">
      <c r="A2374" s="26">
        <v>20275800</v>
      </c>
      <c r="B2374" s="29" t="s">
        <v>4612</v>
      </c>
      <c r="C2374" s="29" t="s">
        <v>19372</v>
      </c>
      <c r="D2374" s="29" t="s">
        <v>32545</v>
      </c>
      <c r="E2374" s="29" t="s">
        <v>44626</v>
      </c>
      <c r="F2374" s="36" t="s">
        <v>54409</v>
      </c>
      <c r="G2374" s="39">
        <v>268321.15999999997</v>
      </c>
      <c r="H2374" s="42">
        <v>211</v>
      </c>
    </row>
    <row r="2375" spans="1:8" ht="15" customHeight="1">
      <c r="A2375" s="26">
        <v>20292096</v>
      </c>
      <c r="B2375" s="29" t="s">
        <v>4613</v>
      </c>
      <c r="C2375" s="29" t="s">
        <v>19373</v>
      </c>
      <c r="D2375" s="29" t="s">
        <v>32546</v>
      </c>
      <c r="E2375" s="29" t="s">
        <v>45863</v>
      </c>
      <c r="F2375" s="36" t="s">
        <v>54401</v>
      </c>
      <c r="G2375" s="39">
        <v>283792.52</v>
      </c>
      <c r="H2375" s="42">
        <v>211</v>
      </c>
    </row>
    <row r="2376" spans="1:8" ht="15" customHeight="1">
      <c r="A2376" s="26">
        <v>20363954</v>
      </c>
      <c r="B2376" s="29" t="s">
        <v>4614</v>
      </c>
      <c r="C2376" s="29" t="s">
        <v>19374</v>
      </c>
      <c r="D2376" s="29" t="s">
        <v>32547</v>
      </c>
      <c r="E2376" s="29" t="s">
        <v>45864</v>
      </c>
      <c r="F2376" s="36" t="s">
        <v>54401</v>
      </c>
      <c r="G2376" s="39">
        <f>1035944.84+150714</f>
        <v>1186658.8399999999</v>
      </c>
      <c r="H2376" s="42">
        <v>211</v>
      </c>
    </row>
    <row r="2377" spans="1:8" ht="15" customHeight="1">
      <c r="A2377" s="26">
        <v>20368363</v>
      </c>
      <c r="B2377" s="29" t="s">
        <v>4615</v>
      </c>
      <c r="C2377" s="29" t="s">
        <v>19375</v>
      </c>
      <c r="D2377" s="29" t="s">
        <v>32548</v>
      </c>
      <c r="E2377" s="29" t="s">
        <v>45865</v>
      </c>
      <c r="F2377" s="36" t="s">
        <v>54401</v>
      </c>
      <c r="G2377" s="39">
        <v>71445.38</v>
      </c>
      <c r="H2377" s="42">
        <v>211</v>
      </c>
    </row>
    <row r="2378" spans="1:8" ht="15" customHeight="1">
      <c r="A2378" s="26">
        <v>20368536</v>
      </c>
      <c r="B2378" s="29" t="s">
        <v>4616</v>
      </c>
      <c r="C2378" s="29" t="s">
        <v>19376</v>
      </c>
      <c r="D2378" s="29" t="s">
        <v>32549</v>
      </c>
      <c r="E2378" s="29" t="s">
        <v>45866</v>
      </c>
      <c r="F2378" s="36" t="s">
        <v>54401</v>
      </c>
      <c r="G2378" s="39">
        <v>208062.87</v>
      </c>
      <c r="H2378" s="42">
        <v>211</v>
      </c>
    </row>
    <row r="2379" spans="1:8" ht="15" customHeight="1">
      <c r="A2379" s="26">
        <v>20391475</v>
      </c>
      <c r="B2379" s="29" t="s">
        <v>4617</v>
      </c>
      <c r="C2379" s="29" t="s">
        <v>19377</v>
      </c>
      <c r="D2379" s="29" t="s">
        <v>32550</v>
      </c>
      <c r="E2379" s="29" t="s">
        <v>45867</v>
      </c>
      <c r="F2379" s="36" t="s">
        <v>54401</v>
      </c>
      <c r="G2379" s="39">
        <v>43244.71</v>
      </c>
      <c r="H2379" s="42">
        <v>211</v>
      </c>
    </row>
    <row r="2380" spans="1:8" ht="15" customHeight="1">
      <c r="A2380" s="26">
        <v>20403988</v>
      </c>
      <c r="B2380" s="29" t="s">
        <v>4618</v>
      </c>
      <c r="C2380" s="29" t="s">
        <v>19378</v>
      </c>
      <c r="D2380" s="29" t="s">
        <v>32551</v>
      </c>
      <c r="E2380" s="29" t="s">
        <v>45868</v>
      </c>
      <c r="F2380" s="36" t="s">
        <v>54414</v>
      </c>
      <c r="G2380" s="39">
        <f>38111920.89-268126</f>
        <v>37843794.890000001</v>
      </c>
      <c r="H2380" s="42">
        <v>211</v>
      </c>
    </row>
    <row r="2381" spans="1:8" ht="15" customHeight="1">
      <c r="A2381" s="26">
        <v>20483710</v>
      </c>
      <c r="B2381" s="29" t="s">
        <v>4619</v>
      </c>
      <c r="C2381" s="29" t="s">
        <v>19379</v>
      </c>
      <c r="D2381" s="29" t="s">
        <v>32552</v>
      </c>
      <c r="E2381" s="29" t="s">
        <v>44923</v>
      </c>
      <c r="F2381" s="36" t="s">
        <v>54406</v>
      </c>
      <c r="G2381" s="39">
        <v>1055753.67</v>
      </c>
      <c r="H2381" s="42">
        <v>211</v>
      </c>
    </row>
    <row r="2382" spans="1:8" ht="15" customHeight="1">
      <c r="A2382" s="26">
        <v>20485465</v>
      </c>
      <c r="B2382" s="29" t="s">
        <v>4620</v>
      </c>
      <c r="C2382" s="26" t="s">
        <v>19380</v>
      </c>
      <c r="D2382" s="26" t="s">
        <v>32553</v>
      </c>
      <c r="E2382" s="26" t="s">
        <v>45869</v>
      </c>
      <c r="F2382" s="37" t="s">
        <v>54401</v>
      </c>
      <c r="G2382" s="39">
        <v>157465.81</v>
      </c>
      <c r="H2382" s="42">
        <v>211</v>
      </c>
    </row>
    <row r="2383" spans="1:8" ht="15" customHeight="1">
      <c r="A2383" s="26">
        <v>20490558</v>
      </c>
      <c r="B2383" s="29" t="s">
        <v>4621</v>
      </c>
      <c r="C2383" s="29" t="s">
        <v>19381</v>
      </c>
      <c r="D2383" s="29" t="s">
        <v>32554</v>
      </c>
      <c r="E2383" s="29" t="s">
        <v>45870</v>
      </c>
      <c r="F2383" s="36" t="s">
        <v>54401</v>
      </c>
      <c r="G2383" s="39">
        <f>744735.2+148196</f>
        <v>892931.2</v>
      </c>
      <c r="H2383" s="42">
        <v>211</v>
      </c>
    </row>
    <row r="2384" spans="1:8" ht="15" customHeight="1">
      <c r="A2384" s="26">
        <v>20619334</v>
      </c>
      <c r="B2384" s="29" t="s">
        <v>4622</v>
      </c>
      <c r="C2384" s="29" t="s">
        <v>19382</v>
      </c>
      <c r="D2384" s="29" t="s">
        <v>32555</v>
      </c>
      <c r="E2384" s="29" t="s">
        <v>45871</v>
      </c>
      <c r="F2384" s="36" t="s">
        <v>54401</v>
      </c>
      <c r="G2384" s="39">
        <v>15881.34</v>
      </c>
      <c r="H2384" s="42">
        <v>211</v>
      </c>
    </row>
    <row r="2385" spans="1:8" ht="15" customHeight="1">
      <c r="A2385" s="26">
        <v>20643927</v>
      </c>
      <c r="B2385" s="29" t="s">
        <v>4623</v>
      </c>
      <c r="C2385" s="29" t="s">
        <v>19383</v>
      </c>
      <c r="D2385" s="29" t="s">
        <v>32556</v>
      </c>
      <c r="E2385" s="29" t="s">
        <v>45872</v>
      </c>
      <c r="F2385" s="36" t="s">
        <v>54412</v>
      </c>
      <c r="G2385" s="39">
        <v>273084.2</v>
      </c>
      <c r="H2385" s="42">
        <v>211</v>
      </c>
    </row>
    <row r="2386" spans="1:8" ht="15" customHeight="1">
      <c r="A2386" s="26">
        <v>20735981</v>
      </c>
      <c r="B2386" s="29" t="s">
        <v>4624</v>
      </c>
      <c r="C2386" s="29" t="s">
        <v>19384</v>
      </c>
      <c r="D2386" s="29" t="s">
        <v>32557</v>
      </c>
      <c r="E2386" s="29" t="s">
        <v>45873</v>
      </c>
      <c r="F2386" s="36" t="s">
        <v>54401</v>
      </c>
      <c r="G2386" s="39">
        <v>993463.15</v>
      </c>
      <c r="H2386" s="42">
        <v>211</v>
      </c>
    </row>
    <row r="2387" spans="1:8" ht="15" customHeight="1">
      <c r="A2387" s="26">
        <v>20796286</v>
      </c>
      <c r="B2387" s="29" t="s">
        <v>4625</v>
      </c>
      <c r="C2387" s="29" t="s">
        <v>19385</v>
      </c>
      <c r="D2387" s="29" t="s">
        <v>32558</v>
      </c>
      <c r="E2387" s="29" t="s">
        <v>44855</v>
      </c>
      <c r="F2387" s="36" t="s">
        <v>54401</v>
      </c>
      <c r="G2387" s="39">
        <v>229123.57</v>
      </c>
      <c r="H2387" s="42">
        <v>211</v>
      </c>
    </row>
    <row r="2388" spans="1:8" ht="15" customHeight="1">
      <c r="A2388" s="26">
        <v>20902107</v>
      </c>
      <c r="B2388" s="29" t="s">
        <v>4626</v>
      </c>
      <c r="C2388" s="29" t="s">
        <v>19386</v>
      </c>
      <c r="D2388" s="29" t="s">
        <v>32559</v>
      </c>
      <c r="E2388" s="29" t="s">
        <v>44327</v>
      </c>
      <c r="F2388" s="36" t="s">
        <v>54401</v>
      </c>
      <c r="G2388" s="39">
        <v>1471229.4</v>
      </c>
      <c r="H2388" s="42">
        <v>211</v>
      </c>
    </row>
    <row r="2389" spans="1:8" ht="15" customHeight="1">
      <c r="A2389" s="26">
        <v>20911217</v>
      </c>
      <c r="B2389" s="29" t="s">
        <v>4627</v>
      </c>
      <c r="C2389" s="29" t="s">
        <v>19387</v>
      </c>
      <c r="D2389" s="29" t="s">
        <v>32560</v>
      </c>
      <c r="E2389" s="29" t="s">
        <v>45874</v>
      </c>
      <c r="F2389" s="36" t="s">
        <v>54401</v>
      </c>
      <c r="G2389" s="39">
        <v>5506714.4500000002</v>
      </c>
      <c r="H2389" s="42">
        <v>211</v>
      </c>
    </row>
    <row r="2390" spans="1:8" ht="15" customHeight="1">
      <c r="A2390" s="26">
        <v>20932532</v>
      </c>
      <c r="B2390" s="29" t="s">
        <v>4628</v>
      </c>
      <c r="C2390" s="29" t="s">
        <v>19388</v>
      </c>
      <c r="D2390" s="29" t="s">
        <v>32561</v>
      </c>
      <c r="E2390" s="29" t="s">
        <v>45875</v>
      </c>
      <c r="F2390" s="36" t="s">
        <v>54401</v>
      </c>
      <c r="G2390" s="39">
        <v>1680774.28</v>
      </c>
      <c r="H2390" s="42">
        <v>211</v>
      </c>
    </row>
    <row r="2391" spans="1:8" ht="15" customHeight="1">
      <c r="A2391" s="26">
        <v>21021706</v>
      </c>
      <c r="B2391" s="29" t="s">
        <v>4629</v>
      </c>
      <c r="C2391" s="29" t="s">
        <v>19389</v>
      </c>
      <c r="D2391" s="29" t="s">
        <v>32562</v>
      </c>
      <c r="E2391" s="29" t="s">
        <v>45876</v>
      </c>
      <c r="F2391" s="36" t="s">
        <v>54401</v>
      </c>
      <c r="G2391" s="39">
        <v>1019537.34</v>
      </c>
      <c r="H2391" s="42">
        <v>211</v>
      </c>
    </row>
    <row r="2392" spans="1:8" ht="15" customHeight="1">
      <c r="A2392" s="26">
        <v>21065847</v>
      </c>
      <c r="B2392" s="29" t="s">
        <v>4630</v>
      </c>
      <c r="C2392" s="29" t="s">
        <v>19390</v>
      </c>
      <c r="D2392" s="29" t="s">
        <v>32563</v>
      </c>
      <c r="E2392" s="29" t="s">
        <v>45877</v>
      </c>
      <c r="F2392" s="36" t="s">
        <v>54401</v>
      </c>
      <c r="G2392" s="39">
        <v>543261.41</v>
      </c>
      <c r="H2392" s="42">
        <v>211</v>
      </c>
    </row>
    <row r="2393" spans="1:8" ht="15" customHeight="1">
      <c r="A2393" s="26">
        <v>21177367</v>
      </c>
      <c r="B2393" s="29" t="s">
        <v>4631</v>
      </c>
      <c r="C2393" s="29" t="s">
        <v>19391</v>
      </c>
      <c r="D2393" s="29" t="s">
        <v>32564</v>
      </c>
      <c r="E2393" s="29" t="s">
        <v>45878</v>
      </c>
      <c r="F2393" s="36" t="s">
        <v>54401</v>
      </c>
      <c r="G2393" s="39">
        <v>53761.67</v>
      </c>
      <c r="H2393" s="42">
        <v>211</v>
      </c>
    </row>
    <row r="2394" spans="1:8" ht="15" customHeight="1">
      <c r="A2394" s="26">
        <v>21330329</v>
      </c>
      <c r="B2394" s="29" t="s">
        <v>4632</v>
      </c>
      <c r="C2394" s="29" t="s">
        <v>19392</v>
      </c>
      <c r="D2394" s="29" t="s">
        <v>32565</v>
      </c>
      <c r="E2394" s="29" t="s">
        <v>45879</v>
      </c>
      <c r="F2394" s="36" t="s">
        <v>54401</v>
      </c>
      <c r="G2394" s="39">
        <v>393523.98</v>
      </c>
      <c r="H2394" s="42">
        <v>211</v>
      </c>
    </row>
    <row r="2395" spans="1:8" ht="15" customHeight="1">
      <c r="A2395" s="26">
        <v>22272179</v>
      </c>
      <c r="B2395" s="29" t="s">
        <v>4633</v>
      </c>
      <c r="C2395" s="29" t="s">
        <v>19393</v>
      </c>
      <c r="D2395" s="29" t="s">
        <v>32566</v>
      </c>
      <c r="E2395" s="29" t="s">
        <v>45880</v>
      </c>
      <c r="F2395" s="36" t="s">
        <v>54401</v>
      </c>
      <c r="G2395" s="39">
        <v>74400</v>
      </c>
      <c r="H2395" s="42">
        <v>211</v>
      </c>
    </row>
    <row r="2396" spans="1:8" ht="15" customHeight="1">
      <c r="A2396" s="26">
        <v>22466615</v>
      </c>
      <c r="B2396" s="29" t="s">
        <v>4634</v>
      </c>
      <c r="C2396" s="29" t="s">
        <v>19394</v>
      </c>
      <c r="D2396" s="29" t="s">
        <v>32567</v>
      </c>
      <c r="E2396" s="29" t="s">
        <v>44782</v>
      </c>
      <c r="F2396" s="36" t="s">
        <v>54401</v>
      </c>
      <c r="G2396" s="39">
        <v>321780.3</v>
      </c>
      <c r="H2396" s="42">
        <v>211</v>
      </c>
    </row>
    <row r="2397" spans="1:8" ht="15" customHeight="1">
      <c r="A2397" s="26">
        <v>22494860</v>
      </c>
      <c r="B2397" s="29" t="s">
        <v>4635</v>
      </c>
      <c r="C2397" s="29" t="s">
        <v>19395</v>
      </c>
      <c r="D2397" s="29" t="s">
        <v>32568</v>
      </c>
      <c r="E2397" s="29" t="s">
        <v>45881</v>
      </c>
      <c r="F2397" s="36" t="s">
        <v>54401</v>
      </c>
      <c r="G2397" s="39">
        <v>115417.5</v>
      </c>
      <c r="H2397" s="42">
        <v>211</v>
      </c>
    </row>
    <row r="2398" spans="1:8" ht="15" customHeight="1">
      <c r="A2398" s="26">
        <v>22534630</v>
      </c>
      <c r="B2398" s="29" t="s">
        <v>4636</v>
      </c>
      <c r="C2398" s="29" t="s">
        <v>17204</v>
      </c>
      <c r="D2398" s="29" t="s">
        <v>30376</v>
      </c>
      <c r="E2398" s="29" t="s">
        <v>43926</v>
      </c>
      <c r="F2398" s="36" t="s">
        <v>54401</v>
      </c>
      <c r="G2398" s="39">
        <v>260627.58</v>
      </c>
      <c r="H2398" s="42">
        <v>211</v>
      </c>
    </row>
    <row r="2399" spans="1:8" ht="15" customHeight="1">
      <c r="A2399" s="26">
        <v>22650163</v>
      </c>
      <c r="B2399" s="29" t="s">
        <v>4637</v>
      </c>
      <c r="C2399" s="29" t="s">
        <v>19396</v>
      </c>
      <c r="D2399" s="29" t="s">
        <v>30349</v>
      </c>
      <c r="E2399" s="29" t="s">
        <v>43926</v>
      </c>
      <c r="F2399" s="36" t="s">
        <v>54401</v>
      </c>
      <c r="G2399" s="39">
        <v>94438.97</v>
      </c>
      <c r="H2399" s="42">
        <v>211</v>
      </c>
    </row>
    <row r="2400" spans="1:8" ht="15" customHeight="1">
      <c r="A2400" s="26">
        <v>22732220</v>
      </c>
      <c r="B2400" s="29" t="s">
        <v>4638</v>
      </c>
      <c r="C2400" s="29" t="s">
        <v>19397</v>
      </c>
      <c r="D2400" s="29" t="s">
        <v>32569</v>
      </c>
      <c r="E2400" s="29" t="s">
        <v>43926</v>
      </c>
      <c r="F2400" s="36" t="s">
        <v>54401</v>
      </c>
      <c r="G2400" s="39">
        <v>640347.66</v>
      </c>
      <c r="H2400" s="42">
        <v>211</v>
      </c>
    </row>
    <row r="2401" spans="1:8" ht="15" customHeight="1">
      <c r="A2401" s="26">
        <v>22738280</v>
      </c>
      <c r="B2401" s="29" t="s">
        <v>4639</v>
      </c>
      <c r="C2401" s="29" t="s">
        <v>19398</v>
      </c>
      <c r="D2401" s="29" t="s">
        <v>32570</v>
      </c>
      <c r="E2401" s="29" t="s">
        <v>45882</v>
      </c>
      <c r="F2401" s="36" t="s">
        <v>54401</v>
      </c>
      <c r="G2401" s="39">
        <v>260515.17</v>
      </c>
      <c r="H2401" s="42">
        <v>211</v>
      </c>
    </row>
    <row r="2402" spans="1:8" ht="15" customHeight="1">
      <c r="A2402" s="26">
        <v>23263975</v>
      </c>
      <c r="B2402" s="29" t="s">
        <v>4640</v>
      </c>
      <c r="C2402" s="29" t="s">
        <v>19399</v>
      </c>
      <c r="D2402" s="29" t="s">
        <v>32571</v>
      </c>
      <c r="E2402" s="29" t="s">
        <v>45883</v>
      </c>
      <c r="F2402" s="36" t="s">
        <v>54401</v>
      </c>
      <c r="G2402" s="39">
        <v>329751.46000000002</v>
      </c>
      <c r="H2402" s="42">
        <v>211</v>
      </c>
    </row>
    <row r="2403" spans="1:8" ht="15" customHeight="1">
      <c r="A2403" s="26">
        <v>23269171</v>
      </c>
      <c r="B2403" s="29" t="s">
        <v>4641</v>
      </c>
      <c r="C2403" s="29" t="s">
        <v>19400</v>
      </c>
      <c r="D2403" s="29" t="s">
        <v>32572</v>
      </c>
      <c r="E2403" s="29" t="s">
        <v>43926</v>
      </c>
      <c r="F2403" s="36" t="s">
        <v>54401</v>
      </c>
      <c r="G2403" s="39">
        <v>149426.35</v>
      </c>
      <c r="H2403" s="42">
        <v>211</v>
      </c>
    </row>
    <row r="2404" spans="1:8" ht="15" customHeight="1">
      <c r="A2404" s="26">
        <v>23270609</v>
      </c>
      <c r="B2404" s="29" t="s">
        <v>4642</v>
      </c>
      <c r="C2404" s="29" t="s">
        <v>19401</v>
      </c>
      <c r="D2404" s="29" t="s">
        <v>32573</v>
      </c>
      <c r="E2404" s="29" t="s">
        <v>45029</v>
      </c>
      <c r="F2404" s="36" t="s">
        <v>54401</v>
      </c>
      <c r="G2404" s="39">
        <v>284866.31</v>
      </c>
      <c r="H2404" s="42">
        <v>211</v>
      </c>
    </row>
    <row r="2405" spans="1:8" ht="15" customHeight="1">
      <c r="A2405" s="26">
        <v>23272553</v>
      </c>
      <c r="B2405" s="29" t="s">
        <v>4643</v>
      </c>
      <c r="C2405" s="29" t="s">
        <v>19402</v>
      </c>
      <c r="D2405" s="29" t="s">
        <v>32574</v>
      </c>
      <c r="E2405" s="29" t="s">
        <v>45884</v>
      </c>
      <c r="F2405" s="36" t="s">
        <v>54414</v>
      </c>
      <c r="G2405" s="39">
        <v>596294.6</v>
      </c>
      <c r="H2405" s="42">
        <v>211</v>
      </c>
    </row>
    <row r="2406" spans="1:8" ht="15" customHeight="1">
      <c r="A2406" s="26">
        <v>23274029</v>
      </c>
      <c r="B2406" s="29" t="s">
        <v>4644</v>
      </c>
      <c r="C2406" s="29" t="s">
        <v>19403</v>
      </c>
      <c r="D2406" s="29" t="s">
        <v>32575</v>
      </c>
      <c r="E2406" s="29" t="s">
        <v>45885</v>
      </c>
      <c r="F2406" s="36" t="s">
        <v>54401</v>
      </c>
      <c r="G2406" s="39">
        <v>695736.5</v>
      </c>
      <c r="H2406" s="42">
        <v>211</v>
      </c>
    </row>
    <row r="2407" spans="1:8" ht="15" customHeight="1">
      <c r="A2407" s="26">
        <v>23275144</v>
      </c>
      <c r="B2407" s="29" t="s">
        <v>4645</v>
      </c>
      <c r="C2407" s="29" t="s">
        <v>19404</v>
      </c>
      <c r="D2407" s="29" t="s">
        <v>32576</v>
      </c>
      <c r="E2407" s="29" t="s">
        <v>45886</v>
      </c>
      <c r="F2407" s="36" t="s">
        <v>54401</v>
      </c>
      <c r="G2407" s="39">
        <v>386373.35</v>
      </c>
      <c r="H2407" s="42">
        <v>211</v>
      </c>
    </row>
    <row r="2408" spans="1:8" ht="15" customHeight="1">
      <c r="A2408" s="26">
        <v>23285028</v>
      </c>
      <c r="B2408" s="29" t="s">
        <v>4646</v>
      </c>
      <c r="C2408" s="29" t="s">
        <v>17204</v>
      </c>
      <c r="D2408" s="29" t="s">
        <v>32577</v>
      </c>
      <c r="E2408" s="29" t="s">
        <v>43926</v>
      </c>
      <c r="F2408" s="36" t="s">
        <v>54401</v>
      </c>
      <c r="G2408" s="39">
        <v>131088.65</v>
      </c>
      <c r="H2408" s="42">
        <v>211</v>
      </c>
    </row>
    <row r="2409" spans="1:8" ht="15" customHeight="1">
      <c r="A2409" s="26">
        <v>23322229</v>
      </c>
      <c r="B2409" s="29" t="s">
        <v>4647</v>
      </c>
      <c r="C2409" s="29" t="s">
        <v>19405</v>
      </c>
      <c r="D2409" s="29" t="s">
        <v>32578</v>
      </c>
      <c r="E2409" s="29" t="s">
        <v>45887</v>
      </c>
      <c r="F2409" s="36" t="s">
        <v>54401</v>
      </c>
      <c r="G2409" s="39">
        <v>416042.64</v>
      </c>
      <c r="H2409" s="42">
        <v>211</v>
      </c>
    </row>
    <row r="2410" spans="1:8" ht="15" customHeight="1">
      <c r="A2410" s="26">
        <v>23322313</v>
      </c>
      <c r="B2410" s="29" t="s">
        <v>4648</v>
      </c>
      <c r="C2410" s="29" t="s">
        <v>17204</v>
      </c>
      <c r="D2410" s="29" t="s">
        <v>30349</v>
      </c>
      <c r="E2410" s="29" t="s">
        <v>43926</v>
      </c>
      <c r="F2410" s="36" t="s">
        <v>54401</v>
      </c>
      <c r="G2410" s="39">
        <v>140713.98000000001</v>
      </c>
      <c r="H2410" s="42">
        <v>211</v>
      </c>
    </row>
    <row r="2411" spans="1:8" ht="15" customHeight="1">
      <c r="A2411" s="26">
        <v>23322848</v>
      </c>
      <c r="B2411" s="29" t="s">
        <v>4649</v>
      </c>
      <c r="C2411" s="29" t="s">
        <v>19406</v>
      </c>
      <c r="D2411" s="29" t="s">
        <v>32579</v>
      </c>
      <c r="E2411" s="29" t="s">
        <v>45888</v>
      </c>
      <c r="F2411" s="36" t="s">
        <v>54414</v>
      </c>
      <c r="G2411" s="39">
        <f>5475599.85-724124</f>
        <v>4751475.8499999996</v>
      </c>
      <c r="H2411" s="42">
        <v>211</v>
      </c>
    </row>
    <row r="2412" spans="1:8" ht="15" customHeight="1">
      <c r="A2412" s="26">
        <v>23323083</v>
      </c>
      <c r="B2412" s="29" t="s">
        <v>4650</v>
      </c>
      <c r="C2412" s="29" t="s">
        <v>19407</v>
      </c>
      <c r="D2412" s="29" t="s">
        <v>32580</v>
      </c>
      <c r="E2412" s="29" t="s">
        <v>45889</v>
      </c>
      <c r="F2412" s="36" t="s">
        <v>54401</v>
      </c>
      <c r="G2412" s="39">
        <v>11487.4</v>
      </c>
      <c r="H2412" s="42">
        <v>211</v>
      </c>
    </row>
    <row r="2413" spans="1:8" ht="15" customHeight="1">
      <c r="A2413" s="26">
        <v>23323134</v>
      </c>
      <c r="B2413" s="29" t="s">
        <v>4651</v>
      </c>
      <c r="C2413" s="29" t="s">
        <v>19408</v>
      </c>
      <c r="D2413" s="29" t="s">
        <v>32581</v>
      </c>
      <c r="E2413" s="29" t="s">
        <v>45890</v>
      </c>
      <c r="F2413" s="36" t="s">
        <v>54401</v>
      </c>
      <c r="G2413" s="39">
        <v>1446711.71</v>
      </c>
      <c r="H2413" s="42">
        <v>211</v>
      </c>
    </row>
    <row r="2414" spans="1:8" ht="15" customHeight="1">
      <c r="A2414" s="26">
        <v>23323174</v>
      </c>
      <c r="B2414" s="29" t="s">
        <v>4652</v>
      </c>
      <c r="C2414" s="29" t="s">
        <v>19409</v>
      </c>
      <c r="D2414" s="29" t="s">
        <v>32582</v>
      </c>
      <c r="E2414" s="29" t="s">
        <v>45891</v>
      </c>
      <c r="F2414" s="36" t="s">
        <v>54414</v>
      </c>
      <c r="G2414" s="39">
        <f>2461967.12-2150</f>
        <v>2459817.12</v>
      </c>
      <c r="H2414" s="42">
        <v>211</v>
      </c>
    </row>
    <row r="2415" spans="1:8" ht="15" customHeight="1">
      <c r="A2415" s="26">
        <v>23323240</v>
      </c>
      <c r="B2415" s="29" t="s">
        <v>4653</v>
      </c>
      <c r="C2415" s="29" t="s">
        <v>17204</v>
      </c>
      <c r="D2415" s="29" t="s">
        <v>30349</v>
      </c>
      <c r="E2415" s="29" t="s">
        <v>43926</v>
      </c>
      <c r="F2415" s="36" t="s">
        <v>54401</v>
      </c>
      <c r="G2415" s="39">
        <v>425073.94</v>
      </c>
      <c r="H2415" s="42">
        <v>211</v>
      </c>
    </row>
    <row r="2416" spans="1:8" ht="15" customHeight="1">
      <c r="A2416" s="26">
        <v>23323284</v>
      </c>
      <c r="B2416" s="29" t="s">
        <v>4654</v>
      </c>
      <c r="C2416" s="29" t="s">
        <v>19410</v>
      </c>
      <c r="D2416" s="29" t="s">
        <v>32583</v>
      </c>
      <c r="E2416" s="29" t="s">
        <v>45892</v>
      </c>
      <c r="F2416" s="36" t="s">
        <v>54401</v>
      </c>
      <c r="G2416" s="39">
        <v>768722.13</v>
      </c>
      <c r="H2416" s="42">
        <v>211</v>
      </c>
    </row>
    <row r="2417" spans="1:8" ht="15" customHeight="1">
      <c r="A2417" s="26">
        <v>23323298</v>
      </c>
      <c r="B2417" s="29" t="s">
        <v>4655</v>
      </c>
      <c r="C2417" s="29" t="s">
        <v>19411</v>
      </c>
      <c r="D2417" s="29" t="s">
        <v>32584</v>
      </c>
      <c r="E2417" s="29" t="s">
        <v>45893</v>
      </c>
      <c r="F2417" s="36" t="s">
        <v>54414</v>
      </c>
      <c r="G2417" s="39">
        <v>945950.8</v>
      </c>
      <c r="H2417" s="42">
        <v>211</v>
      </c>
    </row>
    <row r="2418" spans="1:8" ht="15" customHeight="1">
      <c r="A2418" s="26">
        <v>23323359</v>
      </c>
      <c r="B2418" s="29" t="s">
        <v>4656</v>
      </c>
      <c r="C2418" s="29" t="s">
        <v>19412</v>
      </c>
      <c r="D2418" s="29" t="s">
        <v>32585</v>
      </c>
      <c r="E2418" s="29" t="s">
        <v>45894</v>
      </c>
      <c r="F2418" s="36" t="s">
        <v>54401</v>
      </c>
      <c r="G2418" s="39">
        <f>2866999.93-27120</f>
        <v>2839879.93</v>
      </c>
      <c r="H2418" s="42">
        <v>211</v>
      </c>
    </row>
    <row r="2419" spans="1:8" ht="15" customHeight="1">
      <c r="A2419" s="26">
        <v>23323421</v>
      </c>
      <c r="B2419" s="29" t="s">
        <v>4657</v>
      </c>
      <c r="C2419" s="29" t="s">
        <v>19413</v>
      </c>
      <c r="D2419" s="29" t="s">
        <v>32586</v>
      </c>
      <c r="E2419" s="29" t="s">
        <v>45895</v>
      </c>
      <c r="F2419" s="36" t="s">
        <v>54414</v>
      </c>
      <c r="G2419" s="39">
        <v>361902.18</v>
      </c>
      <c r="H2419" s="42">
        <v>211</v>
      </c>
    </row>
    <row r="2420" spans="1:8" ht="15" customHeight="1">
      <c r="A2420" s="26">
        <v>23323438</v>
      </c>
      <c r="B2420" s="29" t="s">
        <v>4658</v>
      </c>
      <c r="C2420" s="29" t="s">
        <v>19414</v>
      </c>
      <c r="D2420" s="29" t="s">
        <v>32587</v>
      </c>
      <c r="E2420" s="29" t="s">
        <v>45896</v>
      </c>
      <c r="F2420" s="36" t="s">
        <v>54414</v>
      </c>
      <c r="G2420" s="39">
        <f>996547.67-122013</f>
        <v>874534.67</v>
      </c>
      <c r="H2420" s="42">
        <v>211</v>
      </c>
    </row>
    <row r="2421" spans="1:8" ht="15" customHeight="1">
      <c r="A2421" s="26">
        <v>23323451</v>
      </c>
      <c r="B2421" s="29" t="s">
        <v>4659</v>
      </c>
      <c r="C2421" s="29" t="s">
        <v>19415</v>
      </c>
      <c r="D2421" s="29" t="s">
        <v>30376</v>
      </c>
      <c r="E2421" s="29" t="s">
        <v>1643</v>
      </c>
      <c r="F2421" s="36" t="s">
        <v>54401</v>
      </c>
      <c r="G2421" s="39">
        <v>977582.44</v>
      </c>
      <c r="H2421" s="42">
        <v>211</v>
      </c>
    </row>
    <row r="2422" spans="1:8" ht="15" customHeight="1">
      <c r="A2422" s="26">
        <v>23323635</v>
      </c>
      <c r="B2422" s="29" t="s">
        <v>4660</v>
      </c>
      <c r="C2422" s="29" t="s">
        <v>19416</v>
      </c>
      <c r="D2422" s="29" t="s">
        <v>32588</v>
      </c>
      <c r="E2422" s="29" t="s">
        <v>45897</v>
      </c>
      <c r="F2422" s="36" t="s">
        <v>54414</v>
      </c>
      <c r="G2422" s="39">
        <f>11855200.89-556348</f>
        <v>11298852.890000001</v>
      </c>
      <c r="H2422" s="42">
        <v>211</v>
      </c>
    </row>
    <row r="2423" spans="1:8" ht="15" customHeight="1">
      <c r="A2423" s="26">
        <v>23323637</v>
      </c>
      <c r="B2423" s="29" t="s">
        <v>4661</v>
      </c>
      <c r="C2423" s="29" t="s">
        <v>19417</v>
      </c>
      <c r="D2423" s="29" t="s">
        <v>32589</v>
      </c>
      <c r="E2423" s="29" t="s">
        <v>45898</v>
      </c>
      <c r="F2423" s="36" t="s">
        <v>54414</v>
      </c>
      <c r="G2423" s="39">
        <f>13040957.47-150800</f>
        <v>12890157.470000001</v>
      </c>
      <c r="H2423" s="42">
        <v>211</v>
      </c>
    </row>
    <row r="2424" spans="1:8" ht="15" customHeight="1">
      <c r="A2424" s="26">
        <v>23323642</v>
      </c>
      <c r="B2424" s="29" t="s">
        <v>4662</v>
      </c>
      <c r="C2424" s="29" t="s">
        <v>19418</v>
      </c>
      <c r="D2424" s="29" t="s">
        <v>32590</v>
      </c>
      <c r="E2424" s="29" t="s">
        <v>45899</v>
      </c>
      <c r="F2424" s="36" t="s">
        <v>54414</v>
      </c>
      <c r="G2424" s="39">
        <f>8217284.55-208981</f>
        <v>8008303.5499999998</v>
      </c>
      <c r="H2424" s="42">
        <v>211</v>
      </c>
    </row>
    <row r="2425" spans="1:8" ht="15" customHeight="1">
      <c r="A2425" s="26">
        <v>23323652</v>
      </c>
      <c r="B2425" s="29" t="s">
        <v>4663</v>
      </c>
      <c r="C2425" s="29" t="s">
        <v>19419</v>
      </c>
      <c r="D2425" s="29" t="s">
        <v>32591</v>
      </c>
      <c r="E2425" s="29" t="s">
        <v>45900</v>
      </c>
      <c r="F2425" s="36" t="s">
        <v>54401</v>
      </c>
      <c r="G2425" s="39">
        <f>238749.58+972193-156605</f>
        <v>1054337.58</v>
      </c>
      <c r="H2425" s="42">
        <v>211</v>
      </c>
    </row>
    <row r="2426" spans="1:8" ht="15" customHeight="1">
      <c r="A2426" s="26">
        <v>23323709</v>
      </c>
      <c r="B2426" s="29" t="s">
        <v>4664</v>
      </c>
      <c r="C2426" s="29" t="s">
        <v>19420</v>
      </c>
      <c r="D2426" s="29" t="s">
        <v>32592</v>
      </c>
      <c r="E2426" s="29" t="s">
        <v>45901</v>
      </c>
      <c r="F2426" s="36" t="s">
        <v>54401</v>
      </c>
      <c r="G2426" s="39">
        <v>4833652.63</v>
      </c>
      <c r="H2426" s="42">
        <v>211</v>
      </c>
    </row>
    <row r="2427" spans="1:8" ht="15" customHeight="1">
      <c r="A2427" s="26">
        <v>23323825</v>
      </c>
      <c r="B2427" s="29" t="s">
        <v>4665</v>
      </c>
      <c r="C2427" s="29" t="s">
        <v>19421</v>
      </c>
      <c r="D2427" s="29" t="s">
        <v>32593</v>
      </c>
      <c r="E2427" s="29" t="s">
        <v>45902</v>
      </c>
      <c r="F2427" s="36" t="s">
        <v>54401</v>
      </c>
      <c r="G2427" s="39">
        <v>2194607.42</v>
      </c>
      <c r="H2427" s="42">
        <v>211</v>
      </c>
    </row>
    <row r="2428" spans="1:8" ht="15" customHeight="1">
      <c r="A2428" s="26">
        <v>23323835</v>
      </c>
      <c r="B2428" s="29" t="s">
        <v>4666</v>
      </c>
      <c r="C2428" s="29" t="s">
        <v>19422</v>
      </c>
      <c r="D2428" s="29" t="s">
        <v>32594</v>
      </c>
      <c r="E2428" s="29" t="s">
        <v>45903</v>
      </c>
      <c r="F2428" s="36" t="s">
        <v>54414</v>
      </c>
      <c r="G2428" s="39">
        <v>21932.77</v>
      </c>
      <c r="H2428" s="42">
        <v>211</v>
      </c>
    </row>
    <row r="2429" spans="1:8" ht="15" customHeight="1">
      <c r="A2429" s="26">
        <v>23323971</v>
      </c>
      <c r="B2429" s="29" t="s">
        <v>4667</v>
      </c>
      <c r="C2429" s="29" t="s">
        <v>19423</v>
      </c>
      <c r="D2429" s="29" t="s">
        <v>32595</v>
      </c>
      <c r="E2429" s="29" t="s">
        <v>45904</v>
      </c>
      <c r="F2429" s="36" t="s">
        <v>54401</v>
      </c>
      <c r="G2429" s="39">
        <v>3491160.93</v>
      </c>
      <c r="H2429" s="42">
        <v>211</v>
      </c>
    </row>
    <row r="2430" spans="1:8" ht="15" customHeight="1">
      <c r="A2430" s="26">
        <v>23323984</v>
      </c>
      <c r="B2430" s="29" t="s">
        <v>4668</v>
      </c>
      <c r="C2430" s="29" t="s">
        <v>19424</v>
      </c>
      <c r="D2430" s="29" t="s">
        <v>32596</v>
      </c>
      <c r="E2430" s="29" t="s">
        <v>45905</v>
      </c>
      <c r="F2430" s="36" t="s">
        <v>54401</v>
      </c>
      <c r="G2430" s="39">
        <v>136433.01</v>
      </c>
      <c r="H2430" s="42">
        <v>211</v>
      </c>
    </row>
    <row r="2431" spans="1:8" ht="15" customHeight="1">
      <c r="A2431" s="26">
        <v>23324070</v>
      </c>
      <c r="B2431" s="29" t="s">
        <v>4669</v>
      </c>
      <c r="C2431" s="29" t="s">
        <v>19425</v>
      </c>
      <c r="D2431" s="29" t="s">
        <v>32597</v>
      </c>
      <c r="E2431" s="29" t="s">
        <v>45906</v>
      </c>
      <c r="F2431" s="36" t="s">
        <v>54414</v>
      </c>
      <c r="G2431" s="39">
        <f>26871619.4+3340707</f>
        <v>30212326.399999999</v>
      </c>
      <c r="H2431" s="42">
        <v>211</v>
      </c>
    </row>
    <row r="2432" spans="1:8" ht="15" customHeight="1">
      <c r="A2432" s="26">
        <v>23324084</v>
      </c>
      <c r="B2432" s="29" t="s">
        <v>4670</v>
      </c>
      <c r="C2432" s="29" t="s">
        <v>17204</v>
      </c>
      <c r="D2432" s="29" t="s">
        <v>32598</v>
      </c>
      <c r="E2432" s="29" t="s">
        <v>43926</v>
      </c>
      <c r="F2432" s="36" t="s">
        <v>54401</v>
      </c>
      <c r="G2432" s="39">
        <v>314562.15999999997</v>
      </c>
      <c r="H2432" s="42">
        <v>211</v>
      </c>
    </row>
    <row r="2433" spans="1:8" ht="15" customHeight="1">
      <c r="A2433" s="26">
        <v>23324107</v>
      </c>
      <c r="B2433" s="29" t="s">
        <v>4671</v>
      </c>
      <c r="C2433" s="29" t="s">
        <v>19426</v>
      </c>
      <c r="D2433" s="29" t="s">
        <v>32599</v>
      </c>
      <c r="E2433" s="29" t="s">
        <v>45907</v>
      </c>
      <c r="F2433" s="36" t="s">
        <v>54414</v>
      </c>
      <c r="G2433" s="39">
        <f>2438882.35-71504</f>
        <v>2367378.35</v>
      </c>
      <c r="H2433" s="42">
        <v>211</v>
      </c>
    </row>
    <row r="2434" spans="1:8" ht="15" customHeight="1">
      <c r="A2434" s="26">
        <v>23324130</v>
      </c>
      <c r="B2434" s="29" t="s">
        <v>4672</v>
      </c>
      <c r="C2434" s="29" t="s">
        <v>19427</v>
      </c>
      <c r="D2434" s="29" t="s">
        <v>32600</v>
      </c>
      <c r="E2434" s="29" t="s">
        <v>45908</v>
      </c>
      <c r="F2434" s="36" t="s">
        <v>54401</v>
      </c>
      <c r="G2434" s="39">
        <v>782016.69</v>
      </c>
      <c r="H2434" s="42">
        <v>211</v>
      </c>
    </row>
    <row r="2435" spans="1:8" ht="15" customHeight="1">
      <c r="A2435" s="26">
        <v>23324277</v>
      </c>
      <c r="B2435" s="29" t="s">
        <v>4673</v>
      </c>
      <c r="C2435" s="29" t="s">
        <v>19428</v>
      </c>
      <c r="D2435" s="29" t="s">
        <v>32601</v>
      </c>
      <c r="E2435" s="29" t="s">
        <v>45909</v>
      </c>
      <c r="F2435" s="36" t="s">
        <v>54414</v>
      </c>
      <c r="G2435" s="39">
        <f>94575611.55-1393974</f>
        <v>93181637.549999997</v>
      </c>
      <c r="H2435" s="42">
        <v>211</v>
      </c>
    </row>
    <row r="2436" spans="1:8" ht="15" customHeight="1">
      <c r="A2436" s="26">
        <v>23324289</v>
      </c>
      <c r="B2436" s="29" t="s">
        <v>4674</v>
      </c>
      <c r="C2436" s="29" t="s">
        <v>19429</v>
      </c>
      <c r="D2436" s="29" t="s">
        <v>32602</v>
      </c>
      <c r="E2436" s="29" t="s">
        <v>45910</v>
      </c>
      <c r="F2436" s="36" t="s">
        <v>54414</v>
      </c>
      <c r="G2436" s="39">
        <v>13133794.91</v>
      </c>
      <c r="H2436" s="42">
        <v>211</v>
      </c>
    </row>
    <row r="2437" spans="1:8" ht="15" customHeight="1">
      <c r="A2437" s="26">
        <v>23324297</v>
      </c>
      <c r="B2437" s="29" t="s">
        <v>4675</v>
      </c>
      <c r="C2437" s="29" t="s">
        <v>19430</v>
      </c>
      <c r="D2437" s="29" t="s">
        <v>32603</v>
      </c>
      <c r="E2437" s="29" t="s">
        <v>45911</v>
      </c>
      <c r="F2437" s="36" t="s">
        <v>54401</v>
      </c>
      <c r="G2437" s="39">
        <v>560792.77</v>
      </c>
      <c r="H2437" s="42">
        <v>211</v>
      </c>
    </row>
    <row r="2438" spans="1:8" ht="15" customHeight="1">
      <c r="A2438" s="26">
        <v>23324398</v>
      </c>
      <c r="B2438" s="29" t="s">
        <v>4676</v>
      </c>
      <c r="C2438" s="29" t="s">
        <v>19431</v>
      </c>
      <c r="D2438" s="29" t="s">
        <v>32604</v>
      </c>
      <c r="E2438" s="29" t="s">
        <v>45912</v>
      </c>
      <c r="F2438" s="36" t="s">
        <v>54401</v>
      </c>
      <c r="G2438" s="39">
        <v>364443.03</v>
      </c>
      <c r="H2438" s="42">
        <v>211</v>
      </c>
    </row>
    <row r="2439" spans="1:8" ht="15" customHeight="1">
      <c r="A2439" s="26">
        <v>23324411</v>
      </c>
      <c r="B2439" s="29" t="s">
        <v>4677</v>
      </c>
      <c r="C2439" s="29" t="s">
        <v>19432</v>
      </c>
      <c r="D2439" s="29" t="s">
        <v>32605</v>
      </c>
      <c r="E2439" s="29" t="s">
        <v>45913</v>
      </c>
      <c r="F2439" s="36" t="s">
        <v>54414</v>
      </c>
      <c r="G2439" s="39">
        <v>1394899.31</v>
      </c>
      <c r="H2439" s="42">
        <v>211</v>
      </c>
    </row>
    <row r="2440" spans="1:8" ht="15" customHeight="1">
      <c r="A2440" s="26">
        <v>23324412</v>
      </c>
      <c r="B2440" s="29" t="s">
        <v>4678</v>
      </c>
      <c r="C2440" s="29" t="s">
        <v>19433</v>
      </c>
      <c r="D2440" s="29" t="s">
        <v>32606</v>
      </c>
      <c r="E2440" s="29" t="s">
        <v>45914</v>
      </c>
      <c r="F2440" s="36" t="s">
        <v>54414</v>
      </c>
      <c r="G2440" s="39">
        <f>10459025.21-99092</f>
        <v>10359933.210000001</v>
      </c>
      <c r="H2440" s="42">
        <v>211</v>
      </c>
    </row>
    <row r="2441" spans="1:8" ht="15" customHeight="1">
      <c r="A2441" s="26">
        <v>23324428</v>
      </c>
      <c r="B2441" s="29" t="s">
        <v>4679</v>
      </c>
      <c r="C2441" s="26" t="s">
        <v>19434</v>
      </c>
      <c r="D2441" s="26" t="s">
        <v>32607</v>
      </c>
      <c r="E2441" s="26" t="s">
        <v>45915</v>
      </c>
      <c r="F2441" s="37" t="s">
        <v>54401</v>
      </c>
      <c r="G2441" s="39">
        <f>378569.15+353561</f>
        <v>732130.15</v>
      </c>
      <c r="H2441" s="42">
        <v>211</v>
      </c>
    </row>
    <row r="2442" spans="1:8" ht="15" customHeight="1">
      <c r="A2442" s="26">
        <v>23324435</v>
      </c>
      <c r="B2442" s="29" t="s">
        <v>4680</v>
      </c>
      <c r="C2442" s="29" t="s">
        <v>19435</v>
      </c>
      <c r="D2442" s="29" t="s">
        <v>32608</v>
      </c>
      <c r="E2442" s="29" t="s">
        <v>45916</v>
      </c>
      <c r="F2442" s="36" t="s">
        <v>54401</v>
      </c>
      <c r="G2442" s="39">
        <f>1600452.14-6268</f>
        <v>1594184.14</v>
      </c>
      <c r="H2442" s="42">
        <v>211</v>
      </c>
    </row>
    <row r="2443" spans="1:8" ht="15" customHeight="1">
      <c r="A2443" s="26">
        <v>23324462</v>
      </c>
      <c r="B2443" s="29" t="s">
        <v>4681</v>
      </c>
      <c r="C2443" s="29" t="s">
        <v>19436</v>
      </c>
      <c r="D2443" s="29" t="s">
        <v>32609</v>
      </c>
      <c r="E2443" s="29" t="s">
        <v>45917</v>
      </c>
      <c r="F2443" s="36" t="s">
        <v>54414</v>
      </c>
      <c r="G2443" s="39">
        <f>11805752.07-177974</f>
        <v>11627778.07</v>
      </c>
      <c r="H2443" s="42">
        <v>211</v>
      </c>
    </row>
    <row r="2444" spans="1:8" ht="15" customHeight="1">
      <c r="A2444" s="26">
        <v>23324483</v>
      </c>
      <c r="B2444" s="29" t="s">
        <v>4682</v>
      </c>
      <c r="C2444" s="29" t="s">
        <v>19437</v>
      </c>
      <c r="D2444" s="29" t="s">
        <v>32610</v>
      </c>
      <c r="E2444" s="29" t="s">
        <v>45918</v>
      </c>
      <c r="F2444" s="36" t="s">
        <v>54401</v>
      </c>
      <c r="G2444" s="39">
        <v>1144600.5900000001</v>
      </c>
      <c r="H2444" s="42">
        <v>211</v>
      </c>
    </row>
    <row r="2445" spans="1:8" ht="15" customHeight="1">
      <c r="A2445" s="26">
        <v>23324487</v>
      </c>
      <c r="B2445" s="29" t="s">
        <v>4683</v>
      </c>
      <c r="C2445" s="29" t="s">
        <v>19438</v>
      </c>
      <c r="D2445" s="29" t="s">
        <v>30376</v>
      </c>
      <c r="E2445" s="29" t="s">
        <v>45919</v>
      </c>
      <c r="F2445" s="36" t="s">
        <v>54401</v>
      </c>
      <c r="G2445" s="39">
        <f>1305030.61+2588413</f>
        <v>3893443.6100000003</v>
      </c>
      <c r="H2445" s="42">
        <v>211</v>
      </c>
    </row>
    <row r="2446" spans="1:8" ht="15" customHeight="1">
      <c r="A2446" s="26">
        <v>23324494</v>
      </c>
      <c r="B2446" s="29" t="s">
        <v>4684</v>
      </c>
      <c r="C2446" s="29" t="s">
        <v>19439</v>
      </c>
      <c r="D2446" s="29" t="s">
        <v>32611</v>
      </c>
      <c r="E2446" s="29" t="s">
        <v>45920</v>
      </c>
      <c r="F2446" s="36" t="s">
        <v>54401</v>
      </c>
      <c r="G2446" s="39">
        <v>169680.68</v>
      </c>
      <c r="H2446" s="42">
        <v>211</v>
      </c>
    </row>
    <row r="2447" spans="1:8" ht="15" customHeight="1">
      <c r="A2447" s="26">
        <v>23324513</v>
      </c>
      <c r="B2447" s="29" t="s">
        <v>4685</v>
      </c>
      <c r="C2447" s="29" t="s">
        <v>19440</v>
      </c>
      <c r="D2447" s="29" t="s">
        <v>32612</v>
      </c>
      <c r="E2447" s="29" t="s">
        <v>45921</v>
      </c>
      <c r="F2447" s="36" t="s">
        <v>54401</v>
      </c>
      <c r="G2447" s="39">
        <v>5200877.62</v>
      </c>
      <c r="H2447" s="42">
        <v>211</v>
      </c>
    </row>
    <row r="2448" spans="1:8" ht="15" customHeight="1">
      <c r="A2448" s="26">
        <v>23324731</v>
      </c>
      <c r="B2448" s="29" t="s">
        <v>4686</v>
      </c>
      <c r="C2448" s="26" t="s">
        <v>19441</v>
      </c>
      <c r="D2448" s="26" t="s">
        <v>32613</v>
      </c>
      <c r="E2448" s="26" t="s">
        <v>45922</v>
      </c>
      <c r="F2448" s="37" t="s">
        <v>54401</v>
      </c>
      <c r="G2448" s="39">
        <v>2154796.54</v>
      </c>
      <c r="H2448" s="42">
        <v>211</v>
      </c>
    </row>
    <row r="2449" spans="1:8" ht="15" customHeight="1">
      <c r="A2449" s="26">
        <v>23324743</v>
      </c>
      <c r="B2449" s="29" t="s">
        <v>4687</v>
      </c>
      <c r="C2449" s="29" t="s">
        <v>19442</v>
      </c>
      <c r="D2449" s="29" t="s">
        <v>30376</v>
      </c>
      <c r="E2449" s="29" t="s">
        <v>45923</v>
      </c>
      <c r="F2449" s="36" t="s">
        <v>54401</v>
      </c>
      <c r="G2449" s="39">
        <v>385789.48</v>
      </c>
      <c r="H2449" s="42">
        <v>211</v>
      </c>
    </row>
    <row r="2450" spans="1:8" ht="15" customHeight="1">
      <c r="A2450" s="26">
        <v>23324803</v>
      </c>
      <c r="B2450" s="29" t="s">
        <v>4688</v>
      </c>
      <c r="C2450" s="29" t="s">
        <v>19443</v>
      </c>
      <c r="D2450" s="29" t="s">
        <v>32614</v>
      </c>
      <c r="E2450" s="29" t="s">
        <v>45924</v>
      </c>
      <c r="F2450" s="36" t="s">
        <v>54409</v>
      </c>
      <c r="G2450" s="39">
        <v>3327476.87</v>
      </c>
      <c r="H2450" s="42">
        <v>211</v>
      </c>
    </row>
    <row r="2451" spans="1:8" ht="15" customHeight="1">
      <c r="A2451" s="26">
        <v>23324822</v>
      </c>
      <c r="B2451" s="29" t="s">
        <v>4689</v>
      </c>
      <c r="C2451" s="29" t="s">
        <v>17204</v>
      </c>
      <c r="D2451" s="29" t="s">
        <v>32615</v>
      </c>
      <c r="E2451" s="29" t="s">
        <v>45925</v>
      </c>
      <c r="F2451" s="36" t="s">
        <v>54414</v>
      </c>
      <c r="G2451" s="39">
        <v>786773.82</v>
      </c>
      <c r="H2451" s="42">
        <v>211</v>
      </c>
    </row>
    <row r="2452" spans="1:8" ht="15" customHeight="1">
      <c r="A2452" s="26">
        <v>23324908</v>
      </c>
      <c r="B2452" s="29" t="s">
        <v>4690</v>
      </c>
      <c r="C2452" s="29" t="s">
        <v>19444</v>
      </c>
      <c r="D2452" s="29" t="s">
        <v>32616</v>
      </c>
      <c r="E2452" s="29" t="s">
        <v>43926</v>
      </c>
      <c r="F2452" s="36" t="s">
        <v>54401</v>
      </c>
      <c r="G2452" s="39">
        <v>4921364.97</v>
      </c>
      <c r="H2452" s="42">
        <v>211</v>
      </c>
    </row>
    <row r="2453" spans="1:8" ht="15" customHeight="1">
      <c r="A2453" s="26">
        <v>23324919</v>
      </c>
      <c r="B2453" s="29" t="s">
        <v>4691</v>
      </c>
      <c r="C2453" s="29" t="s">
        <v>19445</v>
      </c>
      <c r="D2453" s="29" t="s">
        <v>32617</v>
      </c>
      <c r="E2453" s="29" t="s">
        <v>44345</v>
      </c>
      <c r="F2453" s="36" t="s">
        <v>54401</v>
      </c>
      <c r="G2453" s="39">
        <v>354455.23</v>
      </c>
      <c r="H2453" s="42">
        <v>211</v>
      </c>
    </row>
    <row r="2454" spans="1:8" ht="15" customHeight="1">
      <c r="A2454" s="26">
        <v>23324986</v>
      </c>
      <c r="B2454" s="29" t="s">
        <v>4692</v>
      </c>
      <c r="C2454" s="26" t="s">
        <v>19446</v>
      </c>
      <c r="D2454" s="26" t="s">
        <v>32618</v>
      </c>
      <c r="E2454" s="26" t="s">
        <v>45926</v>
      </c>
      <c r="F2454" s="37" t="s">
        <v>54401</v>
      </c>
      <c r="G2454" s="39">
        <v>66807.27</v>
      </c>
      <c r="H2454" s="42">
        <v>211</v>
      </c>
    </row>
    <row r="2455" spans="1:8" ht="15" customHeight="1">
      <c r="A2455" s="26">
        <v>23324990</v>
      </c>
      <c r="B2455" s="29" t="s">
        <v>4693</v>
      </c>
      <c r="C2455" s="29" t="s">
        <v>19447</v>
      </c>
      <c r="D2455" s="29" t="s">
        <v>32619</v>
      </c>
      <c r="E2455" s="29" t="s">
        <v>45927</v>
      </c>
      <c r="F2455" s="36" t="s">
        <v>54401</v>
      </c>
      <c r="G2455" s="39">
        <v>1944644.76</v>
      </c>
      <c r="H2455" s="42">
        <v>211</v>
      </c>
    </row>
    <row r="2456" spans="1:8" ht="15" customHeight="1">
      <c r="A2456" s="26">
        <v>23325010</v>
      </c>
      <c r="B2456" s="29" t="s">
        <v>4694</v>
      </c>
      <c r="C2456" s="29" t="s">
        <v>19448</v>
      </c>
      <c r="D2456" s="29" t="s">
        <v>32620</v>
      </c>
      <c r="E2456" s="29" t="s">
        <v>45928</v>
      </c>
      <c r="F2456" s="36" t="s">
        <v>54401</v>
      </c>
      <c r="G2456" s="39">
        <v>126899.29</v>
      </c>
      <c r="H2456" s="42">
        <v>211</v>
      </c>
    </row>
    <row r="2457" spans="1:8" ht="15" customHeight="1">
      <c r="A2457" s="26">
        <v>23325048</v>
      </c>
      <c r="B2457" s="29" t="s">
        <v>4695</v>
      </c>
      <c r="C2457" s="29" t="s">
        <v>19449</v>
      </c>
      <c r="D2457" s="29" t="s">
        <v>32621</v>
      </c>
      <c r="E2457" s="29" t="s">
        <v>45929</v>
      </c>
      <c r="F2457" s="36" t="s">
        <v>54414</v>
      </c>
      <c r="G2457" s="39">
        <v>4031988.59</v>
      </c>
      <c r="H2457" s="42">
        <v>211</v>
      </c>
    </row>
    <row r="2458" spans="1:8" ht="15" customHeight="1">
      <c r="A2458" s="26">
        <v>23325059</v>
      </c>
      <c r="B2458" s="29" t="s">
        <v>4696</v>
      </c>
      <c r="C2458" s="29" t="s">
        <v>17204</v>
      </c>
      <c r="D2458" s="29" t="s">
        <v>32622</v>
      </c>
      <c r="E2458" s="29" t="s">
        <v>43926</v>
      </c>
      <c r="F2458" s="36" t="s">
        <v>54401</v>
      </c>
      <c r="G2458" s="39">
        <v>760921.18</v>
      </c>
      <c r="H2458" s="42">
        <v>211</v>
      </c>
    </row>
    <row r="2459" spans="1:8" ht="15" customHeight="1">
      <c r="A2459" s="26">
        <v>23325067</v>
      </c>
      <c r="B2459" s="29" t="s">
        <v>4697</v>
      </c>
      <c r="C2459" s="29" t="s">
        <v>19450</v>
      </c>
      <c r="D2459" s="29" t="s">
        <v>32623</v>
      </c>
      <c r="E2459" s="29" t="s">
        <v>44973</v>
      </c>
      <c r="F2459" s="36" t="s">
        <v>54401</v>
      </c>
      <c r="G2459" s="39">
        <v>4433313.75</v>
      </c>
      <c r="H2459" s="42">
        <v>211</v>
      </c>
    </row>
    <row r="2460" spans="1:8" ht="15" customHeight="1">
      <c r="A2460" s="26">
        <v>23325091</v>
      </c>
      <c r="B2460" s="29" t="s">
        <v>4698</v>
      </c>
      <c r="C2460" s="29" t="s">
        <v>19451</v>
      </c>
      <c r="D2460" s="29" t="s">
        <v>32624</v>
      </c>
      <c r="E2460" s="29" t="s">
        <v>45930</v>
      </c>
      <c r="F2460" s="36" t="s">
        <v>54401</v>
      </c>
      <c r="G2460" s="39">
        <v>1913491.43</v>
      </c>
      <c r="H2460" s="42">
        <v>211</v>
      </c>
    </row>
    <row r="2461" spans="1:8" ht="15" customHeight="1">
      <c r="A2461" s="26">
        <v>23325107</v>
      </c>
      <c r="B2461" s="29" t="s">
        <v>4699</v>
      </c>
      <c r="C2461" s="29" t="s">
        <v>19452</v>
      </c>
      <c r="D2461" s="29" t="s">
        <v>32625</v>
      </c>
      <c r="E2461" s="29" t="s">
        <v>45931</v>
      </c>
      <c r="F2461" s="36" t="s">
        <v>54401</v>
      </c>
      <c r="G2461" s="39">
        <v>323973.34000000003</v>
      </c>
      <c r="H2461" s="42">
        <v>211</v>
      </c>
    </row>
    <row r="2462" spans="1:8" ht="15" customHeight="1">
      <c r="A2462" s="26">
        <v>23325108</v>
      </c>
      <c r="B2462" s="29" t="s">
        <v>4700</v>
      </c>
      <c r="C2462" s="29" t="s">
        <v>19453</v>
      </c>
      <c r="D2462" s="29" t="s">
        <v>32626</v>
      </c>
      <c r="E2462" s="29" t="s">
        <v>43926</v>
      </c>
      <c r="F2462" s="36" t="s">
        <v>54401</v>
      </c>
      <c r="G2462" s="39">
        <v>3072141.14</v>
      </c>
      <c r="H2462" s="42">
        <v>211</v>
      </c>
    </row>
    <row r="2463" spans="1:8" ht="15" customHeight="1">
      <c r="A2463" s="26">
        <v>23325128</v>
      </c>
      <c r="B2463" s="29" t="s">
        <v>4701</v>
      </c>
      <c r="C2463" s="29" t="s">
        <v>19454</v>
      </c>
      <c r="D2463" s="29" t="s">
        <v>32627</v>
      </c>
      <c r="E2463" s="29" t="s">
        <v>45932</v>
      </c>
      <c r="F2463" s="36" t="s">
        <v>54401</v>
      </c>
      <c r="G2463" s="39">
        <f>1069144.95+339215</f>
        <v>1408359.95</v>
      </c>
      <c r="H2463" s="42">
        <v>211</v>
      </c>
    </row>
    <row r="2464" spans="1:8" ht="15" customHeight="1">
      <c r="A2464" s="26">
        <v>23325131</v>
      </c>
      <c r="B2464" s="29" t="s">
        <v>4702</v>
      </c>
      <c r="C2464" s="29" t="s">
        <v>19455</v>
      </c>
      <c r="D2464" s="29" t="s">
        <v>32628</v>
      </c>
      <c r="E2464" s="29" t="s">
        <v>45933</v>
      </c>
      <c r="F2464" s="36" t="s">
        <v>54401</v>
      </c>
      <c r="G2464" s="39">
        <f>6121275.19+1243896</f>
        <v>7365171.1900000004</v>
      </c>
      <c r="H2464" s="42">
        <v>211</v>
      </c>
    </row>
    <row r="2465" spans="1:8" ht="15" customHeight="1">
      <c r="A2465" s="26">
        <v>23325166</v>
      </c>
      <c r="B2465" s="29" t="s">
        <v>4703</v>
      </c>
      <c r="C2465" s="29" t="s">
        <v>19456</v>
      </c>
      <c r="D2465" s="29" t="s">
        <v>32629</v>
      </c>
      <c r="E2465" s="29" t="s">
        <v>45934</v>
      </c>
      <c r="F2465" s="36" t="s">
        <v>54401</v>
      </c>
      <c r="G2465" s="39">
        <v>683866.03</v>
      </c>
      <c r="H2465" s="42">
        <v>211</v>
      </c>
    </row>
    <row r="2466" spans="1:8" ht="15" customHeight="1">
      <c r="A2466" s="26">
        <v>23325182</v>
      </c>
      <c r="B2466" s="29" t="s">
        <v>4704</v>
      </c>
      <c r="C2466" s="29" t="s">
        <v>19447</v>
      </c>
      <c r="D2466" s="29" t="s">
        <v>32630</v>
      </c>
      <c r="E2466" s="29" t="s">
        <v>45935</v>
      </c>
      <c r="F2466" s="36" t="s">
        <v>54401</v>
      </c>
      <c r="G2466" s="39">
        <v>2732027.94</v>
      </c>
      <c r="H2466" s="42">
        <v>211</v>
      </c>
    </row>
    <row r="2467" spans="1:8" ht="15" customHeight="1">
      <c r="A2467" s="26">
        <v>23336872</v>
      </c>
      <c r="B2467" s="29" t="s">
        <v>4705</v>
      </c>
      <c r="C2467" s="29" t="s">
        <v>19457</v>
      </c>
      <c r="D2467" s="29" t="s">
        <v>32631</v>
      </c>
      <c r="E2467" s="29" t="s">
        <v>43935</v>
      </c>
      <c r="F2467" s="36" t="s">
        <v>54401</v>
      </c>
      <c r="G2467" s="39">
        <v>3363857.91</v>
      </c>
      <c r="H2467" s="42">
        <v>211</v>
      </c>
    </row>
    <row r="2468" spans="1:8" ht="15" customHeight="1">
      <c r="A2468" s="26">
        <v>23336916</v>
      </c>
      <c r="B2468" s="29" t="s">
        <v>4706</v>
      </c>
      <c r="C2468" s="29" t="s">
        <v>19458</v>
      </c>
      <c r="D2468" s="29" t="s">
        <v>32632</v>
      </c>
      <c r="E2468" s="29" t="s">
        <v>45936</v>
      </c>
      <c r="F2468" s="36" t="s">
        <v>54401</v>
      </c>
      <c r="G2468" s="39">
        <v>1621178.33</v>
      </c>
      <c r="H2468" s="42">
        <v>211</v>
      </c>
    </row>
    <row r="2469" spans="1:8" ht="15" customHeight="1">
      <c r="A2469" s="26">
        <v>23336937</v>
      </c>
      <c r="B2469" s="29" t="s">
        <v>4707</v>
      </c>
      <c r="C2469" s="29" t="s">
        <v>19459</v>
      </c>
      <c r="D2469" s="29" t="s">
        <v>32633</v>
      </c>
      <c r="E2469" s="29" t="s">
        <v>45937</v>
      </c>
      <c r="F2469" s="36" t="s">
        <v>54401</v>
      </c>
      <c r="G2469" s="39">
        <f>1686568.24+812494</f>
        <v>2499062.2400000002</v>
      </c>
      <c r="H2469" s="42">
        <v>211</v>
      </c>
    </row>
    <row r="2470" spans="1:8" ht="15" customHeight="1">
      <c r="A2470" s="26">
        <v>23336967</v>
      </c>
      <c r="B2470" s="29" t="s">
        <v>4708</v>
      </c>
      <c r="C2470" s="29" t="s">
        <v>19460</v>
      </c>
      <c r="D2470" s="29" t="s">
        <v>32634</v>
      </c>
      <c r="E2470" s="29" t="s">
        <v>43926</v>
      </c>
      <c r="F2470" s="36" t="s">
        <v>54401</v>
      </c>
      <c r="G2470" s="39">
        <v>1125603.6299999999</v>
      </c>
      <c r="H2470" s="42">
        <v>211</v>
      </c>
    </row>
    <row r="2471" spans="1:8" ht="15" customHeight="1">
      <c r="A2471" s="26">
        <v>23337007</v>
      </c>
      <c r="B2471" s="29" t="s">
        <v>4709</v>
      </c>
      <c r="C2471" s="29" t="s">
        <v>17204</v>
      </c>
      <c r="D2471" s="29" t="s">
        <v>32635</v>
      </c>
      <c r="E2471" s="29" t="s">
        <v>43926</v>
      </c>
      <c r="F2471" s="36" t="s">
        <v>54401</v>
      </c>
      <c r="G2471" s="39">
        <v>511476.47999999998</v>
      </c>
      <c r="H2471" s="42">
        <v>211</v>
      </c>
    </row>
    <row r="2472" spans="1:8" ht="15" customHeight="1">
      <c r="A2472" s="26">
        <v>23337031</v>
      </c>
      <c r="B2472" s="29" t="s">
        <v>4710</v>
      </c>
      <c r="C2472" s="29" t="s">
        <v>19461</v>
      </c>
      <c r="D2472" s="29" t="s">
        <v>32636</v>
      </c>
      <c r="E2472" s="29" t="s">
        <v>45938</v>
      </c>
      <c r="F2472" s="36" t="s">
        <v>54401</v>
      </c>
      <c r="G2472" s="39">
        <v>32394.95</v>
      </c>
      <c r="H2472" s="42">
        <v>211</v>
      </c>
    </row>
    <row r="2473" spans="1:8" ht="15" customHeight="1">
      <c r="A2473" s="26">
        <v>23337033</v>
      </c>
      <c r="B2473" s="29" t="s">
        <v>4711</v>
      </c>
      <c r="C2473" s="29" t="s">
        <v>19462</v>
      </c>
      <c r="D2473" s="29" t="s">
        <v>32637</v>
      </c>
      <c r="E2473" s="29" t="s">
        <v>44958</v>
      </c>
      <c r="F2473" s="36" t="s">
        <v>54401</v>
      </c>
      <c r="G2473" s="39">
        <v>778723.43</v>
      </c>
      <c r="H2473" s="42">
        <v>211</v>
      </c>
    </row>
    <row r="2474" spans="1:8" ht="15" customHeight="1">
      <c r="A2474" s="26">
        <v>23348964</v>
      </c>
      <c r="B2474" s="29" t="s">
        <v>4712</v>
      </c>
      <c r="C2474" s="29" t="s">
        <v>19463</v>
      </c>
      <c r="D2474" s="29" t="s">
        <v>32638</v>
      </c>
      <c r="E2474" s="29" t="s">
        <v>45939</v>
      </c>
      <c r="F2474" s="36" t="s">
        <v>54401</v>
      </c>
      <c r="G2474" s="39">
        <v>21537.599999999999</v>
      </c>
      <c r="H2474" s="42">
        <v>211</v>
      </c>
    </row>
    <row r="2475" spans="1:8" ht="15" customHeight="1">
      <c r="A2475" s="26">
        <v>23350029</v>
      </c>
      <c r="B2475" s="29" t="s">
        <v>4713</v>
      </c>
      <c r="C2475" s="29" t="s">
        <v>19464</v>
      </c>
      <c r="D2475" s="29" t="s">
        <v>32639</v>
      </c>
      <c r="E2475" s="29" t="s">
        <v>45940</v>
      </c>
      <c r="F2475" s="36" t="s">
        <v>54401</v>
      </c>
      <c r="G2475" s="39">
        <v>2691662.28</v>
      </c>
      <c r="H2475" s="42">
        <v>211</v>
      </c>
    </row>
    <row r="2476" spans="1:8" ht="15" customHeight="1">
      <c r="A2476" s="26">
        <v>23350134</v>
      </c>
      <c r="B2476" s="29" t="s">
        <v>4714</v>
      </c>
      <c r="C2476" s="29" t="s">
        <v>19465</v>
      </c>
      <c r="D2476" s="29" t="s">
        <v>32640</v>
      </c>
      <c r="E2476" s="29" t="s">
        <v>43926</v>
      </c>
      <c r="F2476" s="36" t="s">
        <v>54401</v>
      </c>
      <c r="G2476" s="39">
        <v>38700.839999999997</v>
      </c>
      <c r="H2476" s="42">
        <v>211</v>
      </c>
    </row>
    <row r="2477" spans="1:8" ht="15" customHeight="1">
      <c r="A2477" s="26">
        <v>23350256</v>
      </c>
      <c r="B2477" s="29" t="s">
        <v>4715</v>
      </c>
      <c r="C2477" s="29" t="s">
        <v>19466</v>
      </c>
      <c r="D2477" s="29" t="s">
        <v>32641</v>
      </c>
      <c r="E2477" s="29" t="s">
        <v>45941</v>
      </c>
      <c r="F2477" s="36" t="s">
        <v>54401</v>
      </c>
      <c r="G2477" s="39">
        <v>5301764.97</v>
      </c>
      <c r="H2477" s="42">
        <v>211</v>
      </c>
    </row>
    <row r="2478" spans="1:8" ht="15" customHeight="1">
      <c r="A2478" s="26">
        <v>23350453</v>
      </c>
      <c r="B2478" s="29" t="s">
        <v>4716</v>
      </c>
      <c r="C2478" s="29" t="s">
        <v>17204</v>
      </c>
      <c r="D2478" s="29" t="s">
        <v>32642</v>
      </c>
      <c r="E2478" s="29" t="s">
        <v>43926</v>
      </c>
      <c r="F2478" s="36" t="s">
        <v>54401</v>
      </c>
      <c r="G2478" s="39">
        <v>16773.12</v>
      </c>
      <c r="H2478" s="42">
        <v>211</v>
      </c>
    </row>
    <row r="2479" spans="1:8" ht="15" customHeight="1">
      <c r="A2479" s="26">
        <v>23350702</v>
      </c>
      <c r="B2479" s="29" t="s">
        <v>4717</v>
      </c>
      <c r="C2479" s="26" t="s">
        <v>19467</v>
      </c>
      <c r="D2479" s="26" t="s">
        <v>32643</v>
      </c>
      <c r="E2479" s="26" t="s">
        <v>45942</v>
      </c>
      <c r="F2479" s="37" t="s">
        <v>54413</v>
      </c>
      <c r="G2479" s="39">
        <v>55658.61</v>
      </c>
      <c r="H2479" s="42">
        <v>211</v>
      </c>
    </row>
    <row r="2480" spans="1:8" ht="15" customHeight="1">
      <c r="A2480" s="26">
        <v>23350707</v>
      </c>
      <c r="B2480" s="29" t="s">
        <v>4718</v>
      </c>
      <c r="C2480" s="26" t="s">
        <v>19468</v>
      </c>
      <c r="D2480" s="26" t="s">
        <v>32644</v>
      </c>
      <c r="E2480" s="26" t="s">
        <v>45943</v>
      </c>
      <c r="F2480" s="37" t="s">
        <v>54401</v>
      </c>
      <c r="G2480" s="39">
        <v>32236.14</v>
      </c>
      <c r="H2480" s="42">
        <v>211</v>
      </c>
    </row>
    <row r="2481" spans="1:8" ht="15" customHeight="1">
      <c r="A2481" s="26">
        <v>23350824</v>
      </c>
      <c r="B2481" s="29" t="s">
        <v>4719</v>
      </c>
      <c r="C2481" s="29" t="s">
        <v>19469</v>
      </c>
      <c r="D2481" s="29" t="s">
        <v>32645</v>
      </c>
      <c r="E2481" s="29" t="s">
        <v>45944</v>
      </c>
      <c r="F2481" s="36" t="s">
        <v>54401</v>
      </c>
      <c r="G2481" s="39">
        <v>882907.74</v>
      </c>
      <c r="H2481" s="42">
        <v>211</v>
      </c>
    </row>
    <row r="2482" spans="1:8" ht="15" customHeight="1">
      <c r="A2482" s="26">
        <v>23350886</v>
      </c>
      <c r="B2482" s="29" t="s">
        <v>4720</v>
      </c>
      <c r="C2482" s="29" t="s">
        <v>19470</v>
      </c>
      <c r="D2482" s="29" t="s">
        <v>32646</v>
      </c>
      <c r="E2482" s="29" t="s">
        <v>45945</v>
      </c>
      <c r="F2482" s="36" t="s">
        <v>54401</v>
      </c>
      <c r="G2482" s="39">
        <v>1555154.38</v>
      </c>
      <c r="H2482" s="42">
        <v>211</v>
      </c>
    </row>
    <row r="2483" spans="1:8" ht="15" customHeight="1">
      <c r="A2483" s="26">
        <v>23351140</v>
      </c>
      <c r="B2483" s="29" t="s">
        <v>4721</v>
      </c>
      <c r="C2483" s="29" t="s">
        <v>19471</v>
      </c>
      <c r="D2483" s="29" t="s">
        <v>32647</v>
      </c>
      <c r="E2483" s="29" t="s">
        <v>45946</v>
      </c>
      <c r="F2483" s="36" t="s">
        <v>54401</v>
      </c>
      <c r="G2483" s="39">
        <f>952701.88+383189</f>
        <v>1335890.8799999999</v>
      </c>
      <c r="H2483" s="42">
        <v>211</v>
      </c>
    </row>
    <row r="2484" spans="1:8" ht="15" customHeight="1">
      <c r="A2484" s="26">
        <v>23351359</v>
      </c>
      <c r="B2484" s="29" t="s">
        <v>4722</v>
      </c>
      <c r="C2484" s="29" t="s">
        <v>19472</v>
      </c>
      <c r="D2484" s="29" t="s">
        <v>32648</v>
      </c>
      <c r="E2484" s="29" t="s">
        <v>45947</v>
      </c>
      <c r="F2484" s="36" t="s">
        <v>54401</v>
      </c>
      <c r="G2484" s="39">
        <v>778922.04</v>
      </c>
      <c r="H2484" s="42">
        <v>211</v>
      </c>
    </row>
    <row r="2485" spans="1:8" ht="15" customHeight="1">
      <c r="A2485" s="26">
        <v>23351625</v>
      </c>
      <c r="B2485" s="29" t="s">
        <v>4723</v>
      </c>
      <c r="C2485" s="29" t="s">
        <v>19473</v>
      </c>
      <c r="D2485" s="29" t="s">
        <v>32649</v>
      </c>
      <c r="E2485" s="29" t="s">
        <v>45948</v>
      </c>
      <c r="F2485" s="36" t="s">
        <v>54412</v>
      </c>
      <c r="G2485" s="39">
        <v>329451</v>
      </c>
      <c r="H2485" s="42">
        <v>211</v>
      </c>
    </row>
    <row r="2486" spans="1:8" ht="15" customHeight="1">
      <c r="A2486" s="26">
        <v>23351843</v>
      </c>
      <c r="B2486" s="29" t="s">
        <v>4724</v>
      </c>
      <c r="C2486" s="29" t="s">
        <v>19474</v>
      </c>
      <c r="D2486" s="29" t="s">
        <v>32650</v>
      </c>
      <c r="E2486" s="29" t="s">
        <v>45949</v>
      </c>
      <c r="F2486" s="36" t="s">
        <v>54401</v>
      </c>
      <c r="G2486" s="39">
        <v>378765.55</v>
      </c>
      <c r="H2486" s="42">
        <v>211</v>
      </c>
    </row>
    <row r="2487" spans="1:8" ht="15" customHeight="1">
      <c r="A2487" s="26">
        <v>23351985</v>
      </c>
      <c r="B2487" s="29" t="s">
        <v>4725</v>
      </c>
      <c r="C2487" s="29" t="s">
        <v>19475</v>
      </c>
      <c r="D2487" s="29" t="s">
        <v>32651</v>
      </c>
      <c r="E2487" s="29" t="s">
        <v>45950</v>
      </c>
      <c r="F2487" s="36" t="s">
        <v>54401</v>
      </c>
      <c r="G2487" s="39">
        <v>3767865.07</v>
      </c>
      <c r="H2487" s="42">
        <v>211</v>
      </c>
    </row>
    <row r="2488" spans="1:8" ht="15" customHeight="1">
      <c r="A2488" s="26">
        <v>23359953</v>
      </c>
      <c r="B2488" s="29" t="s">
        <v>4726</v>
      </c>
      <c r="C2488" s="29" t="s">
        <v>19476</v>
      </c>
      <c r="D2488" s="29" t="s">
        <v>32652</v>
      </c>
      <c r="E2488" s="29" t="s">
        <v>45951</v>
      </c>
      <c r="F2488" s="36" t="s">
        <v>54401</v>
      </c>
      <c r="G2488" s="39">
        <v>16683.36</v>
      </c>
      <c r="H2488" s="42">
        <v>211</v>
      </c>
    </row>
    <row r="2489" spans="1:8" ht="15" customHeight="1">
      <c r="A2489" s="26">
        <v>23384481</v>
      </c>
      <c r="B2489" s="29" t="s">
        <v>4727</v>
      </c>
      <c r="C2489" s="26" t="s">
        <v>19477</v>
      </c>
      <c r="D2489" s="26" t="s">
        <v>32653</v>
      </c>
      <c r="E2489" s="26" t="s">
        <v>45952</v>
      </c>
      <c r="F2489" s="37" t="s">
        <v>54401</v>
      </c>
      <c r="G2489" s="39">
        <v>3175265.2</v>
      </c>
      <c r="H2489" s="42">
        <v>211</v>
      </c>
    </row>
    <row r="2490" spans="1:8" ht="15" customHeight="1">
      <c r="A2490" s="26">
        <v>23423929</v>
      </c>
      <c r="B2490" s="29" t="s">
        <v>4728</v>
      </c>
      <c r="C2490" s="29" t="s">
        <v>19478</v>
      </c>
      <c r="D2490" s="29" t="s">
        <v>32654</v>
      </c>
      <c r="E2490" s="29" t="s">
        <v>45953</v>
      </c>
      <c r="F2490" s="36" t="s">
        <v>54401</v>
      </c>
      <c r="G2490" s="39">
        <v>382594.23</v>
      </c>
      <c r="H2490" s="42">
        <v>211</v>
      </c>
    </row>
    <row r="2491" spans="1:8" ht="15" customHeight="1">
      <c r="A2491" s="26">
        <v>23429465</v>
      </c>
      <c r="B2491" s="29" t="s">
        <v>4729</v>
      </c>
      <c r="C2491" s="29" t="s">
        <v>19479</v>
      </c>
      <c r="D2491" s="29" t="s">
        <v>32655</v>
      </c>
      <c r="E2491" s="29" t="s">
        <v>43948</v>
      </c>
      <c r="F2491" s="36" t="s">
        <v>54401</v>
      </c>
      <c r="G2491" s="39">
        <v>185727.23</v>
      </c>
      <c r="H2491" s="42">
        <v>211</v>
      </c>
    </row>
    <row r="2492" spans="1:8" ht="15" customHeight="1">
      <c r="A2492" s="26">
        <v>23429471</v>
      </c>
      <c r="B2492" s="29" t="s">
        <v>4730</v>
      </c>
      <c r="C2492" s="29" t="s">
        <v>19480</v>
      </c>
      <c r="D2492" s="29" t="s">
        <v>32656</v>
      </c>
      <c r="E2492" s="29" t="s">
        <v>45954</v>
      </c>
      <c r="F2492" s="36" t="s">
        <v>54401</v>
      </c>
      <c r="G2492" s="39">
        <v>64262.55</v>
      </c>
      <c r="H2492" s="42">
        <v>211</v>
      </c>
    </row>
    <row r="2493" spans="1:8" ht="15" customHeight="1">
      <c r="A2493" s="26">
        <v>23429673</v>
      </c>
      <c r="B2493" s="29" t="s">
        <v>4731</v>
      </c>
      <c r="C2493" s="29" t="s">
        <v>19481</v>
      </c>
      <c r="D2493" s="29" t="s">
        <v>32657</v>
      </c>
      <c r="E2493" s="29" t="s">
        <v>45955</v>
      </c>
      <c r="F2493" s="36" t="s">
        <v>54401</v>
      </c>
      <c r="G2493" s="39">
        <v>2080679.39</v>
      </c>
      <c r="H2493" s="42">
        <v>211</v>
      </c>
    </row>
    <row r="2494" spans="1:8" ht="15" customHeight="1">
      <c r="A2494" s="26">
        <v>23429675</v>
      </c>
      <c r="B2494" s="29" t="s">
        <v>4732</v>
      </c>
      <c r="C2494" s="29" t="s">
        <v>19482</v>
      </c>
      <c r="D2494" s="29" t="s">
        <v>32658</v>
      </c>
      <c r="E2494" s="29" t="s">
        <v>45956</v>
      </c>
      <c r="F2494" s="36" t="s">
        <v>54418</v>
      </c>
      <c r="G2494" s="39">
        <f>7248914.09-28174</f>
        <v>7220740.0899999999</v>
      </c>
      <c r="H2494" s="42">
        <v>211</v>
      </c>
    </row>
    <row r="2495" spans="1:8" ht="15" customHeight="1">
      <c r="A2495" s="26">
        <v>23429744</v>
      </c>
      <c r="B2495" s="29" t="s">
        <v>4733</v>
      </c>
      <c r="C2495" s="29" t="s">
        <v>19483</v>
      </c>
      <c r="D2495" s="29" t="s">
        <v>32659</v>
      </c>
      <c r="E2495" s="29" t="s">
        <v>45957</v>
      </c>
      <c r="F2495" s="36" t="s">
        <v>54401</v>
      </c>
      <c r="G2495" s="39">
        <f>284008+1224636</f>
        <v>1508644</v>
      </c>
      <c r="H2495" s="42">
        <v>211</v>
      </c>
    </row>
    <row r="2496" spans="1:8" ht="15" customHeight="1">
      <c r="A2496" s="26">
        <v>23429783</v>
      </c>
      <c r="B2496" s="29" t="s">
        <v>4734</v>
      </c>
      <c r="C2496" s="29" t="s">
        <v>19484</v>
      </c>
      <c r="D2496" s="29" t="s">
        <v>32660</v>
      </c>
      <c r="E2496" s="29" t="s">
        <v>45958</v>
      </c>
      <c r="F2496" s="36" t="s">
        <v>54418</v>
      </c>
      <c r="G2496" s="39">
        <v>859029.43</v>
      </c>
      <c r="H2496" s="42">
        <v>211</v>
      </c>
    </row>
    <row r="2497" spans="1:8" ht="15" customHeight="1">
      <c r="A2497" s="26">
        <v>23429847</v>
      </c>
      <c r="B2497" s="29" t="s">
        <v>4735</v>
      </c>
      <c r="C2497" s="29" t="s">
        <v>19485</v>
      </c>
      <c r="D2497" s="29" t="s">
        <v>32661</v>
      </c>
      <c r="E2497" s="29" t="s">
        <v>45959</v>
      </c>
      <c r="F2497" s="36" t="s">
        <v>54401</v>
      </c>
      <c r="G2497" s="39">
        <v>4002386.17</v>
      </c>
      <c r="H2497" s="42">
        <v>211</v>
      </c>
    </row>
    <row r="2498" spans="1:8" ht="15" customHeight="1">
      <c r="A2498" s="26">
        <v>23429983</v>
      </c>
      <c r="B2498" s="29" t="s">
        <v>4736</v>
      </c>
      <c r="C2498" s="29" t="s">
        <v>19486</v>
      </c>
      <c r="D2498" s="29" t="s">
        <v>32662</v>
      </c>
      <c r="E2498" s="29" t="s">
        <v>45960</v>
      </c>
      <c r="F2498" s="36" t="s">
        <v>54418</v>
      </c>
      <c r="G2498" s="39">
        <v>2891268.93</v>
      </c>
      <c r="H2498" s="42">
        <v>211</v>
      </c>
    </row>
    <row r="2499" spans="1:8" ht="15" customHeight="1">
      <c r="A2499" s="26">
        <v>23430136</v>
      </c>
      <c r="B2499" s="29" t="s">
        <v>4737</v>
      </c>
      <c r="C2499" s="26" t="s">
        <v>19487</v>
      </c>
      <c r="D2499" s="26" t="s">
        <v>32663</v>
      </c>
      <c r="E2499" s="26" t="s">
        <v>45961</v>
      </c>
      <c r="F2499" s="37" t="s">
        <v>54401</v>
      </c>
      <c r="G2499" s="39">
        <v>202556.12</v>
      </c>
      <c r="H2499" s="42">
        <v>211</v>
      </c>
    </row>
    <row r="2500" spans="1:8" ht="15" customHeight="1">
      <c r="A2500" s="26">
        <v>23430169</v>
      </c>
      <c r="B2500" s="29" t="s">
        <v>4738</v>
      </c>
      <c r="C2500" s="29" t="s">
        <v>19488</v>
      </c>
      <c r="D2500" s="29" t="s">
        <v>32664</v>
      </c>
      <c r="E2500" s="29" t="s">
        <v>45962</v>
      </c>
      <c r="F2500" s="36" t="s">
        <v>54418</v>
      </c>
      <c r="G2500" s="39">
        <v>15577914.4</v>
      </c>
      <c r="H2500" s="42">
        <v>211</v>
      </c>
    </row>
    <row r="2501" spans="1:8" ht="15" customHeight="1">
      <c r="A2501" s="26">
        <v>23430178</v>
      </c>
      <c r="B2501" s="29" t="s">
        <v>4739</v>
      </c>
      <c r="C2501" s="29" t="s">
        <v>19489</v>
      </c>
      <c r="D2501" s="29" t="s">
        <v>32665</v>
      </c>
      <c r="E2501" s="29" t="s">
        <v>45963</v>
      </c>
      <c r="F2501" s="36" t="s">
        <v>54401</v>
      </c>
      <c r="G2501" s="39">
        <v>3688548.42</v>
      </c>
      <c r="H2501" s="42">
        <v>211</v>
      </c>
    </row>
    <row r="2502" spans="1:8" ht="15" customHeight="1">
      <c r="A2502" s="26">
        <v>23430264</v>
      </c>
      <c r="B2502" s="29" t="s">
        <v>4740</v>
      </c>
      <c r="C2502" s="29" t="s">
        <v>19490</v>
      </c>
      <c r="D2502" s="29" t="s">
        <v>32666</v>
      </c>
      <c r="E2502" s="29" t="s">
        <v>44332</v>
      </c>
      <c r="F2502" s="36" t="s">
        <v>54401</v>
      </c>
      <c r="G2502" s="39">
        <v>873672.95</v>
      </c>
      <c r="H2502" s="42">
        <v>211</v>
      </c>
    </row>
    <row r="2503" spans="1:8" ht="15" customHeight="1">
      <c r="A2503" s="26">
        <v>23430332</v>
      </c>
      <c r="B2503" s="29" t="s">
        <v>4741</v>
      </c>
      <c r="C2503" s="29" t="s">
        <v>17337</v>
      </c>
      <c r="D2503" s="29" t="s">
        <v>32667</v>
      </c>
      <c r="E2503" s="29" t="s">
        <v>45964</v>
      </c>
      <c r="F2503" s="36" t="s">
        <v>54401</v>
      </c>
      <c r="G2503" s="39">
        <v>81379.899999999994</v>
      </c>
      <c r="H2503" s="42">
        <v>211</v>
      </c>
    </row>
    <row r="2504" spans="1:8" ht="15" customHeight="1">
      <c r="A2504" s="26">
        <v>23430388</v>
      </c>
      <c r="B2504" s="29" t="s">
        <v>4742</v>
      </c>
      <c r="C2504" s="29" t="s">
        <v>19491</v>
      </c>
      <c r="D2504" s="29" t="s">
        <v>32668</v>
      </c>
      <c r="E2504" s="29" t="s">
        <v>45965</v>
      </c>
      <c r="F2504" s="36" t="s">
        <v>54401</v>
      </c>
      <c r="G2504" s="39">
        <v>882740.61</v>
      </c>
      <c r="H2504" s="42">
        <v>211</v>
      </c>
    </row>
    <row r="2505" spans="1:8" ht="15" customHeight="1">
      <c r="A2505" s="26">
        <v>23430407</v>
      </c>
      <c r="B2505" s="29" t="s">
        <v>4743</v>
      </c>
      <c r="C2505" s="29" t="s">
        <v>19492</v>
      </c>
      <c r="D2505" s="29" t="s">
        <v>32669</v>
      </c>
      <c r="E2505" s="29" t="s">
        <v>45966</v>
      </c>
      <c r="F2505" s="36" t="s">
        <v>54401</v>
      </c>
      <c r="G2505" s="39">
        <f>2619424.66-5798</f>
        <v>2613626.66</v>
      </c>
      <c r="H2505" s="42">
        <v>211</v>
      </c>
    </row>
    <row r="2506" spans="1:8" ht="15" customHeight="1">
      <c r="A2506" s="26">
        <v>23430453</v>
      </c>
      <c r="B2506" s="29" t="s">
        <v>4744</v>
      </c>
      <c r="C2506" s="29" t="s">
        <v>19493</v>
      </c>
      <c r="D2506" s="29" t="s">
        <v>32670</v>
      </c>
      <c r="E2506" s="29" t="s">
        <v>45967</v>
      </c>
      <c r="F2506" s="36" t="s">
        <v>54401</v>
      </c>
      <c r="G2506" s="39">
        <v>41584.58</v>
      </c>
      <c r="H2506" s="42">
        <v>211</v>
      </c>
    </row>
    <row r="2507" spans="1:8" ht="15" customHeight="1">
      <c r="A2507" s="26">
        <v>23430514</v>
      </c>
      <c r="B2507" s="29" t="s">
        <v>4745</v>
      </c>
      <c r="C2507" s="29" t="s">
        <v>19494</v>
      </c>
      <c r="D2507" s="29" t="s">
        <v>32671</v>
      </c>
      <c r="E2507" s="29" t="s">
        <v>45968</v>
      </c>
      <c r="F2507" s="36" t="s">
        <v>54401</v>
      </c>
      <c r="G2507" s="39">
        <v>979515.23</v>
      </c>
      <c r="H2507" s="42">
        <v>211</v>
      </c>
    </row>
    <row r="2508" spans="1:8" ht="15" customHeight="1">
      <c r="A2508" s="26">
        <v>23430516</v>
      </c>
      <c r="B2508" s="29" t="s">
        <v>4746</v>
      </c>
      <c r="C2508" s="29" t="s">
        <v>19495</v>
      </c>
      <c r="D2508" s="29" t="s">
        <v>32672</v>
      </c>
      <c r="E2508" s="29" t="s">
        <v>45969</v>
      </c>
      <c r="F2508" s="36" t="s">
        <v>54401</v>
      </c>
      <c r="G2508" s="39">
        <f>4798900.74-8033</f>
        <v>4790867.74</v>
      </c>
      <c r="H2508" s="42">
        <v>211</v>
      </c>
    </row>
    <row r="2509" spans="1:8" ht="15" customHeight="1">
      <c r="A2509" s="26">
        <v>23430543</v>
      </c>
      <c r="B2509" s="29" t="s">
        <v>4747</v>
      </c>
      <c r="C2509" s="29" t="s">
        <v>19496</v>
      </c>
      <c r="D2509" s="29" t="s">
        <v>32673</v>
      </c>
      <c r="E2509" s="29" t="s">
        <v>45970</v>
      </c>
      <c r="F2509" s="36" t="s">
        <v>54401</v>
      </c>
      <c r="G2509" s="39">
        <v>499870.96</v>
      </c>
      <c r="H2509" s="42">
        <v>211</v>
      </c>
    </row>
    <row r="2510" spans="1:8" ht="15" customHeight="1">
      <c r="A2510" s="26">
        <v>23430549</v>
      </c>
      <c r="B2510" s="29" t="s">
        <v>4748</v>
      </c>
      <c r="C2510" s="29" t="s">
        <v>19497</v>
      </c>
      <c r="D2510" s="29" t="s">
        <v>32674</v>
      </c>
      <c r="E2510" s="29" t="s">
        <v>45971</v>
      </c>
      <c r="F2510" s="36" t="s">
        <v>54401</v>
      </c>
      <c r="G2510" s="39">
        <f>629665.29+116639</f>
        <v>746304.29</v>
      </c>
      <c r="H2510" s="42">
        <v>211</v>
      </c>
    </row>
    <row r="2511" spans="1:8" ht="15" customHeight="1">
      <c r="A2511" s="26">
        <v>23430554</v>
      </c>
      <c r="B2511" s="29" t="s">
        <v>4749</v>
      </c>
      <c r="C2511" s="29" t="s">
        <v>19498</v>
      </c>
      <c r="D2511" s="29" t="s">
        <v>32675</v>
      </c>
      <c r="E2511" s="29" t="s">
        <v>45972</v>
      </c>
      <c r="F2511" s="36" t="s">
        <v>54401</v>
      </c>
      <c r="G2511" s="39">
        <v>2520767.48</v>
      </c>
      <c r="H2511" s="42">
        <v>211</v>
      </c>
    </row>
    <row r="2512" spans="1:8" ht="15" customHeight="1">
      <c r="A2512" s="26">
        <v>23430625</v>
      </c>
      <c r="B2512" s="29" t="s">
        <v>4750</v>
      </c>
      <c r="C2512" s="29" t="s">
        <v>19499</v>
      </c>
      <c r="D2512" s="29" t="s">
        <v>32676</v>
      </c>
      <c r="E2512" s="29" t="s">
        <v>45973</v>
      </c>
      <c r="F2512" s="36" t="s">
        <v>54418</v>
      </c>
      <c r="G2512" s="39">
        <v>185453.94</v>
      </c>
      <c r="H2512" s="42">
        <v>211</v>
      </c>
    </row>
    <row r="2513" spans="1:8" ht="15" customHeight="1">
      <c r="A2513" s="26">
        <v>23430657</v>
      </c>
      <c r="B2513" s="29" t="s">
        <v>4751</v>
      </c>
      <c r="C2513" s="26" t="s">
        <v>19500</v>
      </c>
      <c r="D2513" s="26" t="s">
        <v>32677</v>
      </c>
      <c r="E2513" s="26" t="s">
        <v>43926</v>
      </c>
      <c r="F2513" s="37" t="s">
        <v>54401</v>
      </c>
      <c r="G2513" s="39">
        <f>260466.91+819843</f>
        <v>1080309.9099999999</v>
      </c>
      <c r="H2513" s="42">
        <v>211</v>
      </c>
    </row>
    <row r="2514" spans="1:8" ht="15" customHeight="1">
      <c r="A2514" s="26">
        <v>23430678</v>
      </c>
      <c r="B2514" s="29" t="s">
        <v>4752</v>
      </c>
      <c r="C2514" s="29" t="s">
        <v>19501</v>
      </c>
      <c r="D2514" s="29" t="s">
        <v>32678</v>
      </c>
      <c r="E2514" s="29" t="s">
        <v>45974</v>
      </c>
      <c r="F2514" s="36" t="s">
        <v>54401</v>
      </c>
      <c r="G2514" s="39">
        <v>466414.49</v>
      </c>
      <c r="H2514" s="42">
        <v>211</v>
      </c>
    </row>
    <row r="2515" spans="1:8" ht="15" customHeight="1">
      <c r="A2515" s="26">
        <v>23430700</v>
      </c>
      <c r="B2515" s="29" t="s">
        <v>4753</v>
      </c>
      <c r="C2515" s="29" t="s">
        <v>19502</v>
      </c>
      <c r="D2515" s="29" t="s">
        <v>32679</v>
      </c>
      <c r="E2515" s="29" t="s">
        <v>45975</v>
      </c>
      <c r="F2515" s="36" t="s">
        <v>54423</v>
      </c>
      <c r="G2515" s="39">
        <f>37189097.7-99233</f>
        <v>37089864.700000003</v>
      </c>
      <c r="H2515" s="42">
        <v>211</v>
      </c>
    </row>
    <row r="2516" spans="1:8" ht="15" customHeight="1">
      <c r="A2516" s="26">
        <v>23432460</v>
      </c>
      <c r="B2516" s="29" t="s">
        <v>4754</v>
      </c>
      <c r="C2516" s="29" t="s">
        <v>19503</v>
      </c>
      <c r="D2516" s="29" t="s">
        <v>32680</v>
      </c>
      <c r="E2516" s="29" t="s">
        <v>45976</v>
      </c>
      <c r="F2516" s="36" t="s">
        <v>54401</v>
      </c>
      <c r="G2516" s="39">
        <v>6004260.5199999996</v>
      </c>
      <c r="H2516" s="42">
        <v>211</v>
      </c>
    </row>
    <row r="2517" spans="1:8" ht="15" customHeight="1">
      <c r="A2517" s="26">
        <v>23433740</v>
      </c>
      <c r="B2517" s="29" t="s">
        <v>4755</v>
      </c>
      <c r="C2517" s="29" t="s">
        <v>19504</v>
      </c>
      <c r="D2517" s="29" t="s">
        <v>32681</v>
      </c>
      <c r="E2517" s="29" t="s">
        <v>45977</v>
      </c>
      <c r="F2517" s="36" t="s">
        <v>54414</v>
      </c>
      <c r="G2517" s="39">
        <v>277310.92</v>
      </c>
      <c r="H2517" s="42">
        <v>211</v>
      </c>
    </row>
    <row r="2518" spans="1:8" ht="15" customHeight="1">
      <c r="A2518" s="26">
        <v>23437933</v>
      </c>
      <c r="B2518" s="29" t="s">
        <v>4756</v>
      </c>
      <c r="C2518" s="29" t="s">
        <v>19505</v>
      </c>
      <c r="D2518" s="29" t="s">
        <v>32682</v>
      </c>
      <c r="E2518" s="29" t="s">
        <v>45978</v>
      </c>
      <c r="F2518" s="36" t="s">
        <v>54401</v>
      </c>
      <c r="G2518" s="39">
        <v>32875.449999999997</v>
      </c>
      <c r="H2518" s="42">
        <v>211</v>
      </c>
    </row>
    <row r="2519" spans="1:8" ht="15" customHeight="1">
      <c r="A2519" s="26">
        <v>23449103</v>
      </c>
      <c r="B2519" s="29" t="s">
        <v>4757</v>
      </c>
      <c r="C2519" s="29" t="s">
        <v>19506</v>
      </c>
      <c r="D2519" s="29" t="s">
        <v>32683</v>
      </c>
      <c r="E2519" s="29" t="s">
        <v>43948</v>
      </c>
      <c r="F2519" s="36" t="s">
        <v>54401</v>
      </c>
      <c r="G2519" s="39">
        <v>25739.5</v>
      </c>
      <c r="H2519" s="42">
        <v>211</v>
      </c>
    </row>
    <row r="2520" spans="1:8" ht="15" customHeight="1">
      <c r="A2520" s="26">
        <v>23449128</v>
      </c>
      <c r="B2520" s="29" t="s">
        <v>4758</v>
      </c>
      <c r="C2520" s="29" t="s">
        <v>19507</v>
      </c>
      <c r="D2520" s="29" t="s">
        <v>32684</v>
      </c>
      <c r="E2520" s="29" t="s">
        <v>45979</v>
      </c>
      <c r="F2520" s="36" t="s">
        <v>54409</v>
      </c>
      <c r="G2520" s="39">
        <v>3335141.75</v>
      </c>
      <c r="H2520" s="42">
        <v>211</v>
      </c>
    </row>
    <row r="2521" spans="1:8" ht="15" customHeight="1">
      <c r="A2521" s="26">
        <v>23449262</v>
      </c>
      <c r="B2521" s="29" t="s">
        <v>4759</v>
      </c>
      <c r="C2521" s="29" t="s">
        <v>19508</v>
      </c>
      <c r="D2521" s="29" t="s">
        <v>32685</v>
      </c>
      <c r="E2521" s="29" t="s">
        <v>45980</v>
      </c>
      <c r="F2521" s="36" t="s">
        <v>54419</v>
      </c>
      <c r="G2521" s="39">
        <f>2172424.35-186849</f>
        <v>1985575.35</v>
      </c>
      <c r="H2521" s="42">
        <v>211</v>
      </c>
    </row>
    <row r="2522" spans="1:8" ht="15" customHeight="1">
      <c r="A2522" s="26">
        <v>23449488</v>
      </c>
      <c r="B2522" s="29" t="s">
        <v>4760</v>
      </c>
      <c r="C2522" s="29" t="s">
        <v>19509</v>
      </c>
      <c r="D2522" s="29" t="s">
        <v>32686</v>
      </c>
      <c r="E2522" s="29" t="s">
        <v>45981</v>
      </c>
      <c r="F2522" s="36" t="s">
        <v>54401</v>
      </c>
      <c r="G2522" s="39">
        <v>1052281.17</v>
      </c>
      <c r="H2522" s="42">
        <v>211</v>
      </c>
    </row>
    <row r="2523" spans="1:8" ht="15" customHeight="1">
      <c r="A2523" s="26">
        <v>23449575</v>
      </c>
      <c r="B2523" s="29" t="s">
        <v>4761</v>
      </c>
      <c r="C2523" s="29" t="s">
        <v>19510</v>
      </c>
      <c r="D2523" s="29" t="s">
        <v>32687</v>
      </c>
      <c r="E2523" s="29" t="s">
        <v>43926</v>
      </c>
      <c r="F2523" s="36" t="s">
        <v>54401</v>
      </c>
      <c r="G2523" s="39">
        <v>117013.57</v>
      </c>
      <c r="H2523" s="42">
        <v>211</v>
      </c>
    </row>
    <row r="2524" spans="1:8" ht="15" customHeight="1">
      <c r="A2524" s="26">
        <v>23449595</v>
      </c>
      <c r="B2524" s="29" t="s">
        <v>4762</v>
      </c>
      <c r="C2524" s="29" t="s">
        <v>19511</v>
      </c>
      <c r="D2524" s="29" t="s">
        <v>32688</v>
      </c>
      <c r="E2524" s="29" t="s">
        <v>45982</v>
      </c>
      <c r="F2524" s="36" t="s">
        <v>54420</v>
      </c>
      <c r="G2524" s="39">
        <v>9494561.8399999999</v>
      </c>
      <c r="H2524" s="42">
        <v>211</v>
      </c>
    </row>
    <row r="2525" spans="1:8" ht="15" customHeight="1">
      <c r="A2525" s="26">
        <v>23454532</v>
      </c>
      <c r="B2525" s="29" t="s">
        <v>4763</v>
      </c>
      <c r="C2525" s="29" t="s">
        <v>19512</v>
      </c>
      <c r="D2525" s="29" t="s">
        <v>32689</v>
      </c>
      <c r="E2525" s="29" t="s">
        <v>45983</v>
      </c>
      <c r="F2525" s="36" t="s">
        <v>54401</v>
      </c>
      <c r="G2525" s="39">
        <f>1521293.89+191302</f>
        <v>1712595.89</v>
      </c>
      <c r="H2525" s="42">
        <v>211</v>
      </c>
    </row>
    <row r="2526" spans="1:8" ht="15" customHeight="1">
      <c r="A2526" s="26">
        <v>23473721</v>
      </c>
      <c r="B2526" s="29" t="s">
        <v>4764</v>
      </c>
      <c r="C2526" s="29" t="s">
        <v>17204</v>
      </c>
      <c r="D2526" s="29" t="s">
        <v>32690</v>
      </c>
      <c r="E2526" s="29" t="s">
        <v>45984</v>
      </c>
      <c r="F2526" s="36" t="s">
        <v>54401</v>
      </c>
      <c r="G2526" s="39">
        <v>87922.18</v>
      </c>
      <c r="H2526" s="42">
        <v>211</v>
      </c>
    </row>
    <row r="2527" spans="1:8" ht="15" customHeight="1">
      <c r="A2527" s="26">
        <v>23474943</v>
      </c>
      <c r="B2527" s="29" t="s">
        <v>4765</v>
      </c>
      <c r="C2527" s="29" t="s">
        <v>19513</v>
      </c>
      <c r="D2527" s="29" t="s">
        <v>32691</v>
      </c>
      <c r="E2527" s="29" t="s">
        <v>45985</v>
      </c>
      <c r="F2527" s="36" t="s">
        <v>54401</v>
      </c>
      <c r="G2527" s="39">
        <v>4595.8100000000004</v>
      </c>
      <c r="H2527" s="42">
        <v>211</v>
      </c>
    </row>
    <row r="2528" spans="1:8" ht="15" customHeight="1">
      <c r="A2528" s="26">
        <v>23491047</v>
      </c>
      <c r="B2528" s="29" t="s">
        <v>4766</v>
      </c>
      <c r="C2528" s="29" t="s">
        <v>19514</v>
      </c>
      <c r="D2528" s="29" t="s">
        <v>32692</v>
      </c>
      <c r="E2528" s="29" t="s">
        <v>45986</v>
      </c>
      <c r="F2528" s="36" t="s">
        <v>54401</v>
      </c>
      <c r="G2528" s="39">
        <v>2062306.8</v>
      </c>
      <c r="H2528" s="42">
        <v>211</v>
      </c>
    </row>
    <row r="2529" spans="1:8" ht="15" customHeight="1">
      <c r="A2529" s="26">
        <v>23492110</v>
      </c>
      <c r="B2529" s="29" t="s">
        <v>4767</v>
      </c>
      <c r="C2529" s="29" t="s">
        <v>19515</v>
      </c>
      <c r="D2529" s="29" t="s">
        <v>32693</v>
      </c>
      <c r="E2529" s="29" t="s">
        <v>45987</v>
      </c>
      <c r="F2529" s="36" t="s">
        <v>54401</v>
      </c>
      <c r="G2529" s="39">
        <v>988865.59</v>
      </c>
      <c r="H2529" s="42">
        <v>211</v>
      </c>
    </row>
    <row r="2530" spans="1:8" ht="15" customHeight="1">
      <c r="A2530" s="26">
        <v>23493373</v>
      </c>
      <c r="B2530" s="29" t="s">
        <v>4768</v>
      </c>
      <c r="C2530" s="29" t="s">
        <v>19516</v>
      </c>
      <c r="D2530" s="29" t="s">
        <v>32694</v>
      </c>
      <c r="E2530" s="29" t="s">
        <v>45988</v>
      </c>
      <c r="F2530" s="36" t="s">
        <v>54401</v>
      </c>
      <c r="G2530" s="39">
        <v>55731.5</v>
      </c>
      <c r="H2530" s="42">
        <v>211</v>
      </c>
    </row>
    <row r="2531" spans="1:8" ht="15" customHeight="1">
      <c r="A2531" s="26">
        <v>23507570</v>
      </c>
      <c r="B2531" s="29" t="s">
        <v>4769</v>
      </c>
      <c r="C2531" s="29" t="s">
        <v>19517</v>
      </c>
      <c r="D2531" s="29" t="s">
        <v>32695</v>
      </c>
      <c r="E2531" s="29" t="s">
        <v>45989</v>
      </c>
      <c r="F2531" s="36" t="s">
        <v>54401</v>
      </c>
      <c r="G2531" s="39">
        <v>143778.13</v>
      </c>
      <c r="H2531" s="42">
        <v>211</v>
      </c>
    </row>
    <row r="2532" spans="1:8" ht="15" customHeight="1">
      <c r="A2532" s="26">
        <v>23508795</v>
      </c>
      <c r="B2532" s="29" t="s">
        <v>4770</v>
      </c>
      <c r="C2532" s="29" t="s">
        <v>19518</v>
      </c>
      <c r="D2532" s="29" t="s">
        <v>32696</v>
      </c>
      <c r="E2532" s="29" t="s">
        <v>45990</v>
      </c>
      <c r="F2532" s="36" t="s">
        <v>54407</v>
      </c>
      <c r="G2532" s="39">
        <v>55478.99</v>
      </c>
      <c r="H2532" s="42">
        <v>211</v>
      </c>
    </row>
    <row r="2533" spans="1:8" ht="15" customHeight="1">
      <c r="A2533" s="26">
        <v>23508997</v>
      </c>
      <c r="B2533" s="29" t="s">
        <v>4771</v>
      </c>
      <c r="C2533" s="29" t="s">
        <v>17204</v>
      </c>
      <c r="D2533" s="29" t="s">
        <v>32697</v>
      </c>
      <c r="E2533" s="29" t="s">
        <v>43926</v>
      </c>
      <c r="F2533" s="36" t="s">
        <v>54401</v>
      </c>
      <c r="G2533" s="39">
        <f>1332809.24+77601</f>
        <v>1410410.24</v>
      </c>
      <c r="H2533" s="42">
        <v>211</v>
      </c>
    </row>
    <row r="2534" spans="1:8" ht="15" customHeight="1">
      <c r="A2534" s="26">
        <v>23509063</v>
      </c>
      <c r="B2534" s="29" t="s">
        <v>4772</v>
      </c>
      <c r="C2534" s="29" t="s">
        <v>19519</v>
      </c>
      <c r="D2534" s="29" t="s">
        <v>32698</v>
      </c>
      <c r="E2534" s="29" t="s">
        <v>45991</v>
      </c>
      <c r="F2534" s="36" t="s">
        <v>54401</v>
      </c>
      <c r="G2534" s="39">
        <f>659445.49+3322028</f>
        <v>3981473.49</v>
      </c>
      <c r="H2534" s="42">
        <v>211</v>
      </c>
    </row>
    <row r="2535" spans="1:8" ht="15" customHeight="1">
      <c r="A2535" s="26">
        <v>23509147</v>
      </c>
      <c r="B2535" s="29" t="s">
        <v>4773</v>
      </c>
      <c r="C2535" s="29" t="s">
        <v>19520</v>
      </c>
      <c r="D2535" s="29" t="s">
        <v>32699</v>
      </c>
      <c r="E2535" s="29" t="s">
        <v>45992</v>
      </c>
      <c r="F2535" s="36" t="s">
        <v>54401</v>
      </c>
      <c r="G2535" s="39">
        <v>24753.200000000001</v>
      </c>
      <c r="H2535" s="42">
        <v>211</v>
      </c>
    </row>
    <row r="2536" spans="1:8" ht="15" customHeight="1">
      <c r="A2536" s="26">
        <v>23521802</v>
      </c>
      <c r="B2536" s="29" t="s">
        <v>4774</v>
      </c>
      <c r="C2536" s="29" t="s">
        <v>17204</v>
      </c>
      <c r="D2536" s="29" t="s">
        <v>32700</v>
      </c>
      <c r="E2536" s="29" t="s">
        <v>43926</v>
      </c>
      <c r="F2536" s="36" t="s">
        <v>54401</v>
      </c>
      <c r="G2536" s="39">
        <v>103510.84</v>
      </c>
      <c r="H2536" s="42">
        <v>211</v>
      </c>
    </row>
    <row r="2537" spans="1:8" ht="15" customHeight="1">
      <c r="A2537" s="26">
        <v>23521806</v>
      </c>
      <c r="B2537" s="29" t="s">
        <v>4775</v>
      </c>
      <c r="C2537" s="29" t="s">
        <v>19521</v>
      </c>
      <c r="D2537" s="29" t="s">
        <v>32701</v>
      </c>
      <c r="E2537" s="29" t="s">
        <v>45993</v>
      </c>
      <c r="F2537" s="36" t="s">
        <v>54401</v>
      </c>
      <c r="G2537" s="39">
        <v>80740.92</v>
      </c>
      <c r="H2537" s="42">
        <v>211</v>
      </c>
    </row>
    <row r="2538" spans="1:8" ht="15" customHeight="1">
      <c r="A2538" s="26">
        <v>23521850</v>
      </c>
      <c r="B2538" s="29" t="s">
        <v>4776</v>
      </c>
      <c r="C2538" s="29" t="s">
        <v>19522</v>
      </c>
      <c r="D2538" s="29" t="s">
        <v>32702</v>
      </c>
      <c r="E2538" s="29" t="s">
        <v>45994</v>
      </c>
      <c r="F2538" s="36" t="s">
        <v>54401</v>
      </c>
      <c r="G2538" s="39">
        <v>237460.01</v>
      </c>
      <c r="H2538" s="42">
        <v>211</v>
      </c>
    </row>
    <row r="2539" spans="1:8" ht="15" customHeight="1">
      <c r="A2539" s="26">
        <v>23522083</v>
      </c>
      <c r="B2539" s="29" t="s">
        <v>4777</v>
      </c>
      <c r="C2539" s="29" t="s">
        <v>19523</v>
      </c>
      <c r="D2539" s="29" t="s">
        <v>32703</v>
      </c>
      <c r="E2539" s="29" t="s">
        <v>733</v>
      </c>
      <c r="F2539" s="36" t="s">
        <v>54401</v>
      </c>
      <c r="G2539" s="39">
        <v>360850.18</v>
      </c>
      <c r="H2539" s="42">
        <v>211</v>
      </c>
    </row>
    <row r="2540" spans="1:8" ht="15" customHeight="1">
      <c r="A2540" s="26">
        <v>23522135</v>
      </c>
      <c r="B2540" s="29" t="s">
        <v>4778</v>
      </c>
      <c r="C2540" s="29" t="s">
        <v>19524</v>
      </c>
      <c r="D2540" s="29" t="s">
        <v>32704</v>
      </c>
      <c r="E2540" s="29" t="s">
        <v>45995</v>
      </c>
      <c r="F2540" s="36" t="s">
        <v>54401</v>
      </c>
      <c r="G2540" s="39">
        <v>1829654.71</v>
      </c>
      <c r="H2540" s="42">
        <v>211</v>
      </c>
    </row>
    <row r="2541" spans="1:8" ht="15" customHeight="1">
      <c r="A2541" s="26">
        <v>23522157</v>
      </c>
      <c r="B2541" s="29" t="s">
        <v>4779</v>
      </c>
      <c r="C2541" s="29" t="s">
        <v>19525</v>
      </c>
      <c r="D2541" s="29" t="s">
        <v>32705</v>
      </c>
      <c r="E2541" s="29" t="s">
        <v>45996</v>
      </c>
      <c r="F2541" s="36" t="s">
        <v>54401</v>
      </c>
      <c r="G2541" s="39">
        <f>1964612.92+21918</f>
        <v>1986530.92</v>
      </c>
      <c r="H2541" s="42">
        <v>211</v>
      </c>
    </row>
    <row r="2542" spans="1:8" ht="15" customHeight="1">
      <c r="A2542" s="26">
        <v>23522231</v>
      </c>
      <c r="B2542" s="29" t="s">
        <v>4780</v>
      </c>
      <c r="C2542" s="29" t="s">
        <v>19526</v>
      </c>
      <c r="D2542" s="29" t="s">
        <v>30506</v>
      </c>
      <c r="E2542" s="29" t="s">
        <v>45997</v>
      </c>
      <c r="F2542" s="36" t="s">
        <v>54401</v>
      </c>
      <c r="G2542" s="39">
        <v>700967.24</v>
      </c>
      <c r="H2542" s="42">
        <v>211</v>
      </c>
    </row>
    <row r="2543" spans="1:8" ht="15" customHeight="1">
      <c r="A2543" s="26">
        <v>23522379</v>
      </c>
      <c r="B2543" s="29" t="s">
        <v>4781</v>
      </c>
      <c r="C2543" s="29" t="s">
        <v>19527</v>
      </c>
      <c r="D2543" s="29" t="s">
        <v>32706</v>
      </c>
      <c r="E2543" s="29" t="s">
        <v>45998</v>
      </c>
      <c r="F2543" s="36" t="s">
        <v>54401</v>
      </c>
      <c r="G2543" s="39">
        <f>1706477.14+330514</f>
        <v>2036991.14</v>
      </c>
      <c r="H2543" s="42">
        <v>211</v>
      </c>
    </row>
    <row r="2544" spans="1:8" ht="15" customHeight="1">
      <c r="A2544" s="26">
        <v>23522551</v>
      </c>
      <c r="B2544" s="29" t="s">
        <v>4782</v>
      </c>
      <c r="C2544" s="29" t="s">
        <v>19528</v>
      </c>
      <c r="D2544" s="29" t="s">
        <v>32707</v>
      </c>
      <c r="E2544" s="29" t="s">
        <v>45999</v>
      </c>
      <c r="F2544" s="36" t="s">
        <v>54401</v>
      </c>
      <c r="G2544" s="39">
        <v>3524699.02</v>
      </c>
      <c r="H2544" s="42">
        <v>211</v>
      </c>
    </row>
    <row r="2545" spans="1:8" ht="15" customHeight="1">
      <c r="A2545" s="26">
        <v>23522652</v>
      </c>
      <c r="B2545" s="29" t="s">
        <v>4783</v>
      </c>
      <c r="C2545" s="29" t="s">
        <v>19529</v>
      </c>
      <c r="D2545" s="29" t="s">
        <v>32708</v>
      </c>
      <c r="E2545" s="29" t="s">
        <v>44019</v>
      </c>
      <c r="F2545" s="36" t="s">
        <v>54401</v>
      </c>
      <c r="G2545" s="39">
        <f>1332154.11+1110997</f>
        <v>2443151.1100000003</v>
      </c>
      <c r="H2545" s="42">
        <v>211</v>
      </c>
    </row>
    <row r="2546" spans="1:8" ht="15" customHeight="1">
      <c r="A2546" s="26">
        <v>23522968</v>
      </c>
      <c r="B2546" s="29" t="s">
        <v>4784</v>
      </c>
      <c r="C2546" s="29" t="s">
        <v>19530</v>
      </c>
      <c r="D2546" s="29" t="s">
        <v>32709</v>
      </c>
      <c r="E2546" s="29" t="s">
        <v>46000</v>
      </c>
      <c r="F2546" s="36" t="s">
        <v>54401</v>
      </c>
      <c r="G2546" s="39">
        <v>547644.82999999996</v>
      </c>
      <c r="H2546" s="42">
        <v>211</v>
      </c>
    </row>
    <row r="2547" spans="1:8" ht="15" customHeight="1">
      <c r="A2547" s="26">
        <v>23539066</v>
      </c>
      <c r="B2547" s="29" t="s">
        <v>4785</v>
      </c>
      <c r="C2547" s="29" t="s">
        <v>19531</v>
      </c>
      <c r="D2547" s="29" t="s">
        <v>32710</v>
      </c>
      <c r="E2547" s="29" t="s">
        <v>834</v>
      </c>
      <c r="F2547" s="36" t="s">
        <v>54401</v>
      </c>
      <c r="G2547" s="39">
        <v>10802.3</v>
      </c>
      <c r="H2547" s="42">
        <v>211</v>
      </c>
    </row>
    <row r="2548" spans="1:8" ht="15" customHeight="1">
      <c r="A2548" s="26">
        <v>23539452</v>
      </c>
      <c r="B2548" s="29" t="s">
        <v>4786</v>
      </c>
      <c r="C2548" s="29" t="s">
        <v>19532</v>
      </c>
      <c r="D2548" s="29" t="s">
        <v>32711</v>
      </c>
      <c r="E2548" s="29" t="s">
        <v>46001</v>
      </c>
      <c r="F2548" s="36" t="s">
        <v>54401</v>
      </c>
      <c r="G2548" s="39">
        <f>1565231.64+273550</f>
        <v>1838781.64</v>
      </c>
      <c r="H2548" s="42">
        <v>211</v>
      </c>
    </row>
    <row r="2549" spans="1:8" ht="15" customHeight="1">
      <c r="A2549" s="26">
        <v>23539531</v>
      </c>
      <c r="B2549" s="29" t="s">
        <v>4787</v>
      </c>
      <c r="C2549" s="29" t="s">
        <v>17204</v>
      </c>
      <c r="D2549" s="29" t="s">
        <v>32712</v>
      </c>
      <c r="E2549" s="29" t="s">
        <v>46002</v>
      </c>
      <c r="F2549" s="36" t="s">
        <v>54401</v>
      </c>
      <c r="G2549" s="39">
        <v>361281.38</v>
      </c>
      <c r="H2549" s="42">
        <v>211</v>
      </c>
    </row>
    <row r="2550" spans="1:8" ht="15" customHeight="1">
      <c r="A2550" s="26">
        <v>23541029</v>
      </c>
      <c r="B2550" s="29" t="s">
        <v>4788</v>
      </c>
      <c r="C2550" s="29" t="s">
        <v>19533</v>
      </c>
      <c r="D2550" s="29" t="s">
        <v>32713</v>
      </c>
      <c r="E2550" s="29" t="s">
        <v>46003</v>
      </c>
      <c r="F2550" s="36" t="s">
        <v>54401</v>
      </c>
      <c r="G2550" s="39">
        <v>373665.35</v>
      </c>
      <c r="H2550" s="42">
        <v>211</v>
      </c>
    </row>
    <row r="2551" spans="1:8" ht="15" customHeight="1">
      <c r="A2551" s="26">
        <v>23541384</v>
      </c>
      <c r="B2551" s="29" t="s">
        <v>4789</v>
      </c>
      <c r="C2551" s="29" t="s">
        <v>19534</v>
      </c>
      <c r="D2551" s="29" t="s">
        <v>32714</v>
      </c>
      <c r="E2551" s="29" t="s">
        <v>46004</v>
      </c>
      <c r="F2551" s="36" t="s">
        <v>54401</v>
      </c>
      <c r="G2551" s="39">
        <v>330382.34000000003</v>
      </c>
      <c r="H2551" s="42">
        <v>211</v>
      </c>
    </row>
    <row r="2552" spans="1:8" ht="15" customHeight="1">
      <c r="A2552" s="26">
        <v>23541827</v>
      </c>
      <c r="B2552" s="29" t="s">
        <v>4790</v>
      </c>
      <c r="C2552" s="29" t="s">
        <v>19535</v>
      </c>
      <c r="D2552" s="29" t="s">
        <v>32715</v>
      </c>
      <c r="E2552" s="29" t="s">
        <v>46005</v>
      </c>
      <c r="F2552" s="36" t="s">
        <v>54401</v>
      </c>
      <c r="G2552" s="39">
        <v>923597.31</v>
      </c>
      <c r="H2552" s="42">
        <v>211</v>
      </c>
    </row>
    <row r="2553" spans="1:8" ht="15" customHeight="1">
      <c r="A2553" s="26">
        <v>23542302</v>
      </c>
      <c r="B2553" s="29" t="s">
        <v>4791</v>
      </c>
      <c r="C2553" s="29" t="s">
        <v>19536</v>
      </c>
      <c r="D2553" s="29" t="s">
        <v>32716</v>
      </c>
      <c r="E2553" s="29" t="s">
        <v>46006</v>
      </c>
      <c r="F2553" s="36" t="s">
        <v>54418</v>
      </c>
      <c r="G2553" s="39">
        <f>6381306.58-10991</f>
        <v>6370315.5800000001</v>
      </c>
      <c r="H2553" s="42">
        <v>211</v>
      </c>
    </row>
    <row r="2554" spans="1:8" ht="15" customHeight="1">
      <c r="A2554" s="26">
        <v>23542562</v>
      </c>
      <c r="B2554" s="29" t="s">
        <v>4792</v>
      </c>
      <c r="C2554" s="29" t="s">
        <v>19537</v>
      </c>
      <c r="D2554" s="29" t="s">
        <v>32717</v>
      </c>
      <c r="E2554" s="29" t="s">
        <v>46007</v>
      </c>
      <c r="F2554" s="36" t="s">
        <v>54401</v>
      </c>
      <c r="G2554" s="39">
        <f>2008544.53-11967</f>
        <v>1996577.53</v>
      </c>
      <c r="H2554" s="42">
        <v>211</v>
      </c>
    </row>
    <row r="2555" spans="1:8" ht="15" customHeight="1">
      <c r="A2555" s="26">
        <v>23542972</v>
      </c>
      <c r="B2555" s="29" t="s">
        <v>4793</v>
      </c>
      <c r="C2555" s="29" t="s">
        <v>19538</v>
      </c>
      <c r="D2555" s="29" t="s">
        <v>32718</v>
      </c>
      <c r="E2555" s="29" t="s">
        <v>46008</v>
      </c>
      <c r="F2555" s="36" t="s">
        <v>54409</v>
      </c>
      <c r="G2555" s="39">
        <v>276038.84999999998</v>
      </c>
      <c r="H2555" s="42">
        <v>211</v>
      </c>
    </row>
    <row r="2556" spans="1:8" ht="15" customHeight="1">
      <c r="A2556" s="26">
        <v>23543705</v>
      </c>
      <c r="B2556" s="29" t="s">
        <v>4794</v>
      </c>
      <c r="C2556" s="29" t="s">
        <v>19539</v>
      </c>
      <c r="D2556" s="29" t="s">
        <v>32719</v>
      </c>
      <c r="E2556" s="29" t="s">
        <v>46009</v>
      </c>
      <c r="F2556" s="36" t="s">
        <v>54401</v>
      </c>
      <c r="G2556" s="39">
        <v>1500058.42</v>
      </c>
      <c r="H2556" s="42">
        <v>211</v>
      </c>
    </row>
    <row r="2557" spans="1:8" ht="15" customHeight="1">
      <c r="A2557" s="26">
        <v>23543711</v>
      </c>
      <c r="B2557" s="29" t="s">
        <v>4795</v>
      </c>
      <c r="C2557" s="26" t="s">
        <v>19540</v>
      </c>
      <c r="D2557" s="26" t="s">
        <v>32720</v>
      </c>
      <c r="E2557" s="26" t="s">
        <v>46010</v>
      </c>
      <c r="F2557" s="37" t="s">
        <v>54401</v>
      </c>
      <c r="G2557" s="39">
        <v>26672.26</v>
      </c>
      <c r="H2557" s="42">
        <v>211</v>
      </c>
    </row>
    <row r="2558" spans="1:8" ht="15" customHeight="1">
      <c r="A2558" s="26">
        <v>23543971</v>
      </c>
      <c r="B2558" s="29" t="s">
        <v>4796</v>
      </c>
      <c r="C2558" s="29" t="s">
        <v>19541</v>
      </c>
      <c r="D2558" s="29" t="s">
        <v>32721</v>
      </c>
      <c r="E2558" s="29" t="s">
        <v>46011</v>
      </c>
      <c r="F2558" s="36" t="s">
        <v>54401</v>
      </c>
      <c r="G2558" s="39">
        <v>865781.62</v>
      </c>
      <c r="H2558" s="42">
        <v>211</v>
      </c>
    </row>
    <row r="2559" spans="1:8" ht="15" customHeight="1">
      <c r="A2559" s="26">
        <v>23544075</v>
      </c>
      <c r="B2559" s="29" t="s">
        <v>4797</v>
      </c>
      <c r="C2559" s="29" t="s">
        <v>19542</v>
      </c>
      <c r="D2559" s="29" t="s">
        <v>32722</v>
      </c>
      <c r="E2559" s="29" t="s">
        <v>46012</v>
      </c>
      <c r="F2559" s="36" t="s">
        <v>54401</v>
      </c>
      <c r="G2559" s="39">
        <v>169324.1</v>
      </c>
      <c r="H2559" s="42">
        <v>211</v>
      </c>
    </row>
    <row r="2560" spans="1:8" ht="15" customHeight="1">
      <c r="A2560" s="26">
        <v>23544470</v>
      </c>
      <c r="B2560" s="29" t="s">
        <v>4798</v>
      </c>
      <c r="C2560" s="29" t="s">
        <v>19543</v>
      </c>
      <c r="D2560" s="29" t="s">
        <v>32723</v>
      </c>
      <c r="E2560" s="29" t="s">
        <v>46013</v>
      </c>
      <c r="F2560" s="36" t="s">
        <v>54401</v>
      </c>
      <c r="G2560" s="39">
        <v>32312.61</v>
      </c>
      <c r="H2560" s="42">
        <v>211</v>
      </c>
    </row>
    <row r="2561" spans="1:8" ht="15" customHeight="1">
      <c r="A2561" s="26">
        <v>23544633</v>
      </c>
      <c r="B2561" s="29" t="s">
        <v>4799</v>
      </c>
      <c r="C2561" s="29" t="s">
        <v>19544</v>
      </c>
      <c r="D2561" s="29" t="s">
        <v>32724</v>
      </c>
      <c r="E2561" s="29" t="s">
        <v>46014</v>
      </c>
      <c r="F2561" s="36" t="s">
        <v>54401</v>
      </c>
      <c r="G2561" s="39">
        <v>52742.14</v>
      </c>
      <c r="H2561" s="42">
        <v>211</v>
      </c>
    </row>
    <row r="2562" spans="1:8" ht="15" customHeight="1">
      <c r="A2562" s="26">
        <v>23544826</v>
      </c>
      <c r="B2562" s="29" t="s">
        <v>4800</v>
      </c>
      <c r="C2562" s="29" t="s">
        <v>19545</v>
      </c>
      <c r="D2562" s="29" t="s">
        <v>32725</v>
      </c>
      <c r="E2562" s="29" t="s">
        <v>46015</v>
      </c>
      <c r="F2562" s="36" t="s">
        <v>54401</v>
      </c>
      <c r="G2562" s="39">
        <v>67581.899999999994</v>
      </c>
      <c r="H2562" s="42">
        <v>211</v>
      </c>
    </row>
    <row r="2563" spans="1:8" ht="15" customHeight="1">
      <c r="A2563" s="26">
        <v>23545054</v>
      </c>
      <c r="B2563" s="29" t="s">
        <v>4801</v>
      </c>
      <c r="C2563" s="29" t="s">
        <v>19546</v>
      </c>
      <c r="D2563" s="29" t="s">
        <v>32726</v>
      </c>
      <c r="E2563" s="29" t="s">
        <v>46016</v>
      </c>
      <c r="F2563" s="36" t="s">
        <v>54401</v>
      </c>
      <c r="G2563" s="39">
        <v>143422.69</v>
      </c>
      <c r="H2563" s="42">
        <v>211</v>
      </c>
    </row>
    <row r="2564" spans="1:8" ht="15" customHeight="1">
      <c r="A2564" s="26">
        <v>23545436</v>
      </c>
      <c r="B2564" s="29" t="s">
        <v>4802</v>
      </c>
      <c r="C2564" s="29" t="s">
        <v>19547</v>
      </c>
      <c r="D2564" s="29" t="s">
        <v>32727</v>
      </c>
      <c r="E2564" s="29" t="s">
        <v>46017</v>
      </c>
      <c r="F2564" s="36" t="s">
        <v>54401</v>
      </c>
      <c r="G2564" s="39">
        <v>139656.32000000001</v>
      </c>
      <c r="H2564" s="42">
        <v>211</v>
      </c>
    </row>
    <row r="2565" spans="1:8" ht="15" customHeight="1">
      <c r="A2565" s="26">
        <v>23545441</v>
      </c>
      <c r="B2565" s="29" t="s">
        <v>4803</v>
      </c>
      <c r="C2565" s="29" t="s">
        <v>19548</v>
      </c>
      <c r="D2565" s="29" t="s">
        <v>32728</v>
      </c>
      <c r="E2565" s="29" t="s">
        <v>43926</v>
      </c>
      <c r="F2565" s="36" t="s">
        <v>54401</v>
      </c>
      <c r="G2565" s="39">
        <v>106578.56</v>
      </c>
      <c r="H2565" s="42">
        <v>211</v>
      </c>
    </row>
    <row r="2566" spans="1:8" ht="15" customHeight="1">
      <c r="A2566" s="26">
        <v>23545523</v>
      </c>
      <c r="B2566" s="29" t="s">
        <v>4804</v>
      </c>
      <c r="C2566" s="29" t="s">
        <v>19549</v>
      </c>
      <c r="D2566" s="29" t="s">
        <v>32729</v>
      </c>
      <c r="E2566" s="29" t="s">
        <v>46018</v>
      </c>
      <c r="F2566" s="36" t="s">
        <v>54401</v>
      </c>
      <c r="G2566" s="39">
        <v>538740.09</v>
      </c>
      <c r="H2566" s="42">
        <v>211</v>
      </c>
    </row>
    <row r="2567" spans="1:8" ht="15" customHeight="1">
      <c r="A2567" s="26">
        <v>23545604</v>
      </c>
      <c r="B2567" s="29" t="s">
        <v>4805</v>
      </c>
      <c r="C2567" s="29" t="s">
        <v>19550</v>
      </c>
      <c r="D2567" s="29" t="s">
        <v>32730</v>
      </c>
      <c r="E2567" s="29" t="s">
        <v>46019</v>
      </c>
      <c r="F2567" s="36" t="s">
        <v>54401</v>
      </c>
      <c r="G2567" s="39">
        <v>1854926.64</v>
      </c>
      <c r="H2567" s="42">
        <v>211</v>
      </c>
    </row>
    <row r="2568" spans="1:8" ht="15" customHeight="1">
      <c r="A2568" s="26">
        <v>23545708</v>
      </c>
      <c r="B2568" s="29" t="s">
        <v>4806</v>
      </c>
      <c r="C2568" s="29" t="s">
        <v>17204</v>
      </c>
      <c r="D2568" s="29" t="s">
        <v>32731</v>
      </c>
      <c r="E2568" s="29" t="s">
        <v>43926</v>
      </c>
      <c r="F2568" s="36" t="s">
        <v>54401</v>
      </c>
      <c r="G2568" s="39">
        <v>77173.72</v>
      </c>
      <c r="H2568" s="42">
        <v>211</v>
      </c>
    </row>
    <row r="2569" spans="1:8" ht="15" customHeight="1">
      <c r="A2569" s="26">
        <v>23546038</v>
      </c>
      <c r="B2569" s="29" t="s">
        <v>4807</v>
      </c>
      <c r="C2569" s="29" t="s">
        <v>17204</v>
      </c>
      <c r="D2569" s="29" t="s">
        <v>32732</v>
      </c>
      <c r="E2569" s="29" t="s">
        <v>43926</v>
      </c>
      <c r="F2569" s="36" t="s">
        <v>54401</v>
      </c>
      <c r="G2569" s="39">
        <v>593948.59</v>
      </c>
      <c r="H2569" s="42">
        <v>211</v>
      </c>
    </row>
    <row r="2570" spans="1:8" ht="15" customHeight="1">
      <c r="A2570" s="26">
        <v>23546057</v>
      </c>
      <c r="B2570" s="29" t="s">
        <v>4808</v>
      </c>
      <c r="C2570" s="29" t="s">
        <v>19551</v>
      </c>
      <c r="D2570" s="29" t="s">
        <v>32733</v>
      </c>
      <c r="E2570" s="29" t="s">
        <v>46020</v>
      </c>
      <c r="F2570" s="36" t="s">
        <v>54401</v>
      </c>
      <c r="G2570" s="39">
        <v>45896.55</v>
      </c>
      <c r="H2570" s="42">
        <v>211</v>
      </c>
    </row>
    <row r="2571" spans="1:8" ht="15" customHeight="1">
      <c r="A2571" s="26">
        <v>23546133</v>
      </c>
      <c r="B2571" s="29" t="s">
        <v>4809</v>
      </c>
      <c r="C2571" s="29" t="s">
        <v>19552</v>
      </c>
      <c r="D2571" s="29" t="s">
        <v>32734</v>
      </c>
      <c r="E2571" s="29" t="s">
        <v>46021</v>
      </c>
      <c r="F2571" s="36" t="s">
        <v>54401</v>
      </c>
      <c r="G2571" s="39">
        <v>253051.47</v>
      </c>
      <c r="H2571" s="42">
        <v>211</v>
      </c>
    </row>
    <row r="2572" spans="1:8" ht="15" customHeight="1">
      <c r="A2572" s="26">
        <v>23546285</v>
      </c>
      <c r="B2572" s="29" t="s">
        <v>4810</v>
      </c>
      <c r="C2572" s="29" t="s">
        <v>19553</v>
      </c>
      <c r="D2572" s="29" t="s">
        <v>32735</v>
      </c>
      <c r="E2572" s="29" t="s">
        <v>46022</v>
      </c>
      <c r="F2572" s="36" t="s">
        <v>54401</v>
      </c>
      <c r="G2572" s="39">
        <v>2444825.2599999998</v>
      </c>
      <c r="H2572" s="42">
        <v>211</v>
      </c>
    </row>
    <row r="2573" spans="1:8" ht="15" customHeight="1">
      <c r="A2573" s="26">
        <v>23546291</v>
      </c>
      <c r="B2573" s="29" t="s">
        <v>4811</v>
      </c>
      <c r="C2573" s="29" t="s">
        <v>19554</v>
      </c>
      <c r="D2573" s="29" t="s">
        <v>32736</v>
      </c>
      <c r="E2573" s="29" t="s">
        <v>46023</v>
      </c>
      <c r="F2573" s="36" t="s">
        <v>54429</v>
      </c>
      <c r="G2573" s="39">
        <v>262806.8</v>
      </c>
      <c r="H2573" s="42">
        <v>211</v>
      </c>
    </row>
    <row r="2574" spans="1:8" ht="15" customHeight="1">
      <c r="A2574" s="26">
        <v>23546430</v>
      </c>
      <c r="B2574" s="29" t="s">
        <v>4812</v>
      </c>
      <c r="C2574" s="29" t="s">
        <v>19555</v>
      </c>
      <c r="D2574" s="29" t="s">
        <v>32737</v>
      </c>
      <c r="E2574" s="29" t="s">
        <v>717</v>
      </c>
      <c r="F2574" s="36" t="s">
        <v>54401</v>
      </c>
      <c r="G2574" s="39">
        <v>739243.64</v>
      </c>
      <c r="H2574" s="42">
        <v>211</v>
      </c>
    </row>
    <row r="2575" spans="1:8" ht="15" customHeight="1">
      <c r="A2575" s="26">
        <v>23546446</v>
      </c>
      <c r="B2575" s="29" t="s">
        <v>4813</v>
      </c>
      <c r="C2575" s="29" t="s">
        <v>19556</v>
      </c>
      <c r="D2575" s="29" t="s">
        <v>32738</v>
      </c>
      <c r="E2575" s="29" t="s">
        <v>46024</v>
      </c>
      <c r="F2575" s="36" t="s">
        <v>54401</v>
      </c>
      <c r="G2575" s="39">
        <v>2893635.61</v>
      </c>
      <c r="H2575" s="42">
        <v>211</v>
      </c>
    </row>
    <row r="2576" spans="1:8" ht="15" customHeight="1">
      <c r="A2576" s="26">
        <v>23546922</v>
      </c>
      <c r="B2576" s="29" t="s">
        <v>4814</v>
      </c>
      <c r="C2576" s="29" t="s">
        <v>17204</v>
      </c>
      <c r="D2576" s="29" t="s">
        <v>32739</v>
      </c>
      <c r="E2576" s="29" t="s">
        <v>46025</v>
      </c>
      <c r="F2576" s="36" t="s">
        <v>54401</v>
      </c>
      <c r="G2576" s="39">
        <v>81869.09</v>
      </c>
      <c r="H2576" s="42">
        <v>211</v>
      </c>
    </row>
    <row r="2577" spans="1:8" ht="15" customHeight="1">
      <c r="A2577" s="26">
        <v>23546959</v>
      </c>
      <c r="B2577" s="29" t="s">
        <v>4815</v>
      </c>
      <c r="C2577" s="29" t="s">
        <v>19557</v>
      </c>
      <c r="D2577" s="29" t="s">
        <v>32740</v>
      </c>
      <c r="E2577" s="29" t="s">
        <v>46026</v>
      </c>
      <c r="F2577" s="36" t="s">
        <v>54401</v>
      </c>
      <c r="G2577" s="39">
        <f>2589631.56-6655</f>
        <v>2582976.56</v>
      </c>
      <c r="H2577" s="42">
        <v>211</v>
      </c>
    </row>
    <row r="2578" spans="1:8" ht="15" customHeight="1">
      <c r="A2578" s="26">
        <v>23547043</v>
      </c>
      <c r="B2578" s="29" t="s">
        <v>4816</v>
      </c>
      <c r="C2578" s="29" t="s">
        <v>19558</v>
      </c>
      <c r="D2578" s="29" t="s">
        <v>32741</v>
      </c>
      <c r="E2578" s="29" t="s">
        <v>46027</v>
      </c>
      <c r="F2578" s="36" t="s">
        <v>54401</v>
      </c>
      <c r="G2578" s="39">
        <v>19573.7</v>
      </c>
      <c r="H2578" s="42">
        <v>211</v>
      </c>
    </row>
    <row r="2579" spans="1:8" ht="15" customHeight="1">
      <c r="A2579" s="26">
        <v>23547148</v>
      </c>
      <c r="B2579" s="29" t="s">
        <v>4817</v>
      </c>
      <c r="C2579" s="29" t="s">
        <v>19559</v>
      </c>
      <c r="D2579" s="29" t="s">
        <v>32742</v>
      </c>
      <c r="E2579" s="29" t="s">
        <v>43926</v>
      </c>
      <c r="F2579" s="36" t="s">
        <v>54401</v>
      </c>
      <c r="G2579" s="39">
        <v>561074.23</v>
      </c>
      <c r="H2579" s="42">
        <v>211</v>
      </c>
    </row>
    <row r="2580" spans="1:8" ht="15" customHeight="1">
      <c r="A2580" s="26">
        <v>23547303</v>
      </c>
      <c r="B2580" s="29" t="s">
        <v>4818</v>
      </c>
      <c r="C2580" s="29" t="s">
        <v>19560</v>
      </c>
      <c r="D2580" s="29" t="s">
        <v>32743</v>
      </c>
      <c r="E2580" s="29" t="s">
        <v>46028</v>
      </c>
      <c r="F2580" s="36" t="s">
        <v>54414</v>
      </c>
      <c r="G2580" s="39">
        <v>3663279.84</v>
      </c>
      <c r="H2580" s="42">
        <v>211</v>
      </c>
    </row>
    <row r="2581" spans="1:8" ht="15" customHeight="1">
      <c r="A2581" s="26">
        <v>23547343</v>
      </c>
      <c r="B2581" s="29" t="s">
        <v>4819</v>
      </c>
      <c r="C2581" s="29" t="s">
        <v>19561</v>
      </c>
      <c r="D2581" s="29" t="s">
        <v>32744</v>
      </c>
      <c r="E2581" s="29" t="s">
        <v>46029</v>
      </c>
      <c r="F2581" s="36" t="s">
        <v>54401</v>
      </c>
      <c r="G2581" s="39">
        <f>434300.45+490574</f>
        <v>924874.45</v>
      </c>
      <c r="H2581" s="42">
        <v>211</v>
      </c>
    </row>
    <row r="2582" spans="1:8" ht="15" customHeight="1">
      <c r="A2582" s="26">
        <v>23547366</v>
      </c>
      <c r="B2582" s="29" t="s">
        <v>4820</v>
      </c>
      <c r="C2582" s="29" t="s">
        <v>19562</v>
      </c>
      <c r="D2582" s="29" t="s">
        <v>32745</v>
      </c>
      <c r="E2582" s="29" t="s">
        <v>46030</v>
      </c>
      <c r="F2582" s="36" t="s">
        <v>54401</v>
      </c>
      <c r="G2582" s="39">
        <v>229414.36</v>
      </c>
      <c r="H2582" s="42">
        <v>211</v>
      </c>
    </row>
    <row r="2583" spans="1:8" ht="15" customHeight="1">
      <c r="A2583" s="26">
        <v>23547396</v>
      </c>
      <c r="B2583" s="29" t="s">
        <v>4821</v>
      </c>
      <c r="C2583" s="29" t="s">
        <v>19563</v>
      </c>
      <c r="D2583" s="29" t="s">
        <v>32746</v>
      </c>
      <c r="E2583" s="29" t="s">
        <v>46031</v>
      </c>
      <c r="F2583" s="36" t="s">
        <v>54401</v>
      </c>
      <c r="G2583" s="39">
        <v>930948.94</v>
      </c>
      <c r="H2583" s="42">
        <v>211</v>
      </c>
    </row>
    <row r="2584" spans="1:8" ht="15" customHeight="1">
      <c r="A2584" s="26">
        <v>23547406</v>
      </c>
      <c r="B2584" s="29" t="s">
        <v>4822</v>
      </c>
      <c r="C2584" s="29" t="s">
        <v>19564</v>
      </c>
      <c r="D2584" s="29" t="s">
        <v>30512</v>
      </c>
      <c r="E2584" s="29" t="s">
        <v>46032</v>
      </c>
      <c r="F2584" s="36" t="s">
        <v>54401</v>
      </c>
      <c r="G2584" s="39">
        <v>122622.3</v>
      </c>
      <c r="H2584" s="42">
        <v>211</v>
      </c>
    </row>
    <row r="2585" spans="1:8" ht="15" customHeight="1">
      <c r="A2585" s="26">
        <v>23547592</v>
      </c>
      <c r="B2585" s="29" t="s">
        <v>4823</v>
      </c>
      <c r="C2585" s="29" t="s">
        <v>19565</v>
      </c>
      <c r="D2585" s="29" t="s">
        <v>32747</v>
      </c>
      <c r="E2585" s="29" t="s">
        <v>46033</v>
      </c>
      <c r="F2585" s="36" t="s">
        <v>54401</v>
      </c>
      <c r="G2585" s="39">
        <v>201160.88</v>
      </c>
      <c r="H2585" s="42">
        <v>211</v>
      </c>
    </row>
    <row r="2586" spans="1:8" ht="15" customHeight="1">
      <c r="A2586" s="26">
        <v>23547744</v>
      </c>
      <c r="B2586" s="29" t="s">
        <v>4824</v>
      </c>
      <c r="C2586" s="29" t="s">
        <v>19566</v>
      </c>
      <c r="D2586" s="29" t="s">
        <v>32748</v>
      </c>
      <c r="E2586" s="29" t="s">
        <v>46034</v>
      </c>
      <c r="F2586" s="36" t="s">
        <v>54401</v>
      </c>
      <c r="G2586" s="39">
        <v>163743.94</v>
      </c>
      <c r="H2586" s="42">
        <v>211</v>
      </c>
    </row>
    <row r="2587" spans="1:8" ht="15" customHeight="1">
      <c r="A2587" s="26">
        <v>23547831</v>
      </c>
      <c r="B2587" s="29" t="s">
        <v>4825</v>
      </c>
      <c r="C2587" s="29" t="s">
        <v>19567</v>
      </c>
      <c r="D2587" s="29" t="s">
        <v>32749</v>
      </c>
      <c r="E2587" s="29" t="s">
        <v>44815</v>
      </c>
      <c r="F2587" s="36" t="s">
        <v>54401</v>
      </c>
      <c r="G2587" s="39">
        <v>33419.17</v>
      </c>
      <c r="H2587" s="42">
        <v>211</v>
      </c>
    </row>
    <row r="2588" spans="1:8" ht="15" customHeight="1">
      <c r="A2588" s="26">
        <v>23547867</v>
      </c>
      <c r="B2588" s="29" t="s">
        <v>4826</v>
      </c>
      <c r="C2588" s="29" t="s">
        <v>19568</v>
      </c>
      <c r="D2588" s="29" t="s">
        <v>32750</v>
      </c>
      <c r="E2588" s="29" t="s">
        <v>46035</v>
      </c>
      <c r="F2588" s="36" t="s">
        <v>54401</v>
      </c>
      <c r="G2588" s="39">
        <v>356485.2</v>
      </c>
      <c r="H2588" s="42">
        <v>211</v>
      </c>
    </row>
    <row r="2589" spans="1:8" ht="15" customHeight="1">
      <c r="A2589" s="26">
        <v>23547886</v>
      </c>
      <c r="B2589" s="29" t="s">
        <v>4827</v>
      </c>
      <c r="C2589" s="26" t="s">
        <v>19569</v>
      </c>
      <c r="D2589" s="26" t="s">
        <v>32751</v>
      </c>
      <c r="E2589" s="26" t="s">
        <v>46036</v>
      </c>
      <c r="F2589" s="37" t="s">
        <v>54401</v>
      </c>
      <c r="G2589" s="39">
        <v>35361.769999999997</v>
      </c>
      <c r="H2589" s="42">
        <v>211</v>
      </c>
    </row>
    <row r="2590" spans="1:8" ht="15" customHeight="1">
      <c r="A2590" s="26">
        <v>23547927</v>
      </c>
      <c r="B2590" s="29" t="s">
        <v>4828</v>
      </c>
      <c r="C2590" s="29" t="s">
        <v>19570</v>
      </c>
      <c r="D2590" s="29" t="s">
        <v>32752</v>
      </c>
      <c r="E2590" s="29" t="s">
        <v>46037</v>
      </c>
      <c r="F2590" s="36" t="s">
        <v>54401</v>
      </c>
      <c r="G2590" s="39">
        <v>13943.42</v>
      </c>
      <c r="H2590" s="42">
        <v>211</v>
      </c>
    </row>
    <row r="2591" spans="1:8" ht="15" customHeight="1">
      <c r="A2591" s="26">
        <v>23548056</v>
      </c>
      <c r="B2591" s="29" t="s">
        <v>4829</v>
      </c>
      <c r="C2591" s="29" t="s">
        <v>19571</v>
      </c>
      <c r="D2591" s="29" t="s">
        <v>32753</v>
      </c>
      <c r="E2591" s="29" t="s">
        <v>46038</v>
      </c>
      <c r="F2591" s="36" t="s">
        <v>54401</v>
      </c>
      <c r="G2591" s="39">
        <v>745846.74</v>
      </c>
      <c r="H2591" s="42">
        <v>211</v>
      </c>
    </row>
    <row r="2592" spans="1:8" ht="15" customHeight="1">
      <c r="A2592" s="26">
        <v>23548113</v>
      </c>
      <c r="B2592" s="29" t="s">
        <v>4830</v>
      </c>
      <c r="C2592" s="29" t="s">
        <v>19572</v>
      </c>
      <c r="D2592" s="29" t="s">
        <v>32754</v>
      </c>
      <c r="E2592" s="29" t="s">
        <v>45575</v>
      </c>
      <c r="F2592" s="36" t="s">
        <v>54401</v>
      </c>
      <c r="G2592" s="39">
        <v>969497.7</v>
      </c>
      <c r="H2592" s="42">
        <v>211</v>
      </c>
    </row>
    <row r="2593" spans="1:8" ht="15" customHeight="1">
      <c r="A2593" s="26">
        <v>23548283</v>
      </c>
      <c r="B2593" s="29" t="s">
        <v>4831</v>
      </c>
      <c r="C2593" s="29" t="s">
        <v>19573</v>
      </c>
      <c r="D2593" s="29" t="s">
        <v>32755</v>
      </c>
      <c r="E2593" s="29" t="s">
        <v>46039</v>
      </c>
      <c r="F2593" s="36" t="s">
        <v>54401</v>
      </c>
      <c r="G2593" s="39">
        <v>11596.64</v>
      </c>
      <c r="H2593" s="42">
        <v>211</v>
      </c>
    </row>
    <row r="2594" spans="1:8" ht="15" customHeight="1">
      <c r="A2594" s="26">
        <v>23548402</v>
      </c>
      <c r="B2594" s="29" t="s">
        <v>4832</v>
      </c>
      <c r="C2594" s="29" t="s">
        <v>19574</v>
      </c>
      <c r="D2594" s="29" t="s">
        <v>30349</v>
      </c>
      <c r="E2594" s="29" t="s">
        <v>46040</v>
      </c>
      <c r="F2594" s="36" t="s">
        <v>54401</v>
      </c>
      <c r="G2594" s="39">
        <v>247808.16</v>
      </c>
      <c r="H2594" s="42">
        <v>211</v>
      </c>
    </row>
    <row r="2595" spans="1:8" ht="15" customHeight="1">
      <c r="A2595" s="26">
        <v>23548471</v>
      </c>
      <c r="B2595" s="29" t="s">
        <v>4833</v>
      </c>
      <c r="C2595" s="29" t="s">
        <v>19575</v>
      </c>
      <c r="D2595" s="29" t="s">
        <v>32756</v>
      </c>
      <c r="E2595" s="29" t="s">
        <v>46041</v>
      </c>
      <c r="F2595" s="36" t="s">
        <v>54401</v>
      </c>
      <c r="G2595" s="39">
        <f>864122.19+147246</f>
        <v>1011368.19</v>
      </c>
      <c r="H2595" s="42">
        <v>211</v>
      </c>
    </row>
    <row r="2596" spans="1:8" ht="15" customHeight="1">
      <c r="A2596" s="26">
        <v>23548576</v>
      </c>
      <c r="B2596" s="29" t="s">
        <v>4834</v>
      </c>
      <c r="C2596" s="29" t="s">
        <v>17204</v>
      </c>
      <c r="D2596" s="29" t="s">
        <v>32757</v>
      </c>
      <c r="E2596" s="29" t="s">
        <v>43926</v>
      </c>
      <c r="F2596" s="36" t="s">
        <v>54401</v>
      </c>
      <c r="G2596" s="39">
        <v>226689.76</v>
      </c>
      <c r="H2596" s="42">
        <v>211</v>
      </c>
    </row>
    <row r="2597" spans="1:8" ht="15" customHeight="1">
      <c r="A2597" s="26">
        <v>23548653</v>
      </c>
      <c r="B2597" s="29" t="s">
        <v>4835</v>
      </c>
      <c r="C2597" s="29" t="s">
        <v>19576</v>
      </c>
      <c r="D2597" s="29" t="s">
        <v>32758</v>
      </c>
      <c r="E2597" s="29" t="s">
        <v>46042</v>
      </c>
      <c r="F2597" s="36" t="s">
        <v>54401</v>
      </c>
      <c r="G2597" s="39">
        <v>124798.49</v>
      </c>
      <c r="H2597" s="42">
        <v>211</v>
      </c>
    </row>
    <row r="2598" spans="1:8" ht="15" customHeight="1">
      <c r="A2598" s="26">
        <v>23548853</v>
      </c>
      <c r="B2598" s="29" t="s">
        <v>4836</v>
      </c>
      <c r="C2598" s="29" t="s">
        <v>19577</v>
      </c>
      <c r="D2598" s="29" t="s">
        <v>32759</v>
      </c>
      <c r="E2598" s="29" t="s">
        <v>46043</v>
      </c>
      <c r="F2598" s="36" t="s">
        <v>54401</v>
      </c>
      <c r="G2598" s="39">
        <f>1215611.37+23975</f>
        <v>1239586.3700000001</v>
      </c>
      <c r="H2598" s="42">
        <v>211</v>
      </c>
    </row>
    <row r="2599" spans="1:8" ht="15" customHeight="1">
      <c r="A2599" s="26">
        <v>23548890</v>
      </c>
      <c r="B2599" s="29" t="s">
        <v>4837</v>
      </c>
      <c r="C2599" s="29" t="s">
        <v>19578</v>
      </c>
      <c r="D2599" s="29" t="s">
        <v>32760</v>
      </c>
      <c r="E2599" s="29" t="s">
        <v>46044</v>
      </c>
      <c r="F2599" s="36" t="s">
        <v>54401</v>
      </c>
      <c r="G2599" s="39">
        <v>383781.53</v>
      </c>
      <c r="H2599" s="42">
        <v>211</v>
      </c>
    </row>
    <row r="2600" spans="1:8" ht="15" customHeight="1">
      <c r="A2600" s="26">
        <v>23548899</v>
      </c>
      <c r="B2600" s="29" t="s">
        <v>4838</v>
      </c>
      <c r="C2600" s="29" t="s">
        <v>19579</v>
      </c>
      <c r="D2600" s="29" t="s">
        <v>32761</v>
      </c>
      <c r="E2600" s="29" t="s">
        <v>46045</v>
      </c>
      <c r="F2600" s="36" t="s">
        <v>54401</v>
      </c>
      <c r="G2600" s="39">
        <f>2230380.57+40267</f>
        <v>2270647.5699999998</v>
      </c>
      <c r="H2600" s="42">
        <v>211</v>
      </c>
    </row>
    <row r="2601" spans="1:8" ht="15" customHeight="1">
      <c r="A2601" s="26">
        <v>23548997</v>
      </c>
      <c r="B2601" s="29" t="s">
        <v>4839</v>
      </c>
      <c r="C2601" s="29" t="s">
        <v>19580</v>
      </c>
      <c r="D2601" s="29" t="s">
        <v>32762</v>
      </c>
      <c r="E2601" s="29" t="s">
        <v>46046</v>
      </c>
      <c r="F2601" s="36" t="s">
        <v>54401</v>
      </c>
      <c r="G2601" s="39">
        <v>36714.29</v>
      </c>
      <c r="H2601" s="42">
        <v>211</v>
      </c>
    </row>
    <row r="2602" spans="1:8" ht="15" customHeight="1">
      <c r="A2602" s="26">
        <v>23549062</v>
      </c>
      <c r="B2602" s="29" t="s">
        <v>4840</v>
      </c>
      <c r="C2602" s="29" t="s">
        <v>17204</v>
      </c>
      <c r="D2602" s="29" t="s">
        <v>32763</v>
      </c>
      <c r="E2602" s="29" t="s">
        <v>43926</v>
      </c>
      <c r="F2602" s="36" t="s">
        <v>54401</v>
      </c>
      <c r="G2602" s="39">
        <v>49684.2</v>
      </c>
      <c r="H2602" s="42">
        <v>211</v>
      </c>
    </row>
    <row r="2603" spans="1:8" ht="15" customHeight="1">
      <c r="A2603" s="26">
        <v>23549159</v>
      </c>
      <c r="B2603" s="29" t="s">
        <v>4841</v>
      </c>
      <c r="C2603" s="29" t="s">
        <v>19581</v>
      </c>
      <c r="D2603" s="29" t="s">
        <v>32764</v>
      </c>
      <c r="E2603" s="29" t="s">
        <v>46047</v>
      </c>
      <c r="F2603" s="36" t="s">
        <v>54401</v>
      </c>
      <c r="G2603" s="39">
        <v>509827.31</v>
      </c>
      <c r="H2603" s="42">
        <v>211</v>
      </c>
    </row>
    <row r="2604" spans="1:8" ht="15" customHeight="1">
      <c r="A2604" s="26">
        <v>23549215</v>
      </c>
      <c r="B2604" s="29" t="s">
        <v>4842</v>
      </c>
      <c r="C2604" s="29" t="s">
        <v>17204</v>
      </c>
      <c r="D2604" s="29" t="s">
        <v>32765</v>
      </c>
      <c r="E2604" s="29" t="s">
        <v>43926</v>
      </c>
      <c r="F2604" s="36" t="s">
        <v>54401</v>
      </c>
      <c r="G2604" s="39">
        <v>44448.95</v>
      </c>
      <c r="H2604" s="42">
        <v>211</v>
      </c>
    </row>
    <row r="2605" spans="1:8" ht="15" customHeight="1">
      <c r="A2605" s="26">
        <v>23549444</v>
      </c>
      <c r="B2605" s="29" t="s">
        <v>4843</v>
      </c>
      <c r="C2605" s="29" t="s">
        <v>19582</v>
      </c>
      <c r="D2605" s="29" t="s">
        <v>32766</v>
      </c>
      <c r="E2605" s="29" t="s">
        <v>46048</v>
      </c>
      <c r="F2605" s="36" t="s">
        <v>54401</v>
      </c>
      <c r="G2605" s="39">
        <v>81344.55</v>
      </c>
      <c r="H2605" s="42">
        <v>211</v>
      </c>
    </row>
    <row r="2606" spans="1:8" ht="15" customHeight="1">
      <c r="A2606" s="26">
        <v>23549463</v>
      </c>
      <c r="B2606" s="29" t="s">
        <v>4844</v>
      </c>
      <c r="C2606" s="29" t="s">
        <v>19583</v>
      </c>
      <c r="D2606" s="29" t="s">
        <v>32767</v>
      </c>
      <c r="E2606" s="29" t="s">
        <v>43926</v>
      </c>
      <c r="F2606" s="36" t="s">
        <v>54401</v>
      </c>
      <c r="G2606" s="39">
        <f>756267.31+418140</f>
        <v>1174407.31</v>
      </c>
      <c r="H2606" s="42">
        <v>211</v>
      </c>
    </row>
    <row r="2607" spans="1:8" ht="15" customHeight="1">
      <c r="A2607" s="26">
        <v>23549495</v>
      </c>
      <c r="B2607" s="29" t="s">
        <v>4845</v>
      </c>
      <c r="C2607" s="29" t="s">
        <v>17204</v>
      </c>
      <c r="D2607" s="29" t="s">
        <v>30349</v>
      </c>
      <c r="E2607" s="29" t="s">
        <v>43926</v>
      </c>
      <c r="F2607" s="36" t="s">
        <v>54401</v>
      </c>
      <c r="G2607" s="39">
        <v>275735.57</v>
      </c>
      <c r="H2607" s="42">
        <v>211</v>
      </c>
    </row>
    <row r="2608" spans="1:8" ht="15" customHeight="1">
      <c r="A2608" s="26">
        <v>23549528</v>
      </c>
      <c r="B2608" s="29" t="s">
        <v>4846</v>
      </c>
      <c r="C2608" s="29" t="s">
        <v>17204</v>
      </c>
      <c r="D2608" s="29" t="s">
        <v>32768</v>
      </c>
      <c r="E2608" s="29" t="s">
        <v>46049</v>
      </c>
      <c r="F2608" s="36" t="s">
        <v>54401</v>
      </c>
      <c r="G2608" s="39">
        <v>356995.87</v>
      </c>
      <c r="H2608" s="42">
        <v>211</v>
      </c>
    </row>
    <row r="2609" spans="1:8" ht="15" customHeight="1">
      <c r="A2609" s="26">
        <v>23549549</v>
      </c>
      <c r="B2609" s="29" t="s">
        <v>4847</v>
      </c>
      <c r="C2609" s="29" t="s">
        <v>19584</v>
      </c>
      <c r="D2609" s="29" t="s">
        <v>32769</v>
      </c>
      <c r="E2609" s="29" t="s">
        <v>46050</v>
      </c>
      <c r="F2609" s="36" t="s">
        <v>54401</v>
      </c>
      <c r="G2609" s="39">
        <v>485138.74</v>
      </c>
      <c r="H2609" s="42">
        <v>211</v>
      </c>
    </row>
    <row r="2610" spans="1:8" ht="15" customHeight="1">
      <c r="A2610" s="26">
        <v>23549590</v>
      </c>
      <c r="B2610" s="29" t="s">
        <v>4848</v>
      </c>
      <c r="C2610" s="29" t="s">
        <v>19585</v>
      </c>
      <c r="D2610" s="29" t="s">
        <v>30349</v>
      </c>
      <c r="E2610" s="29" t="s">
        <v>46051</v>
      </c>
      <c r="F2610" s="36" t="s">
        <v>54401</v>
      </c>
      <c r="G2610" s="39">
        <v>1388137.3</v>
      </c>
      <c r="H2610" s="42">
        <v>211</v>
      </c>
    </row>
    <row r="2611" spans="1:8" ht="15" customHeight="1">
      <c r="A2611" s="26">
        <v>23549667</v>
      </c>
      <c r="B2611" s="29" t="s">
        <v>4849</v>
      </c>
      <c r="C2611" s="29" t="s">
        <v>19586</v>
      </c>
      <c r="D2611" s="29" t="s">
        <v>32770</v>
      </c>
      <c r="E2611" s="29" t="s">
        <v>43926</v>
      </c>
      <c r="F2611" s="36" t="s">
        <v>54401</v>
      </c>
      <c r="G2611" s="39">
        <v>164578.81</v>
      </c>
      <c r="H2611" s="42">
        <v>211</v>
      </c>
    </row>
    <row r="2612" spans="1:8" ht="15" customHeight="1">
      <c r="A2612" s="26">
        <v>23549827</v>
      </c>
      <c r="B2612" s="29" t="s">
        <v>4850</v>
      </c>
      <c r="C2612" s="29" t="s">
        <v>19587</v>
      </c>
      <c r="D2612" s="29" t="s">
        <v>32771</v>
      </c>
      <c r="E2612" s="29" t="s">
        <v>46052</v>
      </c>
      <c r="F2612" s="36" t="s">
        <v>54401</v>
      </c>
      <c r="G2612" s="39">
        <v>8986818.3800000008</v>
      </c>
      <c r="H2612" s="42">
        <v>211</v>
      </c>
    </row>
    <row r="2613" spans="1:8" ht="15" customHeight="1">
      <c r="A2613" s="26">
        <v>23549828</v>
      </c>
      <c r="B2613" s="29" t="s">
        <v>4851</v>
      </c>
      <c r="C2613" s="29" t="s">
        <v>19588</v>
      </c>
      <c r="D2613" s="29" t="s">
        <v>32772</v>
      </c>
      <c r="E2613" s="29" t="s">
        <v>46053</v>
      </c>
      <c r="F2613" s="36" t="s">
        <v>54401</v>
      </c>
      <c r="G2613" s="39">
        <v>507327.8</v>
      </c>
      <c r="H2613" s="42">
        <v>211</v>
      </c>
    </row>
    <row r="2614" spans="1:8" ht="15" customHeight="1">
      <c r="A2614" s="26">
        <v>23549834</v>
      </c>
      <c r="B2614" s="29" t="s">
        <v>4852</v>
      </c>
      <c r="C2614" s="29" t="s">
        <v>19589</v>
      </c>
      <c r="D2614" s="29" t="s">
        <v>32773</v>
      </c>
      <c r="E2614" s="29" t="s">
        <v>46054</v>
      </c>
      <c r="F2614" s="36" t="s">
        <v>54401</v>
      </c>
      <c r="G2614" s="39">
        <v>596296.62</v>
      </c>
      <c r="H2614" s="42">
        <v>211</v>
      </c>
    </row>
    <row r="2615" spans="1:8" ht="15" customHeight="1">
      <c r="A2615" s="26">
        <v>23549844</v>
      </c>
      <c r="B2615" s="29" t="s">
        <v>4853</v>
      </c>
      <c r="C2615" s="29" t="s">
        <v>19590</v>
      </c>
      <c r="D2615" s="29" t="s">
        <v>32774</v>
      </c>
      <c r="E2615" s="29" t="s">
        <v>46055</v>
      </c>
      <c r="F2615" s="36" t="s">
        <v>54401</v>
      </c>
      <c r="G2615" s="39">
        <v>391914.76</v>
      </c>
      <c r="H2615" s="42">
        <v>211</v>
      </c>
    </row>
    <row r="2616" spans="1:8" ht="15" customHeight="1">
      <c r="A2616" s="26">
        <v>23549859</v>
      </c>
      <c r="B2616" s="29" t="s">
        <v>4854</v>
      </c>
      <c r="C2616" s="29" t="s">
        <v>19591</v>
      </c>
      <c r="D2616" s="29" t="s">
        <v>32775</v>
      </c>
      <c r="E2616" s="29" t="s">
        <v>46056</v>
      </c>
      <c r="F2616" s="36" t="s">
        <v>54401</v>
      </c>
      <c r="G2616" s="39">
        <f>2329122.66+161064</f>
        <v>2490186.66</v>
      </c>
      <c r="H2616" s="42">
        <v>211</v>
      </c>
    </row>
    <row r="2617" spans="1:8" ht="15" customHeight="1">
      <c r="A2617" s="26">
        <v>23549881</v>
      </c>
      <c r="B2617" s="29" t="s">
        <v>4855</v>
      </c>
      <c r="C2617" s="29" t="s">
        <v>19592</v>
      </c>
      <c r="D2617" s="29" t="s">
        <v>32776</v>
      </c>
      <c r="E2617" s="29" t="s">
        <v>46057</v>
      </c>
      <c r="F2617" s="36" t="s">
        <v>54401</v>
      </c>
      <c r="G2617" s="39">
        <v>226561.69</v>
      </c>
      <c r="H2617" s="42">
        <v>211</v>
      </c>
    </row>
    <row r="2618" spans="1:8" ht="15" customHeight="1">
      <c r="A2618" s="26">
        <v>23549903</v>
      </c>
      <c r="B2618" s="29" t="s">
        <v>4856</v>
      </c>
      <c r="C2618" s="29" t="s">
        <v>19593</v>
      </c>
      <c r="D2618" s="29" t="s">
        <v>32777</v>
      </c>
      <c r="E2618" s="29" t="s">
        <v>46058</v>
      </c>
      <c r="F2618" s="36" t="s">
        <v>54401</v>
      </c>
      <c r="G2618" s="39">
        <v>465722.07</v>
      </c>
      <c r="H2618" s="42">
        <v>211</v>
      </c>
    </row>
    <row r="2619" spans="1:8" ht="15" customHeight="1">
      <c r="A2619" s="26">
        <v>23549949</v>
      </c>
      <c r="B2619" s="29" t="s">
        <v>4857</v>
      </c>
      <c r="C2619" s="29" t="s">
        <v>19594</v>
      </c>
      <c r="D2619" s="29" t="s">
        <v>32778</v>
      </c>
      <c r="E2619" s="29" t="s">
        <v>46059</v>
      </c>
      <c r="F2619" s="36" t="s">
        <v>54401</v>
      </c>
      <c r="G2619" s="39">
        <v>370220.78</v>
      </c>
      <c r="H2619" s="42">
        <v>211</v>
      </c>
    </row>
    <row r="2620" spans="1:8" ht="15" customHeight="1">
      <c r="A2620" s="26">
        <v>23549990</v>
      </c>
      <c r="B2620" s="29" t="s">
        <v>4858</v>
      </c>
      <c r="C2620" s="26" t="s">
        <v>19595</v>
      </c>
      <c r="D2620" s="26" t="s">
        <v>32779</v>
      </c>
      <c r="E2620" s="26" t="s">
        <v>46060</v>
      </c>
      <c r="F2620" s="37" t="s">
        <v>54401</v>
      </c>
      <c r="G2620" s="39">
        <v>33647.69</v>
      </c>
      <c r="H2620" s="42">
        <v>211</v>
      </c>
    </row>
    <row r="2621" spans="1:8" ht="15" customHeight="1">
      <c r="A2621" s="26">
        <v>23550000</v>
      </c>
      <c r="B2621" s="29" t="s">
        <v>4859</v>
      </c>
      <c r="C2621" s="29" t="s">
        <v>19596</v>
      </c>
      <c r="D2621" s="29" t="s">
        <v>32780</v>
      </c>
      <c r="E2621" s="29" t="s">
        <v>46061</v>
      </c>
      <c r="F2621" s="36" t="s">
        <v>54401</v>
      </c>
      <c r="G2621" s="39">
        <f>1940417.36+80768</f>
        <v>2021185.36</v>
      </c>
      <c r="H2621" s="42">
        <v>211</v>
      </c>
    </row>
    <row r="2622" spans="1:8" ht="15" customHeight="1">
      <c r="A2622" s="26">
        <v>23550005</v>
      </c>
      <c r="B2622" s="29" t="s">
        <v>4860</v>
      </c>
      <c r="C2622" s="29" t="s">
        <v>17204</v>
      </c>
      <c r="D2622" s="29" t="s">
        <v>32781</v>
      </c>
      <c r="E2622" s="29" t="s">
        <v>43926</v>
      </c>
      <c r="F2622" s="36" t="s">
        <v>54401</v>
      </c>
      <c r="G2622" s="39">
        <v>296842.06</v>
      </c>
      <c r="H2622" s="42">
        <v>211</v>
      </c>
    </row>
    <row r="2623" spans="1:8" ht="15" customHeight="1">
      <c r="A2623" s="26">
        <v>23550200</v>
      </c>
      <c r="B2623" s="29" t="s">
        <v>4861</v>
      </c>
      <c r="C2623" s="29" t="s">
        <v>19597</v>
      </c>
      <c r="D2623" s="29" t="s">
        <v>32782</v>
      </c>
      <c r="E2623" s="29" t="s">
        <v>45369</v>
      </c>
      <c r="F2623" s="36" t="s">
        <v>54401</v>
      </c>
      <c r="G2623" s="39">
        <f>550705.21+176546</f>
        <v>727251.21</v>
      </c>
      <c r="H2623" s="42">
        <v>211</v>
      </c>
    </row>
    <row r="2624" spans="1:8" ht="15" customHeight="1">
      <c r="A2624" s="26">
        <v>23550209</v>
      </c>
      <c r="B2624" s="29" t="s">
        <v>4862</v>
      </c>
      <c r="C2624" s="29" t="s">
        <v>19598</v>
      </c>
      <c r="D2624" s="29" t="s">
        <v>32783</v>
      </c>
      <c r="E2624" s="29" t="s">
        <v>46062</v>
      </c>
      <c r="F2624" s="36" t="s">
        <v>54401</v>
      </c>
      <c r="G2624" s="39">
        <f>775758.08+61772</f>
        <v>837530.08</v>
      </c>
      <c r="H2624" s="42">
        <v>211</v>
      </c>
    </row>
    <row r="2625" spans="1:8" ht="15" customHeight="1">
      <c r="A2625" s="26">
        <v>23550254</v>
      </c>
      <c r="B2625" s="29" t="s">
        <v>4863</v>
      </c>
      <c r="C2625" s="29" t="s">
        <v>17204</v>
      </c>
      <c r="D2625" s="29" t="s">
        <v>32784</v>
      </c>
      <c r="E2625" s="29" t="s">
        <v>46063</v>
      </c>
      <c r="F2625" s="36" t="s">
        <v>54401</v>
      </c>
      <c r="G2625" s="39">
        <v>430135.34</v>
      </c>
      <c r="H2625" s="42">
        <v>211</v>
      </c>
    </row>
    <row r="2626" spans="1:8" ht="15" customHeight="1">
      <c r="A2626" s="26">
        <v>23550291</v>
      </c>
      <c r="B2626" s="29" t="s">
        <v>4864</v>
      </c>
      <c r="C2626" s="29" t="s">
        <v>19599</v>
      </c>
      <c r="D2626" s="29" t="s">
        <v>32785</v>
      </c>
      <c r="E2626" s="29" t="s">
        <v>46064</v>
      </c>
      <c r="F2626" s="36" t="s">
        <v>54401</v>
      </c>
      <c r="G2626" s="39">
        <f>1218918.75+190869-9344</f>
        <v>1400443.75</v>
      </c>
      <c r="H2626" s="42">
        <v>211</v>
      </c>
    </row>
    <row r="2627" spans="1:8" ht="15" customHeight="1">
      <c r="A2627" s="26">
        <v>23550298</v>
      </c>
      <c r="B2627" s="29" t="s">
        <v>4865</v>
      </c>
      <c r="C2627" s="29" t="s">
        <v>17204</v>
      </c>
      <c r="D2627" s="29" t="s">
        <v>32786</v>
      </c>
      <c r="E2627" s="29" t="s">
        <v>43926</v>
      </c>
      <c r="F2627" s="36" t="s">
        <v>54401</v>
      </c>
      <c r="G2627" s="39">
        <v>43173.48</v>
      </c>
      <c r="H2627" s="42">
        <v>211</v>
      </c>
    </row>
    <row r="2628" spans="1:8" ht="15" customHeight="1">
      <c r="A2628" s="26">
        <v>23550313</v>
      </c>
      <c r="B2628" s="29" t="s">
        <v>4866</v>
      </c>
      <c r="C2628" s="29" t="s">
        <v>19600</v>
      </c>
      <c r="D2628" s="29" t="s">
        <v>32787</v>
      </c>
      <c r="E2628" s="29" t="s">
        <v>46065</v>
      </c>
      <c r="F2628" s="36" t="s">
        <v>54401</v>
      </c>
      <c r="G2628" s="39">
        <v>3572628.5</v>
      </c>
      <c r="H2628" s="42">
        <v>211</v>
      </c>
    </row>
    <row r="2629" spans="1:8" ht="15" customHeight="1">
      <c r="A2629" s="26">
        <v>23550522</v>
      </c>
      <c r="B2629" s="29" t="s">
        <v>4867</v>
      </c>
      <c r="C2629" s="29" t="s">
        <v>19601</v>
      </c>
      <c r="D2629" s="29" t="s">
        <v>32788</v>
      </c>
      <c r="E2629" s="29" t="s">
        <v>44022</v>
      </c>
      <c r="F2629" s="36" t="s">
        <v>54401</v>
      </c>
      <c r="G2629" s="39">
        <v>699329.63</v>
      </c>
      <c r="H2629" s="42">
        <v>211</v>
      </c>
    </row>
    <row r="2630" spans="1:8" ht="15" customHeight="1">
      <c r="A2630" s="26">
        <v>23550563</v>
      </c>
      <c r="B2630" s="29" t="s">
        <v>4868</v>
      </c>
      <c r="C2630" s="29" t="s">
        <v>19602</v>
      </c>
      <c r="D2630" s="29" t="s">
        <v>32789</v>
      </c>
      <c r="E2630" s="29" t="s">
        <v>46066</v>
      </c>
      <c r="F2630" s="36" t="s">
        <v>54401</v>
      </c>
      <c r="G2630" s="39">
        <v>3775086.9</v>
      </c>
      <c r="H2630" s="42">
        <v>211</v>
      </c>
    </row>
    <row r="2631" spans="1:8" ht="15" customHeight="1">
      <c r="A2631" s="26">
        <v>23550589</v>
      </c>
      <c r="B2631" s="29" t="s">
        <v>4869</v>
      </c>
      <c r="C2631" s="29" t="s">
        <v>19603</v>
      </c>
      <c r="D2631" s="29" t="s">
        <v>32790</v>
      </c>
      <c r="E2631" s="29" t="s">
        <v>46067</v>
      </c>
      <c r="F2631" s="36" t="s">
        <v>54402</v>
      </c>
      <c r="G2631" s="39">
        <v>493800.04</v>
      </c>
      <c r="H2631" s="42">
        <v>211</v>
      </c>
    </row>
    <row r="2632" spans="1:8" ht="15" customHeight="1">
      <c r="A2632" s="26">
        <v>23550666</v>
      </c>
      <c r="B2632" s="29" t="s">
        <v>4870</v>
      </c>
      <c r="C2632" s="29" t="s">
        <v>19604</v>
      </c>
      <c r="D2632" s="29" t="s">
        <v>32791</v>
      </c>
      <c r="E2632" s="29" t="s">
        <v>46068</v>
      </c>
      <c r="F2632" s="36" t="s">
        <v>54401</v>
      </c>
      <c r="G2632" s="39">
        <v>387840.46</v>
      </c>
      <c r="H2632" s="42">
        <v>211</v>
      </c>
    </row>
    <row r="2633" spans="1:8" ht="15" customHeight="1">
      <c r="A2633" s="26">
        <v>23550682</v>
      </c>
      <c r="B2633" s="29" t="s">
        <v>4871</v>
      </c>
      <c r="C2633" s="29" t="s">
        <v>19605</v>
      </c>
      <c r="D2633" s="29" t="s">
        <v>32792</v>
      </c>
      <c r="E2633" s="29" t="s">
        <v>46069</v>
      </c>
      <c r="F2633" s="36" t="s">
        <v>54401</v>
      </c>
      <c r="G2633" s="39">
        <v>5809032.8300000001</v>
      </c>
      <c r="H2633" s="42">
        <v>211</v>
      </c>
    </row>
    <row r="2634" spans="1:8" ht="15" customHeight="1">
      <c r="A2634" s="26">
        <v>23550685</v>
      </c>
      <c r="B2634" s="29" t="s">
        <v>4872</v>
      </c>
      <c r="C2634" s="29" t="s">
        <v>19606</v>
      </c>
      <c r="D2634" s="29" t="s">
        <v>32793</v>
      </c>
      <c r="E2634" s="29" t="s">
        <v>44749</v>
      </c>
      <c r="F2634" s="36" t="s">
        <v>54401</v>
      </c>
      <c r="G2634" s="39">
        <v>122457.11</v>
      </c>
      <c r="H2634" s="42">
        <v>211</v>
      </c>
    </row>
    <row r="2635" spans="1:8" ht="15" customHeight="1">
      <c r="A2635" s="26">
        <v>23550707</v>
      </c>
      <c r="B2635" s="29" t="s">
        <v>4873</v>
      </c>
      <c r="C2635" s="29" t="s">
        <v>19607</v>
      </c>
      <c r="D2635" s="29" t="s">
        <v>32794</v>
      </c>
      <c r="E2635" s="29" t="s">
        <v>46070</v>
      </c>
      <c r="F2635" s="36" t="s">
        <v>54401</v>
      </c>
      <c r="G2635" s="39">
        <v>717164.4</v>
      </c>
      <c r="H2635" s="42">
        <v>211</v>
      </c>
    </row>
    <row r="2636" spans="1:8" ht="15" customHeight="1">
      <c r="A2636" s="26">
        <v>23550716</v>
      </c>
      <c r="B2636" s="29" t="s">
        <v>4874</v>
      </c>
      <c r="C2636" s="29" t="s">
        <v>19608</v>
      </c>
      <c r="D2636" s="29" t="s">
        <v>32795</v>
      </c>
      <c r="E2636" s="29" t="s">
        <v>46071</v>
      </c>
      <c r="F2636" s="36" t="s">
        <v>54401</v>
      </c>
      <c r="G2636" s="39">
        <v>174400.97</v>
      </c>
      <c r="H2636" s="42">
        <v>211</v>
      </c>
    </row>
    <row r="2637" spans="1:8" ht="15" customHeight="1">
      <c r="A2637" s="26">
        <v>23550789</v>
      </c>
      <c r="B2637" s="29" t="s">
        <v>4875</v>
      </c>
      <c r="C2637" s="26" t="s">
        <v>19609</v>
      </c>
      <c r="D2637" s="26" t="s">
        <v>32796</v>
      </c>
      <c r="E2637" s="26" t="s">
        <v>46072</v>
      </c>
      <c r="F2637" s="37" t="s">
        <v>54401</v>
      </c>
      <c r="G2637" s="39">
        <v>33431</v>
      </c>
      <c r="H2637" s="42">
        <v>211</v>
      </c>
    </row>
    <row r="2638" spans="1:8" ht="15" customHeight="1">
      <c r="A2638" s="26">
        <v>23550807</v>
      </c>
      <c r="B2638" s="29" t="s">
        <v>4876</v>
      </c>
      <c r="C2638" s="29" t="s">
        <v>19610</v>
      </c>
      <c r="D2638" s="29" t="s">
        <v>32797</v>
      </c>
      <c r="E2638" s="29" t="s">
        <v>46073</v>
      </c>
      <c r="F2638" s="36" t="s">
        <v>54401</v>
      </c>
      <c r="G2638" s="39">
        <v>74758.990000000005</v>
      </c>
      <c r="H2638" s="42">
        <v>211</v>
      </c>
    </row>
    <row r="2639" spans="1:8" ht="15" customHeight="1">
      <c r="A2639" s="26">
        <v>23550890</v>
      </c>
      <c r="B2639" s="29" t="s">
        <v>4877</v>
      </c>
      <c r="C2639" s="29" t="s">
        <v>19611</v>
      </c>
      <c r="D2639" s="29" t="s">
        <v>32798</v>
      </c>
      <c r="E2639" s="29" t="s">
        <v>46074</v>
      </c>
      <c r="F2639" s="36" t="s">
        <v>54401</v>
      </c>
      <c r="G2639" s="39">
        <v>93566.31</v>
      </c>
      <c r="H2639" s="42">
        <v>211</v>
      </c>
    </row>
    <row r="2640" spans="1:8" ht="15" customHeight="1">
      <c r="A2640" s="26">
        <v>23550919</v>
      </c>
      <c r="B2640" s="29" t="s">
        <v>4878</v>
      </c>
      <c r="C2640" s="29" t="s">
        <v>19612</v>
      </c>
      <c r="D2640" s="29" t="s">
        <v>32799</v>
      </c>
      <c r="E2640" s="29" t="s">
        <v>46075</v>
      </c>
      <c r="F2640" s="36" t="s">
        <v>54401</v>
      </c>
      <c r="G2640" s="39">
        <v>232856.77</v>
      </c>
      <c r="H2640" s="42">
        <v>211</v>
      </c>
    </row>
    <row r="2641" spans="1:8" ht="15" customHeight="1">
      <c r="A2641" s="26">
        <v>23550920</v>
      </c>
      <c r="B2641" s="29" t="s">
        <v>4879</v>
      </c>
      <c r="C2641" s="29" t="s">
        <v>19613</v>
      </c>
      <c r="D2641" s="29" t="s">
        <v>30376</v>
      </c>
      <c r="E2641" s="29" t="s">
        <v>46076</v>
      </c>
      <c r="F2641" s="36" t="s">
        <v>54401</v>
      </c>
      <c r="G2641" s="39">
        <v>181246.59</v>
      </c>
      <c r="H2641" s="42">
        <v>211</v>
      </c>
    </row>
    <row r="2642" spans="1:8" ht="15" customHeight="1">
      <c r="A2642" s="26">
        <v>23550968</v>
      </c>
      <c r="B2642" s="29" t="s">
        <v>4880</v>
      </c>
      <c r="C2642" s="29" t="s">
        <v>19614</v>
      </c>
      <c r="D2642" s="29" t="s">
        <v>32800</v>
      </c>
      <c r="E2642" s="29" t="s">
        <v>46077</v>
      </c>
      <c r="F2642" s="36" t="s">
        <v>54401</v>
      </c>
      <c r="G2642" s="39">
        <v>236679.08</v>
      </c>
      <c r="H2642" s="42">
        <v>211</v>
      </c>
    </row>
    <row r="2643" spans="1:8" ht="15" customHeight="1">
      <c r="A2643" s="26">
        <v>23550985</v>
      </c>
      <c r="B2643" s="29" t="s">
        <v>4881</v>
      </c>
      <c r="C2643" s="29" t="s">
        <v>19615</v>
      </c>
      <c r="D2643" s="29" t="s">
        <v>32801</v>
      </c>
      <c r="E2643" s="29" t="s">
        <v>711</v>
      </c>
      <c r="F2643" s="36" t="s">
        <v>54401</v>
      </c>
      <c r="G2643" s="39">
        <v>147485.82</v>
      </c>
      <c r="H2643" s="42">
        <v>211</v>
      </c>
    </row>
    <row r="2644" spans="1:8" ht="15" customHeight="1">
      <c r="A2644" s="26">
        <v>23551007</v>
      </c>
      <c r="B2644" s="29" t="s">
        <v>4882</v>
      </c>
      <c r="C2644" s="29" t="s">
        <v>19616</v>
      </c>
      <c r="D2644" s="29" t="s">
        <v>32802</v>
      </c>
      <c r="E2644" s="29" t="s">
        <v>46078</v>
      </c>
      <c r="F2644" s="36" t="s">
        <v>54401</v>
      </c>
      <c r="G2644" s="39">
        <v>454325.71</v>
      </c>
      <c r="H2644" s="42">
        <v>211</v>
      </c>
    </row>
    <row r="2645" spans="1:8" ht="15" customHeight="1">
      <c r="A2645" s="26">
        <v>23551084</v>
      </c>
      <c r="B2645" s="29" t="s">
        <v>4883</v>
      </c>
      <c r="C2645" s="29" t="s">
        <v>19617</v>
      </c>
      <c r="D2645" s="29" t="s">
        <v>32803</v>
      </c>
      <c r="E2645" s="29" t="s">
        <v>46079</v>
      </c>
      <c r="F2645" s="36" t="s">
        <v>54401</v>
      </c>
      <c r="G2645" s="39">
        <v>313546.52</v>
      </c>
      <c r="H2645" s="42">
        <v>211</v>
      </c>
    </row>
    <row r="2646" spans="1:8" ht="15" customHeight="1">
      <c r="A2646" s="26">
        <v>23551182</v>
      </c>
      <c r="B2646" s="29" t="s">
        <v>4884</v>
      </c>
      <c r="C2646" s="29" t="s">
        <v>19618</v>
      </c>
      <c r="D2646" s="29" t="s">
        <v>32804</v>
      </c>
      <c r="E2646" s="29" t="s">
        <v>46080</v>
      </c>
      <c r="F2646" s="36" t="s">
        <v>54401</v>
      </c>
      <c r="G2646" s="39">
        <v>183061.17</v>
      </c>
      <c r="H2646" s="42">
        <v>211</v>
      </c>
    </row>
    <row r="2647" spans="1:8" ht="15" customHeight="1">
      <c r="A2647" s="26">
        <v>23551328</v>
      </c>
      <c r="B2647" s="29" t="s">
        <v>4885</v>
      </c>
      <c r="C2647" s="29" t="s">
        <v>19619</v>
      </c>
      <c r="D2647" s="29" t="s">
        <v>32805</v>
      </c>
      <c r="E2647" s="29" t="s">
        <v>43926</v>
      </c>
      <c r="F2647" s="36" t="s">
        <v>54401</v>
      </c>
      <c r="G2647" s="39">
        <v>3586961.62</v>
      </c>
      <c r="H2647" s="42">
        <v>211</v>
      </c>
    </row>
    <row r="2648" spans="1:8" ht="15" customHeight="1">
      <c r="A2648" s="26">
        <v>23551463</v>
      </c>
      <c r="B2648" s="29" t="s">
        <v>4886</v>
      </c>
      <c r="C2648" s="29" t="s">
        <v>19620</v>
      </c>
      <c r="D2648" s="29" t="s">
        <v>32806</v>
      </c>
      <c r="E2648" s="29" t="s">
        <v>46081</v>
      </c>
      <c r="F2648" s="36" t="s">
        <v>54401</v>
      </c>
      <c r="G2648" s="39">
        <v>50955.21</v>
      </c>
      <c r="H2648" s="42">
        <v>211</v>
      </c>
    </row>
    <row r="2649" spans="1:8" ht="15" customHeight="1">
      <c r="A2649" s="26">
        <v>23551515</v>
      </c>
      <c r="B2649" s="29" t="s">
        <v>4887</v>
      </c>
      <c r="C2649" s="29" t="s">
        <v>18056</v>
      </c>
      <c r="D2649" s="29" t="s">
        <v>32807</v>
      </c>
      <c r="E2649" s="29" t="s">
        <v>46082</v>
      </c>
      <c r="F2649" s="36" t="s">
        <v>54401</v>
      </c>
      <c r="G2649" s="39">
        <v>194084.56</v>
      </c>
      <c r="H2649" s="42">
        <v>211</v>
      </c>
    </row>
    <row r="2650" spans="1:8" ht="15" customHeight="1">
      <c r="A2650" s="26">
        <v>23551524</v>
      </c>
      <c r="B2650" s="29" t="s">
        <v>4888</v>
      </c>
      <c r="C2650" s="29" t="s">
        <v>19621</v>
      </c>
      <c r="D2650" s="29" t="s">
        <v>32808</v>
      </c>
      <c r="E2650" s="29" t="s">
        <v>46083</v>
      </c>
      <c r="F2650" s="36" t="s">
        <v>54401</v>
      </c>
      <c r="G2650" s="39">
        <f>5345792.23-55780</f>
        <v>5290012.2300000004</v>
      </c>
      <c r="H2650" s="42">
        <v>211</v>
      </c>
    </row>
    <row r="2651" spans="1:8" ht="15" customHeight="1">
      <c r="A2651" s="26">
        <v>23551541</v>
      </c>
      <c r="B2651" s="29" t="s">
        <v>4889</v>
      </c>
      <c r="C2651" s="29" t="s">
        <v>19622</v>
      </c>
      <c r="D2651" s="29" t="s">
        <v>32809</v>
      </c>
      <c r="E2651" s="29" t="s">
        <v>43926</v>
      </c>
      <c r="F2651" s="36" t="s">
        <v>54401</v>
      </c>
      <c r="G2651" s="39">
        <v>47588.24</v>
      </c>
      <c r="H2651" s="42">
        <v>211</v>
      </c>
    </row>
    <row r="2652" spans="1:8" ht="15" customHeight="1">
      <c r="A2652" s="26">
        <v>23551545</v>
      </c>
      <c r="B2652" s="29" t="s">
        <v>4890</v>
      </c>
      <c r="C2652" s="29" t="s">
        <v>19623</v>
      </c>
      <c r="D2652" s="29" t="s">
        <v>32810</v>
      </c>
      <c r="E2652" s="29" t="s">
        <v>46084</v>
      </c>
      <c r="F2652" s="36" t="s">
        <v>54401</v>
      </c>
      <c r="G2652" s="39">
        <v>2544503.64</v>
      </c>
      <c r="H2652" s="42">
        <v>211</v>
      </c>
    </row>
    <row r="2653" spans="1:8" ht="15" customHeight="1">
      <c r="A2653" s="26">
        <v>23551760</v>
      </c>
      <c r="B2653" s="29" t="s">
        <v>4891</v>
      </c>
      <c r="C2653" s="29" t="s">
        <v>19624</v>
      </c>
      <c r="D2653" s="29" t="s">
        <v>32811</v>
      </c>
      <c r="E2653" s="29" t="s">
        <v>46085</v>
      </c>
      <c r="F2653" s="36" t="s">
        <v>54401</v>
      </c>
      <c r="G2653" s="39">
        <f>1169714.46+743468-16411</f>
        <v>1896771.46</v>
      </c>
      <c r="H2653" s="42">
        <v>211</v>
      </c>
    </row>
    <row r="2654" spans="1:8" ht="15" customHeight="1">
      <c r="A2654" s="26">
        <v>23551765</v>
      </c>
      <c r="B2654" s="29" t="s">
        <v>4892</v>
      </c>
      <c r="C2654" s="29" t="s">
        <v>19625</v>
      </c>
      <c r="D2654" s="29" t="s">
        <v>32812</v>
      </c>
      <c r="E2654" s="29" t="s">
        <v>46086</v>
      </c>
      <c r="F2654" s="36" t="s">
        <v>54401</v>
      </c>
      <c r="G2654" s="39">
        <v>11537.82</v>
      </c>
      <c r="H2654" s="42">
        <v>211</v>
      </c>
    </row>
    <row r="2655" spans="1:8" ht="15" customHeight="1">
      <c r="A2655" s="26">
        <v>23551811</v>
      </c>
      <c r="B2655" s="29" t="s">
        <v>4893</v>
      </c>
      <c r="C2655" s="29" t="s">
        <v>19626</v>
      </c>
      <c r="D2655" s="29" t="s">
        <v>32813</v>
      </c>
      <c r="E2655" s="29" t="s">
        <v>46087</v>
      </c>
      <c r="F2655" s="36" t="s">
        <v>54401</v>
      </c>
      <c r="G2655" s="39">
        <v>429327.41</v>
      </c>
      <c r="H2655" s="42">
        <v>211</v>
      </c>
    </row>
    <row r="2656" spans="1:8" ht="15" customHeight="1">
      <c r="A2656" s="26">
        <v>23551819</v>
      </c>
      <c r="B2656" s="29" t="s">
        <v>4894</v>
      </c>
      <c r="C2656" s="29" t="s">
        <v>19627</v>
      </c>
      <c r="D2656" s="29" t="s">
        <v>32814</v>
      </c>
      <c r="E2656" s="29" t="s">
        <v>46088</v>
      </c>
      <c r="F2656" s="36" t="s">
        <v>54401</v>
      </c>
      <c r="G2656" s="39">
        <v>156655.88</v>
      </c>
      <c r="H2656" s="42">
        <v>211</v>
      </c>
    </row>
    <row r="2657" spans="1:8" ht="15" customHeight="1">
      <c r="A2657" s="26">
        <v>23551928</v>
      </c>
      <c r="B2657" s="29" t="s">
        <v>4895</v>
      </c>
      <c r="C2657" s="29" t="s">
        <v>17204</v>
      </c>
      <c r="D2657" s="29" t="s">
        <v>32815</v>
      </c>
      <c r="E2657" s="29" t="s">
        <v>43926</v>
      </c>
      <c r="F2657" s="36" t="s">
        <v>54401</v>
      </c>
      <c r="G2657" s="39">
        <v>90810.07</v>
      </c>
      <c r="H2657" s="42">
        <v>211</v>
      </c>
    </row>
    <row r="2658" spans="1:8" ht="15" customHeight="1">
      <c r="A2658" s="26">
        <v>23551938</v>
      </c>
      <c r="B2658" s="29" t="s">
        <v>4896</v>
      </c>
      <c r="C2658" s="29" t="s">
        <v>19628</v>
      </c>
      <c r="D2658" s="29" t="s">
        <v>32816</v>
      </c>
      <c r="E2658" s="29" t="s">
        <v>46089</v>
      </c>
      <c r="F2658" s="36" t="s">
        <v>54401</v>
      </c>
      <c r="G2658" s="39">
        <v>616674.07999999996</v>
      </c>
      <c r="H2658" s="42">
        <v>211</v>
      </c>
    </row>
    <row r="2659" spans="1:8" ht="15" customHeight="1">
      <c r="A2659" s="26">
        <v>23551988</v>
      </c>
      <c r="B2659" s="29" t="s">
        <v>4897</v>
      </c>
      <c r="C2659" s="29" t="s">
        <v>19629</v>
      </c>
      <c r="D2659" s="29" t="s">
        <v>32817</v>
      </c>
      <c r="E2659" s="29" t="s">
        <v>46090</v>
      </c>
      <c r="F2659" s="36" t="s">
        <v>54401</v>
      </c>
      <c r="G2659" s="39">
        <f>1057192.51+108694</f>
        <v>1165886.51</v>
      </c>
      <c r="H2659" s="42">
        <v>211</v>
      </c>
    </row>
    <row r="2660" spans="1:8" ht="15" customHeight="1">
      <c r="A2660" s="26">
        <v>23552017</v>
      </c>
      <c r="B2660" s="29" t="s">
        <v>4898</v>
      </c>
      <c r="C2660" s="26" t="s">
        <v>19630</v>
      </c>
      <c r="D2660" s="26" t="s">
        <v>32818</v>
      </c>
      <c r="E2660" s="26" t="s">
        <v>44887</v>
      </c>
      <c r="F2660" s="37" t="s">
        <v>54401</v>
      </c>
      <c r="G2660" s="39">
        <v>4458771.04</v>
      </c>
      <c r="H2660" s="42">
        <v>211</v>
      </c>
    </row>
    <row r="2661" spans="1:8" ht="15" customHeight="1">
      <c r="A2661" s="26">
        <v>23552099</v>
      </c>
      <c r="B2661" s="29" t="s">
        <v>4899</v>
      </c>
      <c r="C2661" s="26" t="s">
        <v>19631</v>
      </c>
      <c r="D2661" s="26" t="s">
        <v>32819</v>
      </c>
      <c r="E2661" s="26" t="s">
        <v>46091</v>
      </c>
      <c r="F2661" s="37" t="s">
        <v>54401</v>
      </c>
      <c r="G2661" s="39">
        <v>63044.26</v>
      </c>
      <c r="H2661" s="42">
        <v>211</v>
      </c>
    </row>
    <row r="2662" spans="1:8" ht="15" customHeight="1">
      <c r="A2662" s="26">
        <v>23552104</v>
      </c>
      <c r="B2662" s="29" t="s">
        <v>4900</v>
      </c>
      <c r="C2662" s="29" t="s">
        <v>19632</v>
      </c>
      <c r="D2662" s="29" t="s">
        <v>32820</v>
      </c>
      <c r="E2662" s="29" t="s">
        <v>46092</v>
      </c>
      <c r="F2662" s="36" t="s">
        <v>54401</v>
      </c>
      <c r="G2662" s="39">
        <v>44909.25</v>
      </c>
      <c r="H2662" s="42">
        <v>211</v>
      </c>
    </row>
    <row r="2663" spans="1:8" ht="15" customHeight="1">
      <c r="A2663" s="26">
        <v>23552105</v>
      </c>
      <c r="B2663" s="29" t="s">
        <v>4901</v>
      </c>
      <c r="C2663" s="29" t="s">
        <v>19633</v>
      </c>
      <c r="D2663" s="29" t="s">
        <v>32821</v>
      </c>
      <c r="E2663" s="29" t="s">
        <v>46093</v>
      </c>
      <c r="F2663" s="36" t="s">
        <v>54401</v>
      </c>
      <c r="G2663" s="39">
        <f>2000076.14+55973</f>
        <v>2056049.14</v>
      </c>
      <c r="H2663" s="42">
        <v>211</v>
      </c>
    </row>
    <row r="2664" spans="1:8" ht="15" customHeight="1">
      <c r="A2664" s="26">
        <v>23552116</v>
      </c>
      <c r="B2664" s="29" t="s">
        <v>4902</v>
      </c>
      <c r="C2664" s="29" t="s">
        <v>19634</v>
      </c>
      <c r="D2664" s="29" t="s">
        <v>32822</v>
      </c>
      <c r="E2664" s="29" t="s">
        <v>46094</v>
      </c>
      <c r="F2664" s="36" t="s">
        <v>54401</v>
      </c>
      <c r="G2664" s="39">
        <v>3650623.68</v>
      </c>
      <c r="H2664" s="42">
        <v>211</v>
      </c>
    </row>
    <row r="2665" spans="1:8" ht="15" customHeight="1">
      <c r="A2665" s="26">
        <v>23552202</v>
      </c>
      <c r="B2665" s="29" t="s">
        <v>4903</v>
      </c>
      <c r="C2665" s="29" t="s">
        <v>17204</v>
      </c>
      <c r="D2665" s="29" t="s">
        <v>32823</v>
      </c>
      <c r="E2665" s="29" t="s">
        <v>43926</v>
      </c>
      <c r="F2665" s="36" t="s">
        <v>54401</v>
      </c>
      <c r="G2665" s="39">
        <v>40185.699999999997</v>
      </c>
      <c r="H2665" s="42">
        <v>211</v>
      </c>
    </row>
    <row r="2666" spans="1:8" ht="15" customHeight="1">
      <c r="A2666" s="26">
        <v>23552338</v>
      </c>
      <c r="B2666" s="29" t="s">
        <v>4904</v>
      </c>
      <c r="C2666" s="29" t="s">
        <v>19635</v>
      </c>
      <c r="D2666" s="29" t="s">
        <v>32824</v>
      </c>
      <c r="E2666" s="29" t="s">
        <v>46095</v>
      </c>
      <c r="F2666" s="36" t="s">
        <v>54413</v>
      </c>
      <c r="G2666" s="39">
        <v>3206321.51</v>
      </c>
      <c r="H2666" s="42">
        <v>211</v>
      </c>
    </row>
    <row r="2667" spans="1:8" ht="15" customHeight="1">
      <c r="A2667" s="26">
        <v>23552367</v>
      </c>
      <c r="B2667" s="29" t="s">
        <v>4905</v>
      </c>
      <c r="C2667" s="29" t="s">
        <v>19636</v>
      </c>
      <c r="D2667" s="29" t="s">
        <v>32825</v>
      </c>
      <c r="E2667" s="29" t="s">
        <v>46096</v>
      </c>
      <c r="F2667" s="36" t="s">
        <v>54401</v>
      </c>
      <c r="G2667" s="39">
        <v>1744794.66</v>
      </c>
      <c r="H2667" s="42">
        <v>211</v>
      </c>
    </row>
    <row r="2668" spans="1:8" ht="15" customHeight="1">
      <c r="A2668" s="26">
        <v>23552410</v>
      </c>
      <c r="B2668" s="29" t="s">
        <v>4906</v>
      </c>
      <c r="C2668" s="29" t="s">
        <v>17204</v>
      </c>
      <c r="D2668" s="29" t="s">
        <v>32826</v>
      </c>
      <c r="E2668" s="29" t="s">
        <v>43926</v>
      </c>
      <c r="F2668" s="36" t="s">
        <v>54401</v>
      </c>
      <c r="G2668" s="39">
        <v>11584</v>
      </c>
      <c r="H2668" s="42">
        <v>211</v>
      </c>
    </row>
    <row r="2669" spans="1:8" ht="15" customHeight="1">
      <c r="A2669" s="26">
        <v>23552470</v>
      </c>
      <c r="B2669" s="29" t="s">
        <v>4907</v>
      </c>
      <c r="C2669" s="29" t="s">
        <v>17204</v>
      </c>
      <c r="D2669" s="29" t="s">
        <v>32827</v>
      </c>
      <c r="E2669" s="29" t="s">
        <v>43926</v>
      </c>
      <c r="F2669" s="36" t="s">
        <v>54401</v>
      </c>
      <c r="G2669" s="39">
        <v>53138.34</v>
      </c>
      <c r="H2669" s="42">
        <v>211</v>
      </c>
    </row>
    <row r="2670" spans="1:8" ht="15" customHeight="1">
      <c r="A2670" s="26">
        <v>23552595</v>
      </c>
      <c r="B2670" s="29" t="s">
        <v>4908</v>
      </c>
      <c r="C2670" s="29" t="s">
        <v>19637</v>
      </c>
      <c r="D2670" s="29" t="s">
        <v>32828</v>
      </c>
      <c r="E2670" s="29" t="s">
        <v>46097</v>
      </c>
      <c r="F2670" s="36" t="s">
        <v>54401</v>
      </c>
      <c r="G2670" s="39">
        <v>177625.1</v>
      </c>
      <c r="H2670" s="42">
        <v>211</v>
      </c>
    </row>
    <row r="2671" spans="1:8" ht="15" customHeight="1">
      <c r="A2671" s="26">
        <v>23552688</v>
      </c>
      <c r="B2671" s="29" t="s">
        <v>4909</v>
      </c>
      <c r="C2671" s="29" t="s">
        <v>19638</v>
      </c>
      <c r="D2671" s="29" t="s">
        <v>32829</v>
      </c>
      <c r="E2671" s="29" t="s">
        <v>46098</v>
      </c>
      <c r="F2671" s="36" t="s">
        <v>54401</v>
      </c>
      <c r="G2671" s="39">
        <v>1118652.77</v>
      </c>
      <c r="H2671" s="42">
        <v>211</v>
      </c>
    </row>
    <row r="2672" spans="1:8" ht="15" customHeight="1">
      <c r="A2672" s="26">
        <v>23552692</v>
      </c>
      <c r="B2672" s="29" t="s">
        <v>4910</v>
      </c>
      <c r="C2672" s="29" t="s">
        <v>19639</v>
      </c>
      <c r="D2672" s="29" t="s">
        <v>32830</v>
      </c>
      <c r="E2672" s="29" t="s">
        <v>46099</v>
      </c>
      <c r="F2672" s="36" t="s">
        <v>54401</v>
      </c>
      <c r="G2672" s="39">
        <v>109287.13</v>
      </c>
      <c r="H2672" s="42">
        <v>211</v>
      </c>
    </row>
    <row r="2673" spans="1:8" ht="15" customHeight="1">
      <c r="A2673" s="26">
        <v>23552701</v>
      </c>
      <c r="B2673" s="29" t="s">
        <v>4911</v>
      </c>
      <c r="C2673" s="29" t="s">
        <v>19640</v>
      </c>
      <c r="D2673" s="29" t="s">
        <v>32831</v>
      </c>
      <c r="E2673" s="29" t="s">
        <v>46100</v>
      </c>
      <c r="F2673" s="36" t="s">
        <v>54401</v>
      </c>
      <c r="G2673" s="39">
        <v>144896.32999999999</v>
      </c>
      <c r="H2673" s="42">
        <v>211</v>
      </c>
    </row>
    <row r="2674" spans="1:8" ht="15" customHeight="1">
      <c r="A2674" s="26">
        <v>23552755</v>
      </c>
      <c r="B2674" s="29" t="s">
        <v>4912</v>
      </c>
      <c r="C2674" s="29" t="s">
        <v>17204</v>
      </c>
      <c r="D2674" s="29" t="s">
        <v>32832</v>
      </c>
      <c r="E2674" s="29" t="s">
        <v>43926</v>
      </c>
      <c r="F2674" s="36" t="s">
        <v>54401</v>
      </c>
      <c r="G2674" s="39">
        <v>470065.1</v>
      </c>
      <c r="H2674" s="42">
        <v>211</v>
      </c>
    </row>
    <row r="2675" spans="1:8" ht="15" customHeight="1">
      <c r="A2675" s="26">
        <v>23552835</v>
      </c>
      <c r="B2675" s="29" t="s">
        <v>4913</v>
      </c>
      <c r="C2675" s="29" t="s">
        <v>19641</v>
      </c>
      <c r="D2675" s="29" t="s">
        <v>32833</v>
      </c>
      <c r="E2675" s="29" t="s">
        <v>46101</v>
      </c>
      <c r="F2675" s="36" t="s">
        <v>54401</v>
      </c>
      <c r="G2675" s="39">
        <v>2987197.69</v>
      </c>
      <c r="H2675" s="42">
        <v>211</v>
      </c>
    </row>
    <row r="2676" spans="1:8" ht="15" customHeight="1">
      <c r="A2676" s="26">
        <v>23552911</v>
      </c>
      <c r="B2676" s="29" t="s">
        <v>4914</v>
      </c>
      <c r="C2676" s="29" t="s">
        <v>19642</v>
      </c>
      <c r="D2676" s="29" t="s">
        <v>32834</v>
      </c>
      <c r="E2676" s="29" t="s">
        <v>46102</v>
      </c>
      <c r="F2676" s="36" t="s">
        <v>54401</v>
      </c>
      <c r="G2676" s="39">
        <v>451358.32</v>
      </c>
      <c r="H2676" s="42">
        <v>211</v>
      </c>
    </row>
    <row r="2677" spans="1:8" ht="15" customHeight="1">
      <c r="A2677" s="26">
        <v>23552934</v>
      </c>
      <c r="B2677" s="29" t="s">
        <v>4915</v>
      </c>
      <c r="C2677" s="29" t="s">
        <v>19643</v>
      </c>
      <c r="D2677" s="29" t="s">
        <v>32835</v>
      </c>
      <c r="E2677" s="29" t="s">
        <v>46103</v>
      </c>
      <c r="F2677" s="36" t="s">
        <v>54409</v>
      </c>
      <c r="G2677" s="39">
        <f>250964.45+68221+3121508</f>
        <v>3440693.45</v>
      </c>
      <c r="H2677" s="42">
        <v>211</v>
      </c>
    </row>
    <row r="2678" spans="1:8" ht="15" customHeight="1">
      <c r="A2678" s="26">
        <v>23553010</v>
      </c>
      <c r="B2678" s="29" t="s">
        <v>4916</v>
      </c>
      <c r="C2678" s="29" t="s">
        <v>19644</v>
      </c>
      <c r="D2678" s="29" t="s">
        <v>32836</v>
      </c>
      <c r="E2678" s="29" t="s">
        <v>46104</v>
      </c>
      <c r="F2678" s="36" t="s">
        <v>54401</v>
      </c>
      <c r="G2678" s="39">
        <f>373184.71+121847</f>
        <v>495031.71</v>
      </c>
      <c r="H2678" s="42">
        <v>211</v>
      </c>
    </row>
    <row r="2679" spans="1:8" ht="15" customHeight="1">
      <c r="A2679" s="26">
        <v>23553043</v>
      </c>
      <c r="B2679" s="29" t="s">
        <v>4917</v>
      </c>
      <c r="C2679" s="29" t="s">
        <v>19645</v>
      </c>
      <c r="D2679" s="29" t="s">
        <v>32837</v>
      </c>
      <c r="E2679" s="29" t="s">
        <v>46105</v>
      </c>
      <c r="F2679" s="36" t="s">
        <v>54401</v>
      </c>
      <c r="G2679" s="39">
        <f>297062.55+84915+201673</f>
        <v>583650.55000000005</v>
      </c>
      <c r="H2679" s="42">
        <v>211</v>
      </c>
    </row>
    <row r="2680" spans="1:8" ht="15" customHeight="1">
      <c r="A2680" s="26">
        <v>23553065</v>
      </c>
      <c r="B2680" s="29" t="s">
        <v>4918</v>
      </c>
      <c r="C2680" s="29" t="s">
        <v>19646</v>
      </c>
      <c r="D2680" s="29" t="s">
        <v>32838</v>
      </c>
      <c r="E2680" s="29" t="s">
        <v>46106</v>
      </c>
      <c r="F2680" s="36" t="s">
        <v>54401</v>
      </c>
      <c r="G2680" s="39">
        <v>257035.46</v>
      </c>
      <c r="H2680" s="42">
        <v>211</v>
      </c>
    </row>
    <row r="2681" spans="1:8" ht="15" customHeight="1">
      <c r="A2681" s="26">
        <v>23553068</v>
      </c>
      <c r="B2681" s="29" t="s">
        <v>4919</v>
      </c>
      <c r="C2681" s="29" t="s">
        <v>19647</v>
      </c>
      <c r="D2681" s="29" t="s">
        <v>32839</v>
      </c>
      <c r="E2681" s="29" t="s">
        <v>46107</v>
      </c>
      <c r="F2681" s="36" t="s">
        <v>54401</v>
      </c>
      <c r="G2681" s="39">
        <f>3407737.12+73537</f>
        <v>3481274.12</v>
      </c>
      <c r="H2681" s="42">
        <v>211</v>
      </c>
    </row>
    <row r="2682" spans="1:8" ht="15" customHeight="1">
      <c r="A2682" s="26">
        <v>23553075</v>
      </c>
      <c r="B2682" s="29" t="s">
        <v>4920</v>
      </c>
      <c r="C2682" s="29" t="s">
        <v>17204</v>
      </c>
      <c r="D2682" s="29" t="s">
        <v>32840</v>
      </c>
      <c r="E2682" s="29" t="s">
        <v>43926</v>
      </c>
      <c r="F2682" s="36" t="s">
        <v>54401</v>
      </c>
      <c r="G2682" s="39">
        <v>448044.51</v>
      </c>
      <c r="H2682" s="42">
        <v>211</v>
      </c>
    </row>
    <row r="2683" spans="1:8" ht="15" customHeight="1">
      <c r="A2683" s="26">
        <v>23553106</v>
      </c>
      <c r="B2683" s="29" t="s">
        <v>4921</v>
      </c>
      <c r="C2683" s="29" t="s">
        <v>17204</v>
      </c>
      <c r="D2683" s="29" t="s">
        <v>32841</v>
      </c>
      <c r="E2683" s="29" t="s">
        <v>43926</v>
      </c>
      <c r="F2683" s="36" t="s">
        <v>54401</v>
      </c>
      <c r="G2683" s="39">
        <v>43994.58</v>
      </c>
      <c r="H2683" s="42">
        <v>211</v>
      </c>
    </row>
    <row r="2684" spans="1:8" ht="15" customHeight="1">
      <c r="A2684" s="26">
        <v>23553113</v>
      </c>
      <c r="B2684" s="29" t="s">
        <v>4922</v>
      </c>
      <c r="C2684" s="29" t="s">
        <v>19648</v>
      </c>
      <c r="D2684" s="29" t="s">
        <v>32842</v>
      </c>
      <c r="E2684" s="29" t="s">
        <v>46108</v>
      </c>
      <c r="F2684" s="36" t="s">
        <v>54401</v>
      </c>
      <c r="G2684" s="39">
        <v>3844658.14</v>
      </c>
      <c r="H2684" s="42">
        <v>211</v>
      </c>
    </row>
    <row r="2685" spans="1:8" ht="15" customHeight="1">
      <c r="A2685" s="26">
        <v>23553141</v>
      </c>
      <c r="B2685" s="29" t="s">
        <v>4923</v>
      </c>
      <c r="C2685" s="29" t="s">
        <v>19649</v>
      </c>
      <c r="D2685" s="29" t="s">
        <v>32843</v>
      </c>
      <c r="E2685" s="29" t="s">
        <v>46109</v>
      </c>
      <c r="F2685" s="36" t="s">
        <v>54401</v>
      </c>
      <c r="G2685" s="39">
        <v>448101.91</v>
      </c>
      <c r="H2685" s="42">
        <v>211</v>
      </c>
    </row>
    <row r="2686" spans="1:8" ht="15" customHeight="1">
      <c r="A2686" s="26">
        <v>23553165</v>
      </c>
      <c r="B2686" s="29" t="s">
        <v>4924</v>
      </c>
      <c r="C2686" s="29" t="s">
        <v>19650</v>
      </c>
      <c r="D2686" s="29" t="s">
        <v>32844</v>
      </c>
      <c r="E2686" s="29" t="s">
        <v>44241</v>
      </c>
      <c r="F2686" s="36" t="s">
        <v>54401</v>
      </c>
      <c r="G2686" s="39">
        <v>318007.43</v>
      </c>
      <c r="H2686" s="42">
        <v>211</v>
      </c>
    </row>
    <row r="2687" spans="1:8" ht="15" customHeight="1">
      <c r="A2687" s="26">
        <v>23553172</v>
      </c>
      <c r="B2687" s="29" t="s">
        <v>4925</v>
      </c>
      <c r="C2687" s="29" t="s">
        <v>19651</v>
      </c>
      <c r="D2687" s="29" t="s">
        <v>32845</v>
      </c>
      <c r="E2687" s="29" t="s">
        <v>46110</v>
      </c>
      <c r="F2687" s="36" t="s">
        <v>54401</v>
      </c>
      <c r="G2687" s="39">
        <f>443420.72+73374+584878</f>
        <v>1101672.72</v>
      </c>
      <c r="H2687" s="42">
        <v>211</v>
      </c>
    </row>
    <row r="2688" spans="1:8" ht="15" customHeight="1">
      <c r="A2688" s="26">
        <v>23553200</v>
      </c>
      <c r="B2688" s="29" t="s">
        <v>4926</v>
      </c>
      <c r="C2688" s="29" t="s">
        <v>19652</v>
      </c>
      <c r="D2688" s="29" t="s">
        <v>32846</v>
      </c>
      <c r="E2688" s="29" t="s">
        <v>46111</v>
      </c>
      <c r="F2688" s="36" t="s">
        <v>54401</v>
      </c>
      <c r="G2688" s="39">
        <v>1427984.35</v>
      </c>
      <c r="H2688" s="42">
        <v>211</v>
      </c>
    </row>
    <row r="2689" spans="1:8" ht="15" customHeight="1">
      <c r="A2689" s="26">
        <v>23553237</v>
      </c>
      <c r="B2689" s="29" t="s">
        <v>4927</v>
      </c>
      <c r="C2689" s="26" t="s">
        <v>19653</v>
      </c>
      <c r="D2689" s="26" t="s">
        <v>32847</v>
      </c>
      <c r="E2689" s="26" t="s">
        <v>43926</v>
      </c>
      <c r="F2689" s="37" t="s">
        <v>54401</v>
      </c>
      <c r="G2689" s="39">
        <v>344785.82</v>
      </c>
      <c r="H2689" s="42">
        <v>211</v>
      </c>
    </row>
    <row r="2690" spans="1:8" ht="15" customHeight="1">
      <c r="A2690" s="26">
        <v>23553359</v>
      </c>
      <c r="B2690" s="29" t="s">
        <v>4928</v>
      </c>
      <c r="C2690" s="29" t="s">
        <v>19654</v>
      </c>
      <c r="D2690" s="29" t="s">
        <v>30387</v>
      </c>
      <c r="E2690" s="29" t="s">
        <v>46112</v>
      </c>
      <c r="F2690" s="36" t="s">
        <v>54401</v>
      </c>
      <c r="G2690" s="39">
        <f>2283934.38+2547698</f>
        <v>4831632.38</v>
      </c>
      <c r="H2690" s="42">
        <v>211</v>
      </c>
    </row>
    <row r="2691" spans="1:8" ht="15" customHeight="1">
      <c r="A2691" s="26">
        <v>23553360</v>
      </c>
      <c r="B2691" s="29" t="s">
        <v>4929</v>
      </c>
      <c r="C2691" s="29" t="s">
        <v>19655</v>
      </c>
      <c r="D2691" s="29" t="s">
        <v>32848</v>
      </c>
      <c r="E2691" s="29" t="s">
        <v>46113</v>
      </c>
      <c r="F2691" s="36" t="s">
        <v>54401</v>
      </c>
      <c r="G2691" s="39">
        <v>851411.26</v>
      </c>
      <c r="H2691" s="42">
        <v>211</v>
      </c>
    </row>
    <row r="2692" spans="1:8" ht="15" customHeight="1">
      <c r="A2692" s="26">
        <v>23553414</v>
      </c>
      <c r="B2692" s="29" t="s">
        <v>4930</v>
      </c>
      <c r="C2692" s="26" t="s">
        <v>17204</v>
      </c>
      <c r="D2692" s="26" t="s">
        <v>32849</v>
      </c>
      <c r="E2692" s="26" t="s">
        <v>43926</v>
      </c>
      <c r="F2692" s="37" t="s">
        <v>54401</v>
      </c>
      <c r="G2692" s="39">
        <v>39104.36</v>
      </c>
      <c r="H2692" s="42">
        <v>211</v>
      </c>
    </row>
    <row r="2693" spans="1:8" ht="15" customHeight="1">
      <c r="A2693" s="26">
        <v>23553416</v>
      </c>
      <c r="B2693" s="29" t="s">
        <v>4931</v>
      </c>
      <c r="C2693" s="29" t="s">
        <v>19656</v>
      </c>
      <c r="D2693" s="29" t="s">
        <v>32850</v>
      </c>
      <c r="E2693" s="29" t="s">
        <v>46114</v>
      </c>
      <c r="F2693" s="36" t="s">
        <v>54401</v>
      </c>
      <c r="G2693" s="39">
        <f>3753717.25-7809+27938+63845</f>
        <v>3837691.25</v>
      </c>
      <c r="H2693" s="42">
        <v>211</v>
      </c>
    </row>
    <row r="2694" spans="1:8" ht="15" customHeight="1">
      <c r="A2694" s="26">
        <v>23553420</v>
      </c>
      <c r="B2694" s="29" t="s">
        <v>4932</v>
      </c>
      <c r="C2694" s="29" t="s">
        <v>19657</v>
      </c>
      <c r="D2694" s="29" t="s">
        <v>32851</v>
      </c>
      <c r="E2694" s="29" t="s">
        <v>46115</v>
      </c>
      <c r="F2694" s="36" t="s">
        <v>54401</v>
      </c>
      <c r="G2694" s="39">
        <f>8674200.5+218845</f>
        <v>8893045.5</v>
      </c>
      <c r="H2694" s="42">
        <v>211</v>
      </c>
    </row>
    <row r="2695" spans="1:8" ht="15" customHeight="1">
      <c r="A2695" s="26">
        <v>23553500</v>
      </c>
      <c r="B2695" s="29" t="s">
        <v>4933</v>
      </c>
      <c r="C2695" s="29" t="s">
        <v>19658</v>
      </c>
      <c r="D2695" s="29" t="s">
        <v>32852</v>
      </c>
      <c r="E2695" s="29" t="s">
        <v>46116</v>
      </c>
      <c r="F2695" s="36" t="s">
        <v>54401</v>
      </c>
      <c r="G2695" s="39">
        <v>641423.51</v>
      </c>
      <c r="H2695" s="42">
        <v>211</v>
      </c>
    </row>
    <row r="2696" spans="1:8" ht="15" customHeight="1">
      <c r="A2696" s="26">
        <v>23553519</v>
      </c>
      <c r="B2696" s="29" t="s">
        <v>4934</v>
      </c>
      <c r="C2696" s="29" t="s">
        <v>19659</v>
      </c>
      <c r="D2696" s="29" t="s">
        <v>32853</v>
      </c>
      <c r="E2696" s="29" t="s">
        <v>46117</v>
      </c>
      <c r="F2696" s="36" t="s">
        <v>54401</v>
      </c>
      <c r="G2696" s="39">
        <f>327896.07+214486</f>
        <v>542382.07000000007</v>
      </c>
      <c r="H2696" s="42">
        <v>211</v>
      </c>
    </row>
    <row r="2697" spans="1:8" ht="15" customHeight="1">
      <c r="A2697" s="26">
        <v>23553525</v>
      </c>
      <c r="B2697" s="29" t="s">
        <v>4935</v>
      </c>
      <c r="C2697" s="29" t="s">
        <v>19660</v>
      </c>
      <c r="D2697" s="29" t="s">
        <v>32854</v>
      </c>
      <c r="E2697" s="29" t="s">
        <v>46118</v>
      </c>
      <c r="F2697" s="36" t="s">
        <v>54401</v>
      </c>
      <c r="G2697" s="39">
        <v>2595648.06</v>
      </c>
      <c r="H2697" s="42">
        <v>211</v>
      </c>
    </row>
    <row r="2698" spans="1:8" ht="15" customHeight="1">
      <c r="A2698" s="26">
        <v>23553559</v>
      </c>
      <c r="B2698" s="29" t="s">
        <v>4936</v>
      </c>
      <c r="C2698" s="29" t="s">
        <v>19661</v>
      </c>
      <c r="D2698" s="29" t="s">
        <v>32855</v>
      </c>
      <c r="E2698" s="29" t="s">
        <v>46119</v>
      </c>
      <c r="F2698" s="36" t="s">
        <v>54401</v>
      </c>
      <c r="G2698" s="39">
        <f>1052707.69+308219</f>
        <v>1360926.69</v>
      </c>
      <c r="H2698" s="42">
        <v>211</v>
      </c>
    </row>
    <row r="2699" spans="1:8" ht="15" customHeight="1">
      <c r="A2699" s="26">
        <v>23553653</v>
      </c>
      <c r="B2699" s="29" t="s">
        <v>4937</v>
      </c>
      <c r="C2699" s="29" t="s">
        <v>19662</v>
      </c>
      <c r="D2699" s="29" t="s">
        <v>32856</v>
      </c>
      <c r="E2699" s="29" t="s">
        <v>46120</v>
      </c>
      <c r="F2699" s="36" t="s">
        <v>54401</v>
      </c>
      <c r="G2699" s="39">
        <v>1867356.61</v>
      </c>
      <c r="H2699" s="42">
        <v>211</v>
      </c>
    </row>
    <row r="2700" spans="1:8" ht="15" customHeight="1">
      <c r="A2700" s="26">
        <v>23553739</v>
      </c>
      <c r="B2700" s="29" t="s">
        <v>4938</v>
      </c>
      <c r="C2700" s="29" t="s">
        <v>19663</v>
      </c>
      <c r="D2700" s="29" t="s">
        <v>32857</v>
      </c>
      <c r="E2700" s="29" t="s">
        <v>46121</v>
      </c>
      <c r="F2700" s="36" t="s">
        <v>54401</v>
      </c>
      <c r="G2700" s="39">
        <f>1184240.51-214664</f>
        <v>969576.51</v>
      </c>
      <c r="H2700" s="42">
        <v>211</v>
      </c>
    </row>
    <row r="2701" spans="1:8" ht="15" customHeight="1">
      <c r="A2701" s="26">
        <v>23553747</v>
      </c>
      <c r="B2701" s="29" t="s">
        <v>4939</v>
      </c>
      <c r="C2701" s="29" t="s">
        <v>19664</v>
      </c>
      <c r="D2701" s="29" t="s">
        <v>32858</v>
      </c>
      <c r="E2701" s="29" t="s">
        <v>44815</v>
      </c>
      <c r="F2701" s="36" t="s">
        <v>54401</v>
      </c>
      <c r="G2701" s="39">
        <f>3075881.65+240387</f>
        <v>3316268.65</v>
      </c>
      <c r="H2701" s="42">
        <v>211</v>
      </c>
    </row>
    <row r="2702" spans="1:8" ht="15" customHeight="1">
      <c r="A2702" s="26">
        <v>23553758</v>
      </c>
      <c r="B2702" s="29" t="s">
        <v>4940</v>
      </c>
      <c r="C2702" s="29" t="s">
        <v>19665</v>
      </c>
      <c r="D2702" s="29" t="s">
        <v>32859</v>
      </c>
      <c r="E2702" s="29" t="s">
        <v>45761</v>
      </c>
      <c r="F2702" s="36" t="s">
        <v>54401</v>
      </c>
      <c r="G2702" s="39">
        <v>923718.47</v>
      </c>
      <c r="H2702" s="42">
        <v>211</v>
      </c>
    </row>
    <row r="2703" spans="1:8" ht="15" customHeight="1">
      <c r="A2703" s="26">
        <v>23553830</v>
      </c>
      <c r="B2703" s="29" t="s">
        <v>4941</v>
      </c>
      <c r="C2703" s="29" t="s">
        <v>19666</v>
      </c>
      <c r="D2703" s="29" t="s">
        <v>32860</v>
      </c>
      <c r="E2703" s="29" t="s">
        <v>46122</v>
      </c>
      <c r="F2703" s="36" t="s">
        <v>54401</v>
      </c>
      <c r="G2703" s="39">
        <v>2804931.67</v>
      </c>
      <c r="H2703" s="42">
        <v>211</v>
      </c>
    </row>
    <row r="2704" spans="1:8" ht="15" customHeight="1">
      <c r="A2704" s="26">
        <v>23553850</v>
      </c>
      <c r="B2704" s="29" t="s">
        <v>4942</v>
      </c>
      <c r="C2704" s="29" t="s">
        <v>19667</v>
      </c>
      <c r="D2704" s="29" t="s">
        <v>32861</v>
      </c>
      <c r="E2704" s="29" t="s">
        <v>46123</v>
      </c>
      <c r="F2704" s="36" t="s">
        <v>54401</v>
      </c>
      <c r="G2704" s="39">
        <v>1004168.5</v>
      </c>
      <c r="H2704" s="42">
        <v>211</v>
      </c>
    </row>
    <row r="2705" spans="1:8" ht="15" customHeight="1">
      <c r="A2705" s="26">
        <v>23553919</v>
      </c>
      <c r="B2705" s="29" t="s">
        <v>4943</v>
      </c>
      <c r="C2705" s="29" t="s">
        <v>19668</v>
      </c>
      <c r="D2705" s="29" t="s">
        <v>32862</v>
      </c>
      <c r="E2705" s="29" t="s">
        <v>46124</v>
      </c>
      <c r="F2705" s="36" t="s">
        <v>54401</v>
      </c>
      <c r="G2705" s="39">
        <v>16957.98</v>
      </c>
      <c r="H2705" s="42">
        <v>211</v>
      </c>
    </row>
    <row r="2706" spans="1:8" ht="15" customHeight="1">
      <c r="A2706" s="26">
        <v>23553966</v>
      </c>
      <c r="B2706" s="29" t="s">
        <v>4944</v>
      </c>
      <c r="C2706" s="29" t="s">
        <v>19669</v>
      </c>
      <c r="D2706" s="29" t="s">
        <v>32863</v>
      </c>
      <c r="E2706" s="29" t="s">
        <v>46125</v>
      </c>
      <c r="F2706" s="36" t="s">
        <v>54401</v>
      </c>
      <c r="G2706" s="39">
        <v>64087.94</v>
      </c>
      <c r="H2706" s="42">
        <v>211</v>
      </c>
    </row>
    <row r="2707" spans="1:8" ht="15" customHeight="1">
      <c r="A2707" s="26">
        <v>23554042</v>
      </c>
      <c r="B2707" s="29" t="s">
        <v>4945</v>
      </c>
      <c r="C2707" s="29" t="s">
        <v>19670</v>
      </c>
      <c r="D2707" s="29" t="s">
        <v>32864</v>
      </c>
      <c r="E2707" s="29" t="s">
        <v>46126</v>
      </c>
      <c r="F2707" s="36" t="s">
        <v>54401</v>
      </c>
      <c r="G2707" s="39">
        <v>15592</v>
      </c>
      <c r="H2707" s="42">
        <v>211</v>
      </c>
    </row>
    <row r="2708" spans="1:8" ht="15" customHeight="1">
      <c r="A2708" s="26">
        <v>23554106</v>
      </c>
      <c r="B2708" s="29" t="s">
        <v>4946</v>
      </c>
      <c r="C2708" s="29" t="s">
        <v>19671</v>
      </c>
      <c r="D2708" s="29" t="s">
        <v>32865</v>
      </c>
      <c r="E2708" s="29" t="s">
        <v>46127</v>
      </c>
      <c r="F2708" s="36" t="s">
        <v>54401</v>
      </c>
      <c r="G2708" s="39">
        <f>304911+29542+177941+291379</f>
        <v>803773</v>
      </c>
      <c r="H2708" s="42">
        <v>211</v>
      </c>
    </row>
    <row r="2709" spans="1:8" ht="15" customHeight="1">
      <c r="A2709" s="26">
        <v>23554107</v>
      </c>
      <c r="B2709" s="29" t="s">
        <v>4947</v>
      </c>
      <c r="C2709" s="29" t="s">
        <v>19672</v>
      </c>
      <c r="D2709" s="29" t="s">
        <v>32866</v>
      </c>
      <c r="E2709" s="29" t="s">
        <v>46127</v>
      </c>
      <c r="F2709" s="36" t="s">
        <v>54401</v>
      </c>
      <c r="G2709" s="39">
        <f>459266.22+43044+314589+202963</f>
        <v>1019862.22</v>
      </c>
      <c r="H2709" s="42">
        <v>211</v>
      </c>
    </row>
    <row r="2710" spans="1:8" ht="15" customHeight="1">
      <c r="A2710" s="26">
        <v>23554127</v>
      </c>
      <c r="B2710" s="29" t="s">
        <v>4948</v>
      </c>
      <c r="C2710" s="26" t="s">
        <v>19673</v>
      </c>
      <c r="D2710" s="26" t="s">
        <v>32867</v>
      </c>
      <c r="E2710" s="26" t="s">
        <v>46128</v>
      </c>
      <c r="F2710" s="37" t="s">
        <v>54401</v>
      </c>
      <c r="G2710" s="39">
        <v>608001.64</v>
      </c>
      <c r="H2710" s="42">
        <v>211</v>
      </c>
    </row>
    <row r="2711" spans="1:8" ht="15" customHeight="1">
      <c r="A2711" s="26">
        <v>23554183</v>
      </c>
      <c r="B2711" s="29" t="s">
        <v>4949</v>
      </c>
      <c r="C2711" s="29" t="s">
        <v>19674</v>
      </c>
      <c r="D2711" s="29" t="s">
        <v>32868</v>
      </c>
      <c r="E2711" s="29" t="s">
        <v>46129</v>
      </c>
      <c r="F2711" s="36" t="s">
        <v>54401</v>
      </c>
      <c r="G2711" s="39">
        <v>367258.47</v>
      </c>
      <c r="H2711" s="42">
        <v>211</v>
      </c>
    </row>
    <row r="2712" spans="1:8" ht="15" customHeight="1">
      <c r="A2712" s="26">
        <v>23554238</v>
      </c>
      <c r="B2712" s="29" t="s">
        <v>4950</v>
      </c>
      <c r="C2712" s="29" t="s">
        <v>19675</v>
      </c>
      <c r="D2712" s="29" t="s">
        <v>32869</v>
      </c>
      <c r="E2712" s="29" t="s">
        <v>46130</v>
      </c>
      <c r="F2712" s="36" t="s">
        <v>54401</v>
      </c>
      <c r="G2712" s="39">
        <v>926901.94</v>
      </c>
      <c r="H2712" s="42">
        <v>211</v>
      </c>
    </row>
    <row r="2713" spans="1:8" ht="15" customHeight="1">
      <c r="A2713" s="26">
        <v>23554257</v>
      </c>
      <c r="B2713" s="29" t="s">
        <v>4951</v>
      </c>
      <c r="C2713" s="29" t="s">
        <v>19676</v>
      </c>
      <c r="D2713" s="29" t="s">
        <v>32870</v>
      </c>
      <c r="E2713" s="29" t="s">
        <v>46131</v>
      </c>
      <c r="F2713" s="36" t="s">
        <v>54401</v>
      </c>
      <c r="G2713" s="39">
        <v>337630.48</v>
      </c>
      <c r="H2713" s="42">
        <v>211</v>
      </c>
    </row>
    <row r="2714" spans="1:8" ht="15" customHeight="1">
      <c r="A2714" s="26">
        <v>23554290</v>
      </c>
      <c r="B2714" s="29" t="s">
        <v>4952</v>
      </c>
      <c r="C2714" s="29" t="s">
        <v>19677</v>
      </c>
      <c r="D2714" s="29" t="s">
        <v>32871</v>
      </c>
      <c r="E2714" s="29" t="s">
        <v>46132</v>
      </c>
      <c r="F2714" s="36" t="s">
        <v>54401</v>
      </c>
      <c r="G2714" s="39">
        <v>64789.59</v>
      </c>
      <c r="H2714" s="42">
        <v>211</v>
      </c>
    </row>
    <row r="2715" spans="1:8" ht="15" customHeight="1">
      <c r="A2715" s="26">
        <v>23554390</v>
      </c>
      <c r="B2715" s="29" t="s">
        <v>4953</v>
      </c>
      <c r="C2715" s="29" t="s">
        <v>19678</v>
      </c>
      <c r="D2715" s="29" t="s">
        <v>32872</v>
      </c>
      <c r="E2715" s="29" t="s">
        <v>46133</v>
      </c>
      <c r="F2715" s="36" t="s">
        <v>54401</v>
      </c>
      <c r="G2715" s="39">
        <v>73724.5</v>
      </c>
      <c r="H2715" s="42">
        <v>211</v>
      </c>
    </row>
    <row r="2716" spans="1:8" ht="15" customHeight="1">
      <c r="A2716" s="26">
        <v>23554445</v>
      </c>
      <c r="B2716" s="29" t="s">
        <v>4954</v>
      </c>
      <c r="C2716" s="29" t="s">
        <v>19679</v>
      </c>
      <c r="D2716" s="29" t="s">
        <v>32873</v>
      </c>
      <c r="E2716" s="29" t="s">
        <v>46134</v>
      </c>
      <c r="F2716" s="36" t="s">
        <v>54401</v>
      </c>
      <c r="G2716" s="39">
        <v>553558.93000000005</v>
      </c>
      <c r="H2716" s="42">
        <v>211</v>
      </c>
    </row>
    <row r="2717" spans="1:8" ht="15" customHeight="1">
      <c r="A2717" s="26">
        <v>23554455</v>
      </c>
      <c r="B2717" s="29" t="s">
        <v>4955</v>
      </c>
      <c r="C2717" s="29" t="s">
        <v>19680</v>
      </c>
      <c r="D2717" s="29" t="s">
        <v>32874</v>
      </c>
      <c r="E2717" s="29" t="s">
        <v>46135</v>
      </c>
      <c r="F2717" s="36" t="s">
        <v>54401</v>
      </c>
      <c r="G2717" s="39">
        <f>1266833.47+398376+2449342</f>
        <v>4114551.4699999997</v>
      </c>
      <c r="H2717" s="42">
        <v>211</v>
      </c>
    </row>
    <row r="2718" spans="1:8" ht="15" customHeight="1">
      <c r="A2718" s="26">
        <v>23554468</v>
      </c>
      <c r="B2718" s="29" t="s">
        <v>4956</v>
      </c>
      <c r="C2718" s="29" t="s">
        <v>19681</v>
      </c>
      <c r="D2718" s="29" t="s">
        <v>32875</v>
      </c>
      <c r="E2718" s="29" t="s">
        <v>46136</v>
      </c>
      <c r="F2718" s="36" t="s">
        <v>54409</v>
      </c>
      <c r="G2718" s="39">
        <v>5885171.0099999998</v>
      </c>
      <c r="H2718" s="42">
        <v>211</v>
      </c>
    </row>
    <row r="2719" spans="1:8" ht="15" customHeight="1">
      <c r="A2719" s="26">
        <v>23554509</v>
      </c>
      <c r="B2719" s="29" t="s">
        <v>4957</v>
      </c>
      <c r="C2719" s="29" t="s">
        <v>19682</v>
      </c>
      <c r="D2719" s="29" t="s">
        <v>32876</v>
      </c>
      <c r="E2719" s="29" t="s">
        <v>46137</v>
      </c>
      <c r="F2719" s="36" t="s">
        <v>54401</v>
      </c>
      <c r="G2719" s="39">
        <v>179003.26</v>
      </c>
      <c r="H2719" s="42">
        <v>211</v>
      </c>
    </row>
    <row r="2720" spans="1:8" ht="15" customHeight="1">
      <c r="A2720" s="26">
        <v>23554512</v>
      </c>
      <c r="B2720" s="29" t="s">
        <v>4958</v>
      </c>
      <c r="C2720" s="29" t="s">
        <v>19683</v>
      </c>
      <c r="D2720" s="29" t="s">
        <v>32877</v>
      </c>
      <c r="E2720" s="29" t="s">
        <v>46138</v>
      </c>
      <c r="F2720" s="36" t="s">
        <v>54401</v>
      </c>
      <c r="G2720" s="39">
        <v>615660.37</v>
      </c>
      <c r="H2720" s="42">
        <v>211</v>
      </c>
    </row>
    <row r="2721" spans="1:8" ht="15" customHeight="1">
      <c r="A2721" s="26">
        <v>23554652</v>
      </c>
      <c r="B2721" s="29" t="s">
        <v>4959</v>
      </c>
      <c r="C2721" s="29" t="s">
        <v>19684</v>
      </c>
      <c r="D2721" s="29" t="s">
        <v>32878</v>
      </c>
      <c r="E2721" s="29" t="s">
        <v>46139</v>
      </c>
      <c r="F2721" s="36" t="s">
        <v>54401</v>
      </c>
      <c r="G2721" s="39">
        <v>42907.56</v>
      </c>
      <c r="H2721" s="42">
        <v>211</v>
      </c>
    </row>
    <row r="2722" spans="1:8" ht="15" customHeight="1">
      <c r="A2722" s="26">
        <v>23554683</v>
      </c>
      <c r="B2722" s="30" t="s">
        <v>4960</v>
      </c>
      <c r="C2722" s="29" t="s">
        <v>19685</v>
      </c>
      <c r="D2722" s="29" t="s">
        <v>32879</v>
      </c>
      <c r="E2722" s="29" t="s">
        <v>43926</v>
      </c>
      <c r="F2722" s="36" t="s">
        <v>54401</v>
      </c>
      <c r="G2722" s="39">
        <v>795732.61</v>
      </c>
      <c r="H2722" s="42">
        <v>211</v>
      </c>
    </row>
    <row r="2723" spans="1:8" ht="15" customHeight="1">
      <c r="A2723" s="26">
        <v>23554705</v>
      </c>
      <c r="B2723" s="29" t="s">
        <v>4961</v>
      </c>
      <c r="C2723" s="29" t="s">
        <v>19686</v>
      </c>
      <c r="D2723" s="29" t="s">
        <v>32880</v>
      </c>
      <c r="E2723" s="29" t="s">
        <v>46140</v>
      </c>
      <c r="F2723" s="36" t="s">
        <v>54401</v>
      </c>
      <c r="G2723" s="39">
        <v>1478392.78</v>
      </c>
      <c r="H2723" s="42">
        <v>211</v>
      </c>
    </row>
    <row r="2724" spans="1:8" ht="15" customHeight="1">
      <c r="A2724" s="26">
        <v>23554724</v>
      </c>
      <c r="B2724" s="29" t="s">
        <v>4962</v>
      </c>
      <c r="C2724" s="29" t="s">
        <v>19687</v>
      </c>
      <c r="D2724" s="29" t="s">
        <v>32881</v>
      </c>
      <c r="E2724" s="29" t="s">
        <v>46141</v>
      </c>
      <c r="F2724" s="36" t="s">
        <v>54401</v>
      </c>
      <c r="G2724" s="39">
        <f>505537.97+1440395</f>
        <v>1945932.97</v>
      </c>
      <c r="H2724" s="42">
        <v>211</v>
      </c>
    </row>
    <row r="2725" spans="1:8" ht="15" customHeight="1">
      <c r="A2725" s="26">
        <v>23554801</v>
      </c>
      <c r="B2725" s="29" t="s">
        <v>4963</v>
      </c>
      <c r="C2725" s="26" t="s">
        <v>19688</v>
      </c>
      <c r="D2725" s="26" t="s">
        <v>32882</v>
      </c>
      <c r="E2725" s="26" t="s">
        <v>46142</v>
      </c>
      <c r="F2725" s="37" t="s">
        <v>54401</v>
      </c>
      <c r="G2725" s="39">
        <v>3566961.77</v>
      </c>
      <c r="H2725" s="42">
        <v>211</v>
      </c>
    </row>
    <row r="2726" spans="1:8" ht="15" customHeight="1">
      <c r="A2726" s="26">
        <v>23554886</v>
      </c>
      <c r="B2726" s="29" t="s">
        <v>4964</v>
      </c>
      <c r="C2726" s="29" t="s">
        <v>19689</v>
      </c>
      <c r="D2726" s="29" t="s">
        <v>32883</v>
      </c>
      <c r="E2726" s="29" t="s">
        <v>46143</v>
      </c>
      <c r="F2726" s="36" t="s">
        <v>54401</v>
      </c>
      <c r="G2726" s="39">
        <v>22504.2</v>
      </c>
      <c r="H2726" s="42">
        <v>211</v>
      </c>
    </row>
    <row r="2727" spans="1:8" ht="15" customHeight="1">
      <c r="A2727" s="26">
        <v>23554906</v>
      </c>
      <c r="B2727" s="29" t="s">
        <v>4965</v>
      </c>
      <c r="C2727" s="29" t="s">
        <v>19690</v>
      </c>
      <c r="D2727" s="29" t="s">
        <v>32884</v>
      </c>
      <c r="E2727" s="29" t="s">
        <v>43926</v>
      </c>
      <c r="F2727" s="36" t="s">
        <v>54401</v>
      </c>
      <c r="G2727" s="39">
        <v>554739.61</v>
      </c>
      <c r="H2727" s="42">
        <v>211</v>
      </c>
    </row>
    <row r="2728" spans="1:8" ht="15" customHeight="1">
      <c r="A2728" s="26">
        <v>23554963</v>
      </c>
      <c r="B2728" s="29" t="s">
        <v>4966</v>
      </c>
      <c r="C2728" s="29" t="s">
        <v>19691</v>
      </c>
      <c r="D2728" s="29" t="s">
        <v>32885</v>
      </c>
      <c r="E2728" s="29" t="s">
        <v>46144</v>
      </c>
      <c r="F2728" s="36" t="s">
        <v>54401</v>
      </c>
      <c r="G2728" s="39">
        <v>229798.39999999999</v>
      </c>
      <c r="H2728" s="42">
        <v>211</v>
      </c>
    </row>
    <row r="2729" spans="1:8" ht="15" customHeight="1">
      <c r="A2729" s="26">
        <v>23555016</v>
      </c>
      <c r="B2729" s="29" t="s">
        <v>4967</v>
      </c>
      <c r="C2729" s="29" t="s">
        <v>19692</v>
      </c>
      <c r="D2729" s="29" t="s">
        <v>32886</v>
      </c>
      <c r="E2729" s="29" t="s">
        <v>46145</v>
      </c>
      <c r="F2729" s="36" t="s">
        <v>54401</v>
      </c>
      <c r="G2729" s="39">
        <v>127948.61</v>
      </c>
      <c r="H2729" s="42">
        <v>211</v>
      </c>
    </row>
    <row r="2730" spans="1:8" ht="15" customHeight="1">
      <c r="A2730" s="26">
        <v>23555109</v>
      </c>
      <c r="B2730" s="29" t="s">
        <v>4968</v>
      </c>
      <c r="C2730" s="29" t="s">
        <v>19693</v>
      </c>
      <c r="D2730" s="29" t="s">
        <v>32887</v>
      </c>
      <c r="E2730" s="29" t="s">
        <v>46146</v>
      </c>
      <c r="F2730" s="36" t="s">
        <v>54401</v>
      </c>
      <c r="G2730" s="39">
        <v>341350.32</v>
      </c>
      <c r="H2730" s="42">
        <v>211</v>
      </c>
    </row>
    <row r="2731" spans="1:8" ht="15" customHeight="1">
      <c r="A2731" s="26">
        <v>23555152</v>
      </c>
      <c r="B2731" s="29" t="s">
        <v>4969</v>
      </c>
      <c r="C2731" s="29" t="s">
        <v>19694</v>
      </c>
      <c r="D2731" s="29" t="s">
        <v>32888</v>
      </c>
      <c r="E2731" s="29" t="s">
        <v>46147</v>
      </c>
      <c r="F2731" s="36" t="s">
        <v>54401</v>
      </c>
      <c r="G2731" s="39">
        <v>77709.8</v>
      </c>
      <c r="H2731" s="42">
        <v>211</v>
      </c>
    </row>
    <row r="2732" spans="1:8" ht="15" customHeight="1">
      <c r="A2732" s="26">
        <v>23555187</v>
      </c>
      <c r="B2732" s="29" t="s">
        <v>4970</v>
      </c>
      <c r="C2732" s="29" t="s">
        <v>19695</v>
      </c>
      <c r="D2732" s="29" t="s">
        <v>32889</v>
      </c>
      <c r="E2732" s="29" t="s">
        <v>46148</v>
      </c>
      <c r="F2732" s="36" t="s">
        <v>54401</v>
      </c>
      <c r="G2732" s="39">
        <v>609987.47</v>
      </c>
      <c r="H2732" s="42">
        <v>211</v>
      </c>
    </row>
    <row r="2733" spans="1:8" ht="15" customHeight="1">
      <c r="A2733" s="26">
        <v>23555189</v>
      </c>
      <c r="B2733" s="29" t="s">
        <v>4971</v>
      </c>
      <c r="C2733" s="29" t="s">
        <v>19696</v>
      </c>
      <c r="D2733" s="29" t="s">
        <v>32890</v>
      </c>
      <c r="E2733" s="29" t="s">
        <v>46149</v>
      </c>
      <c r="F2733" s="36" t="s">
        <v>54401</v>
      </c>
      <c r="G2733" s="39">
        <v>61960.59</v>
      </c>
      <c r="H2733" s="42">
        <v>211</v>
      </c>
    </row>
    <row r="2734" spans="1:8" ht="15" customHeight="1">
      <c r="A2734" s="26">
        <v>23555207</v>
      </c>
      <c r="B2734" s="29" t="s">
        <v>4972</v>
      </c>
      <c r="C2734" s="29" t="s">
        <v>19697</v>
      </c>
      <c r="D2734" s="29" t="s">
        <v>32891</v>
      </c>
      <c r="E2734" s="29" t="s">
        <v>46150</v>
      </c>
      <c r="F2734" s="36" t="s">
        <v>54401</v>
      </c>
      <c r="G2734" s="39">
        <v>136932.71</v>
      </c>
      <c r="H2734" s="42">
        <v>211</v>
      </c>
    </row>
    <row r="2735" spans="1:8" ht="15" customHeight="1">
      <c r="A2735" s="26">
        <v>23555223</v>
      </c>
      <c r="B2735" s="29" t="s">
        <v>4973</v>
      </c>
      <c r="C2735" s="29" t="s">
        <v>19698</v>
      </c>
      <c r="D2735" s="29" t="s">
        <v>32892</v>
      </c>
      <c r="E2735" s="29" t="s">
        <v>46151</v>
      </c>
      <c r="F2735" s="36" t="s">
        <v>54401</v>
      </c>
      <c r="G2735" s="39">
        <v>80184.03</v>
      </c>
      <c r="H2735" s="42">
        <v>211</v>
      </c>
    </row>
    <row r="2736" spans="1:8" ht="15" customHeight="1">
      <c r="A2736" s="26">
        <v>23555298</v>
      </c>
      <c r="B2736" s="29" t="s">
        <v>4974</v>
      </c>
      <c r="C2736" s="29" t="s">
        <v>19699</v>
      </c>
      <c r="D2736" s="29" t="s">
        <v>32893</v>
      </c>
      <c r="E2736" s="29" t="s">
        <v>44769</v>
      </c>
      <c r="F2736" s="36" t="s">
        <v>54401</v>
      </c>
      <c r="G2736" s="39">
        <v>9250</v>
      </c>
      <c r="H2736" s="42">
        <v>211</v>
      </c>
    </row>
    <row r="2737" spans="1:8" ht="15" customHeight="1">
      <c r="A2737" s="26">
        <v>23555314</v>
      </c>
      <c r="B2737" s="29" t="s">
        <v>4975</v>
      </c>
      <c r="C2737" s="29" t="s">
        <v>19700</v>
      </c>
      <c r="D2737" s="29" t="s">
        <v>32894</v>
      </c>
      <c r="E2737" s="29" t="s">
        <v>45369</v>
      </c>
      <c r="F2737" s="36" t="s">
        <v>54401</v>
      </c>
      <c r="G2737" s="39">
        <v>304477.87</v>
      </c>
      <c r="H2737" s="42">
        <v>211</v>
      </c>
    </row>
    <row r="2738" spans="1:8" ht="15" customHeight="1">
      <c r="A2738" s="26">
        <v>23555324</v>
      </c>
      <c r="B2738" s="29" t="s">
        <v>4976</v>
      </c>
      <c r="C2738" s="29" t="s">
        <v>19701</v>
      </c>
      <c r="D2738" s="29" t="s">
        <v>32895</v>
      </c>
      <c r="E2738" s="29" t="s">
        <v>46152</v>
      </c>
      <c r="F2738" s="36" t="s">
        <v>54408</v>
      </c>
      <c r="G2738" s="39">
        <v>1716634.06</v>
      </c>
      <c r="H2738" s="42">
        <v>211</v>
      </c>
    </row>
    <row r="2739" spans="1:8" ht="15" customHeight="1">
      <c r="A2739" s="26">
        <v>23555331</v>
      </c>
      <c r="B2739" s="29" t="s">
        <v>4977</v>
      </c>
      <c r="C2739" s="29" t="s">
        <v>19702</v>
      </c>
      <c r="D2739" s="29" t="s">
        <v>32896</v>
      </c>
      <c r="E2739" s="29" t="s">
        <v>44725</v>
      </c>
      <c r="F2739" s="36" t="s">
        <v>54401</v>
      </c>
      <c r="G2739" s="39">
        <v>802283.99</v>
      </c>
      <c r="H2739" s="42">
        <v>211</v>
      </c>
    </row>
    <row r="2740" spans="1:8" ht="15" customHeight="1">
      <c r="A2740" s="26">
        <v>23555361</v>
      </c>
      <c r="B2740" s="29" t="s">
        <v>4978</v>
      </c>
      <c r="C2740" s="29" t="s">
        <v>19703</v>
      </c>
      <c r="D2740" s="29" t="s">
        <v>32897</v>
      </c>
      <c r="E2740" s="29" t="s">
        <v>46153</v>
      </c>
      <c r="F2740" s="36" t="s">
        <v>54401</v>
      </c>
      <c r="G2740" s="39">
        <f>50216535.66-248470</f>
        <v>49968065.659999996</v>
      </c>
      <c r="H2740" s="42">
        <v>211</v>
      </c>
    </row>
    <row r="2741" spans="1:8" ht="15" customHeight="1">
      <c r="A2741" s="26">
        <v>23555407</v>
      </c>
      <c r="B2741" s="29" t="s">
        <v>4979</v>
      </c>
      <c r="C2741" s="29" t="s">
        <v>19704</v>
      </c>
      <c r="D2741" s="29" t="s">
        <v>32898</v>
      </c>
      <c r="E2741" s="29" t="s">
        <v>46154</v>
      </c>
      <c r="F2741" s="36" t="s">
        <v>54401</v>
      </c>
      <c r="G2741" s="39">
        <v>115922.4</v>
      </c>
      <c r="H2741" s="42">
        <v>211</v>
      </c>
    </row>
    <row r="2742" spans="1:8" ht="15" customHeight="1">
      <c r="A2742" s="26">
        <v>23555434</v>
      </c>
      <c r="B2742" s="29" t="s">
        <v>4980</v>
      </c>
      <c r="C2742" s="29" t="s">
        <v>19705</v>
      </c>
      <c r="D2742" s="29" t="s">
        <v>32899</v>
      </c>
      <c r="E2742" s="29" t="s">
        <v>46155</v>
      </c>
      <c r="F2742" s="36" t="s">
        <v>54401</v>
      </c>
      <c r="G2742" s="39">
        <f>10621109.53-51831</f>
        <v>10569278.529999999</v>
      </c>
      <c r="H2742" s="42">
        <v>211</v>
      </c>
    </row>
    <row r="2743" spans="1:8" ht="15" customHeight="1">
      <c r="A2743" s="26">
        <v>23555456</v>
      </c>
      <c r="B2743" s="29" t="s">
        <v>4981</v>
      </c>
      <c r="C2743" s="26" t="s">
        <v>19706</v>
      </c>
      <c r="D2743" s="26" t="s">
        <v>32900</v>
      </c>
      <c r="E2743" s="26" t="s">
        <v>46156</v>
      </c>
      <c r="F2743" s="37" t="s">
        <v>54401</v>
      </c>
      <c r="G2743" s="39">
        <v>1008129.51</v>
      </c>
      <c r="H2743" s="42">
        <v>211</v>
      </c>
    </row>
    <row r="2744" spans="1:8" ht="15" customHeight="1">
      <c r="A2744" s="26">
        <v>23555470</v>
      </c>
      <c r="B2744" s="29" t="s">
        <v>4982</v>
      </c>
      <c r="C2744" s="29" t="s">
        <v>19707</v>
      </c>
      <c r="D2744" s="29" t="s">
        <v>32901</v>
      </c>
      <c r="E2744" s="29" t="s">
        <v>46157</v>
      </c>
      <c r="F2744" s="36" t="s">
        <v>54401</v>
      </c>
      <c r="G2744" s="39">
        <v>372413.93</v>
      </c>
      <c r="H2744" s="42">
        <v>211</v>
      </c>
    </row>
    <row r="2745" spans="1:8" ht="15" customHeight="1">
      <c r="A2745" s="26">
        <v>23555478</v>
      </c>
      <c r="B2745" s="29" t="s">
        <v>4983</v>
      </c>
      <c r="C2745" s="29" t="s">
        <v>19708</v>
      </c>
      <c r="D2745" s="29" t="s">
        <v>32902</v>
      </c>
      <c r="E2745" s="29" t="s">
        <v>46158</v>
      </c>
      <c r="F2745" s="36" t="s">
        <v>54401</v>
      </c>
      <c r="G2745" s="39">
        <v>16243.7</v>
      </c>
      <c r="H2745" s="42">
        <v>211</v>
      </c>
    </row>
    <row r="2746" spans="1:8" ht="15" customHeight="1">
      <c r="A2746" s="26">
        <v>23555499</v>
      </c>
      <c r="B2746" s="29" t="s">
        <v>4984</v>
      </c>
      <c r="C2746" s="29" t="s">
        <v>19709</v>
      </c>
      <c r="D2746" s="29" t="s">
        <v>32903</v>
      </c>
      <c r="E2746" s="29" t="s">
        <v>43926</v>
      </c>
      <c r="F2746" s="36" t="s">
        <v>54401</v>
      </c>
      <c r="G2746" s="39">
        <v>42361.34</v>
      </c>
      <c r="H2746" s="42">
        <v>211</v>
      </c>
    </row>
    <row r="2747" spans="1:8" ht="15" customHeight="1">
      <c r="A2747" s="26">
        <v>23555511</v>
      </c>
      <c r="B2747" s="29" t="s">
        <v>4985</v>
      </c>
      <c r="C2747" s="29" t="s">
        <v>19710</v>
      </c>
      <c r="D2747" s="29" t="s">
        <v>32904</v>
      </c>
      <c r="E2747" s="29" t="s">
        <v>43926</v>
      </c>
      <c r="F2747" s="36" t="s">
        <v>54401</v>
      </c>
      <c r="G2747" s="39">
        <v>161092.44</v>
      </c>
      <c r="H2747" s="42">
        <v>211</v>
      </c>
    </row>
    <row r="2748" spans="1:8" ht="15" customHeight="1">
      <c r="A2748" s="26">
        <v>23555574</v>
      </c>
      <c r="B2748" s="29" t="s">
        <v>4986</v>
      </c>
      <c r="C2748" s="29" t="s">
        <v>19711</v>
      </c>
      <c r="D2748" s="29" t="s">
        <v>32905</v>
      </c>
      <c r="E2748" s="29" t="s">
        <v>46159</v>
      </c>
      <c r="F2748" s="36" t="s">
        <v>54401</v>
      </c>
      <c r="G2748" s="39">
        <v>2686488.83</v>
      </c>
      <c r="H2748" s="42">
        <v>211</v>
      </c>
    </row>
    <row r="2749" spans="1:8" ht="15" customHeight="1">
      <c r="A2749" s="26">
        <v>23555592</v>
      </c>
      <c r="B2749" s="29" t="s">
        <v>4987</v>
      </c>
      <c r="C2749" s="29" t="s">
        <v>17204</v>
      </c>
      <c r="D2749" s="29" t="s">
        <v>30376</v>
      </c>
      <c r="E2749" s="29" t="s">
        <v>43926</v>
      </c>
      <c r="F2749" s="36" t="s">
        <v>54401</v>
      </c>
      <c r="G2749" s="39">
        <v>94219.66</v>
      </c>
      <c r="H2749" s="42">
        <v>211</v>
      </c>
    </row>
    <row r="2750" spans="1:8" ht="15" customHeight="1">
      <c r="A2750" s="26">
        <v>23555615</v>
      </c>
      <c r="B2750" s="29" t="s">
        <v>4988</v>
      </c>
      <c r="C2750" s="29" t="s">
        <v>19712</v>
      </c>
      <c r="D2750" s="29" t="s">
        <v>32906</v>
      </c>
      <c r="E2750" s="29" t="s">
        <v>46160</v>
      </c>
      <c r="F2750" s="36" t="s">
        <v>54401</v>
      </c>
      <c r="G2750" s="39">
        <f>17308147.38+165170</f>
        <v>17473317.379999999</v>
      </c>
      <c r="H2750" s="42">
        <v>211</v>
      </c>
    </row>
    <row r="2751" spans="1:8" ht="15" customHeight="1">
      <c r="A2751" s="26">
        <v>23555619</v>
      </c>
      <c r="B2751" s="29" t="s">
        <v>4989</v>
      </c>
      <c r="C2751" s="29" t="s">
        <v>17204</v>
      </c>
      <c r="D2751" s="29" t="s">
        <v>30349</v>
      </c>
      <c r="E2751" s="29" t="s">
        <v>43926</v>
      </c>
      <c r="F2751" s="36" t="s">
        <v>54401</v>
      </c>
      <c r="G2751" s="39">
        <v>237937.7</v>
      </c>
      <c r="H2751" s="42">
        <v>211</v>
      </c>
    </row>
    <row r="2752" spans="1:8" ht="15" customHeight="1">
      <c r="A2752" s="26">
        <v>23555742</v>
      </c>
      <c r="B2752" s="29" t="s">
        <v>4990</v>
      </c>
      <c r="C2752" s="26" t="s">
        <v>19713</v>
      </c>
      <c r="D2752" s="26" t="s">
        <v>32907</v>
      </c>
      <c r="E2752" s="26" t="s">
        <v>46161</v>
      </c>
      <c r="F2752" s="37" t="s">
        <v>54401</v>
      </c>
      <c r="G2752" s="39">
        <v>11690.5</v>
      </c>
      <c r="H2752" s="42">
        <v>211</v>
      </c>
    </row>
    <row r="2753" spans="1:8" ht="15" customHeight="1">
      <c r="A2753" s="26">
        <v>23555751</v>
      </c>
      <c r="B2753" s="29" t="s">
        <v>4991</v>
      </c>
      <c r="C2753" s="29" t="s">
        <v>19714</v>
      </c>
      <c r="D2753" s="29" t="s">
        <v>32908</v>
      </c>
      <c r="E2753" s="29" t="s">
        <v>46162</v>
      </c>
      <c r="F2753" s="36" t="s">
        <v>54409</v>
      </c>
      <c r="G2753" s="39">
        <f>13612430.73+850806+279465</f>
        <v>14742701.73</v>
      </c>
      <c r="H2753" s="42">
        <v>211</v>
      </c>
    </row>
    <row r="2754" spans="1:8" ht="15" customHeight="1">
      <c r="A2754" s="26">
        <v>23555757</v>
      </c>
      <c r="B2754" s="29" t="s">
        <v>4992</v>
      </c>
      <c r="C2754" s="26" t="s">
        <v>19715</v>
      </c>
      <c r="D2754" s="26" t="s">
        <v>32909</v>
      </c>
      <c r="E2754" s="26" t="s">
        <v>46163</v>
      </c>
      <c r="F2754" s="37" t="s">
        <v>54401</v>
      </c>
      <c r="G2754" s="39">
        <v>2297048.83</v>
      </c>
      <c r="H2754" s="42">
        <v>211</v>
      </c>
    </row>
    <row r="2755" spans="1:8" ht="15" customHeight="1">
      <c r="A2755" s="26">
        <v>23555764</v>
      </c>
      <c r="B2755" s="29" t="s">
        <v>4993</v>
      </c>
      <c r="C2755" s="29" t="s">
        <v>19716</v>
      </c>
      <c r="D2755" s="29" t="s">
        <v>32910</v>
      </c>
      <c r="E2755" s="29" t="s">
        <v>46164</v>
      </c>
      <c r="F2755" s="36" t="s">
        <v>54401</v>
      </c>
      <c r="G2755" s="39">
        <v>50360.95</v>
      </c>
      <c r="H2755" s="42">
        <v>211</v>
      </c>
    </row>
    <row r="2756" spans="1:8" ht="15" customHeight="1">
      <c r="A2756" s="26">
        <v>23555776</v>
      </c>
      <c r="B2756" s="29" t="s">
        <v>4994</v>
      </c>
      <c r="C2756" s="29" t="s">
        <v>19717</v>
      </c>
      <c r="D2756" s="29" t="s">
        <v>32911</v>
      </c>
      <c r="E2756" s="29" t="s">
        <v>46165</v>
      </c>
      <c r="F2756" s="36" t="s">
        <v>54401</v>
      </c>
      <c r="G2756" s="39">
        <v>338477.12</v>
      </c>
      <c r="H2756" s="42">
        <v>211</v>
      </c>
    </row>
    <row r="2757" spans="1:8" ht="15" customHeight="1">
      <c r="A2757" s="26">
        <v>23555848</v>
      </c>
      <c r="B2757" s="29" t="s">
        <v>4995</v>
      </c>
      <c r="C2757" s="29" t="s">
        <v>19718</v>
      </c>
      <c r="D2757" s="29" t="s">
        <v>32912</v>
      </c>
      <c r="E2757" s="29" t="s">
        <v>46166</v>
      </c>
      <c r="F2757" s="36" t="s">
        <v>54401</v>
      </c>
      <c r="G2757" s="39">
        <f>571217.67+117330+89890</f>
        <v>778437.67</v>
      </c>
      <c r="H2757" s="42">
        <v>211</v>
      </c>
    </row>
    <row r="2758" spans="1:8" ht="15" customHeight="1">
      <c r="A2758" s="26">
        <v>23555855</v>
      </c>
      <c r="B2758" s="29" t="s">
        <v>4996</v>
      </c>
      <c r="C2758" s="29" t="s">
        <v>19719</v>
      </c>
      <c r="D2758" s="29" t="s">
        <v>32913</v>
      </c>
      <c r="E2758" s="29" t="s">
        <v>46167</v>
      </c>
      <c r="F2758" s="36" t="s">
        <v>54401</v>
      </c>
      <c r="G2758" s="39">
        <f>1548385.98+338810</f>
        <v>1887195.98</v>
      </c>
      <c r="H2758" s="42">
        <v>211</v>
      </c>
    </row>
    <row r="2759" spans="1:8" ht="15" customHeight="1">
      <c r="A2759" s="26">
        <v>23555880</v>
      </c>
      <c r="B2759" s="29" t="s">
        <v>4997</v>
      </c>
      <c r="C2759" s="29" t="s">
        <v>19720</v>
      </c>
      <c r="D2759" s="29" t="s">
        <v>32914</v>
      </c>
      <c r="E2759" s="29" t="s">
        <v>46168</v>
      </c>
      <c r="F2759" s="36" t="s">
        <v>54401</v>
      </c>
      <c r="G2759" s="39">
        <f>449240.19+72504</f>
        <v>521744.19</v>
      </c>
      <c r="H2759" s="42">
        <v>211</v>
      </c>
    </row>
    <row r="2760" spans="1:8" ht="15" customHeight="1">
      <c r="A2760" s="26">
        <v>23555920</v>
      </c>
      <c r="B2760" s="29" t="s">
        <v>4998</v>
      </c>
      <c r="C2760" s="29" t="s">
        <v>19721</v>
      </c>
      <c r="D2760" s="29" t="s">
        <v>32915</v>
      </c>
      <c r="E2760" s="29" t="s">
        <v>46169</v>
      </c>
      <c r="F2760" s="36" t="s">
        <v>54401</v>
      </c>
      <c r="G2760" s="39">
        <v>45995.61</v>
      </c>
      <c r="H2760" s="42">
        <v>211</v>
      </c>
    </row>
    <row r="2761" spans="1:8" ht="15" customHeight="1">
      <c r="A2761" s="26">
        <v>23555968</v>
      </c>
      <c r="B2761" s="29" t="s">
        <v>4999</v>
      </c>
      <c r="C2761" s="29" t="s">
        <v>19722</v>
      </c>
      <c r="D2761" s="29" t="s">
        <v>32916</v>
      </c>
      <c r="E2761" s="29" t="s">
        <v>46170</v>
      </c>
      <c r="F2761" s="36" t="s">
        <v>54401</v>
      </c>
      <c r="G2761" s="39">
        <v>50902.080000000002</v>
      </c>
      <c r="H2761" s="42">
        <v>211</v>
      </c>
    </row>
    <row r="2762" spans="1:8" ht="15" customHeight="1">
      <c r="A2762" s="26">
        <v>23555969</v>
      </c>
      <c r="B2762" s="29" t="s">
        <v>5000</v>
      </c>
      <c r="C2762" s="29" t="s">
        <v>19723</v>
      </c>
      <c r="D2762" s="29" t="s">
        <v>32917</v>
      </c>
      <c r="E2762" s="29" t="s">
        <v>46171</v>
      </c>
      <c r="F2762" s="36" t="s">
        <v>54409</v>
      </c>
      <c r="G2762" s="39">
        <v>675109.23</v>
      </c>
      <c r="H2762" s="42">
        <v>211</v>
      </c>
    </row>
    <row r="2763" spans="1:8" ht="15" customHeight="1">
      <c r="A2763" s="26">
        <v>23556009</v>
      </c>
      <c r="B2763" s="29" t="s">
        <v>5001</v>
      </c>
      <c r="C2763" s="29" t="s">
        <v>19724</v>
      </c>
      <c r="D2763" s="29" t="s">
        <v>32918</v>
      </c>
      <c r="E2763" s="29" t="s">
        <v>46172</v>
      </c>
      <c r="F2763" s="36" t="s">
        <v>54401</v>
      </c>
      <c r="G2763" s="39">
        <v>5046762.6900000004</v>
      </c>
      <c r="H2763" s="42">
        <v>211</v>
      </c>
    </row>
    <row r="2764" spans="1:8" ht="15" customHeight="1">
      <c r="A2764" s="26">
        <v>23556026</v>
      </c>
      <c r="B2764" s="29" t="s">
        <v>5002</v>
      </c>
      <c r="C2764" s="29" t="s">
        <v>19725</v>
      </c>
      <c r="D2764" s="29" t="s">
        <v>32919</v>
      </c>
      <c r="E2764" s="29" t="s">
        <v>44264</v>
      </c>
      <c r="F2764" s="36" t="s">
        <v>54409</v>
      </c>
      <c r="G2764" s="39">
        <v>343001.06</v>
      </c>
      <c r="H2764" s="42">
        <v>211</v>
      </c>
    </row>
    <row r="2765" spans="1:8" ht="15" customHeight="1">
      <c r="A2765" s="26">
        <v>23556037</v>
      </c>
      <c r="B2765" s="29" t="s">
        <v>5003</v>
      </c>
      <c r="C2765" s="26" t="s">
        <v>19726</v>
      </c>
      <c r="D2765" s="26" t="s">
        <v>32920</v>
      </c>
      <c r="E2765" s="26" t="s">
        <v>46173</v>
      </c>
      <c r="F2765" s="37" t="s">
        <v>54401</v>
      </c>
      <c r="G2765" s="39">
        <f>578750.89+579018</f>
        <v>1157768.8900000001</v>
      </c>
      <c r="H2765" s="42">
        <v>211</v>
      </c>
    </row>
    <row r="2766" spans="1:8" ht="15" customHeight="1">
      <c r="A2766" s="26">
        <v>23556055</v>
      </c>
      <c r="B2766" s="29" t="s">
        <v>5004</v>
      </c>
      <c r="C2766" s="29" t="s">
        <v>19727</v>
      </c>
      <c r="D2766" s="29" t="s">
        <v>32921</v>
      </c>
      <c r="E2766" s="29" t="s">
        <v>46174</v>
      </c>
      <c r="F2766" s="36" t="s">
        <v>54401</v>
      </c>
      <c r="G2766" s="39">
        <v>209448.16</v>
      </c>
      <c r="H2766" s="42">
        <v>211</v>
      </c>
    </row>
    <row r="2767" spans="1:8" ht="15" customHeight="1">
      <c r="A2767" s="26">
        <v>23556110</v>
      </c>
      <c r="B2767" s="29" t="s">
        <v>5005</v>
      </c>
      <c r="C2767" s="29" t="s">
        <v>19728</v>
      </c>
      <c r="D2767" s="29" t="s">
        <v>32922</v>
      </c>
      <c r="E2767" s="29" t="s">
        <v>46175</v>
      </c>
      <c r="F2767" s="36" t="s">
        <v>54401</v>
      </c>
      <c r="G2767" s="39">
        <v>6039981.5800000001</v>
      </c>
      <c r="H2767" s="42">
        <v>211</v>
      </c>
    </row>
    <row r="2768" spans="1:8" ht="15" customHeight="1">
      <c r="A2768" s="26">
        <v>23556115</v>
      </c>
      <c r="B2768" s="29" t="s">
        <v>5006</v>
      </c>
      <c r="C2768" s="29" t="s">
        <v>17204</v>
      </c>
      <c r="D2768" s="29" t="s">
        <v>30349</v>
      </c>
      <c r="E2768" s="29" t="s">
        <v>43926</v>
      </c>
      <c r="F2768" s="36" t="s">
        <v>54401</v>
      </c>
      <c r="G2768" s="39">
        <v>342643.78</v>
      </c>
      <c r="H2768" s="42">
        <v>211</v>
      </c>
    </row>
    <row r="2769" spans="1:8" ht="15" customHeight="1">
      <c r="A2769" s="26">
        <v>23556134</v>
      </c>
      <c r="B2769" s="29" t="s">
        <v>5007</v>
      </c>
      <c r="C2769" s="29" t="s">
        <v>19729</v>
      </c>
      <c r="D2769" s="29" t="s">
        <v>32923</v>
      </c>
      <c r="E2769" s="29" t="s">
        <v>46176</v>
      </c>
      <c r="F2769" s="36" t="s">
        <v>54401</v>
      </c>
      <c r="G2769" s="39">
        <f>451445.38+229083+57231</f>
        <v>737759.38</v>
      </c>
      <c r="H2769" s="42">
        <v>211</v>
      </c>
    </row>
    <row r="2770" spans="1:8" ht="15" customHeight="1">
      <c r="A2770" s="26">
        <v>23556204</v>
      </c>
      <c r="B2770" s="29" t="s">
        <v>5008</v>
      </c>
      <c r="C2770" s="29" t="s">
        <v>19730</v>
      </c>
      <c r="D2770" s="29" t="s">
        <v>32924</v>
      </c>
      <c r="E2770" s="29" t="s">
        <v>44905</v>
      </c>
      <c r="F2770" s="36" t="s">
        <v>54401</v>
      </c>
      <c r="G2770" s="39">
        <v>438307.37</v>
      </c>
      <c r="H2770" s="42">
        <v>211</v>
      </c>
    </row>
    <row r="2771" spans="1:8" ht="15" customHeight="1">
      <c r="A2771" s="26">
        <v>23556207</v>
      </c>
      <c r="B2771" s="29" t="s">
        <v>5009</v>
      </c>
      <c r="C2771" s="29" t="s">
        <v>19731</v>
      </c>
      <c r="D2771" s="29" t="s">
        <v>32925</v>
      </c>
      <c r="E2771" s="29" t="s">
        <v>45254</v>
      </c>
      <c r="F2771" s="36" t="s">
        <v>54401</v>
      </c>
      <c r="G2771" s="39">
        <v>28254.89</v>
      </c>
      <c r="H2771" s="42">
        <v>211</v>
      </c>
    </row>
    <row r="2772" spans="1:8" ht="15" customHeight="1">
      <c r="A2772" s="26">
        <v>23556234</v>
      </c>
      <c r="B2772" s="29" t="s">
        <v>5010</v>
      </c>
      <c r="C2772" s="29" t="s">
        <v>19732</v>
      </c>
      <c r="D2772" s="29" t="s">
        <v>32926</v>
      </c>
      <c r="E2772" s="29" t="s">
        <v>46177</v>
      </c>
      <c r="F2772" s="36" t="s">
        <v>54418</v>
      </c>
      <c r="G2772" s="39">
        <v>1534440.57</v>
      </c>
      <c r="H2772" s="42">
        <v>211</v>
      </c>
    </row>
    <row r="2773" spans="1:8" ht="15" customHeight="1">
      <c r="A2773" s="26">
        <v>23556252</v>
      </c>
      <c r="B2773" s="29" t="s">
        <v>5011</v>
      </c>
      <c r="C2773" s="29" t="s">
        <v>19733</v>
      </c>
      <c r="D2773" s="29" t="s">
        <v>32927</v>
      </c>
      <c r="E2773" s="29" t="s">
        <v>46178</v>
      </c>
      <c r="F2773" s="36" t="s">
        <v>54401</v>
      </c>
      <c r="G2773" s="39">
        <v>1071863.69</v>
      </c>
      <c r="H2773" s="42">
        <v>211</v>
      </c>
    </row>
    <row r="2774" spans="1:8" ht="15" customHeight="1">
      <c r="A2774" s="26">
        <v>23556260</v>
      </c>
      <c r="B2774" s="29" t="s">
        <v>5012</v>
      </c>
      <c r="C2774" s="29" t="s">
        <v>17204</v>
      </c>
      <c r="D2774" s="29" t="s">
        <v>32928</v>
      </c>
      <c r="E2774" s="29" t="s">
        <v>43926</v>
      </c>
      <c r="F2774" s="36" t="s">
        <v>54401</v>
      </c>
      <c r="G2774" s="39">
        <v>109619.11</v>
      </c>
      <c r="H2774" s="42">
        <v>211</v>
      </c>
    </row>
    <row r="2775" spans="1:8" ht="15" customHeight="1">
      <c r="A2775" s="26">
        <v>23556264</v>
      </c>
      <c r="B2775" s="29" t="s">
        <v>5013</v>
      </c>
      <c r="C2775" s="29" t="s">
        <v>19734</v>
      </c>
      <c r="D2775" s="29" t="s">
        <v>32929</v>
      </c>
      <c r="E2775" s="29" t="s">
        <v>46179</v>
      </c>
      <c r="F2775" s="36" t="s">
        <v>54401</v>
      </c>
      <c r="G2775" s="39">
        <v>203179.81</v>
      </c>
      <c r="H2775" s="42">
        <v>211</v>
      </c>
    </row>
    <row r="2776" spans="1:8" ht="15" customHeight="1">
      <c r="A2776" s="26">
        <v>23556394</v>
      </c>
      <c r="B2776" s="29" t="s">
        <v>5014</v>
      </c>
      <c r="C2776" s="29" t="s">
        <v>19735</v>
      </c>
      <c r="D2776" s="29" t="s">
        <v>32930</v>
      </c>
      <c r="E2776" s="29" t="s">
        <v>46180</v>
      </c>
      <c r="F2776" s="36" t="s">
        <v>54401</v>
      </c>
      <c r="G2776" s="39">
        <v>189406.7</v>
      </c>
      <c r="H2776" s="42">
        <v>211</v>
      </c>
    </row>
    <row r="2777" spans="1:8" ht="15" customHeight="1">
      <c r="A2777" s="26">
        <v>23556418</v>
      </c>
      <c r="B2777" s="29" t="s">
        <v>5015</v>
      </c>
      <c r="C2777" s="29" t="s">
        <v>19736</v>
      </c>
      <c r="D2777" s="29" t="s">
        <v>32931</v>
      </c>
      <c r="E2777" s="29" t="s">
        <v>46181</v>
      </c>
      <c r="F2777" s="36" t="s">
        <v>54401</v>
      </c>
      <c r="G2777" s="39">
        <f>3234943.68+145000000</f>
        <v>148234943.68000001</v>
      </c>
      <c r="H2777" s="42">
        <v>902</v>
      </c>
    </row>
    <row r="2778" spans="1:8" ht="15" customHeight="1">
      <c r="A2778" s="26">
        <v>23556447</v>
      </c>
      <c r="B2778" s="29" t="s">
        <v>5016</v>
      </c>
      <c r="C2778" s="29" t="s">
        <v>19737</v>
      </c>
      <c r="D2778" s="29" t="s">
        <v>32932</v>
      </c>
      <c r="E2778" s="29" t="s">
        <v>46182</v>
      </c>
      <c r="F2778" s="36" t="s">
        <v>54401</v>
      </c>
      <c r="G2778" s="39">
        <v>106446.55</v>
      </c>
      <c r="H2778" s="42">
        <v>211</v>
      </c>
    </row>
    <row r="2779" spans="1:8" ht="15" customHeight="1">
      <c r="A2779" s="26">
        <v>23556463</v>
      </c>
      <c r="B2779" s="29" t="s">
        <v>5017</v>
      </c>
      <c r="C2779" s="26" t="s">
        <v>19738</v>
      </c>
      <c r="D2779" s="26" t="s">
        <v>32933</v>
      </c>
      <c r="E2779" s="26" t="s">
        <v>46183</v>
      </c>
      <c r="F2779" s="37" t="s">
        <v>54401</v>
      </c>
      <c r="G2779" s="39">
        <v>4514191.8099999996</v>
      </c>
      <c r="H2779" s="42">
        <v>211</v>
      </c>
    </row>
    <row r="2780" spans="1:8" ht="15" customHeight="1">
      <c r="A2780" s="26">
        <v>23556501</v>
      </c>
      <c r="B2780" s="29" t="s">
        <v>5018</v>
      </c>
      <c r="C2780" s="29" t="s">
        <v>19739</v>
      </c>
      <c r="D2780" s="29" t="s">
        <v>32934</v>
      </c>
      <c r="E2780" s="29" t="s">
        <v>46184</v>
      </c>
      <c r="F2780" s="36" t="s">
        <v>54401</v>
      </c>
      <c r="G2780" s="39">
        <v>209435.12</v>
      </c>
      <c r="H2780" s="42">
        <v>211</v>
      </c>
    </row>
    <row r="2781" spans="1:8" ht="15" customHeight="1">
      <c r="A2781" s="26">
        <v>23556557</v>
      </c>
      <c r="B2781" s="29" t="s">
        <v>5019</v>
      </c>
      <c r="C2781" s="29" t="s">
        <v>19740</v>
      </c>
      <c r="D2781" s="29" t="s">
        <v>32935</v>
      </c>
      <c r="E2781" s="29" t="s">
        <v>46185</v>
      </c>
      <c r="F2781" s="36" t="s">
        <v>54401</v>
      </c>
      <c r="G2781" s="39">
        <v>28880.89</v>
      </c>
      <c r="H2781" s="42">
        <v>211</v>
      </c>
    </row>
    <row r="2782" spans="1:8" ht="15" customHeight="1">
      <c r="A2782" s="26">
        <v>23556632</v>
      </c>
      <c r="B2782" s="29" t="s">
        <v>5020</v>
      </c>
      <c r="C2782" s="29" t="s">
        <v>17204</v>
      </c>
      <c r="D2782" s="29" t="s">
        <v>32936</v>
      </c>
      <c r="E2782" s="29" t="s">
        <v>43926</v>
      </c>
      <c r="F2782" s="36" t="s">
        <v>54401</v>
      </c>
      <c r="G2782" s="39">
        <v>316373.99</v>
      </c>
      <c r="H2782" s="42">
        <v>211</v>
      </c>
    </row>
    <row r="2783" spans="1:8" ht="15" customHeight="1">
      <c r="A2783" s="26">
        <v>23556642</v>
      </c>
      <c r="B2783" s="29" t="s">
        <v>5021</v>
      </c>
      <c r="C2783" s="29" t="s">
        <v>19741</v>
      </c>
      <c r="D2783" s="29" t="s">
        <v>32937</v>
      </c>
      <c r="E2783" s="29" t="s">
        <v>46186</v>
      </c>
      <c r="F2783" s="36" t="s">
        <v>54401</v>
      </c>
      <c r="G2783" s="39">
        <f>1309211.44+243145+430964</f>
        <v>1983320.44</v>
      </c>
      <c r="H2783" s="42">
        <v>211</v>
      </c>
    </row>
    <row r="2784" spans="1:8" ht="15" customHeight="1">
      <c r="A2784" s="26">
        <v>23556661</v>
      </c>
      <c r="B2784" s="29" t="s">
        <v>5022</v>
      </c>
      <c r="C2784" s="29" t="s">
        <v>19742</v>
      </c>
      <c r="D2784" s="29" t="s">
        <v>32938</v>
      </c>
      <c r="E2784" s="29" t="s">
        <v>46187</v>
      </c>
      <c r="F2784" s="36" t="s">
        <v>54401</v>
      </c>
      <c r="G2784" s="39">
        <v>105256.87</v>
      </c>
      <c r="H2784" s="42">
        <v>211</v>
      </c>
    </row>
    <row r="2785" spans="1:8" ht="15" customHeight="1">
      <c r="A2785" s="26">
        <v>23556673</v>
      </c>
      <c r="B2785" s="29" t="s">
        <v>5023</v>
      </c>
      <c r="C2785" s="29" t="s">
        <v>19743</v>
      </c>
      <c r="D2785" s="29" t="s">
        <v>32939</v>
      </c>
      <c r="E2785" s="29" t="s">
        <v>46188</v>
      </c>
      <c r="F2785" s="36" t="s">
        <v>54401</v>
      </c>
      <c r="G2785" s="39">
        <v>25067.97</v>
      </c>
      <c r="H2785" s="42">
        <v>211</v>
      </c>
    </row>
    <row r="2786" spans="1:8" ht="15" customHeight="1">
      <c r="A2786" s="26">
        <v>23556719</v>
      </c>
      <c r="B2786" s="29" t="s">
        <v>5024</v>
      </c>
      <c r="C2786" s="29" t="s">
        <v>19744</v>
      </c>
      <c r="D2786" s="29" t="s">
        <v>32940</v>
      </c>
      <c r="E2786" s="29" t="s">
        <v>46189</v>
      </c>
      <c r="F2786" s="36" t="s">
        <v>54401</v>
      </c>
      <c r="G2786" s="39">
        <v>648986.85</v>
      </c>
      <c r="H2786" s="42">
        <v>211</v>
      </c>
    </row>
    <row r="2787" spans="1:8" ht="15" customHeight="1">
      <c r="A2787" s="26">
        <v>23556786</v>
      </c>
      <c r="B2787" s="29" t="s">
        <v>5025</v>
      </c>
      <c r="C2787" s="29" t="s">
        <v>19745</v>
      </c>
      <c r="D2787" s="29" t="s">
        <v>32941</v>
      </c>
      <c r="E2787" s="29" t="s">
        <v>46190</v>
      </c>
      <c r="F2787" s="36" t="s">
        <v>54401</v>
      </c>
      <c r="G2787" s="39">
        <v>30957.81</v>
      </c>
      <c r="H2787" s="42">
        <v>211</v>
      </c>
    </row>
    <row r="2788" spans="1:8" ht="15" customHeight="1">
      <c r="A2788" s="26">
        <v>23556836</v>
      </c>
      <c r="B2788" s="29" t="s">
        <v>5026</v>
      </c>
      <c r="C2788" s="29" t="s">
        <v>19746</v>
      </c>
      <c r="D2788" s="29" t="s">
        <v>32942</v>
      </c>
      <c r="E2788" s="29" t="s">
        <v>46191</v>
      </c>
      <c r="F2788" s="36" t="s">
        <v>54401</v>
      </c>
      <c r="G2788" s="39">
        <v>200358.43</v>
      </c>
      <c r="H2788" s="42">
        <v>211</v>
      </c>
    </row>
    <row r="2789" spans="1:8" ht="15" customHeight="1">
      <c r="A2789" s="26">
        <v>23556862</v>
      </c>
      <c r="B2789" s="29" t="s">
        <v>5027</v>
      </c>
      <c r="C2789" s="29" t="s">
        <v>19747</v>
      </c>
      <c r="D2789" s="29" t="s">
        <v>32943</v>
      </c>
      <c r="E2789" s="29" t="s">
        <v>46192</v>
      </c>
      <c r="F2789" s="36" t="s">
        <v>54401</v>
      </c>
      <c r="G2789" s="39">
        <f>8353595.74-12100</f>
        <v>8341495.7400000002</v>
      </c>
      <c r="H2789" s="42">
        <v>211</v>
      </c>
    </row>
    <row r="2790" spans="1:8" ht="15" customHeight="1">
      <c r="A2790" s="26">
        <v>23556875</v>
      </c>
      <c r="B2790" s="29" t="s">
        <v>5028</v>
      </c>
      <c r="C2790" s="29" t="s">
        <v>19748</v>
      </c>
      <c r="D2790" s="29" t="s">
        <v>32944</v>
      </c>
      <c r="E2790" s="29" t="s">
        <v>44616</v>
      </c>
      <c r="F2790" s="36" t="s">
        <v>54401</v>
      </c>
      <c r="G2790" s="39">
        <v>19361.349999999999</v>
      </c>
      <c r="H2790" s="42">
        <v>211</v>
      </c>
    </row>
    <row r="2791" spans="1:8" ht="15" customHeight="1">
      <c r="A2791" s="26">
        <v>23556879</v>
      </c>
      <c r="B2791" s="29" t="s">
        <v>5029</v>
      </c>
      <c r="C2791" s="29" t="s">
        <v>19749</v>
      </c>
      <c r="D2791" s="29" t="s">
        <v>32945</v>
      </c>
      <c r="E2791" s="29" t="s">
        <v>46193</v>
      </c>
      <c r="F2791" s="36" t="s">
        <v>54401</v>
      </c>
      <c r="G2791" s="39">
        <f>7572505.19-144018</f>
        <v>7428487.1900000004</v>
      </c>
      <c r="H2791" s="42">
        <v>211</v>
      </c>
    </row>
    <row r="2792" spans="1:8" ht="15" customHeight="1">
      <c r="A2792" s="26">
        <v>23556894</v>
      </c>
      <c r="B2792" s="29" t="s">
        <v>5030</v>
      </c>
      <c r="C2792" s="29" t="s">
        <v>19750</v>
      </c>
      <c r="D2792" s="29" t="s">
        <v>32946</v>
      </c>
      <c r="E2792" s="29" t="s">
        <v>46194</v>
      </c>
      <c r="F2792" s="36" t="s">
        <v>54401</v>
      </c>
      <c r="G2792" s="39">
        <v>1486477.98</v>
      </c>
      <c r="H2792" s="42">
        <v>211</v>
      </c>
    </row>
    <row r="2793" spans="1:8" ht="15" customHeight="1">
      <c r="A2793" s="26">
        <v>23556928</v>
      </c>
      <c r="B2793" s="29" t="s">
        <v>5031</v>
      </c>
      <c r="C2793" s="29" t="s">
        <v>19751</v>
      </c>
      <c r="D2793" s="29" t="s">
        <v>32947</v>
      </c>
      <c r="E2793" s="29" t="s">
        <v>43926</v>
      </c>
      <c r="F2793" s="36" t="s">
        <v>54401</v>
      </c>
      <c r="G2793" s="39">
        <v>1193057.55</v>
      </c>
      <c r="H2793" s="42">
        <v>211</v>
      </c>
    </row>
    <row r="2794" spans="1:8" ht="15" customHeight="1">
      <c r="A2794" s="26">
        <v>23556937</v>
      </c>
      <c r="B2794" s="29" t="s">
        <v>5032</v>
      </c>
      <c r="C2794" s="29" t="s">
        <v>19752</v>
      </c>
      <c r="D2794" s="29" t="s">
        <v>32948</v>
      </c>
      <c r="E2794" s="29" t="s">
        <v>46195</v>
      </c>
      <c r="F2794" s="36" t="s">
        <v>54401</v>
      </c>
      <c r="G2794" s="39">
        <v>343349.27</v>
      </c>
      <c r="H2794" s="42">
        <v>211</v>
      </c>
    </row>
    <row r="2795" spans="1:8" ht="15" customHeight="1">
      <c r="A2795" s="26">
        <v>23556948</v>
      </c>
      <c r="B2795" s="29" t="s">
        <v>5033</v>
      </c>
      <c r="C2795" s="29" t="s">
        <v>19753</v>
      </c>
      <c r="D2795" s="29" t="s">
        <v>32949</v>
      </c>
      <c r="E2795" s="29" t="s">
        <v>46196</v>
      </c>
      <c r="F2795" s="36" t="s">
        <v>54401</v>
      </c>
      <c r="G2795" s="39">
        <f>3215144.89+198458</f>
        <v>3413602.89</v>
      </c>
      <c r="H2795" s="42">
        <v>211</v>
      </c>
    </row>
    <row r="2796" spans="1:8" ht="15" customHeight="1">
      <c r="A2796" s="26">
        <v>23561754</v>
      </c>
      <c r="B2796" s="29" t="s">
        <v>5034</v>
      </c>
      <c r="C2796" s="29" t="s">
        <v>19754</v>
      </c>
      <c r="D2796" s="29" t="s">
        <v>32950</v>
      </c>
      <c r="E2796" s="29" t="s">
        <v>764</v>
      </c>
      <c r="F2796" s="36" t="s">
        <v>54401</v>
      </c>
      <c r="G2796" s="39">
        <f>3304306.68+269760</f>
        <v>3574066.68</v>
      </c>
      <c r="H2796" s="42">
        <v>211</v>
      </c>
    </row>
    <row r="2797" spans="1:8" ht="15" customHeight="1">
      <c r="A2797" s="26">
        <v>23561874</v>
      </c>
      <c r="B2797" s="29" t="s">
        <v>5035</v>
      </c>
      <c r="C2797" s="29" t="s">
        <v>19755</v>
      </c>
      <c r="D2797" s="29" t="s">
        <v>32951</v>
      </c>
      <c r="E2797" s="29" t="s">
        <v>46197</v>
      </c>
      <c r="F2797" s="36" t="s">
        <v>54401</v>
      </c>
      <c r="G2797" s="39">
        <v>590284.02</v>
      </c>
      <c r="H2797" s="42">
        <v>211</v>
      </c>
    </row>
    <row r="2798" spans="1:8" ht="15" customHeight="1">
      <c r="A2798" s="26">
        <v>23561966</v>
      </c>
      <c r="B2798" s="29" t="s">
        <v>5036</v>
      </c>
      <c r="C2798" s="29" t="s">
        <v>19756</v>
      </c>
      <c r="D2798" s="29" t="s">
        <v>32952</v>
      </c>
      <c r="E2798" s="29" t="s">
        <v>46198</v>
      </c>
      <c r="F2798" s="36" t="s">
        <v>54401</v>
      </c>
      <c r="G2798" s="39">
        <f>1768574.15+1359966-10940</f>
        <v>3117600.15</v>
      </c>
      <c r="H2798" s="42">
        <v>211</v>
      </c>
    </row>
    <row r="2799" spans="1:8" ht="15" customHeight="1">
      <c r="A2799" s="26">
        <v>23573474</v>
      </c>
      <c r="B2799" s="29" t="s">
        <v>5037</v>
      </c>
      <c r="C2799" s="29" t="s">
        <v>19757</v>
      </c>
      <c r="D2799" s="29" t="s">
        <v>32953</v>
      </c>
      <c r="E2799" s="29" t="s">
        <v>46199</v>
      </c>
      <c r="F2799" s="36" t="s">
        <v>54401</v>
      </c>
      <c r="G2799" s="39">
        <v>41595.120000000003</v>
      </c>
      <c r="H2799" s="42">
        <v>211</v>
      </c>
    </row>
    <row r="2800" spans="1:8" ht="15" customHeight="1">
      <c r="A2800" s="26">
        <v>23573656</v>
      </c>
      <c r="B2800" s="29" t="s">
        <v>5038</v>
      </c>
      <c r="C2800" s="29" t="s">
        <v>19758</v>
      </c>
      <c r="D2800" s="29" t="s">
        <v>32954</v>
      </c>
      <c r="E2800" s="29" t="s">
        <v>46200</v>
      </c>
      <c r="F2800" s="36" t="s">
        <v>54401</v>
      </c>
      <c r="G2800" s="39">
        <v>700057.27</v>
      </c>
      <c r="H2800" s="42">
        <v>211</v>
      </c>
    </row>
    <row r="2801" spans="1:8" ht="15" customHeight="1">
      <c r="A2801" s="26">
        <v>23573687</v>
      </c>
      <c r="B2801" s="29" t="s">
        <v>5039</v>
      </c>
      <c r="C2801" s="29" t="s">
        <v>19759</v>
      </c>
      <c r="D2801" s="29" t="s">
        <v>32955</v>
      </c>
      <c r="E2801" s="29" t="s">
        <v>46201</v>
      </c>
      <c r="F2801" s="36" t="s">
        <v>54401</v>
      </c>
      <c r="G2801" s="39">
        <v>384085.48</v>
      </c>
      <c r="H2801" s="42">
        <v>211</v>
      </c>
    </row>
    <row r="2802" spans="1:8" ht="15" customHeight="1">
      <c r="A2802" s="26">
        <v>23574185</v>
      </c>
      <c r="B2802" s="29" t="s">
        <v>5040</v>
      </c>
      <c r="C2802" s="29" t="s">
        <v>19760</v>
      </c>
      <c r="D2802" s="29" t="s">
        <v>32956</v>
      </c>
      <c r="E2802" s="29" t="s">
        <v>46202</v>
      </c>
      <c r="F2802" s="36" t="s">
        <v>54401</v>
      </c>
      <c r="G2802" s="39">
        <f>4143465.81+63440</f>
        <v>4206905.8100000005</v>
      </c>
      <c r="H2802" s="42">
        <v>211</v>
      </c>
    </row>
    <row r="2803" spans="1:8" ht="15" customHeight="1">
      <c r="A2803" s="26">
        <v>23574470</v>
      </c>
      <c r="B2803" s="29" t="s">
        <v>5041</v>
      </c>
      <c r="C2803" s="29" t="s">
        <v>19761</v>
      </c>
      <c r="D2803" s="29" t="s">
        <v>32957</v>
      </c>
      <c r="E2803" s="29" t="s">
        <v>46203</v>
      </c>
      <c r="F2803" s="36" t="s">
        <v>54401</v>
      </c>
      <c r="G2803" s="39">
        <v>879590.48</v>
      </c>
      <c r="H2803" s="42">
        <v>211</v>
      </c>
    </row>
    <row r="2804" spans="1:8" ht="15" customHeight="1">
      <c r="A2804" s="26">
        <v>23574664</v>
      </c>
      <c r="B2804" s="29" t="s">
        <v>5042</v>
      </c>
      <c r="C2804" s="29" t="s">
        <v>19762</v>
      </c>
      <c r="D2804" s="29" t="s">
        <v>32958</v>
      </c>
      <c r="E2804" s="29" t="s">
        <v>46204</v>
      </c>
      <c r="F2804" s="36" t="s">
        <v>54401</v>
      </c>
      <c r="G2804" s="39">
        <f>276122.92+1692460</f>
        <v>1968582.92</v>
      </c>
      <c r="H2804" s="42">
        <v>211</v>
      </c>
    </row>
    <row r="2805" spans="1:8" ht="15" customHeight="1">
      <c r="A2805" s="26">
        <v>23581313</v>
      </c>
      <c r="B2805" s="29" t="s">
        <v>5043</v>
      </c>
      <c r="C2805" s="29" t="s">
        <v>19763</v>
      </c>
      <c r="D2805" s="29" t="s">
        <v>32959</v>
      </c>
      <c r="E2805" s="29" t="s">
        <v>46205</v>
      </c>
      <c r="F2805" s="36" t="s">
        <v>54438</v>
      </c>
      <c r="G2805" s="39">
        <f>1768779.55-271301</f>
        <v>1497478.55</v>
      </c>
      <c r="H2805" s="42">
        <v>211</v>
      </c>
    </row>
    <row r="2806" spans="1:8" ht="15" customHeight="1">
      <c r="A2806" s="26">
        <v>23582070</v>
      </c>
      <c r="B2806" s="29" t="s">
        <v>5044</v>
      </c>
      <c r="C2806" s="29" t="s">
        <v>19764</v>
      </c>
      <c r="D2806" s="29" t="s">
        <v>32960</v>
      </c>
      <c r="E2806" s="29" t="s">
        <v>46206</v>
      </c>
      <c r="F2806" s="36" t="s">
        <v>54401</v>
      </c>
      <c r="G2806" s="39">
        <v>3437364.39</v>
      </c>
      <c r="H2806" s="42">
        <v>211</v>
      </c>
    </row>
    <row r="2807" spans="1:8" ht="15" customHeight="1">
      <c r="A2807" s="26">
        <v>23582096</v>
      </c>
      <c r="B2807" s="29" t="s">
        <v>5045</v>
      </c>
      <c r="C2807" s="29" t="s">
        <v>19765</v>
      </c>
      <c r="D2807" s="29" t="s">
        <v>32961</v>
      </c>
      <c r="E2807" s="29" t="s">
        <v>46207</v>
      </c>
      <c r="F2807" s="36" t="s">
        <v>54401</v>
      </c>
      <c r="G2807" s="39">
        <v>765336.09</v>
      </c>
      <c r="H2807" s="42">
        <v>211</v>
      </c>
    </row>
    <row r="2808" spans="1:8" ht="15" customHeight="1">
      <c r="A2808" s="26">
        <v>23582155</v>
      </c>
      <c r="B2808" s="29" t="s">
        <v>5046</v>
      </c>
      <c r="C2808" s="29" t="s">
        <v>19766</v>
      </c>
      <c r="D2808" s="29" t="s">
        <v>32962</v>
      </c>
      <c r="E2808" s="29" t="s">
        <v>46208</v>
      </c>
      <c r="F2808" s="36" t="s">
        <v>54401</v>
      </c>
      <c r="G2808" s="39">
        <v>26946.7</v>
      </c>
      <c r="H2808" s="42">
        <v>211</v>
      </c>
    </row>
    <row r="2809" spans="1:8" ht="15" customHeight="1">
      <c r="A2809" s="26">
        <v>23582274</v>
      </c>
      <c r="B2809" s="29" t="s">
        <v>5047</v>
      </c>
      <c r="C2809" s="29" t="s">
        <v>19767</v>
      </c>
      <c r="D2809" s="29" t="s">
        <v>32963</v>
      </c>
      <c r="E2809" s="29" t="s">
        <v>46209</v>
      </c>
      <c r="F2809" s="36" t="s">
        <v>54401</v>
      </c>
      <c r="G2809" s="39">
        <v>3657717.5</v>
      </c>
      <c r="H2809" s="42">
        <v>211</v>
      </c>
    </row>
    <row r="2810" spans="1:8" ht="15" customHeight="1">
      <c r="A2810" s="26">
        <v>23582340</v>
      </c>
      <c r="B2810" s="29" t="s">
        <v>5048</v>
      </c>
      <c r="C2810" s="29" t="s">
        <v>19768</v>
      </c>
      <c r="D2810" s="29" t="s">
        <v>32964</v>
      </c>
      <c r="E2810" s="29" t="s">
        <v>46210</v>
      </c>
      <c r="F2810" s="36" t="s">
        <v>54401</v>
      </c>
      <c r="G2810" s="39">
        <v>617378.41</v>
      </c>
      <c r="H2810" s="42">
        <v>211</v>
      </c>
    </row>
    <row r="2811" spans="1:8" ht="15" customHeight="1">
      <c r="A2811" s="26">
        <v>23582378</v>
      </c>
      <c r="B2811" s="29" t="s">
        <v>5049</v>
      </c>
      <c r="C2811" s="29" t="s">
        <v>19769</v>
      </c>
      <c r="D2811" s="29" t="s">
        <v>32965</v>
      </c>
      <c r="E2811" s="29" t="s">
        <v>46211</v>
      </c>
      <c r="F2811" s="36" t="s">
        <v>54401</v>
      </c>
      <c r="G2811" s="39">
        <f>2985777.24+34130</f>
        <v>3019907.24</v>
      </c>
      <c r="H2811" s="42">
        <v>211</v>
      </c>
    </row>
    <row r="2812" spans="1:8" ht="15" customHeight="1">
      <c r="A2812" s="26">
        <v>23582550</v>
      </c>
      <c r="B2812" s="29" t="s">
        <v>5050</v>
      </c>
      <c r="C2812" s="29" t="s">
        <v>19770</v>
      </c>
      <c r="D2812" s="29" t="s">
        <v>32966</v>
      </c>
      <c r="E2812" s="29" t="s">
        <v>46212</v>
      </c>
      <c r="F2812" s="36" t="s">
        <v>54401</v>
      </c>
      <c r="G2812" s="39">
        <v>4728353.28</v>
      </c>
      <c r="H2812" s="42">
        <v>211</v>
      </c>
    </row>
    <row r="2813" spans="1:8" ht="15" customHeight="1">
      <c r="A2813" s="26">
        <v>23582555</v>
      </c>
      <c r="B2813" s="29" t="s">
        <v>5051</v>
      </c>
      <c r="C2813" s="29" t="s">
        <v>19771</v>
      </c>
      <c r="D2813" s="29" t="s">
        <v>32967</v>
      </c>
      <c r="E2813" s="29" t="s">
        <v>46213</v>
      </c>
      <c r="F2813" s="36" t="s">
        <v>54401</v>
      </c>
      <c r="G2813" s="39">
        <f>341832.11+210786</f>
        <v>552618.11</v>
      </c>
      <c r="H2813" s="42">
        <v>211</v>
      </c>
    </row>
    <row r="2814" spans="1:8" ht="15" customHeight="1">
      <c r="A2814" s="26">
        <v>23583119</v>
      </c>
      <c r="B2814" s="29" t="s">
        <v>5052</v>
      </c>
      <c r="C2814" s="29" t="s">
        <v>19772</v>
      </c>
      <c r="D2814" s="29" t="s">
        <v>32968</v>
      </c>
      <c r="E2814" s="29" t="s">
        <v>46214</v>
      </c>
      <c r="F2814" s="36" t="s">
        <v>54401</v>
      </c>
      <c r="G2814" s="39">
        <v>280012.73</v>
      </c>
      <c r="H2814" s="42">
        <v>211</v>
      </c>
    </row>
    <row r="2815" spans="1:8" ht="15" customHeight="1">
      <c r="A2815" s="26">
        <v>23587840</v>
      </c>
      <c r="B2815" s="29" t="s">
        <v>5053</v>
      </c>
      <c r="C2815" s="29" t="s">
        <v>19773</v>
      </c>
      <c r="D2815" s="29" t="s">
        <v>32969</v>
      </c>
      <c r="E2815" s="29" t="s">
        <v>46215</v>
      </c>
      <c r="F2815" s="36" t="s">
        <v>54440</v>
      </c>
      <c r="G2815" s="39">
        <v>57680.98</v>
      </c>
      <c r="H2815" s="42">
        <v>211</v>
      </c>
    </row>
    <row r="2816" spans="1:8" ht="15" customHeight="1">
      <c r="A2816" s="26">
        <v>23587843</v>
      </c>
      <c r="B2816" s="29" t="s">
        <v>5054</v>
      </c>
      <c r="C2816" s="29" t="s">
        <v>19774</v>
      </c>
      <c r="D2816" s="29" t="s">
        <v>32970</v>
      </c>
      <c r="E2816" s="29" t="s">
        <v>46216</v>
      </c>
      <c r="F2816" s="36" t="s">
        <v>54401</v>
      </c>
      <c r="G2816" s="39">
        <v>1905395.3</v>
      </c>
      <c r="H2816" s="42">
        <v>211</v>
      </c>
    </row>
    <row r="2817" spans="1:8" ht="15" customHeight="1">
      <c r="A2817" s="26">
        <v>23588020</v>
      </c>
      <c r="B2817" s="29" t="s">
        <v>5055</v>
      </c>
      <c r="C2817" s="29" t="s">
        <v>19775</v>
      </c>
      <c r="D2817" s="29" t="s">
        <v>32971</v>
      </c>
      <c r="E2817" s="29" t="s">
        <v>46217</v>
      </c>
      <c r="F2817" s="36" t="s">
        <v>54401</v>
      </c>
      <c r="G2817" s="39">
        <v>1471679.82</v>
      </c>
      <c r="H2817" s="42">
        <v>211</v>
      </c>
    </row>
    <row r="2818" spans="1:8" ht="15" customHeight="1">
      <c r="A2818" s="26">
        <v>23588394</v>
      </c>
      <c r="B2818" s="29" t="s">
        <v>5056</v>
      </c>
      <c r="C2818" s="29" t="s">
        <v>19776</v>
      </c>
      <c r="D2818" s="29" t="s">
        <v>32972</v>
      </c>
      <c r="E2818" s="29" t="s">
        <v>46218</v>
      </c>
      <c r="F2818" s="36" t="s">
        <v>54401</v>
      </c>
      <c r="G2818" s="39">
        <v>1753097.23</v>
      </c>
      <c r="H2818" s="42">
        <v>211</v>
      </c>
    </row>
    <row r="2819" spans="1:8" ht="15" customHeight="1">
      <c r="A2819" s="26">
        <v>23588439</v>
      </c>
      <c r="B2819" s="29" t="s">
        <v>5057</v>
      </c>
      <c r="C2819" s="29" t="s">
        <v>19777</v>
      </c>
      <c r="D2819" s="29" t="s">
        <v>32973</v>
      </c>
      <c r="E2819" s="29" t="s">
        <v>46219</v>
      </c>
      <c r="F2819" s="36" t="s">
        <v>54440</v>
      </c>
      <c r="G2819" s="39">
        <v>7572984.5499999998</v>
      </c>
      <c r="H2819" s="42">
        <v>211</v>
      </c>
    </row>
    <row r="2820" spans="1:8" ht="15" customHeight="1">
      <c r="A2820" s="26">
        <v>23588481</v>
      </c>
      <c r="B2820" s="29" t="s">
        <v>5058</v>
      </c>
      <c r="C2820" s="29" t="s">
        <v>19778</v>
      </c>
      <c r="D2820" s="29" t="s">
        <v>32974</v>
      </c>
      <c r="E2820" s="29" t="s">
        <v>46220</v>
      </c>
      <c r="F2820" s="36" t="s">
        <v>54440</v>
      </c>
      <c r="G2820" s="39">
        <v>1512594.19</v>
      </c>
      <c r="H2820" s="42">
        <v>211</v>
      </c>
    </row>
    <row r="2821" spans="1:8" ht="15" customHeight="1">
      <c r="A2821" s="26">
        <v>23588498</v>
      </c>
      <c r="B2821" s="29" t="s">
        <v>5059</v>
      </c>
      <c r="C2821" s="29" t="s">
        <v>19779</v>
      </c>
      <c r="D2821" s="29" t="s">
        <v>32975</v>
      </c>
      <c r="E2821" s="29" t="s">
        <v>46221</v>
      </c>
      <c r="F2821" s="36" t="s">
        <v>54401</v>
      </c>
      <c r="G2821" s="39">
        <v>169329.2</v>
      </c>
      <c r="H2821" s="42">
        <v>211</v>
      </c>
    </row>
    <row r="2822" spans="1:8" ht="15" customHeight="1">
      <c r="A2822" s="26">
        <v>23588533</v>
      </c>
      <c r="B2822" s="29" t="s">
        <v>5060</v>
      </c>
      <c r="C2822" s="29" t="s">
        <v>19780</v>
      </c>
      <c r="D2822" s="29" t="s">
        <v>32976</v>
      </c>
      <c r="E2822" s="29" t="s">
        <v>46222</v>
      </c>
      <c r="F2822" s="36" t="s">
        <v>54401</v>
      </c>
      <c r="G2822" s="39">
        <v>59523.81</v>
      </c>
      <c r="H2822" s="42">
        <v>211</v>
      </c>
    </row>
    <row r="2823" spans="1:8" ht="15" customHeight="1">
      <c r="A2823" s="26">
        <v>23588791</v>
      </c>
      <c r="B2823" s="29" t="s">
        <v>5061</v>
      </c>
      <c r="C2823" s="29" t="s">
        <v>17204</v>
      </c>
      <c r="D2823" s="29" t="s">
        <v>30349</v>
      </c>
      <c r="E2823" s="29" t="s">
        <v>43926</v>
      </c>
      <c r="F2823" s="36" t="s">
        <v>54401</v>
      </c>
      <c r="G2823" s="39">
        <v>294485.78999999998</v>
      </c>
      <c r="H2823" s="42">
        <v>211</v>
      </c>
    </row>
    <row r="2824" spans="1:8" ht="15" customHeight="1">
      <c r="A2824" s="26">
        <v>23588797</v>
      </c>
      <c r="B2824" s="29" t="s">
        <v>5062</v>
      </c>
      <c r="C2824" s="29" t="s">
        <v>19781</v>
      </c>
      <c r="D2824" s="29" t="s">
        <v>32977</v>
      </c>
      <c r="E2824" s="29" t="s">
        <v>46223</v>
      </c>
      <c r="F2824" s="36" t="s">
        <v>54401</v>
      </c>
      <c r="G2824" s="39">
        <f>72767.15+256472+863655</f>
        <v>1192894.1499999999</v>
      </c>
      <c r="H2824" s="42">
        <v>211</v>
      </c>
    </row>
    <row r="2825" spans="1:8" ht="15" customHeight="1">
      <c r="A2825" s="26">
        <v>23588902</v>
      </c>
      <c r="B2825" s="29" t="s">
        <v>5063</v>
      </c>
      <c r="C2825" s="29" t="s">
        <v>19782</v>
      </c>
      <c r="D2825" s="29" t="s">
        <v>32978</v>
      </c>
      <c r="E2825" s="29" t="s">
        <v>46224</v>
      </c>
      <c r="F2825" s="36" t="s">
        <v>54440</v>
      </c>
      <c r="G2825" s="39">
        <f>5205094.73-73806</f>
        <v>5131288.7300000004</v>
      </c>
      <c r="H2825" s="42">
        <v>211</v>
      </c>
    </row>
    <row r="2826" spans="1:8" ht="15" customHeight="1">
      <c r="A2826" s="26">
        <v>23588906</v>
      </c>
      <c r="B2826" s="29" t="s">
        <v>5064</v>
      </c>
      <c r="C2826" s="29" t="s">
        <v>19783</v>
      </c>
      <c r="D2826" s="29" t="s">
        <v>32979</v>
      </c>
      <c r="E2826" s="29" t="s">
        <v>46225</v>
      </c>
      <c r="F2826" s="36" t="s">
        <v>54440</v>
      </c>
      <c r="G2826" s="39">
        <f>13038274.03-120896</f>
        <v>12917378.029999999</v>
      </c>
      <c r="H2826" s="42">
        <v>211</v>
      </c>
    </row>
    <row r="2827" spans="1:8" ht="15" customHeight="1">
      <c r="A2827" s="26">
        <v>23588952</v>
      </c>
      <c r="B2827" s="29" t="s">
        <v>5065</v>
      </c>
      <c r="C2827" s="29" t="s">
        <v>19784</v>
      </c>
      <c r="D2827" s="29" t="s">
        <v>32980</v>
      </c>
      <c r="E2827" s="29" t="s">
        <v>46226</v>
      </c>
      <c r="F2827" s="36" t="s">
        <v>54401</v>
      </c>
      <c r="G2827" s="39">
        <v>3381895.29</v>
      </c>
      <c r="H2827" s="42">
        <v>211</v>
      </c>
    </row>
    <row r="2828" spans="1:8" ht="15" customHeight="1">
      <c r="A2828" s="26">
        <v>23589004</v>
      </c>
      <c r="B2828" s="29" t="s">
        <v>5066</v>
      </c>
      <c r="C2828" s="29" t="s">
        <v>19785</v>
      </c>
      <c r="D2828" s="29" t="s">
        <v>32981</v>
      </c>
      <c r="E2828" s="29" t="s">
        <v>46227</v>
      </c>
      <c r="F2828" s="36" t="s">
        <v>54401</v>
      </c>
      <c r="G2828" s="39">
        <f>1992514.35+559203+672982</f>
        <v>3224699.35</v>
      </c>
      <c r="H2828" s="42">
        <v>211</v>
      </c>
    </row>
    <row r="2829" spans="1:8" ht="15" customHeight="1">
      <c r="A2829" s="26">
        <v>23589020</v>
      </c>
      <c r="B2829" s="29" t="s">
        <v>5067</v>
      </c>
      <c r="C2829" s="29" t="s">
        <v>19786</v>
      </c>
      <c r="D2829" s="29" t="s">
        <v>32982</v>
      </c>
      <c r="E2829" s="29" t="s">
        <v>46228</v>
      </c>
      <c r="F2829" s="36" t="s">
        <v>54401</v>
      </c>
      <c r="G2829" s="39">
        <v>478941.27</v>
      </c>
      <c r="H2829" s="42">
        <v>211</v>
      </c>
    </row>
    <row r="2830" spans="1:8" ht="15" customHeight="1">
      <c r="A2830" s="26">
        <v>23589041</v>
      </c>
      <c r="B2830" s="29" t="s">
        <v>5068</v>
      </c>
      <c r="C2830" s="29" t="s">
        <v>19787</v>
      </c>
      <c r="D2830" s="29" t="s">
        <v>32983</v>
      </c>
      <c r="E2830" s="29" t="s">
        <v>46229</v>
      </c>
      <c r="F2830" s="36" t="s">
        <v>54401</v>
      </c>
      <c r="G2830" s="39">
        <v>307720.53999999998</v>
      </c>
      <c r="H2830" s="42">
        <v>211</v>
      </c>
    </row>
    <row r="2831" spans="1:8" ht="15" customHeight="1">
      <c r="A2831" s="26">
        <v>23589089</v>
      </c>
      <c r="B2831" s="29" t="s">
        <v>5069</v>
      </c>
      <c r="C2831" s="29" t="s">
        <v>19788</v>
      </c>
      <c r="D2831" s="29" t="s">
        <v>32984</v>
      </c>
      <c r="E2831" s="29" t="s">
        <v>46230</v>
      </c>
      <c r="F2831" s="36" t="s">
        <v>54401</v>
      </c>
      <c r="G2831" s="39">
        <v>87178.99</v>
      </c>
      <c r="H2831" s="42">
        <v>211</v>
      </c>
    </row>
    <row r="2832" spans="1:8" ht="15" customHeight="1">
      <c r="A2832" s="26">
        <v>23589098</v>
      </c>
      <c r="B2832" s="29" t="s">
        <v>5070</v>
      </c>
      <c r="C2832" s="29" t="s">
        <v>19789</v>
      </c>
      <c r="D2832" s="29" t="s">
        <v>32985</v>
      </c>
      <c r="E2832" s="29" t="s">
        <v>46231</v>
      </c>
      <c r="F2832" s="36" t="s">
        <v>54401</v>
      </c>
      <c r="G2832" s="39">
        <f>810560.43+427295</f>
        <v>1237855.4300000002</v>
      </c>
      <c r="H2832" s="42">
        <v>211</v>
      </c>
    </row>
    <row r="2833" spans="1:8" ht="15" customHeight="1">
      <c r="A2833" s="26">
        <v>23595941</v>
      </c>
      <c r="B2833" s="29" t="s">
        <v>5071</v>
      </c>
      <c r="C2833" s="29" t="s">
        <v>19790</v>
      </c>
      <c r="D2833" s="29" t="s">
        <v>32986</v>
      </c>
      <c r="E2833" s="29" t="s">
        <v>46232</v>
      </c>
      <c r="F2833" s="36" t="s">
        <v>54402</v>
      </c>
      <c r="G2833" s="39">
        <f>3982461-191667</f>
        <v>3790794</v>
      </c>
      <c r="H2833" s="42">
        <v>211</v>
      </c>
    </row>
    <row r="2834" spans="1:8" ht="15" customHeight="1">
      <c r="A2834" s="26">
        <v>23596021</v>
      </c>
      <c r="B2834" s="29" t="s">
        <v>5072</v>
      </c>
      <c r="C2834" s="29" t="s">
        <v>19791</v>
      </c>
      <c r="D2834" s="29" t="s">
        <v>32987</v>
      </c>
      <c r="E2834" s="29" t="s">
        <v>44973</v>
      </c>
      <c r="F2834" s="36" t="s">
        <v>54401</v>
      </c>
      <c r="G2834" s="39">
        <f>3925668.08+372809+150121</f>
        <v>4448598.08</v>
      </c>
      <c r="H2834" s="42">
        <v>211</v>
      </c>
    </row>
    <row r="2835" spans="1:8" ht="15" customHeight="1">
      <c r="A2835" s="26">
        <v>23596432</v>
      </c>
      <c r="B2835" s="29" t="s">
        <v>5073</v>
      </c>
      <c r="C2835" s="29" t="s">
        <v>19792</v>
      </c>
      <c r="D2835" s="29" t="s">
        <v>32988</v>
      </c>
      <c r="E2835" s="29" t="s">
        <v>46233</v>
      </c>
      <c r="F2835" s="36" t="s">
        <v>54401</v>
      </c>
      <c r="G2835" s="39">
        <v>4532251.49</v>
      </c>
      <c r="H2835" s="42">
        <v>211</v>
      </c>
    </row>
    <row r="2836" spans="1:8" ht="15" customHeight="1">
      <c r="A2836" s="26">
        <v>23596674</v>
      </c>
      <c r="B2836" s="29" t="s">
        <v>5074</v>
      </c>
      <c r="C2836" s="29" t="s">
        <v>19793</v>
      </c>
      <c r="D2836" s="29" t="s">
        <v>30376</v>
      </c>
      <c r="E2836" s="29" t="s">
        <v>46234</v>
      </c>
      <c r="F2836" s="36" t="s">
        <v>54401</v>
      </c>
      <c r="G2836" s="39">
        <v>890996.82</v>
      </c>
      <c r="H2836" s="42">
        <v>211</v>
      </c>
    </row>
    <row r="2837" spans="1:8" ht="15" customHeight="1">
      <c r="A2837" s="26">
        <v>23596802</v>
      </c>
      <c r="B2837" s="29" t="s">
        <v>5075</v>
      </c>
      <c r="C2837" s="29" t="s">
        <v>19794</v>
      </c>
      <c r="D2837" s="29" t="s">
        <v>32989</v>
      </c>
      <c r="E2837" s="29" t="s">
        <v>46235</v>
      </c>
      <c r="F2837" s="36" t="s">
        <v>54401</v>
      </c>
      <c r="G2837" s="39">
        <v>341686.1</v>
      </c>
      <c r="H2837" s="42">
        <v>211</v>
      </c>
    </row>
    <row r="2838" spans="1:8" ht="15" customHeight="1">
      <c r="A2838" s="26">
        <v>23596951</v>
      </c>
      <c r="B2838" s="29" t="s">
        <v>5076</v>
      </c>
      <c r="C2838" s="26" t="s">
        <v>19795</v>
      </c>
      <c r="D2838" s="26" t="s">
        <v>32990</v>
      </c>
      <c r="E2838" s="26" t="s">
        <v>43926</v>
      </c>
      <c r="F2838" s="37" t="s">
        <v>54401</v>
      </c>
      <c r="G2838" s="39">
        <v>576688.31999999995</v>
      </c>
      <c r="H2838" s="42">
        <v>211</v>
      </c>
    </row>
    <row r="2839" spans="1:8" ht="15" customHeight="1">
      <c r="A2839" s="26">
        <v>23597014</v>
      </c>
      <c r="B2839" s="29" t="s">
        <v>5077</v>
      </c>
      <c r="C2839" s="29" t="s">
        <v>19796</v>
      </c>
      <c r="D2839" s="29" t="s">
        <v>32991</v>
      </c>
      <c r="E2839" s="29" t="s">
        <v>46236</v>
      </c>
      <c r="F2839" s="36" t="s">
        <v>54401</v>
      </c>
      <c r="G2839" s="39">
        <v>34299.99</v>
      </c>
      <c r="H2839" s="42">
        <v>211</v>
      </c>
    </row>
    <row r="2840" spans="1:8" ht="15" customHeight="1">
      <c r="A2840" s="26">
        <v>23597047</v>
      </c>
      <c r="B2840" s="29" t="s">
        <v>5078</v>
      </c>
      <c r="C2840" s="29" t="s">
        <v>17204</v>
      </c>
      <c r="D2840" s="29" t="s">
        <v>30349</v>
      </c>
      <c r="E2840" s="29" t="s">
        <v>43926</v>
      </c>
      <c r="F2840" s="36" t="s">
        <v>54401</v>
      </c>
      <c r="G2840" s="39">
        <v>47834</v>
      </c>
      <c r="H2840" s="42">
        <v>211</v>
      </c>
    </row>
    <row r="2841" spans="1:8" ht="15" customHeight="1">
      <c r="A2841" s="26">
        <v>23600517</v>
      </c>
      <c r="B2841" s="29" t="s">
        <v>5079</v>
      </c>
      <c r="C2841" s="29" t="s">
        <v>19797</v>
      </c>
      <c r="D2841" s="29" t="s">
        <v>32992</v>
      </c>
      <c r="E2841" s="29" t="s">
        <v>45432</v>
      </c>
      <c r="F2841" s="36" t="s">
        <v>54401</v>
      </c>
      <c r="G2841" s="39">
        <v>46487.7</v>
      </c>
      <c r="H2841" s="42">
        <v>211</v>
      </c>
    </row>
    <row r="2842" spans="1:8" ht="15" customHeight="1">
      <c r="A2842" s="26">
        <v>23603882</v>
      </c>
      <c r="B2842" s="29" t="s">
        <v>5080</v>
      </c>
      <c r="C2842" s="29" t="s">
        <v>17204</v>
      </c>
      <c r="D2842" s="29" t="s">
        <v>32993</v>
      </c>
      <c r="E2842" s="29" t="s">
        <v>46237</v>
      </c>
      <c r="F2842" s="36" t="s">
        <v>54401</v>
      </c>
      <c r="G2842" s="39">
        <v>236697.81</v>
      </c>
      <c r="H2842" s="42">
        <v>211</v>
      </c>
    </row>
    <row r="2843" spans="1:8" ht="15" customHeight="1">
      <c r="A2843" s="26">
        <v>23605695</v>
      </c>
      <c r="B2843" s="29" t="s">
        <v>5081</v>
      </c>
      <c r="C2843" s="29" t="s">
        <v>19798</v>
      </c>
      <c r="D2843" s="29" t="s">
        <v>32994</v>
      </c>
      <c r="E2843" s="29" t="s">
        <v>46238</v>
      </c>
      <c r="F2843" s="36" t="s">
        <v>54401</v>
      </c>
      <c r="G2843" s="39">
        <f>315884.8+196166</f>
        <v>512050.8</v>
      </c>
      <c r="H2843" s="42">
        <v>211</v>
      </c>
    </row>
    <row r="2844" spans="1:8" ht="15" customHeight="1">
      <c r="A2844" s="26">
        <v>23605863</v>
      </c>
      <c r="B2844" s="29" t="s">
        <v>5082</v>
      </c>
      <c r="C2844" s="29" t="s">
        <v>19799</v>
      </c>
      <c r="D2844" s="29" t="s">
        <v>32995</v>
      </c>
      <c r="E2844" s="29" t="s">
        <v>46239</v>
      </c>
      <c r="F2844" s="36" t="s">
        <v>54401</v>
      </c>
      <c r="G2844" s="39">
        <v>2172969.1</v>
      </c>
      <c r="H2844" s="42">
        <v>211</v>
      </c>
    </row>
    <row r="2845" spans="1:8" ht="15" customHeight="1">
      <c r="A2845" s="26">
        <v>23607044</v>
      </c>
      <c r="B2845" s="29" t="s">
        <v>5083</v>
      </c>
      <c r="C2845" s="29" t="s">
        <v>19800</v>
      </c>
      <c r="D2845" s="29" t="s">
        <v>30376</v>
      </c>
      <c r="E2845" s="29" t="s">
        <v>46240</v>
      </c>
      <c r="F2845" s="36" t="s">
        <v>54401</v>
      </c>
      <c r="G2845" s="39">
        <v>146953.44</v>
      </c>
      <c r="H2845" s="42">
        <v>211</v>
      </c>
    </row>
    <row r="2846" spans="1:8" ht="15" customHeight="1">
      <c r="A2846" s="26">
        <v>23607704</v>
      </c>
      <c r="B2846" s="29" t="s">
        <v>5084</v>
      </c>
      <c r="C2846" s="29" t="s">
        <v>19801</v>
      </c>
      <c r="D2846" s="29" t="s">
        <v>32996</v>
      </c>
      <c r="E2846" s="29" t="s">
        <v>46241</v>
      </c>
      <c r="F2846" s="36" t="s">
        <v>54401</v>
      </c>
      <c r="G2846" s="39">
        <v>437318.69</v>
      </c>
      <c r="H2846" s="42">
        <v>211</v>
      </c>
    </row>
    <row r="2847" spans="1:8" ht="15" customHeight="1">
      <c r="A2847" s="26">
        <v>23623588</v>
      </c>
      <c r="B2847" s="29" t="s">
        <v>5085</v>
      </c>
      <c r="C2847" s="29" t="s">
        <v>19802</v>
      </c>
      <c r="D2847" s="29" t="s">
        <v>32997</v>
      </c>
      <c r="E2847" s="29" t="s">
        <v>46242</v>
      </c>
      <c r="F2847" s="36" t="s">
        <v>54412</v>
      </c>
      <c r="G2847" s="39">
        <v>340336.72</v>
      </c>
      <c r="H2847" s="42">
        <v>211</v>
      </c>
    </row>
    <row r="2848" spans="1:8" ht="15" customHeight="1">
      <c r="A2848" s="26">
        <v>23637381</v>
      </c>
      <c r="B2848" s="29" t="s">
        <v>5086</v>
      </c>
      <c r="C2848" s="29" t="s">
        <v>19803</v>
      </c>
      <c r="D2848" s="29" t="s">
        <v>32998</v>
      </c>
      <c r="E2848" s="29" t="s">
        <v>46243</v>
      </c>
      <c r="F2848" s="36" t="s">
        <v>54401</v>
      </c>
      <c r="G2848" s="39">
        <f>2790032.95-358672</f>
        <v>2431360.9500000002</v>
      </c>
      <c r="H2848" s="42">
        <v>211</v>
      </c>
    </row>
    <row r="2849" spans="1:8" ht="15" customHeight="1">
      <c r="A2849" s="26">
        <v>23637842</v>
      </c>
      <c r="B2849" s="29" t="s">
        <v>5087</v>
      </c>
      <c r="C2849" s="29" t="s">
        <v>19804</v>
      </c>
      <c r="D2849" s="29" t="s">
        <v>32999</v>
      </c>
      <c r="E2849" s="29" t="s">
        <v>1643</v>
      </c>
      <c r="F2849" s="36" t="s">
        <v>54401</v>
      </c>
      <c r="G2849" s="39">
        <v>500145.75</v>
      </c>
      <c r="H2849" s="42">
        <v>211</v>
      </c>
    </row>
    <row r="2850" spans="1:8" ht="15" customHeight="1">
      <c r="A2850" s="26">
        <v>23659961</v>
      </c>
      <c r="B2850" s="29" t="s">
        <v>5088</v>
      </c>
      <c r="C2850" s="29" t="s">
        <v>19805</v>
      </c>
      <c r="D2850" s="29" t="s">
        <v>33000</v>
      </c>
      <c r="E2850" s="29" t="s">
        <v>46244</v>
      </c>
      <c r="F2850" s="36" t="s">
        <v>54401</v>
      </c>
      <c r="G2850" s="39">
        <v>4893177.09</v>
      </c>
      <c r="H2850" s="42">
        <v>211</v>
      </c>
    </row>
    <row r="2851" spans="1:8" ht="15" customHeight="1">
      <c r="A2851" s="26">
        <v>23660338</v>
      </c>
      <c r="B2851" s="29" t="s">
        <v>5089</v>
      </c>
      <c r="C2851" s="29" t="s">
        <v>19806</v>
      </c>
      <c r="D2851" s="29" t="s">
        <v>33001</v>
      </c>
      <c r="E2851" s="29" t="s">
        <v>46245</v>
      </c>
      <c r="F2851" s="36" t="s">
        <v>54401</v>
      </c>
      <c r="G2851" s="39">
        <v>558232.6</v>
      </c>
      <c r="H2851" s="42">
        <v>211</v>
      </c>
    </row>
    <row r="2852" spans="1:8" ht="15" customHeight="1">
      <c r="A2852" s="26">
        <v>23660470</v>
      </c>
      <c r="B2852" s="29" t="s">
        <v>5090</v>
      </c>
      <c r="C2852" s="29" t="s">
        <v>19807</v>
      </c>
      <c r="D2852" s="29" t="s">
        <v>33002</v>
      </c>
      <c r="E2852" s="29" t="s">
        <v>46246</v>
      </c>
      <c r="F2852" s="36" t="s">
        <v>54401</v>
      </c>
      <c r="G2852" s="39">
        <v>4024591.08</v>
      </c>
      <c r="H2852" s="42">
        <v>211</v>
      </c>
    </row>
    <row r="2853" spans="1:8" ht="15" customHeight="1">
      <c r="A2853" s="26">
        <v>23660521</v>
      </c>
      <c r="B2853" s="29" t="s">
        <v>5091</v>
      </c>
      <c r="C2853" s="29" t="s">
        <v>19808</v>
      </c>
      <c r="D2853" s="29" t="s">
        <v>33003</v>
      </c>
      <c r="E2853" s="29" t="s">
        <v>43926</v>
      </c>
      <c r="F2853" s="36" t="s">
        <v>54401</v>
      </c>
      <c r="G2853" s="39">
        <f>276069.17+929265</f>
        <v>1205334.17</v>
      </c>
      <c r="H2853" s="42">
        <v>211</v>
      </c>
    </row>
    <row r="2854" spans="1:8" ht="15" customHeight="1">
      <c r="A2854" s="26">
        <v>23660688</v>
      </c>
      <c r="B2854" s="29" t="s">
        <v>5092</v>
      </c>
      <c r="C2854" s="29" t="s">
        <v>19809</v>
      </c>
      <c r="D2854" s="29" t="s">
        <v>33004</v>
      </c>
      <c r="E2854" s="29" t="s">
        <v>46247</v>
      </c>
      <c r="F2854" s="36" t="s">
        <v>54401</v>
      </c>
      <c r="G2854" s="39">
        <v>1233518.8</v>
      </c>
      <c r="H2854" s="42">
        <v>211</v>
      </c>
    </row>
    <row r="2855" spans="1:8" ht="15" customHeight="1">
      <c r="A2855" s="26">
        <v>23660781</v>
      </c>
      <c r="B2855" s="29" t="s">
        <v>5093</v>
      </c>
      <c r="C2855" s="29" t="s">
        <v>19810</v>
      </c>
      <c r="D2855" s="29" t="s">
        <v>33005</v>
      </c>
      <c r="E2855" s="29" t="s">
        <v>43926</v>
      </c>
      <c r="F2855" s="36" t="s">
        <v>54401</v>
      </c>
      <c r="G2855" s="39">
        <v>195345.31</v>
      </c>
      <c r="H2855" s="42">
        <v>211</v>
      </c>
    </row>
    <row r="2856" spans="1:8" ht="15" customHeight="1">
      <c r="A2856" s="26">
        <v>23676142</v>
      </c>
      <c r="B2856" s="29" t="s">
        <v>5094</v>
      </c>
      <c r="C2856" s="29" t="s">
        <v>19811</v>
      </c>
      <c r="D2856" s="29" t="s">
        <v>33006</v>
      </c>
      <c r="E2856" s="29" t="s">
        <v>46248</v>
      </c>
      <c r="F2856" s="36" t="s">
        <v>54401</v>
      </c>
      <c r="G2856" s="39">
        <f>1884871.62+382536</f>
        <v>2267407.62</v>
      </c>
      <c r="H2856" s="42">
        <v>211</v>
      </c>
    </row>
    <row r="2857" spans="1:8" ht="15" customHeight="1">
      <c r="A2857" s="26">
        <v>23676499</v>
      </c>
      <c r="B2857" s="29" t="s">
        <v>5095</v>
      </c>
      <c r="C2857" s="29" t="s">
        <v>19812</v>
      </c>
      <c r="D2857" s="29" t="s">
        <v>33007</v>
      </c>
      <c r="E2857" s="29" t="s">
        <v>46249</v>
      </c>
      <c r="F2857" s="36" t="s">
        <v>54401</v>
      </c>
      <c r="G2857" s="39">
        <v>2081072.53</v>
      </c>
      <c r="H2857" s="42">
        <v>211</v>
      </c>
    </row>
    <row r="2858" spans="1:8" ht="15" customHeight="1">
      <c r="A2858" s="26">
        <v>23676507</v>
      </c>
      <c r="B2858" s="29" t="s">
        <v>5096</v>
      </c>
      <c r="C2858" s="26" t="s">
        <v>19813</v>
      </c>
      <c r="D2858" s="26" t="s">
        <v>33008</v>
      </c>
      <c r="E2858" s="26" t="s">
        <v>46250</v>
      </c>
      <c r="F2858" s="37" t="s">
        <v>54402</v>
      </c>
      <c r="G2858" s="39">
        <v>53641.29</v>
      </c>
      <c r="H2858" s="42">
        <v>211</v>
      </c>
    </row>
    <row r="2859" spans="1:8" ht="15" customHeight="1">
      <c r="A2859" s="26">
        <v>23690836</v>
      </c>
      <c r="B2859" s="29" t="s">
        <v>5097</v>
      </c>
      <c r="C2859" s="29" t="s">
        <v>19814</v>
      </c>
      <c r="D2859" s="29" t="s">
        <v>33009</v>
      </c>
      <c r="E2859" s="29" t="s">
        <v>46251</v>
      </c>
      <c r="F2859" s="36" t="s">
        <v>54401</v>
      </c>
      <c r="G2859" s="39">
        <v>148436.97</v>
      </c>
      <c r="H2859" s="42">
        <v>211</v>
      </c>
    </row>
    <row r="2860" spans="1:8" ht="15" customHeight="1">
      <c r="A2860" s="26">
        <v>23691273</v>
      </c>
      <c r="B2860" s="29" t="s">
        <v>5098</v>
      </c>
      <c r="C2860" s="29" t="s">
        <v>19815</v>
      </c>
      <c r="D2860" s="29" t="s">
        <v>33010</v>
      </c>
      <c r="E2860" s="29" t="s">
        <v>46252</v>
      </c>
      <c r="F2860" s="36" t="s">
        <v>54401</v>
      </c>
      <c r="G2860" s="39">
        <v>468652.21</v>
      </c>
      <c r="H2860" s="42">
        <v>211</v>
      </c>
    </row>
    <row r="2861" spans="1:8" ht="15" customHeight="1">
      <c r="A2861" s="26">
        <v>23701067</v>
      </c>
      <c r="B2861" s="29" t="s">
        <v>5099</v>
      </c>
      <c r="C2861" s="29" t="s">
        <v>19816</v>
      </c>
      <c r="D2861" s="29" t="s">
        <v>33011</v>
      </c>
      <c r="E2861" s="29" t="s">
        <v>46253</v>
      </c>
      <c r="F2861" s="36" t="s">
        <v>54401</v>
      </c>
      <c r="G2861" s="39">
        <f>2666169.97-36252</f>
        <v>2629917.9700000002</v>
      </c>
      <c r="H2861" s="42">
        <v>211</v>
      </c>
    </row>
    <row r="2862" spans="1:8" ht="15" customHeight="1">
      <c r="A2862" s="26">
        <v>23701880</v>
      </c>
      <c r="B2862" s="29" t="s">
        <v>5100</v>
      </c>
      <c r="C2862" s="29" t="s">
        <v>17204</v>
      </c>
      <c r="D2862" s="29" t="s">
        <v>30349</v>
      </c>
      <c r="E2862" s="29" t="s">
        <v>43926</v>
      </c>
      <c r="F2862" s="36" t="s">
        <v>54401</v>
      </c>
      <c r="G2862" s="39">
        <v>109030.5</v>
      </c>
      <c r="H2862" s="42">
        <v>211</v>
      </c>
    </row>
    <row r="2863" spans="1:8" ht="15" customHeight="1">
      <c r="A2863" s="26">
        <v>23702575</v>
      </c>
      <c r="B2863" s="29" t="s">
        <v>5101</v>
      </c>
      <c r="C2863" s="29" t="s">
        <v>19817</v>
      </c>
      <c r="D2863" s="29" t="s">
        <v>33012</v>
      </c>
      <c r="E2863" s="29" t="s">
        <v>46254</v>
      </c>
      <c r="F2863" s="36" t="s">
        <v>54401</v>
      </c>
      <c r="G2863" s="39">
        <f>1770153.52+351677</f>
        <v>2121830.52</v>
      </c>
      <c r="H2863" s="42">
        <v>211</v>
      </c>
    </row>
    <row r="2864" spans="1:8" ht="15" customHeight="1">
      <c r="A2864" s="26">
        <v>23741822</v>
      </c>
      <c r="B2864" s="29" t="s">
        <v>5102</v>
      </c>
      <c r="C2864" s="29" t="s">
        <v>17204</v>
      </c>
      <c r="D2864" s="29" t="s">
        <v>33013</v>
      </c>
      <c r="E2864" s="29" t="s">
        <v>43926</v>
      </c>
      <c r="F2864" s="36" t="s">
        <v>54401</v>
      </c>
      <c r="G2864" s="39">
        <v>407278.71</v>
      </c>
      <c r="H2864" s="42">
        <v>211</v>
      </c>
    </row>
    <row r="2865" spans="1:8" ht="15" customHeight="1">
      <c r="A2865" s="26">
        <v>23752549</v>
      </c>
      <c r="B2865" s="29" t="s">
        <v>5103</v>
      </c>
      <c r="C2865" s="29" t="s">
        <v>17204</v>
      </c>
      <c r="D2865" s="29" t="s">
        <v>33014</v>
      </c>
      <c r="E2865" s="29" t="s">
        <v>46255</v>
      </c>
      <c r="F2865" s="36" t="s">
        <v>54401</v>
      </c>
      <c r="G2865" s="39">
        <v>108982.45</v>
      </c>
      <c r="H2865" s="42">
        <v>211</v>
      </c>
    </row>
    <row r="2866" spans="1:8" ht="15" customHeight="1">
      <c r="A2866" s="26">
        <v>23755018</v>
      </c>
      <c r="B2866" s="29" t="s">
        <v>5104</v>
      </c>
      <c r="C2866" s="29" t="s">
        <v>19818</v>
      </c>
      <c r="D2866" s="29" t="s">
        <v>33015</v>
      </c>
      <c r="E2866" s="29" t="s">
        <v>46256</v>
      </c>
      <c r="F2866" s="36" t="s">
        <v>54412</v>
      </c>
      <c r="G2866" s="39">
        <v>161228.76</v>
      </c>
      <c r="H2866" s="42">
        <v>211</v>
      </c>
    </row>
    <row r="2867" spans="1:8" ht="15" customHeight="1">
      <c r="A2867" s="26">
        <v>23755448</v>
      </c>
      <c r="B2867" s="29" t="s">
        <v>5105</v>
      </c>
      <c r="C2867" s="29" t="s">
        <v>19819</v>
      </c>
      <c r="D2867" s="29" t="s">
        <v>33016</v>
      </c>
      <c r="E2867" s="29" t="s">
        <v>46257</v>
      </c>
      <c r="F2867" s="36" t="s">
        <v>54402</v>
      </c>
      <c r="G2867" s="39">
        <f>3678492.48-272243</f>
        <v>3406249.48</v>
      </c>
      <c r="H2867" s="42">
        <v>211</v>
      </c>
    </row>
    <row r="2868" spans="1:8" ht="15" customHeight="1">
      <c r="A2868" s="26">
        <v>23756034</v>
      </c>
      <c r="B2868" s="29" t="s">
        <v>5106</v>
      </c>
      <c r="C2868" s="29" t="s">
        <v>19820</v>
      </c>
      <c r="D2868" s="29" t="s">
        <v>33017</v>
      </c>
      <c r="E2868" s="29" t="s">
        <v>46258</v>
      </c>
      <c r="F2868" s="36" t="s">
        <v>54401</v>
      </c>
      <c r="G2868" s="39">
        <v>870714.01</v>
      </c>
      <c r="H2868" s="42">
        <v>211</v>
      </c>
    </row>
    <row r="2869" spans="1:8" ht="15" customHeight="1">
      <c r="A2869" s="26">
        <v>23763833</v>
      </c>
      <c r="B2869" s="29" t="s">
        <v>5107</v>
      </c>
      <c r="C2869" s="29" t="s">
        <v>19821</v>
      </c>
      <c r="D2869" s="29" t="s">
        <v>33018</v>
      </c>
      <c r="E2869" s="29" t="s">
        <v>46259</v>
      </c>
      <c r="F2869" s="36" t="s">
        <v>54417</v>
      </c>
      <c r="G2869" s="39">
        <f>4594844.01-165990</f>
        <v>4428854.01</v>
      </c>
      <c r="H2869" s="42">
        <v>211</v>
      </c>
    </row>
    <row r="2870" spans="1:8" ht="15" customHeight="1">
      <c r="A2870" s="26">
        <v>23764480</v>
      </c>
      <c r="B2870" s="29" t="s">
        <v>5108</v>
      </c>
      <c r="C2870" s="29" t="s">
        <v>19822</v>
      </c>
      <c r="D2870" s="29" t="s">
        <v>33019</v>
      </c>
      <c r="E2870" s="29" t="s">
        <v>46260</v>
      </c>
      <c r="F2870" s="36" t="s">
        <v>54402</v>
      </c>
      <c r="G2870" s="39">
        <v>5742.77</v>
      </c>
      <c r="H2870" s="42">
        <v>211</v>
      </c>
    </row>
    <row r="2871" spans="1:8" ht="15" customHeight="1">
      <c r="A2871" s="26">
        <v>23764609</v>
      </c>
      <c r="B2871" s="29" t="s">
        <v>5109</v>
      </c>
      <c r="C2871" s="29" t="s">
        <v>19823</v>
      </c>
      <c r="D2871" s="29" t="s">
        <v>33020</v>
      </c>
      <c r="E2871" s="29" t="s">
        <v>46261</v>
      </c>
      <c r="F2871" s="36" t="s">
        <v>54417</v>
      </c>
      <c r="G2871" s="39">
        <v>1346612.96</v>
      </c>
      <c r="H2871" s="42">
        <v>211</v>
      </c>
    </row>
    <row r="2872" spans="1:8" ht="15" customHeight="1">
      <c r="A2872" s="26">
        <v>23764695</v>
      </c>
      <c r="B2872" s="29" t="s">
        <v>5110</v>
      </c>
      <c r="C2872" s="29" t="s">
        <v>19824</v>
      </c>
      <c r="D2872" s="29" t="s">
        <v>33021</v>
      </c>
      <c r="E2872" s="29" t="s">
        <v>46262</v>
      </c>
      <c r="F2872" s="36" t="s">
        <v>54401</v>
      </c>
      <c r="G2872" s="39">
        <v>5080803.68</v>
      </c>
      <c r="H2872" s="42">
        <v>211</v>
      </c>
    </row>
    <row r="2873" spans="1:8" ht="15" customHeight="1">
      <c r="A2873" s="26">
        <v>23765123</v>
      </c>
      <c r="B2873" s="29" t="s">
        <v>5111</v>
      </c>
      <c r="C2873" s="29" t="s">
        <v>19825</v>
      </c>
      <c r="D2873" s="29" t="s">
        <v>33022</v>
      </c>
      <c r="E2873" s="29" t="s">
        <v>46263</v>
      </c>
      <c r="F2873" s="36" t="s">
        <v>54401</v>
      </c>
      <c r="G2873" s="39">
        <v>2742497.24</v>
      </c>
      <c r="H2873" s="42">
        <v>211</v>
      </c>
    </row>
    <row r="2874" spans="1:8" ht="15" customHeight="1">
      <c r="A2874" s="26">
        <v>23765279</v>
      </c>
      <c r="B2874" s="29" t="s">
        <v>5112</v>
      </c>
      <c r="C2874" s="26" t="s">
        <v>19826</v>
      </c>
      <c r="D2874" s="26" t="s">
        <v>33023</v>
      </c>
      <c r="E2874" s="26" t="s">
        <v>46264</v>
      </c>
      <c r="F2874" s="37" t="s">
        <v>54401</v>
      </c>
      <c r="G2874" s="39">
        <v>2743843.17</v>
      </c>
      <c r="H2874" s="42">
        <v>211</v>
      </c>
    </row>
    <row r="2875" spans="1:8" ht="15" customHeight="1">
      <c r="A2875" s="26">
        <v>23769460</v>
      </c>
      <c r="B2875" s="29" t="s">
        <v>5113</v>
      </c>
      <c r="C2875" s="29" t="s">
        <v>19827</v>
      </c>
      <c r="D2875" s="29" t="s">
        <v>33024</v>
      </c>
      <c r="E2875" s="29" t="s">
        <v>46265</v>
      </c>
      <c r="F2875" s="36" t="s">
        <v>54401</v>
      </c>
      <c r="G2875" s="39">
        <f>4695106.03+236259</f>
        <v>4931365.03</v>
      </c>
      <c r="H2875" s="42">
        <v>211</v>
      </c>
    </row>
    <row r="2876" spans="1:8" ht="15" customHeight="1">
      <c r="A2876" s="26">
        <v>23769606</v>
      </c>
      <c r="B2876" s="29" t="s">
        <v>5114</v>
      </c>
      <c r="C2876" s="29" t="s">
        <v>19828</v>
      </c>
      <c r="D2876" s="29" t="s">
        <v>33025</v>
      </c>
      <c r="E2876" s="29" t="s">
        <v>46266</v>
      </c>
      <c r="F2876" s="36" t="s">
        <v>54401</v>
      </c>
      <c r="G2876" s="39">
        <v>108149.71</v>
      </c>
      <c r="H2876" s="42">
        <v>211</v>
      </c>
    </row>
    <row r="2877" spans="1:8" ht="15" customHeight="1">
      <c r="A2877" s="26">
        <v>23769708</v>
      </c>
      <c r="B2877" s="29" t="s">
        <v>5115</v>
      </c>
      <c r="C2877" s="29" t="s">
        <v>19829</v>
      </c>
      <c r="D2877" s="29" t="s">
        <v>33026</v>
      </c>
      <c r="E2877" s="29" t="s">
        <v>46267</v>
      </c>
      <c r="F2877" s="36" t="s">
        <v>54441</v>
      </c>
      <c r="G2877" s="39">
        <v>3211231.8</v>
      </c>
      <c r="H2877" s="42">
        <v>211</v>
      </c>
    </row>
    <row r="2878" spans="1:8" ht="15" customHeight="1">
      <c r="A2878" s="26">
        <v>23769848</v>
      </c>
      <c r="B2878" s="29" t="s">
        <v>5116</v>
      </c>
      <c r="C2878" s="29" t="s">
        <v>19830</v>
      </c>
      <c r="D2878" s="29" t="s">
        <v>33027</v>
      </c>
      <c r="E2878" s="29" t="s">
        <v>46268</v>
      </c>
      <c r="F2878" s="36" t="s">
        <v>54401</v>
      </c>
      <c r="G2878" s="39">
        <v>300435.65000000002</v>
      </c>
      <c r="H2878" s="42">
        <v>211</v>
      </c>
    </row>
    <row r="2879" spans="1:8" ht="15" customHeight="1">
      <c r="A2879" s="26">
        <v>23770180</v>
      </c>
      <c r="B2879" s="29" t="s">
        <v>5117</v>
      </c>
      <c r="C2879" s="29" t="s">
        <v>19831</v>
      </c>
      <c r="D2879" s="29" t="s">
        <v>33028</v>
      </c>
      <c r="E2879" s="29" t="s">
        <v>46269</v>
      </c>
      <c r="F2879" s="36" t="s">
        <v>54441</v>
      </c>
      <c r="G2879" s="39">
        <f>17690858.18-687341</f>
        <v>17003517.18</v>
      </c>
      <c r="H2879" s="42">
        <v>211</v>
      </c>
    </row>
    <row r="2880" spans="1:8" ht="15" customHeight="1">
      <c r="A2880" s="26">
        <v>23770210</v>
      </c>
      <c r="B2880" s="29" t="s">
        <v>5118</v>
      </c>
      <c r="C2880" s="29" t="s">
        <v>19832</v>
      </c>
      <c r="D2880" s="29" t="s">
        <v>33029</v>
      </c>
      <c r="E2880" s="29" t="s">
        <v>46270</v>
      </c>
      <c r="F2880" s="36" t="s">
        <v>54401</v>
      </c>
      <c r="G2880" s="39">
        <f>2486293.17+483315</f>
        <v>2969608.17</v>
      </c>
      <c r="H2880" s="42">
        <v>211</v>
      </c>
    </row>
    <row r="2881" spans="1:8" ht="15" customHeight="1">
      <c r="A2881" s="26">
        <v>23770552</v>
      </c>
      <c r="B2881" s="29" t="s">
        <v>5119</v>
      </c>
      <c r="C2881" s="29" t="s">
        <v>19833</v>
      </c>
      <c r="D2881" s="29" t="s">
        <v>33030</v>
      </c>
      <c r="E2881" s="29" t="s">
        <v>46271</v>
      </c>
      <c r="F2881" s="36" t="s">
        <v>54401</v>
      </c>
      <c r="G2881" s="39">
        <v>1868368.17</v>
      </c>
      <c r="H2881" s="42">
        <v>211</v>
      </c>
    </row>
    <row r="2882" spans="1:8" ht="15" customHeight="1">
      <c r="A2882" s="26">
        <v>23776945</v>
      </c>
      <c r="B2882" s="29" t="s">
        <v>5120</v>
      </c>
      <c r="C2882" s="29" t="s">
        <v>17204</v>
      </c>
      <c r="D2882" s="29" t="s">
        <v>30521</v>
      </c>
      <c r="E2882" s="29" t="s">
        <v>43926</v>
      </c>
      <c r="F2882" s="36" t="s">
        <v>54401</v>
      </c>
      <c r="G2882" s="39">
        <v>72093.38</v>
      </c>
      <c r="H2882" s="42">
        <v>211</v>
      </c>
    </row>
    <row r="2883" spans="1:8" ht="15" customHeight="1">
      <c r="A2883" s="26">
        <v>23783416</v>
      </c>
      <c r="B2883" s="29" t="s">
        <v>5121</v>
      </c>
      <c r="C2883" s="29" t="s">
        <v>19834</v>
      </c>
      <c r="D2883" s="29" t="s">
        <v>33031</v>
      </c>
      <c r="E2883" s="29" t="s">
        <v>46272</v>
      </c>
      <c r="F2883" s="36" t="s">
        <v>54401</v>
      </c>
      <c r="G2883" s="39">
        <v>2421092.7000000002</v>
      </c>
      <c r="H2883" s="42">
        <v>211</v>
      </c>
    </row>
    <row r="2884" spans="1:8" ht="15" customHeight="1">
      <c r="A2884" s="26">
        <v>23790954</v>
      </c>
      <c r="B2884" s="29" t="s">
        <v>5122</v>
      </c>
      <c r="C2884" s="29" t="s">
        <v>19835</v>
      </c>
      <c r="D2884" s="29" t="s">
        <v>33032</v>
      </c>
      <c r="E2884" s="29" t="s">
        <v>46273</v>
      </c>
      <c r="F2884" s="36" t="s">
        <v>54401</v>
      </c>
      <c r="G2884" s="39">
        <v>617666.49</v>
      </c>
      <c r="H2884" s="42">
        <v>211</v>
      </c>
    </row>
    <row r="2885" spans="1:8" ht="15" customHeight="1">
      <c r="A2885" s="26">
        <v>23795819</v>
      </c>
      <c r="B2885" s="29" t="s">
        <v>5123</v>
      </c>
      <c r="C2885" s="29" t="s">
        <v>19836</v>
      </c>
      <c r="D2885" s="29" t="s">
        <v>33033</v>
      </c>
      <c r="E2885" s="29" t="s">
        <v>46274</v>
      </c>
      <c r="F2885" s="36" t="s">
        <v>54401</v>
      </c>
      <c r="G2885" s="39">
        <v>3924524.76</v>
      </c>
      <c r="H2885" s="42">
        <v>211</v>
      </c>
    </row>
    <row r="2886" spans="1:8" ht="15" customHeight="1">
      <c r="A2886" s="26">
        <v>23809019</v>
      </c>
      <c r="B2886" s="29" t="s">
        <v>5124</v>
      </c>
      <c r="C2886" s="29" t="s">
        <v>19837</v>
      </c>
      <c r="D2886" s="29" t="s">
        <v>33034</v>
      </c>
      <c r="E2886" s="29" t="s">
        <v>46275</v>
      </c>
      <c r="F2886" s="36" t="s">
        <v>54401</v>
      </c>
      <c r="G2886" s="39">
        <v>1189756.56</v>
      </c>
      <c r="H2886" s="42">
        <v>211</v>
      </c>
    </row>
    <row r="2887" spans="1:8" ht="15" customHeight="1">
      <c r="A2887" s="26">
        <v>23809110</v>
      </c>
      <c r="B2887" s="29" t="s">
        <v>5125</v>
      </c>
      <c r="C2887" s="29" t="s">
        <v>19838</v>
      </c>
      <c r="D2887" s="29" t="s">
        <v>33035</v>
      </c>
      <c r="E2887" s="29" t="s">
        <v>46276</v>
      </c>
      <c r="F2887" s="36" t="s">
        <v>54409</v>
      </c>
      <c r="G2887" s="39">
        <v>201063.04000000001</v>
      </c>
      <c r="H2887" s="42">
        <v>211</v>
      </c>
    </row>
    <row r="2888" spans="1:8" ht="15" customHeight="1">
      <c r="A2888" s="26">
        <v>23809186</v>
      </c>
      <c r="B2888" s="29" t="s">
        <v>5126</v>
      </c>
      <c r="C2888" s="29" t="s">
        <v>17204</v>
      </c>
      <c r="D2888" s="29" t="s">
        <v>33036</v>
      </c>
      <c r="E2888" s="29" t="s">
        <v>43926</v>
      </c>
      <c r="F2888" s="36" t="s">
        <v>54401</v>
      </c>
      <c r="G2888" s="39">
        <v>818411.28</v>
      </c>
      <c r="H2888" s="42">
        <v>211</v>
      </c>
    </row>
    <row r="2889" spans="1:8" ht="15" customHeight="1">
      <c r="A2889" s="26">
        <v>23809277</v>
      </c>
      <c r="B2889" s="29" t="s">
        <v>5127</v>
      </c>
      <c r="C2889" s="29" t="s">
        <v>17204</v>
      </c>
      <c r="D2889" s="29" t="s">
        <v>30349</v>
      </c>
      <c r="E2889" s="29" t="s">
        <v>43926</v>
      </c>
      <c r="F2889" s="36" t="s">
        <v>54401</v>
      </c>
      <c r="G2889" s="39">
        <v>350507.86</v>
      </c>
      <c r="H2889" s="42">
        <v>211</v>
      </c>
    </row>
    <row r="2890" spans="1:8" ht="15" customHeight="1">
      <c r="A2890" s="26">
        <v>23809304</v>
      </c>
      <c r="B2890" s="29" t="s">
        <v>5128</v>
      </c>
      <c r="C2890" s="29" t="s">
        <v>19839</v>
      </c>
      <c r="D2890" s="29" t="s">
        <v>33037</v>
      </c>
      <c r="E2890" s="29" t="s">
        <v>46277</v>
      </c>
      <c r="F2890" s="36" t="s">
        <v>54401</v>
      </c>
      <c r="G2890" s="39">
        <v>724561.27</v>
      </c>
      <c r="H2890" s="42">
        <v>211</v>
      </c>
    </row>
    <row r="2891" spans="1:8" ht="15" customHeight="1">
      <c r="A2891" s="26">
        <v>23809318</v>
      </c>
      <c r="B2891" s="29" t="s">
        <v>5129</v>
      </c>
      <c r="C2891" s="29" t="s">
        <v>19840</v>
      </c>
      <c r="D2891" s="29" t="s">
        <v>33038</v>
      </c>
      <c r="E2891" s="29" t="s">
        <v>46278</v>
      </c>
      <c r="F2891" s="36" t="s">
        <v>54401</v>
      </c>
      <c r="G2891" s="39">
        <v>1767550.8</v>
      </c>
      <c r="H2891" s="42">
        <v>211</v>
      </c>
    </row>
    <row r="2892" spans="1:8" ht="15" customHeight="1">
      <c r="A2892" s="26">
        <v>23809339</v>
      </c>
      <c r="B2892" s="29" t="s">
        <v>5130</v>
      </c>
      <c r="C2892" s="29" t="s">
        <v>19841</v>
      </c>
      <c r="D2892" s="29" t="s">
        <v>33039</v>
      </c>
      <c r="E2892" s="29" t="s">
        <v>46279</v>
      </c>
      <c r="F2892" s="36" t="s">
        <v>54401</v>
      </c>
      <c r="G2892" s="39">
        <v>309607.19</v>
      </c>
      <c r="H2892" s="42">
        <v>211</v>
      </c>
    </row>
    <row r="2893" spans="1:8" ht="15" customHeight="1">
      <c r="A2893" s="26">
        <v>23809359</v>
      </c>
      <c r="B2893" s="29" t="s">
        <v>5131</v>
      </c>
      <c r="C2893" s="29" t="s">
        <v>19842</v>
      </c>
      <c r="D2893" s="29" t="s">
        <v>33040</v>
      </c>
      <c r="E2893" s="29" t="s">
        <v>46280</v>
      </c>
      <c r="F2893" s="36" t="s">
        <v>54406</v>
      </c>
      <c r="G2893" s="39">
        <v>2815783.55</v>
      </c>
      <c r="H2893" s="42">
        <v>211</v>
      </c>
    </row>
    <row r="2894" spans="1:8" ht="15" customHeight="1">
      <c r="A2894" s="26">
        <v>23809367</v>
      </c>
      <c r="B2894" s="29" t="s">
        <v>5132</v>
      </c>
      <c r="C2894" s="29" t="s">
        <v>19843</v>
      </c>
      <c r="D2894" s="29" t="s">
        <v>33041</v>
      </c>
      <c r="E2894" s="29" t="s">
        <v>46281</v>
      </c>
      <c r="F2894" s="36" t="s">
        <v>54401</v>
      </c>
      <c r="G2894" s="39">
        <v>7750015.0499999998</v>
      </c>
      <c r="H2894" s="42">
        <v>211</v>
      </c>
    </row>
    <row r="2895" spans="1:8" ht="15" customHeight="1">
      <c r="A2895" s="26">
        <v>23809492</v>
      </c>
      <c r="B2895" s="29" t="s">
        <v>5133</v>
      </c>
      <c r="C2895" s="29" t="s">
        <v>19844</v>
      </c>
      <c r="D2895" s="29" t="s">
        <v>33042</v>
      </c>
      <c r="E2895" s="29" t="s">
        <v>46282</v>
      </c>
      <c r="F2895" s="36" t="s">
        <v>54406</v>
      </c>
      <c r="G2895" s="39">
        <f>3560995.67-24773</f>
        <v>3536222.67</v>
      </c>
      <c r="H2895" s="42">
        <v>211</v>
      </c>
    </row>
    <row r="2896" spans="1:8" ht="15" customHeight="1">
      <c r="A2896" s="26">
        <v>23809494</v>
      </c>
      <c r="B2896" s="29" t="s">
        <v>5134</v>
      </c>
      <c r="C2896" s="29" t="s">
        <v>19845</v>
      </c>
      <c r="D2896" s="29" t="s">
        <v>33043</v>
      </c>
      <c r="E2896" s="29" t="s">
        <v>46283</v>
      </c>
      <c r="F2896" s="36" t="s">
        <v>54406</v>
      </c>
      <c r="G2896" s="39">
        <v>2673565.42</v>
      </c>
      <c r="H2896" s="42">
        <v>211</v>
      </c>
    </row>
    <row r="2897" spans="1:8" ht="15" customHeight="1">
      <c r="A2897" s="26">
        <v>23809518</v>
      </c>
      <c r="B2897" s="29" t="s">
        <v>5135</v>
      </c>
      <c r="C2897" s="29" t="s">
        <v>19846</v>
      </c>
      <c r="D2897" s="29" t="s">
        <v>33044</v>
      </c>
      <c r="E2897" s="29" t="s">
        <v>46284</v>
      </c>
      <c r="F2897" s="36" t="s">
        <v>54401</v>
      </c>
      <c r="G2897" s="39">
        <v>342345.73</v>
      </c>
      <c r="H2897" s="42">
        <v>211</v>
      </c>
    </row>
    <row r="2898" spans="1:8" ht="15" customHeight="1">
      <c r="A2898" s="26">
        <v>23809696</v>
      </c>
      <c r="B2898" s="29" t="s">
        <v>5136</v>
      </c>
      <c r="C2898" s="29" t="s">
        <v>19847</v>
      </c>
      <c r="D2898" s="29" t="s">
        <v>33045</v>
      </c>
      <c r="E2898" s="29" t="s">
        <v>44189</v>
      </c>
      <c r="F2898" s="36" t="s">
        <v>54401</v>
      </c>
      <c r="G2898" s="39">
        <v>53907.56</v>
      </c>
      <c r="H2898" s="42">
        <v>211</v>
      </c>
    </row>
    <row r="2899" spans="1:8" ht="15" customHeight="1">
      <c r="A2899" s="26">
        <v>23809767</v>
      </c>
      <c r="B2899" s="29" t="s">
        <v>5137</v>
      </c>
      <c r="C2899" s="29" t="s">
        <v>19848</v>
      </c>
      <c r="D2899" s="29" t="s">
        <v>33046</v>
      </c>
      <c r="E2899" s="29" t="s">
        <v>46285</v>
      </c>
      <c r="F2899" s="36" t="s">
        <v>54401</v>
      </c>
      <c r="G2899" s="39">
        <v>580293.92000000004</v>
      </c>
      <c r="H2899" s="42">
        <v>211</v>
      </c>
    </row>
    <row r="2900" spans="1:8" ht="15" customHeight="1">
      <c r="A2900" s="26">
        <v>23809850</v>
      </c>
      <c r="B2900" s="29" t="s">
        <v>5138</v>
      </c>
      <c r="C2900" s="29" t="s">
        <v>19849</v>
      </c>
      <c r="D2900" s="29" t="s">
        <v>33047</v>
      </c>
      <c r="E2900" s="29" t="s">
        <v>46286</v>
      </c>
      <c r="F2900" s="36" t="s">
        <v>54406</v>
      </c>
      <c r="G2900" s="39">
        <f>647585.81-2780+18197260-136252</f>
        <v>18705813.809999999</v>
      </c>
      <c r="H2900" s="42">
        <v>211</v>
      </c>
    </row>
    <row r="2901" spans="1:8" ht="15" customHeight="1">
      <c r="A2901" s="26">
        <v>23809911</v>
      </c>
      <c r="B2901" s="29" t="s">
        <v>5139</v>
      </c>
      <c r="C2901" s="29" t="s">
        <v>19850</v>
      </c>
      <c r="D2901" s="29" t="s">
        <v>33048</v>
      </c>
      <c r="E2901" s="29" t="s">
        <v>46287</v>
      </c>
      <c r="F2901" s="36" t="s">
        <v>54402</v>
      </c>
      <c r="G2901" s="39">
        <f>2112423.11-108099</f>
        <v>2004324.1099999999</v>
      </c>
      <c r="H2901" s="42">
        <v>211</v>
      </c>
    </row>
    <row r="2902" spans="1:8" ht="15" customHeight="1">
      <c r="A2902" s="26">
        <v>23810027</v>
      </c>
      <c r="B2902" s="29" t="s">
        <v>5140</v>
      </c>
      <c r="C2902" s="29" t="s">
        <v>19851</v>
      </c>
      <c r="D2902" s="29" t="s">
        <v>33049</v>
      </c>
      <c r="E2902" s="29" t="s">
        <v>46288</v>
      </c>
      <c r="F2902" s="36" t="s">
        <v>54406</v>
      </c>
      <c r="G2902" s="39">
        <v>145732.29</v>
      </c>
      <c r="H2902" s="42">
        <v>211</v>
      </c>
    </row>
    <row r="2903" spans="1:8" ht="15" customHeight="1">
      <c r="A2903" s="26">
        <v>23810043</v>
      </c>
      <c r="B2903" s="29" t="s">
        <v>5141</v>
      </c>
      <c r="C2903" s="26" t="s">
        <v>19852</v>
      </c>
      <c r="D2903" s="26" t="s">
        <v>33050</v>
      </c>
      <c r="E2903" s="26" t="s">
        <v>711</v>
      </c>
      <c r="F2903" s="37" t="s">
        <v>54406</v>
      </c>
      <c r="G2903" s="39">
        <v>115268.8</v>
      </c>
      <c r="H2903" s="42">
        <v>211</v>
      </c>
    </row>
    <row r="2904" spans="1:8" ht="15" customHeight="1">
      <c r="A2904" s="26">
        <v>23810046</v>
      </c>
      <c r="B2904" s="29" t="s">
        <v>5142</v>
      </c>
      <c r="C2904" s="29" t="s">
        <v>19853</v>
      </c>
      <c r="D2904" s="29" t="s">
        <v>33051</v>
      </c>
      <c r="E2904" s="29" t="s">
        <v>46289</v>
      </c>
      <c r="F2904" s="36" t="s">
        <v>54401</v>
      </c>
      <c r="G2904" s="39">
        <v>15894717.5</v>
      </c>
      <c r="H2904" s="42">
        <v>211</v>
      </c>
    </row>
    <row r="2905" spans="1:8" ht="15" customHeight="1">
      <c r="A2905" s="26">
        <v>23810109</v>
      </c>
      <c r="B2905" s="29" t="s">
        <v>5143</v>
      </c>
      <c r="C2905" s="29" t="s">
        <v>19854</v>
      </c>
      <c r="D2905" s="29" t="s">
        <v>33052</v>
      </c>
      <c r="E2905" s="29" t="s">
        <v>46290</v>
      </c>
      <c r="F2905" s="36" t="s">
        <v>54406</v>
      </c>
      <c r="G2905" s="39">
        <v>572561.46</v>
      </c>
      <c r="H2905" s="42">
        <v>211</v>
      </c>
    </row>
    <row r="2906" spans="1:8" ht="15" customHeight="1">
      <c r="A2906" s="26">
        <v>23810137</v>
      </c>
      <c r="B2906" s="29" t="s">
        <v>5144</v>
      </c>
      <c r="C2906" s="29" t="s">
        <v>19855</v>
      </c>
      <c r="D2906" s="29" t="s">
        <v>33053</v>
      </c>
      <c r="E2906" s="29" t="s">
        <v>46291</v>
      </c>
      <c r="F2906" s="36" t="s">
        <v>54406</v>
      </c>
      <c r="G2906" s="39">
        <f>1117799.23+31412947-124588</f>
        <v>32406158.23</v>
      </c>
      <c r="H2906" s="42">
        <v>211</v>
      </c>
    </row>
    <row r="2907" spans="1:8" ht="15" customHeight="1">
      <c r="A2907" s="26">
        <v>23810144</v>
      </c>
      <c r="B2907" s="29" t="s">
        <v>5145</v>
      </c>
      <c r="C2907" s="29" t="s">
        <v>19856</v>
      </c>
      <c r="D2907" s="29" t="s">
        <v>33054</v>
      </c>
      <c r="E2907" s="29" t="s">
        <v>46292</v>
      </c>
      <c r="F2907" s="36" t="s">
        <v>54406</v>
      </c>
      <c r="G2907" s="39">
        <v>6153954.3300000001</v>
      </c>
      <c r="H2907" s="42">
        <v>211</v>
      </c>
    </row>
    <row r="2908" spans="1:8" ht="15" customHeight="1">
      <c r="A2908" s="26">
        <v>23810169</v>
      </c>
      <c r="B2908" s="29" t="s">
        <v>5146</v>
      </c>
      <c r="C2908" s="29" t="s">
        <v>19857</v>
      </c>
      <c r="D2908" s="29" t="s">
        <v>33055</v>
      </c>
      <c r="E2908" s="29" t="s">
        <v>46293</v>
      </c>
      <c r="F2908" s="36" t="s">
        <v>54406</v>
      </c>
      <c r="G2908" s="39">
        <v>117557.14</v>
      </c>
      <c r="H2908" s="42">
        <v>211</v>
      </c>
    </row>
    <row r="2909" spans="1:8" ht="15" customHeight="1">
      <c r="A2909" s="26">
        <v>23810172</v>
      </c>
      <c r="B2909" s="29" t="s">
        <v>5147</v>
      </c>
      <c r="C2909" s="29" t="s">
        <v>19858</v>
      </c>
      <c r="D2909" s="29" t="s">
        <v>33056</v>
      </c>
      <c r="E2909" s="29" t="s">
        <v>46294</v>
      </c>
      <c r="F2909" s="36" t="s">
        <v>54401</v>
      </c>
      <c r="G2909" s="39">
        <v>50142.28</v>
      </c>
      <c r="H2909" s="42">
        <v>211</v>
      </c>
    </row>
    <row r="2910" spans="1:8" ht="15" customHeight="1">
      <c r="A2910" s="26">
        <v>23810202</v>
      </c>
      <c r="B2910" s="29" t="s">
        <v>5148</v>
      </c>
      <c r="C2910" s="29" t="s">
        <v>19859</v>
      </c>
      <c r="D2910" s="29" t="s">
        <v>33057</v>
      </c>
      <c r="E2910" s="29" t="s">
        <v>46295</v>
      </c>
      <c r="F2910" s="36" t="s">
        <v>54401</v>
      </c>
      <c r="G2910" s="39">
        <v>555165.12</v>
      </c>
      <c r="H2910" s="42">
        <v>211</v>
      </c>
    </row>
    <row r="2911" spans="1:8" ht="15" customHeight="1">
      <c r="A2911" s="26">
        <v>23810211</v>
      </c>
      <c r="B2911" s="29" t="s">
        <v>5149</v>
      </c>
      <c r="C2911" s="29" t="s">
        <v>19860</v>
      </c>
      <c r="D2911" s="29" t="s">
        <v>33058</v>
      </c>
      <c r="E2911" s="29" t="s">
        <v>43926</v>
      </c>
      <c r="F2911" s="36" t="s">
        <v>54401</v>
      </c>
      <c r="G2911" s="39">
        <f>1050568.85-22058+1325109</f>
        <v>2353619.85</v>
      </c>
      <c r="H2911" s="42">
        <v>211</v>
      </c>
    </row>
    <row r="2912" spans="1:8" ht="15" customHeight="1">
      <c r="A2912" s="26">
        <v>23810252</v>
      </c>
      <c r="B2912" s="29" t="s">
        <v>5150</v>
      </c>
      <c r="C2912" s="26" t="s">
        <v>19861</v>
      </c>
      <c r="D2912" s="26" t="s">
        <v>33059</v>
      </c>
      <c r="E2912" s="26" t="s">
        <v>46296</v>
      </c>
      <c r="F2912" s="37" t="s">
        <v>54406</v>
      </c>
      <c r="G2912" s="39">
        <v>25832</v>
      </c>
      <c r="H2912" s="42">
        <v>211</v>
      </c>
    </row>
    <row r="2913" spans="1:8" ht="15" customHeight="1">
      <c r="A2913" s="26">
        <v>23810267</v>
      </c>
      <c r="B2913" s="29" t="s">
        <v>5151</v>
      </c>
      <c r="C2913" s="29" t="s">
        <v>19862</v>
      </c>
      <c r="D2913" s="29" t="s">
        <v>33060</v>
      </c>
      <c r="E2913" s="29" t="s">
        <v>46297</v>
      </c>
      <c r="F2913" s="36" t="s">
        <v>54401</v>
      </c>
      <c r="G2913" s="39">
        <v>397988.44</v>
      </c>
      <c r="H2913" s="42">
        <v>211</v>
      </c>
    </row>
    <row r="2914" spans="1:8" ht="15" customHeight="1">
      <c r="A2914" s="26">
        <v>23810296</v>
      </c>
      <c r="B2914" s="29" t="s">
        <v>5152</v>
      </c>
      <c r="C2914" s="29" t="s">
        <v>19863</v>
      </c>
      <c r="D2914" s="29" t="s">
        <v>33061</v>
      </c>
      <c r="E2914" s="29" t="s">
        <v>46298</v>
      </c>
      <c r="F2914" s="36" t="s">
        <v>54401</v>
      </c>
      <c r="G2914" s="39">
        <v>454281.16</v>
      </c>
      <c r="H2914" s="42">
        <v>211</v>
      </c>
    </row>
    <row r="2915" spans="1:8" ht="15" customHeight="1">
      <c r="A2915" s="26">
        <v>23810350</v>
      </c>
      <c r="B2915" s="29" t="s">
        <v>5153</v>
      </c>
      <c r="C2915" s="29" t="s">
        <v>19864</v>
      </c>
      <c r="D2915" s="29" t="s">
        <v>33062</v>
      </c>
      <c r="E2915" s="29" t="s">
        <v>44184</v>
      </c>
      <c r="F2915" s="36" t="s">
        <v>54401</v>
      </c>
      <c r="G2915" s="39">
        <f>5199937.73+498696</f>
        <v>5698633.7300000004</v>
      </c>
      <c r="H2915" s="42">
        <v>211</v>
      </c>
    </row>
    <row r="2916" spans="1:8" ht="15" customHeight="1">
      <c r="A2916" s="26">
        <v>23810383</v>
      </c>
      <c r="B2916" s="29" t="s">
        <v>5154</v>
      </c>
      <c r="C2916" s="29" t="s">
        <v>17204</v>
      </c>
      <c r="D2916" s="29" t="s">
        <v>30349</v>
      </c>
      <c r="E2916" s="29" t="s">
        <v>43926</v>
      </c>
      <c r="F2916" s="36" t="s">
        <v>54401</v>
      </c>
      <c r="G2916" s="39">
        <v>413505.29</v>
      </c>
      <c r="H2916" s="42">
        <v>211</v>
      </c>
    </row>
    <row r="2917" spans="1:8" ht="15" customHeight="1">
      <c r="A2917" s="26">
        <v>23810505</v>
      </c>
      <c r="B2917" s="29" t="s">
        <v>5155</v>
      </c>
      <c r="C2917" s="29" t="s">
        <v>19865</v>
      </c>
      <c r="D2917" s="29" t="s">
        <v>33063</v>
      </c>
      <c r="E2917" s="29" t="s">
        <v>46299</v>
      </c>
      <c r="F2917" s="36" t="s">
        <v>54401</v>
      </c>
      <c r="G2917" s="39">
        <v>1253925.2</v>
      </c>
      <c r="H2917" s="42">
        <v>211</v>
      </c>
    </row>
    <row r="2918" spans="1:8" ht="15" customHeight="1">
      <c r="A2918" s="26">
        <v>23810519</v>
      </c>
      <c r="B2918" s="29" t="s">
        <v>5156</v>
      </c>
      <c r="C2918" s="29" t="s">
        <v>19866</v>
      </c>
      <c r="D2918" s="29" t="s">
        <v>33064</v>
      </c>
      <c r="E2918" s="29" t="s">
        <v>46300</v>
      </c>
      <c r="F2918" s="36" t="s">
        <v>54406</v>
      </c>
      <c r="G2918" s="39">
        <v>452136.65</v>
      </c>
      <c r="H2918" s="42">
        <v>211</v>
      </c>
    </row>
    <row r="2919" spans="1:8" ht="15" customHeight="1">
      <c r="A2919" s="26">
        <v>23810522</v>
      </c>
      <c r="B2919" s="29" t="s">
        <v>5157</v>
      </c>
      <c r="C2919" s="29" t="s">
        <v>17204</v>
      </c>
      <c r="D2919" s="29" t="s">
        <v>30349</v>
      </c>
      <c r="E2919" s="29" t="s">
        <v>43926</v>
      </c>
      <c r="F2919" s="36" t="s">
        <v>54401</v>
      </c>
      <c r="G2919" s="39">
        <v>397634.44</v>
      </c>
      <c r="H2919" s="42">
        <v>211</v>
      </c>
    </row>
    <row r="2920" spans="1:8" ht="15" customHeight="1">
      <c r="A2920" s="26">
        <v>23810558</v>
      </c>
      <c r="B2920" s="29" t="s">
        <v>5158</v>
      </c>
      <c r="C2920" s="29" t="s">
        <v>19867</v>
      </c>
      <c r="D2920" s="29" t="s">
        <v>33065</v>
      </c>
      <c r="E2920" s="29" t="s">
        <v>46301</v>
      </c>
      <c r="F2920" s="36" t="s">
        <v>54406</v>
      </c>
      <c r="G2920" s="39">
        <v>593144.27</v>
      </c>
      <c r="H2920" s="42">
        <v>211</v>
      </c>
    </row>
    <row r="2921" spans="1:8" ht="15" customHeight="1">
      <c r="A2921" s="26">
        <v>23810609</v>
      </c>
      <c r="B2921" s="29" t="s">
        <v>5159</v>
      </c>
      <c r="C2921" s="29" t="s">
        <v>19868</v>
      </c>
      <c r="D2921" s="29" t="s">
        <v>33066</v>
      </c>
      <c r="E2921" s="29" t="s">
        <v>45275</v>
      </c>
      <c r="F2921" s="36" t="s">
        <v>54401</v>
      </c>
      <c r="G2921" s="39">
        <v>613319.54</v>
      </c>
      <c r="H2921" s="42">
        <v>211</v>
      </c>
    </row>
    <row r="2922" spans="1:8" ht="15" customHeight="1">
      <c r="A2922" s="26">
        <v>23810698</v>
      </c>
      <c r="B2922" s="29" t="s">
        <v>5160</v>
      </c>
      <c r="C2922" s="29" t="s">
        <v>19869</v>
      </c>
      <c r="D2922" s="29" t="s">
        <v>33067</v>
      </c>
      <c r="E2922" s="29" t="s">
        <v>711</v>
      </c>
      <c r="F2922" s="36" t="s">
        <v>54401</v>
      </c>
      <c r="G2922" s="39">
        <v>289400.33</v>
      </c>
      <c r="H2922" s="42">
        <v>211</v>
      </c>
    </row>
    <row r="2923" spans="1:8" ht="15" customHeight="1">
      <c r="A2923" s="26">
        <v>23810735</v>
      </c>
      <c r="B2923" s="29" t="s">
        <v>5161</v>
      </c>
      <c r="C2923" s="26" t="s">
        <v>19870</v>
      </c>
      <c r="D2923" s="26" t="s">
        <v>33068</v>
      </c>
      <c r="E2923" s="26" t="s">
        <v>46302</v>
      </c>
      <c r="F2923" s="37" t="s">
        <v>54401</v>
      </c>
      <c r="G2923" s="39">
        <v>553821.31000000006</v>
      </c>
      <c r="H2923" s="42">
        <v>211</v>
      </c>
    </row>
    <row r="2924" spans="1:8" ht="15" customHeight="1">
      <c r="A2924" s="26">
        <v>23810774</v>
      </c>
      <c r="B2924" s="29" t="s">
        <v>5162</v>
      </c>
      <c r="C2924" s="29" t="s">
        <v>19871</v>
      </c>
      <c r="D2924" s="29" t="s">
        <v>33069</v>
      </c>
      <c r="E2924" s="29" t="s">
        <v>46303</v>
      </c>
      <c r="F2924" s="36" t="s">
        <v>54406</v>
      </c>
      <c r="G2924" s="39">
        <v>352233.47</v>
      </c>
      <c r="H2924" s="42">
        <v>211</v>
      </c>
    </row>
    <row r="2925" spans="1:8" ht="15" customHeight="1">
      <c r="A2925" s="26">
        <v>23810784</v>
      </c>
      <c r="B2925" s="29" t="s">
        <v>5163</v>
      </c>
      <c r="C2925" s="29" t="s">
        <v>19872</v>
      </c>
      <c r="D2925" s="29" t="s">
        <v>33070</v>
      </c>
      <c r="E2925" s="29" t="s">
        <v>46304</v>
      </c>
      <c r="F2925" s="36" t="s">
        <v>54401</v>
      </c>
      <c r="G2925" s="39">
        <v>144756.03</v>
      </c>
      <c r="H2925" s="42">
        <v>211</v>
      </c>
    </row>
    <row r="2926" spans="1:8" ht="15" customHeight="1">
      <c r="A2926" s="26">
        <v>23810860</v>
      </c>
      <c r="B2926" s="29" t="s">
        <v>5164</v>
      </c>
      <c r="C2926" s="29" t="s">
        <v>17204</v>
      </c>
      <c r="D2926" s="29" t="s">
        <v>30349</v>
      </c>
      <c r="E2926" s="29" t="s">
        <v>43926</v>
      </c>
      <c r="F2926" s="36" t="s">
        <v>54401</v>
      </c>
      <c r="G2926" s="39">
        <v>409907.09</v>
      </c>
      <c r="H2926" s="42">
        <v>211</v>
      </c>
    </row>
    <row r="2927" spans="1:8" ht="15" customHeight="1">
      <c r="A2927" s="26">
        <v>23810906</v>
      </c>
      <c r="B2927" s="29" t="s">
        <v>5165</v>
      </c>
      <c r="C2927" s="26" t="s">
        <v>17204</v>
      </c>
      <c r="D2927" s="26" t="s">
        <v>30349</v>
      </c>
      <c r="E2927" s="26" t="s">
        <v>43926</v>
      </c>
      <c r="F2927" s="37" t="s">
        <v>54401</v>
      </c>
      <c r="G2927" s="39">
        <v>485611.58</v>
      </c>
      <c r="H2927" s="42">
        <v>211</v>
      </c>
    </row>
    <row r="2928" spans="1:8" ht="15" customHeight="1">
      <c r="A2928" s="26">
        <v>23810928</v>
      </c>
      <c r="B2928" s="29" t="s">
        <v>5166</v>
      </c>
      <c r="C2928" s="29" t="s">
        <v>19873</v>
      </c>
      <c r="D2928" s="29" t="s">
        <v>33071</v>
      </c>
      <c r="E2928" s="29" t="s">
        <v>46305</v>
      </c>
      <c r="F2928" s="36" t="s">
        <v>54401</v>
      </c>
      <c r="G2928" s="39">
        <v>888502.73</v>
      </c>
      <c r="H2928" s="42">
        <v>211</v>
      </c>
    </row>
    <row r="2929" spans="1:8" ht="15" customHeight="1">
      <c r="A2929" s="26">
        <v>23812116</v>
      </c>
      <c r="B2929" s="29" t="s">
        <v>5167</v>
      </c>
      <c r="C2929" s="29" t="s">
        <v>19874</v>
      </c>
      <c r="D2929" s="29" t="s">
        <v>33072</v>
      </c>
      <c r="E2929" s="29" t="s">
        <v>46306</v>
      </c>
      <c r="F2929" s="36" t="s">
        <v>54401</v>
      </c>
      <c r="G2929" s="39">
        <v>91463.87</v>
      </c>
      <c r="H2929" s="42">
        <v>211</v>
      </c>
    </row>
    <row r="2930" spans="1:8" ht="15" customHeight="1">
      <c r="A2930" s="26">
        <v>23853019</v>
      </c>
      <c r="B2930" s="29" t="s">
        <v>5168</v>
      </c>
      <c r="C2930" s="29" t="s">
        <v>19875</v>
      </c>
      <c r="D2930" s="29" t="s">
        <v>33073</v>
      </c>
      <c r="E2930" s="29" t="s">
        <v>46307</v>
      </c>
      <c r="F2930" s="36" t="s">
        <v>54413</v>
      </c>
      <c r="G2930" s="39">
        <v>887761.9</v>
      </c>
      <c r="H2930" s="42">
        <v>211</v>
      </c>
    </row>
    <row r="2931" spans="1:8" ht="15" customHeight="1">
      <c r="A2931" s="26">
        <v>23853799</v>
      </c>
      <c r="B2931" s="29" t="s">
        <v>5169</v>
      </c>
      <c r="C2931" s="29" t="s">
        <v>19876</v>
      </c>
      <c r="D2931" s="29" t="s">
        <v>33074</v>
      </c>
      <c r="E2931" s="29" t="s">
        <v>46308</v>
      </c>
      <c r="F2931" s="36" t="s">
        <v>54401</v>
      </c>
      <c r="G2931" s="39">
        <v>1678008.28</v>
      </c>
      <c r="H2931" s="42">
        <v>211</v>
      </c>
    </row>
    <row r="2932" spans="1:8" ht="15" customHeight="1">
      <c r="A2932" s="26">
        <v>23853905</v>
      </c>
      <c r="B2932" s="29" t="s">
        <v>5170</v>
      </c>
      <c r="C2932" s="29" t="s">
        <v>19877</v>
      </c>
      <c r="D2932" s="29" t="s">
        <v>33075</v>
      </c>
      <c r="E2932" s="29" t="s">
        <v>46309</v>
      </c>
      <c r="F2932" s="36" t="s">
        <v>54401</v>
      </c>
      <c r="G2932" s="39">
        <v>168431.27</v>
      </c>
      <c r="H2932" s="42">
        <v>211</v>
      </c>
    </row>
    <row r="2933" spans="1:8" ht="15" customHeight="1">
      <c r="A2933" s="26">
        <v>23853984</v>
      </c>
      <c r="B2933" s="29" t="s">
        <v>5171</v>
      </c>
      <c r="C2933" s="29" t="s">
        <v>19878</v>
      </c>
      <c r="D2933" s="29" t="s">
        <v>33076</v>
      </c>
      <c r="E2933" s="29" t="s">
        <v>46310</v>
      </c>
      <c r="F2933" s="36" t="s">
        <v>54401</v>
      </c>
      <c r="G2933" s="39">
        <v>414109.16</v>
      </c>
      <c r="H2933" s="42">
        <v>211</v>
      </c>
    </row>
    <row r="2934" spans="1:8" ht="15" customHeight="1">
      <c r="A2934" s="26">
        <v>23854092</v>
      </c>
      <c r="B2934" s="29" t="s">
        <v>5172</v>
      </c>
      <c r="C2934" s="29" t="s">
        <v>19879</v>
      </c>
      <c r="D2934" s="29" t="s">
        <v>33077</v>
      </c>
      <c r="E2934" s="29" t="s">
        <v>46311</v>
      </c>
      <c r="F2934" s="36" t="s">
        <v>54401</v>
      </c>
      <c r="G2934" s="39">
        <v>116610.01</v>
      </c>
      <c r="H2934" s="42">
        <v>211</v>
      </c>
    </row>
    <row r="2935" spans="1:8" ht="15" customHeight="1">
      <c r="A2935" s="26">
        <v>23854449</v>
      </c>
      <c r="B2935" s="29" t="s">
        <v>5173</v>
      </c>
      <c r="C2935" s="29" t="s">
        <v>19880</v>
      </c>
      <c r="D2935" s="29" t="s">
        <v>33078</v>
      </c>
      <c r="E2935" s="29" t="s">
        <v>46312</v>
      </c>
      <c r="F2935" s="36" t="s">
        <v>54413</v>
      </c>
      <c r="G2935" s="39">
        <v>162834.89000000001</v>
      </c>
      <c r="H2935" s="42">
        <v>211</v>
      </c>
    </row>
    <row r="2936" spans="1:8" ht="15" customHeight="1">
      <c r="A2936" s="26">
        <v>23854938</v>
      </c>
      <c r="B2936" s="29" t="s">
        <v>5174</v>
      </c>
      <c r="C2936" s="29" t="s">
        <v>19881</v>
      </c>
      <c r="D2936" s="29" t="s">
        <v>33079</v>
      </c>
      <c r="E2936" s="29" t="s">
        <v>46313</v>
      </c>
      <c r="F2936" s="36" t="s">
        <v>54401</v>
      </c>
      <c r="G2936" s="39">
        <v>11848.74</v>
      </c>
      <c r="H2936" s="42">
        <v>211</v>
      </c>
    </row>
    <row r="2937" spans="1:8" ht="15" customHeight="1">
      <c r="A2937" s="26">
        <v>23855240</v>
      </c>
      <c r="B2937" s="29" t="s">
        <v>5175</v>
      </c>
      <c r="C2937" s="29" t="s">
        <v>19882</v>
      </c>
      <c r="D2937" s="29" t="s">
        <v>33080</v>
      </c>
      <c r="E2937" s="29" t="s">
        <v>46314</v>
      </c>
      <c r="F2937" s="36" t="s">
        <v>54401</v>
      </c>
      <c r="G2937" s="39">
        <v>2083804.25</v>
      </c>
      <c r="H2937" s="42">
        <v>211</v>
      </c>
    </row>
    <row r="2938" spans="1:8" ht="15" customHeight="1">
      <c r="A2938" s="26">
        <v>23855902</v>
      </c>
      <c r="B2938" s="29" t="s">
        <v>5176</v>
      </c>
      <c r="C2938" s="29" t="s">
        <v>19883</v>
      </c>
      <c r="D2938" s="29" t="s">
        <v>33081</v>
      </c>
      <c r="E2938" s="29" t="s">
        <v>731</v>
      </c>
      <c r="F2938" s="36" t="s">
        <v>54401</v>
      </c>
      <c r="G2938" s="39">
        <v>100867.73</v>
      </c>
      <c r="H2938" s="42">
        <v>211</v>
      </c>
    </row>
    <row r="2939" spans="1:8" ht="15" customHeight="1">
      <c r="A2939" s="26">
        <v>23855922</v>
      </c>
      <c r="B2939" s="29" t="s">
        <v>5177</v>
      </c>
      <c r="C2939" s="29" t="s">
        <v>19884</v>
      </c>
      <c r="D2939" s="29" t="s">
        <v>33082</v>
      </c>
      <c r="E2939" s="29" t="s">
        <v>46315</v>
      </c>
      <c r="F2939" s="36" t="s">
        <v>54401</v>
      </c>
      <c r="G2939" s="39">
        <v>1821549.02</v>
      </c>
      <c r="H2939" s="42">
        <v>211</v>
      </c>
    </row>
    <row r="2940" spans="1:8" ht="15" customHeight="1">
      <c r="A2940" s="26">
        <v>23856136</v>
      </c>
      <c r="B2940" s="29" t="s">
        <v>5178</v>
      </c>
      <c r="C2940" s="29" t="s">
        <v>19885</v>
      </c>
      <c r="D2940" s="29" t="s">
        <v>33083</v>
      </c>
      <c r="E2940" s="29" t="s">
        <v>46316</v>
      </c>
      <c r="F2940" s="36" t="s">
        <v>54401</v>
      </c>
      <c r="G2940" s="39">
        <v>206178.51</v>
      </c>
      <c r="H2940" s="42">
        <v>211</v>
      </c>
    </row>
    <row r="2941" spans="1:8" ht="15" customHeight="1">
      <c r="A2941" s="26">
        <v>23856338</v>
      </c>
      <c r="B2941" s="29" t="s">
        <v>5179</v>
      </c>
      <c r="C2941" s="29" t="s">
        <v>19886</v>
      </c>
      <c r="D2941" s="29" t="s">
        <v>33084</v>
      </c>
      <c r="E2941" s="29" t="s">
        <v>43926</v>
      </c>
      <c r="F2941" s="36" t="s">
        <v>54401</v>
      </c>
      <c r="G2941" s="39">
        <v>161157.51999999999</v>
      </c>
      <c r="H2941" s="42">
        <v>211</v>
      </c>
    </row>
    <row r="2942" spans="1:8" ht="15" customHeight="1">
      <c r="A2942" s="26">
        <v>23856505</v>
      </c>
      <c r="B2942" s="29" t="s">
        <v>5180</v>
      </c>
      <c r="C2942" s="29" t="s">
        <v>19887</v>
      </c>
      <c r="D2942" s="29" t="s">
        <v>33085</v>
      </c>
      <c r="E2942" s="29" t="s">
        <v>46317</v>
      </c>
      <c r="F2942" s="36" t="s">
        <v>54413</v>
      </c>
      <c r="G2942" s="39">
        <v>298239.55</v>
      </c>
      <c r="H2942" s="42">
        <v>211</v>
      </c>
    </row>
    <row r="2943" spans="1:8" ht="15" customHeight="1">
      <c r="A2943" s="26">
        <v>23856560</v>
      </c>
      <c r="B2943" s="29" t="s">
        <v>5181</v>
      </c>
      <c r="C2943" s="29" t="s">
        <v>19888</v>
      </c>
      <c r="D2943" s="29" t="s">
        <v>33086</v>
      </c>
      <c r="E2943" s="29" t="s">
        <v>46318</v>
      </c>
      <c r="F2943" s="36" t="s">
        <v>54412</v>
      </c>
      <c r="G2943" s="39">
        <f>4983473.23-429140</f>
        <v>4554333.2300000004</v>
      </c>
      <c r="H2943" s="42">
        <v>211</v>
      </c>
    </row>
    <row r="2944" spans="1:8" ht="15" customHeight="1">
      <c r="A2944" s="26">
        <v>23856614</v>
      </c>
      <c r="B2944" s="29" t="s">
        <v>5182</v>
      </c>
      <c r="C2944" s="29" t="s">
        <v>19889</v>
      </c>
      <c r="D2944" s="29" t="s">
        <v>33087</v>
      </c>
      <c r="E2944" s="29" t="s">
        <v>44084</v>
      </c>
      <c r="F2944" s="36" t="s">
        <v>54401</v>
      </c>
      <c r="G2944" s="39">
        <v>1640501.43</v>
      </c>
      <c r="H2944" s="42">
        <v>211</v>
      </c>
    </row>
    <row r="2945" spans="1:8" ht="15" customHeight="1">
      <c r="A2945" s="26">
        <v>23856660</v>
      </c>
      <c r="B2945" s="29" t="s">
        <v>5183</v>
      </c>
      <c r="C2945" s="29" t="s">
        <v>19890</v>
      </c>
      <c r="D2945" s="29" t="s">
        <v>33088</v>
      </c>
      <c r="E2945" s="29" t="s">
        <v>45463</v>
      </c>
      <c r="F2945" s="36" t="s">
        <v>54413</v>
      </c>
      <c r="G2945" s="39">
        <v>88535.58</v>
      </c>
      <c r="H2945" s="42">
        <v>211</v>
      </c>
    </row>
    <row r="2946" spans="1:8" ht="15" customHeight="1">
      <c r="A2946" s="26">
        <v>23856731</v>
      </c>
      <c r="B2946" s="29" t="s">
        <v>5184</v>
      </c>
      <c r="C2946" s="29" t="s">
        <v>19891</v>
      </c>
      <c r="D2946" s="29" t="s">
        <v>33089</v>
      </c>
      <c r="E2946" s="29" t="s">
        <v>46319</v>
      </c>
      <c r="F2946" s="36" t="s">
        <v>54401</v>
      </c>
      <c r="G2946" s="39">
        <v>4288184.96</v>
      </c>
      <c r="H2946" s="42">
        <v>211</v>
      </c>
    </row>
    <row r="2947" spans="1:8" ht="15" customHeight="1">
      <c r="A2947" s="26">
        <v>23856747</v>
      </c>
      <c r="B2947" s="29" t="s">
        <v>5185</v>
      </c>
      <c r="C2947" s="29" t="s">
        <v>19892</v>
      </c>
      <c r="D2947" s="29" t="s">
        <v>33090</v>
      </c>
      <c r="E2947" s="29" t="s">
        <v>46320</v>
      </c>
      <c r="F2947" s="36" t="s">
        <v>54401</v>
      </c>
      <c r="G2947" s="39">
        <v>202583.87</v>
      </c>
      <c r="H2947" s="42">
        <v>211</v>
      </c>
    </row>
    <row r="2948" spans="1:8" ht="15" customHeight="1">
      <c r="A2948" s="26">
        <v>23856843</v>
      </c>
      <c r="B2948" s="29" t="s">
        <v>5186</v>
      </c>
      <c r="C2948" s="29" t="s">
        <v>19893</v>
      </c>
      <c r="D2948" s="29" t="s">
        <v>33091</v>
      </c>
      <c r="E2948" s="29" t="s">
        <v>46321</v>
      </c>
      <c r="F2948" s="36" t="s">
        <v>54413</v>
      </c>
      <c r="G2948" s="39">
        <v>808695.73</v>
      </c>
      <c r="H2948" s="42">
        <v>211</v>
      </c>
    </row>
    <row r="2949" spans="1:8" ht="15" customHeight="1">
      <c r="A2949" s="26">
        <v>23856878</v>
      </c>
      <c r="B2949" s="29" t="s">
        <v>5187</v>
      </c>
      <c r="C2949" s="29" t="s">
        <v>19894</v>
      </c>
      <c r="D2949" s="29" t="s">
        <v>33092</v>
      </c>
      <c r="E2949" s="29" t="s">
        <v>46322</v>
      </c>
      <c r="F2949" s="36" t="s">
        <v>54401</v>
      </c>
      <c r="G2949" s="39">
        <v>327546.69</v>
      </c>
      <c r="H2949" s="42">
        <v>211</v>
      </c>
    </row>
    <row r="2950" spans="1:8" ht="15" customHeight="1">
      <c r="A2950" s="26">
        <v>23857023</v>
      </c>
      <c r="B2950" s="29" t="s">
        <v>5188</v>
      </c>
      <c r="C2950" s="29" t="s">
        <v>19895</v>
      </c>
      <c r="D2950" s="29" t="s">
        <v>33093</v>
      </c>
      <c r="E2950" s="29" t="s">
        <v>46323</v>
      </c>
      <c r="F2950" s="36" t="s">
        <v>54413</v>
      </c>
      <c r="G2950" s="39">
        <v>8420.17</v>
      </c>
      <c r="H2950" s="42">
        <v>211</v>
      </c>
    </row>
    <row r="2951" spans="1:8" ht="15" customHeight="1">
      <c r="A2951" s="26">
        <v>23857169</v>
      </c>
      <c r="B2951" s="29" t="s">
        <v>5189</v>
      </c>
      <c r="C2951" s="29" t="s">
        <v>19896</v>
      </c>
      <c r="D2951" s="29" t="s">
        <v>33094</v>
      </c>
      <c r="E2951" s="29" t="s">
        <v>43926</v>
      </c>
      <c r="F2951" s="36" t="s">
        <v>54401</v>
      </c>
      <c r="G2951" s="39">
        <v>233910.69</v>
      </c>
      <c r="H2951" s="42">
        <v>211</v>
      </c>
    </row>
    <row r="2952" spans="1:8" ht="15" customHeight="1">
      <c r="A2952" s="26">
        <v>23857214</v>
      </c>
      <c r="B2952" s="29" t="s">
        <v>5190</v>
      </c>
      <c r="C2952" s="29" t="s">
        <v>19897</v>
      </c>
      <c r="D2952" s="29" t="s">
        <v>33095</v>
      </c>
      <c r="E2952" s="29" t="s">
        <v>46324</v>
      </c>
      <c r="F2952" s="36" t="s">
        <v>54401</v>
      </c>
      <c r="G2952" s="39">
        <v>5106215.97</v>
      </c>
      <c r="H2952" s="42">
        <v>211</v>
      </c>
    </row>
    <row r="2953" spans="1:8" ht="15" customHeight="1">
      <c r="A2953" s="26">
        <v>23857230</v>
      </c>
      <c r="B2953" s="29" t="s">
        <v>5191</v>
      </c>
      <c r="C2953" s="29" t="s">
        <v>19898</v>
      </c>
      <c r="D2953" s="29" t="s">
        <v>33096</v>
      </c>
      <c r="E2953" s="29" t="s">
        <v>46325</v>
      </c>
      <c r="F2953" s="36" t="s">
        <v>54401</v>
      </c>
      <c r="G2953" s="39">
        <v>297646.19</v>
      </c>
      <c r="H2953" s="42">
        <v>211</v>
      </c>
    </row>
    <row r="2954" spans="1:8" ht="15" customHeight="1">
      <c r="A2954" s="26">
        <v>23857260</v>
      </c>
      <c r="B2954" s="29" t="s">
        <v>5192</v>
      </c>
      <c r="C2954" s="29" t="s">
        <v>19899</v>
      </c>
      <c r="D2954" s="29" t="s">
        <v>33097</v>
      </c>
      <c r="E2954" s="29" t="s">
        <v>46326</v>
      </c>
      <c r="F2954" s="36" t="s">
        <v>54401</v>
      </c>
      <c r="G2954" s="39">
        <v>2222749.81</v>
      </c>
      <c r="H2954" s="42">
        <v>211</v>
      </c>
    </row>
    <row r="2955" spans="1:8" ht="15" customHeight="1">
      <c r="A2955" s="26">
        <v>23857372</v>
      </c>
      <c r="B2955" s="29" t="s">
        <v>5193</v>
      </c>
      <c r="C2955" s="26" t="s">
        <v>19900</v>
      </c>
      <c r="D2955" s="26" t="s">
        <v>33098</v>
      </c>
      <c r="E2955" s="26" t="s">
        <v>43926</v>
      </c>
      <c r="F2955" s="37" t="s">
        <v>54401</v>
      </c>
      <c r="G2955" s="39">
        <f>358315.07+282307</f>
        <v>640622.07000000007</v>
      </c>
      <c r="H2955" s="42">
        <v>211</v>
      </c>
    </row>
    <row r="2956" spans="1:8" ht="15" customHeight="1">
      <c r="A2956" s="26">
        <v>23857599</v>
      </c>
      <c r="B2956" s="29" t="s">
        <v>5194</v>
      </c>
      <c r="C2956" s="29" t="s">
        <v>19901</v>
      </c>
      <c r="D2956" s="29" t="s">
        <v>33099</v>
      </c>
      <c r="E2956" s="29" t="s">
        <v>46327</v>
      </c>
      <c r="F2956" s="36" t="s">
        <v>54414</v>
      </c>
      <c r="G2956" s="39">
        <v>9012132.1500000004</v>
      </c>
      <c r="H2956" s="42">
        <v>211</v>
      </c>
    </row>
    <row r="2957" spans="1:8" ht="15" customHeight="1">
      <c r="A2957" s="26">
        <v>23857772</v>
      </c>
      <c r="B2957" s="29" t="s">
        <v>5195</v>
      </c>
      <c r="C2957" s="26" t="s">
        <v>19902</v>
      </c>
      <c r="D2957" s="26" t="s">
        <v>33100</v>
      </c>
      <c r="E2957" s="26" t="s">
        <v>46328</v>
      </c>
      <c r="F2957" s="37" t="s">
        <v>54401</v>
      </c>
      <c r="G2957" s="39">
        <v>176410.51</v>
      </c>
      <c r="H2957" s="42">
        <v>211</v>
      </c>
    </row>
    <row r="2958" spans="1:8" ht="15" customHeight="1">
      <c r="A2958" s="26">
        <v>23861850</v>
      </c>
      <c r="B2958" s="29" t="s">
        <v>5196</v>
      </c>
      <c r="C2958" s="29" t="s">
        <v>19903</v>
      </c>
      <c r="D2958" s="29" t="s">
        <v>33101</v>
      </c>
      <c r="E2958" s="29" t="s">
        <v>46329</v>
      </c>
      <c r="F2958" s="36" t="s">
        <v>54402</v>
      </c>
      <c r="G2958" s="39">
        <f>2680427.43-136304</f>
        <v>2544123.4300000002</v>
      </c>
      <c r="H2958" s="42">
        <v>211</v>
      </c>
    </row>
    <row r="2959" spans="1:8" ht="15" customHeight="1">
      <c r="A2959" s="26">
        <v>23866170</v>
      </c>
      <c r="B2959" s="29" t="s">
        <v>5197</v>
      </c>
      <c r="C2959" s="29" t="s">
        <v>19904</v>
      </c>
      <c r="D2959" s="29" t="s">
        <v>33102</v>
      </c>
      <c r="E2959" s="29" t="s">
        <v>46330</v>
      </c>
      <c r="F2959" s="36" t="s">
        <v>54401</v>
      </c>
      <c r="G2959" s="39">
        <v>151649.5</v>
      </c>
      <c r="H2959" s="42">
        <v>211</v>
      </c>
    </row>
    <row r="2960" spans="1:8" ht="15" customHeight="1">
      <c r="A2960" s="26">
        <v>23866274</v>
      </c>
      <c r="B2960" s="29" t="s">
        <v>5198</v>
      </c>
      <c r="C2960" s="29" t="s">
        <v>19905</v>
      </c>
      <c r="D2960" s="29" t="s">
        <v>33103</v>
      </c>
      <c r="E2960" s="29" t="s">
        <v>46331</v>
      </c>
      <c r="F2960" s="36" t="s">
        <v>54401</v>
      </c>
      <c r="G2960" s="39">
        <f>945210.61-135163</f>
        <v>810047.61</v>
      </c>
      <c r="H2960" s="42">
        <v>211</v>
      </c>
    </row>
    <row r="2961" spans="1:8" ht="15" customHeight="1">
      <c r="A2961" s="26">
        <v>23875739</v>
      </c>
      <c r="B2961" s="30" t="s">
        <v>5199</v>
      </c>
      <c r="C2961" s="29"/>
      <c r="D2961" s="29"/>
      <c r="E2961" s="29"/>
      <c r="F2961" s="36" t="s">
        <v>54410</v>
      </c>
      <c r="G2961" s="39">
        <v>151310.19</v>
      </c>
      <c r="H2961" s="42">
        <v>211</v>
      </c>
    </row>
    <row r="2962" spans="1:8" ht="15" customHeight="1">
      <c r="A2962" s="26">
        <v>23882460</v>
      </c>
      <c r="B2962" s="29" t="s">
        <v>5200</v>
      </c>
      <c r="C2962" s="29" t="s">
        <v>17204</v>
      </c>
      <c r="D2962" s="29" t="s">
        <v>30349</v>
      </c>
      <c r="E2962" s="29" t="s">
        <v>43926</v>
      </c>
      <c r="F2962" s="36" t="s">
        <v>54401</v>
      </c>
      <c r="G2962" s="39">
        <v>419850.06</v>
      </c>
      <c r="H2962" s="42">
        <v>211</v>
      </c>
    </row>
    <row r="2963" spans="1:8" ht="15" customHeight="1">
      <c r="A2963" s="26">
        <v>23911135</v>
      </c>
      <c r="B2963" s="29" t="s">
        <v>5201</v>
      </c>
      <c r="C2963" s="29" t="s">
        <v>19906</v>
      </c>
      <c r="D2963" s="29" t="s">
        <v>33104</v>
      </c>
      <c r="E2963" s="29" t="s">
        <v>46332</v>
      </c>
      <c r="F2963" s="36" t="s">
        <v>54402</v>
      </c>
      <c r="G2963" s="39">
        <f>1721873.9-69290</f>
        <v>1652583.9</v>
      </c>
      <c r="H2963" s="42">
        <v>211</v>
      </c>
    </row>
    <row r="2964" spans="1:8" ht="15" customHeight="1">
      <c r="A2964" s="26">
        <v>23911239</v>
      </c>
      <c r="B2964" s="29" t="s">
        <v>5202</v>
      </c>
      <c r="C2964" s="29" t="s">
        <v>19907</v>
      </c>
      <c r="D2964" s="29" t="s">
        <v>30376</v>
      </c>
      <c r="E2964" s="29" t="s">
        <v>46333</v>
      </c>
      <c r="F2964" s="36" t="s">
        <v>54401</v>
      </c>
      <c r="G2964" s="39">
        <v>2572954.34</v>
      </c>
      <c r="H2964" s="42">
        <v>211</v>
      </c>
    </row>
    <row r="2965" spans="1:8" ht="15" customHeight="1">
      <c r="A2965" s="26">
        <v>23911412</v>
      </c>
      <c r="B2965" s="29" t="s">
        <v>5203</v>
      </c>
      <c r="C2965" s="29" t="s">
        <v>19908</v>
      </c>
      <c r="D2965" s="29" t="s">
        <v>33105</v>
      </c>
      <c r="E2965" s="29" t="s">
        <v>46334</v>
      </c>
      <c r="F2965" s="36" t="s">
        <v>54401</v>
      </c>
      <c r="G2965" s="39">
        <v>6107697.3899999997</v>
      </c>
      <c r="H2965" s="42">
        <v>211</v>
      </c>
    </row>
    <row r="2966" spans="1:8" ht="15" customHeight="1">
      <c r="A2966" s="26">
        <v>23911670</v>
      </c>
      <c r="B2966" s="29" t="s">
        <v>5204</v>
      </c>
      <c r="C2966" s="29" t="s">
        <v>19909</v>
      </c>
      <c r="D2966" s="29" t="s">
        <v>33106</v>
      </c>
      <c r="E2966" s="29" t="s">
        <v>46335</v>
      </c>
      <c r="F2966" s="36" t="s">
        <v>54401</v>
      </c>
      <c r="G2966" s="39">
        <v>3207333.03</v>
      </c>
      <c r="H2966" s="42">
        <v>211</v>
      </c>
    </row>
    <row r="2967" spans="1:8" ht="15" customHeight="1">
      <c r="A2967" s="26">
        <v>23911695</v>
      </c>
      <c r="B2967" s="29" t="s">
        <v>5205</v>
      </c>
      <c r="C2967" s="29" t="s">
        <v>19910</v>
      </c>
      <c r="D2967" s="29" t="s">
        <v>33107</v>
      </c>
      <c r="E2967" s="29" t="s">
        <v>45378</v>
      </c>
      <c r="F2967" s="36" t="s">
        <v>54401</v>
      </c>
      <c r="G2967" s="39">
        <v>129196.36</v>
      </c>
      <c r="H2967" s="42">
        <v>211</v>
      </c>
    </row>
    <row r="2968" spans="1:8" ht="15" customHeight="1">
      <c r="A2968" s="26">
        <v>23911937</v>
      </c>
      <c r="B2968" s="29" t="s">
        <v>5206</v>
      </c>
      <c r="C2968" s="29" t="s">
        <v>19911</v>
      </c>
      <c r="D2968" s="29" t="s">
        <v>33108</v>
      </c>
      <c r="E2968" s="29" t="s">
        <v>46336</v>
      </c>
      <c r="F2968" s="36" t="s">
        <v>54401</v>
      </c>
      <c r="G2968" s="39">
        <v>50581.51</v>
      </c>
      <c r="H2968" s="42">
        <v>211</v>
      </c>
    </row>
    <row r="2969" spans="1:8" ht="15" customHeight="1">
      <c r="A2969" s="26">
        <v>23912295</v>
      </c>
      <c r="B2969" s="29" t="s">
        <v>5207</v>
      </c>
      <c r="C2969" s="29" t="s">
        <v>19912</v>
      </c>
      <c r="D2969" s="29" t="s">
        <v>33109</v>
      </c>
      <c r="E2969" s="29" t="s">
        <v>46337</v>
      </c>
      <c r="F2969" s="36" t="s">
        <v>54401</v>
      </c>
      <c r="G2969" s="39">
        <v>104077.37</v>
      </c>
      <c r="H2969" s="42">
        <v>211</v>
      </c>
    </row>
    <row r="2970" spans="1:8" ht="15" customHeight="1">
      <c r="A2970" s="26">
        <v>23912346</v>
      </c>
      <c r="B2970" s="29" t="s">
        <v>5208</v>
      </c>
      <c r="C2970" s="29" t="s">
        <v>19913</v>
      </c>
      <c r="D2970" s="29" t="s">
        <v>33110</v>
      </c>
      <c r="E2970" s="29" t="s">
        <v>46338</v>
      </c>
      <c r="F2970" s="36" t="s">
        <v>54401</v>
      </c>
      <c r="G2970" s="39">
        <v>49949.58</v>
      </c>
      <c r="H2970" s="42">
        <v>211</v>
      </c>
    </row>
    <row r="2971" spans="1:8" ht="15" customHeight="1">
      <c r="A2971" s="26">
        <v>23912596</v>
      </c>
      <c r="B2971" s="29" t="s">
        <v>5209</v>
      </c>
      <c r="C2971" s="29" t="s">
        <v>19914</v>
      </c>
      <c r="D2971" s="29" t="s">
        <v>33111</v>
      </c>
      <c r="E2971" s="29" t="s">
        <v>46339</v>
      </c>
      <c r="F2971" s="36" t="s">
        <v>54402</v>
      </c>
      <c r="G2971" s="39">
        <v>8302.52</v>
      </c>
      <c r="H2971" s="42">
        <v>211</v>
      </c>
    </row>
    <row r="2972" spans="1:8" ht="15" customHeight="1">
      <c r="A2972" s="26">
        <v>23912650</v>
      </c>
      <c r="B2972" s="29" t="s">
        <v>5210</v>
      </c>
      <c r="C2972" s="29" t="s">
        <v>19915</v>
      </c>
      <c r="D2972" s="29" t="s">
        <v>33112</v>
      </c>
      <c r="E2972" s="29" t="s">
        <v>46340</v>
      </c>
      <c r="F2972" s="36" t="s">
        <v>54401</v>
      </c>
      <c r="G2972" s="39">
        <v>408652.59</v>
      </c>
      <c r="H2972" s="42">
        <v>211</v>
      </c>
    </row>
    <row r="2973" spans="1:8" ht="15" customHeight="1">
      <c r="A2973" s="26">
        <v>23912691</v>
      </c>
      <c r="B2973" s="29" t="s">
        <v>5211</v>
      </c>
      <c r="C2973" s="29" t="s">
        <v>19916</v>
      </c>
      <c r="D2973" s="29" t="s">
        <v>33113</v>
      </c>
      <c r="E2973" s="29" t="s">
        <v>46341</v>
      </c>
      <c r="F2973" s="36" t="s">
        <v>54420</v>
      </c>
      <c r="G2973" s="39">
        <f>1103511-86666</f>
        <v>1016845</v>
      </c>
      <c r="H2973" s="42">
        <v>211</v>
      </c>
    </row>
    <row r="2974" spans="1:8" ht="15" customHeight="1">
      <c r="A2974" s="26">
        <v>23912834</v>
      </c>
      <c r="B2974" s="29" t="s">
        <v>5212</v>
      </c>
      <c r="C2974" s="29" t="s">
        <v>19917</v>
      </c>
      <c r="D2974" s="29" t="s">
        <v>33114</v>
      </c>
      <c r="E2974" s="29" t="s">
        <v>46342</v>
      </c>
      <c r="F2974" s="36" t="s">
        <v>54401</v>
      </c>
      <c r="G2974" s="39">
        <f>646323.54+3715776</f>
        <v>4362099.54</v>
      </c>
      <c r="H2974" s="42">
        <v>211</v>
      </c>
    </row>
    <row r="2975" spans="1:8" ht="15" customHeight="1">
      <c r="A2975" s="26">
        <v>23913034</v>
      </c>
      <c r="B2975" s="29" t="s">
        <v>5213</v>
      </c>
      <c r="C2975" s="29" t="s">
        <v>19918</v>
      </c>
      <c r="D2975" s="29" t="s">
        <v>33115</v>
      </c>
      <c r="E2975" s="29" t="s">
        <v>46343</v>
      </c>
      <c r="F2975" s="36" t="s">
        <v>54412</v>
      </c>
      <c r="G2975" s="39">
        <v>1639927.32</v>
      </c>
      <c r="H2975" s="42">
        <v>211</v>
      </c>
    </row>
    <row r="2976" spans="1:8" ht="15" customHeight="1">
      <c r="A2976" s="26">
        <v>23913055</v>
      </c>
      <c r="B2976" s="29" t="s">
        <v>5214</v>
      </c>
      <c r="C2976" s="29" t="s">
        <v>19919</v>
      </c>
      <c r="D2976" s="29" t="s">
        <v>33116</v>
      </c>
      <c r="E2976" s="29" t="s">
        <v>46344</v>
      </c>
      <c r="F2976" s="36" t="s">
        <v>54401</v>
      </c>
      <c r="G2976" s="39">
        <f>6803600.14-10780</f>
        <v>6792820.1399999997</v>
      </c>
      <c r="H2976" s="42">
        <v>211</v>
      </c>
    </row>
    <row r="2977" spans="1:8" ht="15" customHeight="1">
      <c r="A2977" s="26">
        <v>23913072</v>
      </c>
      <c r="B2977" s="29" t="s">
        <v>5215</v>
      </c>
      <c r="C2977" s="26" t="s">
        <v>19920</v>
      </c>
      <c r="D2977" s="26" t="s">
        <v>33117</v>
      </c>
      <c r="E2977" s="26" t="s">
        <v>43926</v>
      </c>
      <c r="F2977" s="37" t="s">
        <v>54401</v>
      </c>
      <c r="G2977" s="39">
        <v>1563194.76</v>
      </c>
      <c r="H2977" s="42">
        <v>211</v>
      </c>
    </row>
    <row r="2978" spans="1:8" ht="15" customHeight="1">
      <c r="A2978" s="26">
        <v>23913101</v>
      </c>
      <c r="B2978" s="29" t="s">
        <v>5216</v>
      </c>
      <c r="C2978" s="29" t="s">
        <v>19921</v>
      </c>
      <c r="D2978" s="29" t="s">
        <v>33118</v>
      </c>
      <c r="E2978" s="29" t="s">
        <v>46345</v>
      </c>
      <c r="F2978" s="36" t="s">
        <v>54401</v>
      </c>
      <c r="G2978" s="39">
        <f>2058452.78-12521</f>
        <v>2045931.78</v>
      </c>
      <c r="H2978" s="42">
        <v>211</v>
      </c>
    </row>
    <row r="2979" spans="1:8" ht="15" customHeight="1">
      <c r="A2979" s="26">
        <v>23913120</v>
      </c>
      <c r="B2979" s="29" t="s">
        <v>5217</v>
      </c>
      <c r="C2979" s="29" t="s">
        <v>19922</v>
      </c>
      <c r="D2979" s="29" t="s">
        <v>33119</v>
      </c>
      <c r="E2979" s="29" t="s">
        <v>46346</v>
      </c>
      <c r="F2979" s="36" t="s">
        <v>54401</v>
      </c>
      <c r="G2979" s="39">
        <v>506677.31</v>
      </c>
      <c r="H2979" s="42">
        <v>211</v>
      </c>
    </row>
    <row r="2980" spans="1:8" ht="15" customHeight="1">
      <c r="A2980" s="26">
        <v>23913131</v>
      </c>
      <c r="B2980" s="29" t="s">
        <v>5218</v>
      </c>
      <c r="C2980" s="29" t="s">
        <v>19923</v>
      </c>
      <c r="D2980" s="29" t="s">
        <v>33120</v>
      </c>
      <c r="E2980" s="29" t="s">
        <v>43926</v>
      </c>
      <c r="F2980" s="36" t="s">
        <v>54401</v>
      </c>
      <c r="G2980" s="39">
        <v>152288.75</v>
      </c>
      <c r="H2980" s="42">
        <v>211</v>
      </c>
    </row>
    <row r="2981" spans="1:8" ht="15" customHeight="1">
      <c r="A2981" s="26">
        <v>23913292</v>
      </c>
      <c r="B2981" s="29" t="s">
        <v>5219</v>
      </c>
      <c r="C2981" s="29" t="s">
        <v>19924</v>
      </c>
      <c r="D2981" s="29" t="s">
        <v>33121</v>
      </c>
      <c r="E2981" s="29" t="s">
        <v>46347</v>
      </c>
      <c r="F2981" s="36" t="s">
        <v>54401</v>
      </c>
      <c r="G2981" s="39">
        <v>371415.67</v>
      </c>
      <c r="H2981" s="42">
        <v>211</v>
      </c>
    </row>
    <row r="2982" spans="1:8" ht="15" customHeight="1">
      <c r="A2982" s="26">
        <v>23913297</v>
      </c>
      <c r="B2982" s="29" t="s">
        <v>5220</v>
      </c>
      <c r="C2982" s="26" t="s">
        <v>19925</v>
      </c>
      <c r="D2982" s="26" t="s">
        <v>33122</v>
      </c>
      <c r="E2982" s="26" t="s">
        <v>46348</v>
      </c>
      <c r="F2982" s="37" t="s">
        <v>54401</v>
      </c>
      <c r="G2982" s="39">
        <v>1272903.99</v>
      </c>
      <c r="H2982" s="42">
        <v>211</v>
      </c>
    </row>
    <row r="2983" spans="1:8" ht="15" customHeight="1">
      <c r="A2983" s="26">
        <v>23913366</v>
      </c>
      <c r="B2983" s="29" t="s">
        <v>5221</v>
      </c>
      <c r="C2983" s="29" t="s">
        <v>19926</v>
      </c>
      <c r="D2983" s="29" t="s">
        <v>33123</v>
      </c>
      <c r="E2983" s="29" t="s">
        <v>44250</v>
      </c>
      <c r="F2983" s="36" t="s">
        <v>54401</v>
      </c>
      <c r="G2983" s="39">
        <v>572948.29</v>
      </c>
      <c r="H2983" s="42">
        <v>211</v>
      </c>
    </row>
    <row r="2984" spans="1:8" ht="15" customHeight="1">
      <c r="A2984" s="26">
        <v>23913391</v>
      </c>
      <c r="B2984" s="29" t="s">
        <v>5222</v>
      </c>
      <c r="C2984" s="29" t="s">
        <v>19927</v>
      </c>
      <c r="D2984" s="29" t="s">
        <v>33124</v>
      </c>
      <c r="E2984" s="29" t="s">
        <v>43926</v>
      </c>
      <c r="F2984" s="36" t="s">
        <v>54401</v>
      </c>
      <c r="G2984" s="39">
        <v>525487.03</v>
      </c>
      <c r="H2984" s="42">
        <v>211</v>
      </c>
    </row>
    <row r="2985" spans="1:8" ht="15" customHeight="1">
      <c r="A2985" s="26">
        <v>23913433</v>
      </c>
      <c r="B2985" s="29" t="s">
        <v>5223</v>
      </c>
      <c r="C2985" s="29" t="s">
        <v>17204</v>
      </c>
      <c r="D2985" s="29" t="s">
        <v>33125</v>
      </c>
      <c r="E2985" s="29" t="s">
        <v>43926</v>
      </c>
      <c r="F2985" s="36" t="s">
        <v>54401</v>
      </c>
      <c r="G2985" s="39">
        <v>70921.17</v>
      </c>
      <c r="H2985" s="42">
        <v>211</v>
      </c>
    </row>
    <row r="2986" spans="1:8" ht="15" customHeight="1">
      <c r="A2986" s="26">
        <v>23913443</v>
      </c>
      <c r="B2986" s="29" t="s">
        <v>5224</v>
      </c>
      <c r="C2986" s="29" t="s">
        <v>19928</v>
      </c>
      <c r="D2986" s="29" t="s">
        <v>33126</v>
      </c>
      <c r="E2986" s="29" t="s">
        <v>46349</v>
      </c>
      <c r="F2986" s="36" t="s">
        <v>54401</v>
      </c>
      <c r="G2986" s="39">
        <v>39886.99</v>
      </c>
      <c r="H2986" s="42">
        <v>211</v>
      </c>
    </row>
    <row r="2987" spans="1:8" ht="15" customHeight="1">
      <c r="A2987" s="26">
        <v>23913541</v>
      </c>
      <c r="B2987" s="29" t="s">
        <v>5225</v>
      </c>
      <c r="C2987" s="29" t="s">
        <v>19929</v>
      </c>
      <c r="D2987" s="29" t="s">
        <v>33127</v>
      </c>
      <c r="E2987" s="29" t="s">
        <v>46350</v>
      </c>
      <c r="F2987" s="36" t="s">
        <v>54420</v>
      </c>
      <c r="G2987" s="39">
        <f>2073445.34-328436</f>
        <v>1745009.34</v>
      </c>
      <c r="H2987" s="42">
        <v>211</v>
      </c>
    </row>
    <row r="2988" spans="1:8" ht="15" customHeight="1">
      <c r="A2988" s="26">
        <v>23913595</v>
      </c>
      <c r="B2988" s="29" t="s">
        <v>5226</v>
      </c>
      <c r="C2988" s="29" t="s">
        <v>19930</v>
      </c>
      <c r="D2988" s="29" t="s">
        <v>33128</v>
      </c>
      <c r="E2988" s="29" t="s">
        <v>46351</v>
      </c>
      <c r="F2988" s="36" t="s">
        <v>54401</v>
      </c>
      <c r="G2988" s="39">
        <v>56654.06</v>
      </c>
      <c r="H2988" s="42">
        <v>211</v>
      </c>
    </row>
    <row r="2989" spans="1:8" ht="15" customHeight="1">
      <c r="A2989" s="26">
        <v>23913596</v>
      </c>
      <c r="B2989" s="29" t="s">
        <v>5227</v>
      </c>
      <c r="C2989" s="29" t="s">
        <v>19931</v>
      </c>
      <c r="D2989" s="29" t="s">
        <v>33129</v>
      </c>
      <c r="E2989" s="29" t="s">
        <v>46352</v>
      </c>
      <c r="F2989" s="36" t="s">
        <v>54401</v>
      </c>
      <c r="G2989" s="39">
        <v>276328.34000000003</v>
      </c>
      <c r="H2989" s="42">
        <v>211</v>
      </c>
    </row>
    <row r="2990" spans="1:8" ht="15" customHeight="1">
      <c r="A2990" s="26">
        <v>23913597</v>
      </c>
      <c r="B2990" s="29" t="s">
        <v>5228</v>
      </c>
      <c r="C2990" s="29" t="s">
        <v>19932</v>
      </c>
      <c r="D2990" s="29" t="s">
        <v>33130</v>
      </c>
      <c r="E2990" s="29" t="s">
        <v>46353</v>
      </c>
      <c r="F2990" s="36" t="s">
        <v>54401</v>
      </c>
      <c r="G2990" s="39">
        <v>5098405.6500000004</v>
      </c>
      <c r="H2990" s="42">
        <v>211</v>
      </c>
    </row>
    <row r="2991" spans="1:8" ht="15" customHeight="1">
      <c r="A2991" s="26">
        <v>23913669</v>
      </c>
      <c r="B2991" s="29" t="s">
        <v>5229</v>
      </c>
      <c r="C2991" s="29" t="s">
        <v>19933</v>
      </c>
      <c r="D2991" s="29" t="s">
        <v>33131</v>
      </c>
      <c r="E2991" s="29" t="s">
        <v>46354</v>
      </c>
      <c r="F2991" s="36" t="s">
        <v>54420</v>
      </c>
      <c r="G2991" s="39">
        <v>674674.71</v>
      </c>
      <c r="H2991" s="42">
        <v>211</v>
      </c>
    </row>
    <row r="2992" spans="1:8" ht="15" customHeight="1">
      <c r="A2992" s="26">
        <v>23913670</v>
      </c>
      <c r="B2992" s="29" t="s">
        <v>5230</v>
      </c>
      <c r="C2992" s="29" t="s">
        <v>19934</v>
      </c>
      <c r="D2992" s="29" t="s">
        <v>33132</v>
      </c>
      <c r="E2992" s="29" t="s">
        <v>43926</v>
      </c>
      <c r="F2992" s="36" t="s">
        <v>54401</v>
      </c>
      <c r="G2992" s="39">
        <v>68218.03</v>
      </c>
      <c r="H2992" s="42">
        <v>211</v>
      </c>
    </row>
    <row r="2993" spans="1:8" ht="15" customHeight="1">
      <c r="A2993" s="26">
        <v>23913679</v>
      </c>
      <c r="B2993" s="30" t="s">
        <v>5231</v>
      </c>
      <c r="C2993" s="26"/>
      <c r="D2993" s="26"/>
      <c r="E2993" s="26"/>
      <c r="F2993" s="37" t="s">
        <v>54410</v>
      </c>
      <c r="G2993" s="39">
        <v>76000</v>
      </c>
      <c r="H2993" s="42">
        <v>211</v>
      </c>
    </row>
    <row r="2994" spans="1:8" ht="15" customHeight="1">
      <c r="A2994" s="26">
        <v>23913730</v>
      </c>
      <c r="B2994" s="29" t="s">
        <v>5232</v>
      </c>
      <c r="C2994" s="29" t="s">
        <v>19935</v>
      </c>
      <c r="D2994" s="29" t="s">
        <v>33133</v>
      </c>
      <c r="E2994" s="29" t="s">
        <v>46355</v>
      </c>
      <c r="F2994" s="36" t="s">
        <v>54401</v>
      </c>
      <c r="G2994" s="39">
        <v>174656.83</v>
      </c>
      <c r="H2994" s="42">
        <v>211</v>
      </c>
    </row>
    <row r="2995" spans="1:8" ht="15" customHeight="1">
      <c r="A2995" s="26">
        <v>23913731</v>
      </c>
      <c r="B2995" s="29" t="s">
        <v>5233</v>
      </c>
      <c r="C2995" s="29" t="s">
        <v>17204</v>
      </c>
      <c r="D2995" s="29" t="s">
        <v>33134</v>
      </c>
      <c r="E2995" s="29" t="s">
        <v>46356</v>
      </c>
      <c r="F2995" s="36" t="s">
        <v>54401</v>
      </c>
      <c r="G2995" s="39">
        <v>231678.71</v>
      </c>
      <c r="H2995" s="42">
        <v>211</v>
      </c>
    </row>
    <row r="2996" spans="1:8" ht="15" customHeight="1">
      <c r="A2996" s="26">
        <v>23913749</v>
      </c>
      <c r="B2996" s="29" t="s">
        <v>5234</v>
      </c>
      <c r="C2996" s="29" t="s">
        <v>19936</v>
      </c>
      <c r="D2996" s="29" t="s">
        <v>33135</v>
      </c>
      <c r="E2996" s="29" t="s">
        <v>46357</v>
      </c>
      <c r="F2996" s="36" t="s">
        <v>54401</v>
      </c>
      <c r="G2996" s="39">
        <v>21535.71</v>
      </c>
      <c r="H2996" s="42">
        <v>211</v>
      </c>
    </row>
    <row r="2997" spans="1:8" ht="15" customHeight="1">
      <c r="A2997" s="26">
        <v>23913759</v>
      </c>
      <c r="B2997" s="29" t="s">
        <v>5235</v>
      </c>
      <c r="C2997" s="29" t="s">
        <v>19937</v>
      </c>
      <c r="D2997" s="29" t="s">
        <v>33136</v>
      </c>
      <c r="E2997" s="29" t="s">
        <v>46358</v>
      </c>
      <c r="F2997" s="36" t="s">
        <v>54401</v>
      </c>
      <c r="G2997" s="39">
        <f>3182067.96-54232+224813</f>
        <v>3352648.96</v>
      </c>
      <c r="H2997" s="42">
        <v>211</v>
      </c>
    </row>
    <row r="2998" spans="1:8" ht="15" customHeight="1">
      <c r="A2998" s="26">
        <v>23913766</v>
      </c>
      <c r="B2998" s="29" t="s">
        <v>5236</v>
      </c>
      <c r="C2998" s="29" t="s">
        <v>19938</v>
      </c>
      <c r="D2998" s="29" t="s">
        <v>33137</v>
      </c>
      <c r="E2998" s="29" t="s">
        <v>46359</v>
      </c>
      <c r="F2998" s="36" t="s">
        <v>54401</v>
      </c>
      <c r="G2998" s="39">
        <f>4124220.43+438947+112703</f>
        <v>4675870.43</v>
      </c>
      <c r="H2998" s="42">
        <v>211</v>
      </c>
    </row>
    <row r="2999" spans="1:8" ht="15" customHeight="1">
      <c r="A2999" s="26">
        <v>23913856</v>
      </c>
      <c r="B2999" s="29" t="s">
        <v>5237</v>
      </c>
      <c r="C2999" s="29" t="s">
        <v>19939</v>
      </c>
      <c r="D2999" s="29" t="s">
        <v>33138</v>
      </c>
      <c r="E2999" s="29" t="s">
        <v>46360</v>
      </c>
      <c r="F2999" s="36" t="s">
        <v>54420</v>
      </c>
      <c r="G2999" s="39">
        <v>1175949.46</v>
      </c>
      <c r="H2999" s="42">
        <v>211</v>
      </c>
    </row>
    <row r="3000" spans="1:8" ht="15" customHeight="1">
      <c r="A3000" s="26">
        <v>23913861</v>
      </c>
      <c r="B3000" s="29" t="s">
        <v>5238</v>
      </c>
      <c r="C3000" s="29" t="s">
        <v>19940</v>
      </c>
      <c r="D3000" s="29" t="s">
        <v>33139</v>
      </c>
      <c r="E3000" s="29" t="s">
        <v>44637</v>
      </c>
      <c r="F3000" s="36" t="s">
        <v>54401</v>
      </c>
      <c r="G3000" s="39">
        <v>322872.43</v>
      </c>
      <c r="H3000" s="42">
        <v>211</v>
      </c>
    </row>
    <row r="3001" spans="1:8" ht="15" customHeight="1">
      <c r="A3001" s="26">
        <v>23913867</v>
      </c>
      <c r="B3001" s="29" t="s">
        <v>5239</v>
      </c>
      <c r="C3001" s="29" t="s">
        <v>19941</v>
      </c>
      <c r="D3001" s="29" t="s">
        <v>33140</v>
      </c>
      <c r="E3001" s="29" t="s">
        <v>46361</v>
      </c>
      <c r="F3001" s="36" t="s">
        <v>54401</v>
      </c>
      <c r="G3001" s="39">
        <v>382347.98</v>
      </c>
      <c r="H3001" s="42">
        <v>211</v>
      </c>
    </row>
    <row r="3002" spans="1:8" ht="15" customHeight="1">
      <c r="A3002" s="26">
        <v>23913905</v>
      </c>
      <c r="B3002" s="29" t="s">
        <v>5240</v>
      </c>
      <c r="C3002" s="29" t="s">
        <v>19942</v>
      </c>
      <c r="D3002" s="29" t="s">
        <v>33141</v>
      </c>
      <c r="E3002" s="29" t="s">
        <v>46362</v>
      </c>
      <c r="F3002" s="36" t="s">
        <v>54401</v>
      </c>
      <c r="G3002" s="39">
        <v>3680435.32</v>
      </c>
      <c r="H3002" s="42">
        <v>211</v>
      </c>
    </row>
    <row r="3003" spans="1:8" ht="15" customHeight="1">
      <c r="A3003" s="26">
        <v>23913907</v>
      </c>
      <c r="B3003" s="29" t="s">
        <v>5241</v>
      </c>
      <c r="C3003" s="29" t="s">
        <v>19943</v>
      </c>
      <c r="D3003" s="29" t="s">
        <v>33142</v>
      </c>
      <c r="E3003" s="29" t="s">
        <v>43926</v>
      </c>
      <c r="F3003" s="36" t="s">
        <v>54401</v>
      </c>
      <c r="G3003" s="39">
        <v>2390483.92</v>
      </c>
      <c r="H3003" s="42">
        <v>211</v>
      </c>
    </row>
    <row r="3004" spans="1:8" ht="15" customHeight="1">
      <c r="A3004" s="26">
        <v>23913915</v>
      </c>
      <c r="B3004" s="29" t="s">
        <v>5242</v>
      </c>
      <c r="C3004" s="29" t="s">
        <v>19944</v>
      </c>
      <c r="D3004" s="29" t="s">
        <v>33143</v>
      </c>
      <c r="E3004" s="29" t="s">
        <v>44310</v>
      </c>
      <c r="F3004" s="36" t="s">
        <v>54401</v>
      </c>
      <c r="G3004" s="39">
        <v>37712.93</v>
      </c>
      <c r="H3004" s="42">
        <v>211</v>
      </c>
    </row>
    <row r="3005" spans="1:8" ht="15" customHeight="1">
      <c r="A3005" s="26">
        <v>23913942</v>
      </c>
      <c r="B3005" s="29" t="s">
        <v>5243</v>
      </c>
      <c r="C3005" s="29" t="s">
        <v>19945</v>
      </c>
      <c r="D3005" s="29" t="s">
        <v>33144</v>
      </c>
      <c r="E3005" s="29" t="s">
        <v>46363</v>
      </c>
      <c r="F3005" s="36" t="s">
        <v>54401</v>
      </c>
      <c r="G3005" s="39">
        <v>423494.36</v>
      </c>
      <c r="H3005" s="42">
        <v>211</v>
      </c>
    </row>
    <row r="3006" spans="1:8" ht="15" customHeight="1">
      <c r="A3006" s="26">
        <v>23913961</v>
      </c>
      <c r="B3006" s="29" t="s">
        <v>5244</v>
      </c>
      <c r="C3006" s="29" t="s">
        <v>19946</v>
      </c>
      <c r="D3006" s="29" t="s">
        <v>33145</v>
      </c>
      <c r="E3006" s="29" t="s">
        <v>46364</v>
      </c>
      <c r="F3006" s="36" t="s">
        <v>54401</v>
      </c>
      <c r="G3006" s="39">
        <v>2012589.07</v>
      </c>
      <c r="H3006" s="42">
        <v>211</v>
      </c>
    </row>
    <row r="3007" spans="1:8" ht="15" customHeight="1">
      <c r="A3007" s="26">
        <v>23913967</v>
      </c>
      <c r="B3007" s="29" t="s">
        <v>5245</v>
      </c>
      <c r="C3007" s="29" t="s">
        <v>19947</v>
      </c>
      <c r="D3007" s="29" t="s">
        <v>33146</v>
      </c>
      <c r="E3007" s="29" t="s">
        <v>46365</v>
      </c>
      <c r="F3007" s="36" t="s">
        <v>54401</v>
      </c>
      <c r="G3007" s="39">
        <f>1622426.48+3274791</f>
        <v>4897217.4800000004</v>
      </c>
      <c r="H3007" s="42">
        <v>211</v>
      </c>
    </row>
    <row r="3008" spans="1:8" ht="15" customHeight="1">
      <c r="A3008" s="26">
        <v>23913984</v>
      </c>
      <c r="B3008" s="29" t="s">
        <v>5246</v>
      </c>
      <c r="C3008" s="29" t="s">
        <v>17204</v>
      </c>
      <c r="D3008" s="29" t="s">
        <v>30349</v>
      </c>
      <c r="E3008" s="29" t="s">
        <v>43926</v>
      </c>
      <c r="F3008" s="36" t="s">
        <v>54401</v>
      </c>
      <c r="G3008" s="39">
        <v>332888.37</v>
      </c>
      <c r="H3008" s="42">
        <v>211</v>
      </c>
    </row>
    <row r="3009" spans="1:8" ht="15" customHeight="1">
      <c r="A3009" s="26">
        <v>23914023</v>
      </c>
      <c r="B3009" s="29" t="s">
        <v>5247</v>
      </c>
      <c r="C3009" s="29" t="s">
        <v>17337</v>
      </c>
      <c r="D3009" s="29" t="s">
        <v>33147</v>
      </c>
      <c r="E3009" s="29" t="s">
        <v>46366</v>
      </c>
      <c r="F3009" s="36" t="s">
        <v>54407</v>
      </c>
      <c r="G3009" s="39">
        <v>673146.63</v>
      </c>
      <c r="H3009" s="42">
        <v>211</v>
      </c>
    </row>
    <row r="3010" spans="1:8" ht="15" customHeight="1">
      <c r="A3010" s="26">
        <v>23914025</v>
      </c>
      <c r="B3010" s="29" t="s">
        <v>5248</v>
      </c>
      <c r="C3010" s="29" t="s">
        <v>19948</v>
      </c>
      <c r="D3010" s="29" t="s">
        <v>33148</v>
      </c>
      <c r="E3010" s="29" t="s">
        <v>46367</v>
      </c>
      <c r="F3010" s="36" t="s">
        <v>54401</v>
      </c>
      <c r="G3010" s="39">
        <v>2056288.75</v>
      </c>
      <c r="H3010" s="42">
        <v>211</v>
      </c>
    </row>
    <row r="3011" spans="1:8" ht="15" customHeight="1">
      <c r="A3011" s="26">
        <v>23914068</v>
      </c>
      <c r="B3011" s="29" t="s">
        <v>5249</v>
      </c>
      <c r="C3011" s="29" t="s">
        <v>19949</v>
      </c>
      <c r="D3011" s="29" t="s">
        <v>33149</v>
      </c>
      <c r="E3011" s="29" t="s">
        <v>46368</v>
      </c>
      <c r="F3011" s="36" t="s">
        <v>54401</v>
      </c>
      <c r="G3011" s="39">
        <v>369668.82</v>
      </c>
      <c r="H3011" s="42">
        <v>211</v>
      </c>
    </row>
    <row r="3012" spans="1:8" ht="15" customHeight="1">
      <c r="A3012" s="26">
        <v>23914074</v>
      </c>
      <c r="B3012" s="29" t="s">
        <v>5250</v>
      </c>
      <c r="C3012" s="29" t="s">
        <v>19950</v>
      </c>
      <c r="D3012" s="29" t="s">
        <v>33150</v>
      </c>
      <c r="E3012" s="29" t="s">
        <v>46369</v>
      </c>
      <c r="F3012" s="36" t="s">
        <v>54401</v>
      </c>
      <c r="G3012" s="39">
        <v>134959.47</v>
      </c>
      <c r="H3012" s="42">
        <v>211</v>
      </c>
    </row>
    <row r="3013" spans="1:8" ht="15" customHeight="1">
      <c r="A3013" s="26">
        <v>23914076</v>
      </c>
      <c r="B3013" s="29" t="s">
        <v>5251</v>
      </c>
      <c r="C3013" s="29" t="s">
        <v>19951</v>
      </c>
      <c r="D3013" s="29" t="s">
        <v>33151</v>
      </c>
      <c r="E3013" s="29" t="s">
        <v>46370</v>
      </c>
      <c r="F3013" s="36" t="s">
        <v>54401</v>
      </c>
      <c r="G3013" s="39">
        <v>6446545.3099999996</v>
      </c>
      <c r="H3013" s="42">
        <v>211</v>
      </c>
    </row>
    <row r="3014" spans="1:8" ht="15" customHeight="1">
      <c r="A3014" s="26">
        <v>23914087</v>
      </c>
      <c r="B3014" s="29" t="s">
        <v>5252</v>
      </c>
      <c r="C3014" s="29" t="s">
        <v>19952</v>
      </c>
      <c r="D3014" s="29" t="s">
        <v>33152</v>
      </c>
      <c r="E3014" s="29" t="s">
        <v>46371</v>
      </c>
      <c r="F3014" s="36" t="s">
        <v>54401</v>
      </c>
      <c r="G3014" s="39">
        <v>335171.87</v>
      </c>
      <c r="H3014" s="42">
        <v>211</v>
      </c>
    </row>
    <row r="3015" spans="1:8" ht="15" customHeight="1">
      <c r="A3015" s="26">
        <v>23914097</v>
      </c>
      <c r="B3015" s="29" t="s">
        <v>5253</v>
      </c>
      <c r="C3015" s="29" t="s">
        <v>19953</v>
      </c>
      <c r="D3015" s="29" t="s">
        <v>33153</v>
      </c>
      <c r="E3015" s="29" t="s">
        <v>46372</v>
      </c>
      <c r="F3015" s="36" t="s">
        <v>54401</v>
      </c>
      <c r="G3015" s="39">
        <v>166567.44</v>
      </c>
      <c r="H3015" s="42">
        <v>211</v>
      </c>
    </row>
    <row r="3016" spans="1:8" ht="15" customHeight="1">
      <c r="A3016" s="26">
        <v>23914132</v>
      </c>
      <c r="B3016" s="29" t="s">
        <v>5254</v>
      </c>
      <c r="C3016" s="29" t="s">
        <v>19954</v>
      </c>
      <c r="D3016" s="29" t="s">
        <v>33154</v>
      </c>
      <c r="E3016" s="29" t="s">
        <v>46373</v>
      </c>
      <c r="F3016" s="36" t="s">
        <v>54401</v>
      </c>
      <c r="G3016" s="39">
        <v>880020.67</v>
      </c>
      <c r="H3016" s="42">
        <v>211</v>
      </c>
    </row>
    <row r="3017" spans="1:8" ht="15" customHeight="1">
      <c r="A3017" s="26">
        <v>23914141</v>
      </c>
      <c r="B3017" s="29" t="s">
        <v>5255</v>
      </c>
      <c r="C3017" s="29" t="s">
        <v>19955</v>
      </c>
      <c r="D3017" s="29" t="s">
        <v>33155</v>
      </c>
      <c r="E3017" s="29" t="s">
        <v>43926</v>
      </c>
      <c r="F3017" s="36" t="s">
        <v>54401</v>
      </c>
      <c r="G3017" s="39">
        <v>3464990.95</v>
      </c>
      <c r="H3017" s="42">
        <v>211</v>
      </c>
    </row>
    <row r="3018" spans="1:8" ht="15" customHeight="1">
      <c r="A3018" s="26">
        <v>23914147</v>
      </c>
      <c r="B3018" s="29" t="s">
        <v>5256</v>
      </c>
      <c r="C3018" s="29" t="s">
        <v>19956</v>
      </c>
      <c r="D3018" s="29" t="s">
        <v>33156</v>
      </c>
      <c r="E3018" s="29" t="s">
        <v>46374</v>
      </c>
      <c r="F3018" s="36" t="s">
        <v>54420</v>
      </c>
      <c r="G3018" s="39">
        <f>1139666.95+281268</f>
        <v>1420934.95</v>
      </c>
      <c r="H3018" s="42">
        <v>211</v>
      </c>
    </row>
    <row r="3019" spans="1:8" ht="15" customHeight="1">
      <c r="A3019" s="26">
        <v>23914186</v>
      </c>
      <c r="B3019" s="29" t="s">
        <v>5257</v>
      </c>
      <c r="C3019" s="29" t="s">
        <v>19957</v>
      </c>
      <c r="D3019" s="29" t="s">
        <v>30376</v>
      </c>
      <c r="E3019" s="29" t="s">
        <v>46375</v>
      </c>
      <c r="F3019" s="36" t="s">
        <v>54401</v>
      </c>
      <c r="G3019" s="39">
        <v>497485.12</v>
      </c>
      <c r="H3019" s="42">
        <v>211</v>
      </c>
    </row>
    <row r="3020" spans="1:8" ht="15" customHeight="1">
      <c r="A3020" s="26">
        <v>23914191</v>
      </c>
      <c r="B3020" s="29" t="s">
        <v>5258</v>
      </c>
      <c r="C3020" s="29" t="s">
        <v>19958</v>
      </c>
      <c r="D3020" s="29" t="s">
        <v>33157</v>
      </c>
      <c r="E3020" s="29" t="s">
        <v>46376</v>
      </c>
      <c r="F3020" s="36" t="s">
        <v>54401</v>
      </c>
      <c r="G3020" s="39">
        <v>1771810.13</v>
      </c>
      <c r="H3020" s="42">
        <v>211</v>
      </c>
    </row>
    <row r="3021" spans="1:8" ht="15" customHeight="1">
      <c r="A3021" s="26">
        <v>23914198</v>
      </c>
      <c r="B3021" s="29" t="s">
        <v>5259</v>
      </c>
      <c r="C3021" s="29" t="s">
        <v>19959</v>
      </c>
      <c r="D3021" s="29" t="s">
        <v>33158</v>
      </c>
      <c r="E3021" s="29" t="s">
        <v>46377</v>
      </c>
      <c r="F3021" s="36" t="s">
        <v>54401</v>
      </c>
      <c r="G3021" s="39">
        <v>4689484.1900000004</v>
      </c>
      <c r="H3021" s="42">
        <v>211</v>
      </c>
    </row>
    <row r="3022" spans="1:8" ht="15" customHeight="1">
      <c r="A3022" s="26">
        <v>23914209</v>
      </c>
      <c r="B3022" s="29" t="s">
        <v>5260</v>
      </c>
      <c r="C3022" s="29" t="s">
        <v>19960</v>
      </c>
      <c r="D3022" s="29" t="s">
        <v>33159</v>
      </c>
      <c r="E3022" s="29" t="s">
        <v>46378</v>
      </c>
      <c r="F3022" s="36" t="s">
        <v>54401</v>
      </c>
      <c r="G3022" s="39">
        <f>5696111.66+398741+70613</f>
        <v>6165465.6600000001</v>
      </c>
      <c r="H3022" s="42">
        <v>211</v>
      </c>
    </row>
    <row r="3023" spans="1:8" ht="15" customHeight="1">
      <c r="A3023" s="26">
        <v>23914214</v>
      </c>
      <c r="B3023" s="29" t="s">
        <v>5261</v>
      </c>
      <c r="C3023" s="29" t="s">
        <v>19961</v>
      </c>
      <c r="D3023" s="29" t="s">
        <v>33160</v>
      </c>
      <c r="E3023" s="29" t="s">
        <v>46379</v>
      </c>
      <c r="F3023" s="36" t="s">
        <v>54401</v>
      </c>
      <c r="G3023" s="39">
        <v>220681.23</v>
      </c>
      <c r="H3023" s="42">
        <v>211</v>
      </c>
    </row>
    <row r="3024" spans="1:8" ht="15" customHeight="1">
      <c r="A3024" s="26">
        <v>23914216</v>
      </c>
      <c r="B3024" s="29" t="s">
        <v>5262</v>
      </c>
      <c r="C3024" s="29" t="s">
        <v>19962</v>
      </c>
      <c r="D3024" s="29" t="s">
        <v>33161</v>
      </c>
      <c r="E3024" s="29" t="s">
        <v>46380</v>
      </c>
      <c r="F3024" s="36" t="s">
        <v>54420</v>
      </c>
      <c r="G3024" s="39">
        <f>100157.07+57274367</f>
        <v>57374524.07</v>
      </c>
      <c r="H3024" s="42">
        <v>211</v>
      </c>
    </row>
    <row r="3025" spans="1:8" ht="15" customHeight="1">
      <c r="A3025" s="26">
        <v>23914224</v>
      </c>
      <c r="B3025" s="29" t="s">
        <v>5263</v>
      </c>
      <c r="C3025" s="29" t="s">
        <v>19963</v>
      </c>
      <c r="D3025" s="29" t="s">
        <v>33162</v>
      </c>
      <c r="E3025" s="29" t="s">
        <v>46381</v>
      </c>
      <c r="F3025" s="36" t="s">
        <v>54401</v>
      </c>
      <c r="G3025" s="39">
        <v>913424.37</v>
      </c>
      <c r="H3025" s="42">
        <v>211</v>
      </c>
    </row>
    <row r="3026" spans="1:8" ht="15" customHeight="1">
      <c r="A3026" s="26">
        <v>23914230</v>
      </c>
      <c r="B3026" s="29" t="s">
        <v>5264</v>
      </c>
      <c r="C3026" s="29" t="s">
        <v>19964</v>
      </c>
      <c r="D3026" s="29" t="s">
        <v>33163</v>
      </c>
      <c r="E3026" s="29" t="s">
        <v>44324</v>
      </c>
      <c r="F3026" s="36" t="s">
        <v>54401</v>
      </c>
      <c r="G3026" s="39">
        <v>4356662.8</v>
      </c>
      <c r="H3026" s="42">
        <v>211</v>
      </c>
    </row>
    <row r="3027" spans="1:8" ht="15" customHeight="1">
      <c r="A3027" s="26">
        <v>23914237</v>
      </c>
      <c r="B3027" s="29" t="s">
        <v>5265</v>
      </c>
      <c r="C3027" s="29" t="s">
        <v>19965</v>
      </c>
      <c r="D3027" s="29" t="s">
        <v>33164</v>
      </c>
      <c r="E3027" s="29" t="s">
        <v>46382</v>
      </c>
      <c r="F3027" s="36" t="s">
        <v>54401</v>
      </c>
      <c r="G3027" s="39">
        <f>7309542.15+262852</f>
        <v>7572394.1500000004</v>
      </c>
      <c r="H3027" s="42">
        <v>211</v>
      </c>
    </row>
    <row r="3028" spans="1:8" ht="15" customHeight="1">
      <c r="A3028" s="26">
        <v>23914246</v>
      </c>
      <c r="B3028" s="29" t="s">
        <v>5266</v>
      </c>
      <c r="C3028" s="29" t="s">
        <v>19966</v>
      </c>
      <c r="D3028" s="29" t="s">
        <v>33165</v>
      </c>
      <c r="E3028" s="29" t="s">
        <v>44283</v>
      </c>
      <c r="F3028" s="36" t="s">
        <v>54401</v>
      </c>
      <c r="G3028" s="39">
        <v>10842209.279999999</v>
      </c>
      <c r="H3028" s="42">
        <v>211</v>
      </c>
    </row>
    <row r="3029" spans="1:8" ht="15" customHeight="1">
      <c r="A3029" s="26">
        <v>23914278</v>
      </c>
      <c r="B3029" s="29" t="s">
        <v>5267</v>
      </c>
      <c r="C3029" s="29" t="s">
        <v>19967</v>
      </c>
      <c r="D3029" s="29" t="s">
        <v>33166</v>
      </c>
      <c r="E3029" s="29" t="s">
        <v>43926</v>
      </c>
      <c r="F3029" s="36" t="s">
        <v>54401</v>
      </c>
      <c r="G3029" s="39">
        <v>1011034.91</v>
      </c>
      <c r="H3029" s="42">
        <v>211</v>
      </c>
    </row>
    <row r="3030" spans="1:8" ht="15" customHeight="1">
      <c r="A3030" s="26">
        <v>23914311</v>
      </c>
      <c r="B3030" s="29" t="s">
        <v>5268</v>
      </c>
      <c r="C3030" s="29" t="s">
        <v>17204</v>
      </c>
      <c r="D3030" s="29" t="s">
        <v>33167</v>
      </c>
      <c r="E3030" s="29" t="s">
        <v>43926</v>
      </c>
      <c r="F3030" s="36" t="s">
        <v>54401</v>
      </c>
      <c r="G3030" s="39">
        <v>586081.32999999996</v>
      </c>
      <c r="H3030" s="42">
        <v>211</v>
      </c>
    </row>
    <row r="3031" spans="1:8" ht="15" customHeight="1">
      <c r="A3031" s="26">
        <v>23914317</v>
      </c>
      <c r="B3031" s="29" t="s">
        <v>5269</v>
      </c>
      <c r="C3031" s="29" t="s">
        <v>19968</v>
      </c>
      <c r="D3031" s="29" t="s">
        <v>33168</v>
      </c>
      <c r="E3031" s="29" t="s">
        <v>46383</v>
      </c>
      <c r="F3031" s="36" t="s">
        <v>54414</v>
      </c>
      <c r="G3031" s="39">
        <f>24460511.74-1478767</f>
        <v>22981744.739999998</v>
      </c>
      <c r="H3031" s="42">
        <v>211</v>
      </c>
    </row>
    <row r="3032" spans="1:8" ht="15" customHeight="1">
      <c r="A3032" s="26">
        <v>23914336</v>
      </c>
      <c r="B3032" s="29" t="s">
        <v>5270</v>
      </c>
      <c r="C3032" s="29" t="s">
        <v>19969</v>
      </c>
      <c r="D3032" s="29" t="s">
        <v>33169</v>
      </c>
      <c r="E3032" s="29" t="s">
        <v>46384</v>
      </c>
      <c r="F3032" s="36" t="s">
        <v>54401</v>
      </c>
      <c r="G3032" s="39">
        <v>393127.55</v>
      </c>
      <c r="H3032" s="42">
        <v>211</v>
      </c>
    </row>
    <row r="3033" spans="1:8" ht="15" customHeight="1">
      <c r="A3033" s="26">
        <v>23914341</v>
      </c>
      <c r="B3033" s="29" t="s">
        <v>5271</v>
      </c>
      <c r="C3033" s="29" t="s">
        <v>19970</v>
      </c>
      <c r="D3033" s="29" t="s">
        <v>33170</v>
      </c>
      <c r="E3033" s="29" t="s">
        <v>46385</v>
      </c>
      <c r="F3033" s="36" t="s">
        <v>54401</v>
      </c>
      <c r="G3033" s="39">
        <v>990034.4</v>
      </c>
      <c r="H3033" s="42">
        <v>211</v>
      </c>
    </row>
    <row r="3034" spans="1:8" ht="15" customHeight="1">
      <c r="A3034" s="26">
        <v>23914385</v>
      </c>
      <c r="B3034" s="29" t="s">
        <v>5272</v>
      </c>
      <c r="C3034" s="29" t="s">
        <v>19971</v>
      </c>
      <c r="D3034" s="29" t="s">
        <v>33171</v>
      </c>
      <c r="E3034" s="29" t="s">
        <v>44324</v>
      </c>
      <c r="F3034" s="36" t="s">
        <v>54401</v>
      </c>
      <c r="G3034" s="39">
        <v>252564.71</v>
      </c>
      <c r="H3034" s="42">
        <v>211</v>
      </c>
    </row>
    <row r="3035" spans="1:8" ht="15" customHeight="1">
      <c r="A3035" s="26">
        <v>23914394</v>
      </c>
      <c r="B3035" s="29" t="s">
        <v>5273</v>
      </c>
      <c r="C3035" s="29" t="s">
        <v>19972</v>
      </c>
      <c r="D3035" s="29" t="s">
        <v>33172</v>
      </c>
      <c r="E3035" s="29" t="s">
        <v>46386</v>
      </c>
      <c r="F3035" s="36" t="s">
        <v>54401</v>
      </c>
      <c r="G3035" s="39">
        <v>125750.39</v>
      </c>
      <c r="H3035" s="42">
        <v>211</v>
      </c>
    </row>
    <row r="3036" spans="1:8" ht="15" customHeight="1">
      <c r="A3036" s="26">
        <v>23914417</v>
      </c>
      <c r="B3036" s="29" t="s">
        <v>5274</v>
      </c>
      <c r="C3036" s="29" t="s">
        <v>19973</v>
      </c>
      <c r="D3036" s="29" t="s">
        <v>30376</v>
      </c>
      <c r="E3036" s="29" t="s">
        <v>46387</v>
      </c>
      <c r="F3036" s="36" t="s">
        <v>54428</v>
      </c>
      <c r="G3036" s="39">
        <v>1445336.97</v>
      </c>
      <c r="H3036" s="42">
        <v>211</v>
      </c>
    </row>
    <row r="3037" spans="1:8" ht="15" customHeight="1">
      <c r="A3037" s="26">
        <v>23914432</v>
      </c>
      <c r="B3037" s="29" t="s">
        <v>5275</v>
      </c>
      <c r="C3037" s="26" t="s">
        <v>17204</v>
      </c>
      <c r="D3037" s="26" t="s">
        <v>33173</v>
      </c>
      <c r="E3037" s="26" t="s">
        <v>46388</v>
      </c>
      <c r="F3037" s="37" t="s">
        <v>54444</v>
      </c>
      <c r="G3037" s="39">
        <v>542282.34</v>
      </c>
      <c r="H3037" s="42">
        <v>211</v>
      </c>
    </row>
    <row r="3038" spans="1:8" ht="15" customHeight="1">
      <c r="A3038" s="26">
        <v>23914446</v>
      </c>
      <c r="B3038" s="29" t="s">
        <v>5276</v>
      </c>
      <c r="C3038" s="29" t="s">
        <v>19974</v>
      </c>
      <c r="D3038" s="29" t="s">
        <v>33174</v>
      </c>
      <c r="E3038" s="29" t="s">
        <v>46389</v>
      </c>
      <c r="F3038" s="36" t="s">
        <v>54401</v>
      </c>
      <c r="G3038" s="39">
        <v>532759.01</v>
      </c>
      <c r="H3038" s="42">
        <v>211</v>
      </c>
    </row>
    <row r="3039" spans="1:8" ht="15" customHeight="1">
      <c r="A3039" s="26">
        <v>23914478</v>
      </c>
      <c r="B3039" s="29" t="s">
        <v>5277</v>
      </c>
      <c r="C3039" s="29" t="s">
        <v>19975</v>
      </c>
      <c r="D3039" s="29" t="s">
        <v>33175</v>
      </c>
      <c r="E3039" s="29" t="s">
        <v>46390</v>
      </c>
      <c r="F3039" s="36" t="s">
        <v>54408</v>
      </c>
      <c r="G3039" s="39">
        <f>4366207.9+13033</f>
        <v>4379240.9000000004</v>
      </c>
      <c r="H3039" s="42">
        <v>211</v>
      </c>
    </row>
    <row r="3040" spans="1:8" ht="15" customHeight="1">
      <c r="A3040" s="26">
        <v>23914486</v>
      </c>
      <c r="B3040" s="29" t="s">
        <v>5278</v>
      </c>
      <c r="C3040" s="29" t="s">
        <v>19976</v>
      </c>
      <c r="D3040" s="29" t="s">
        <v>33176</v>
      </c>
      <c r="E3040" s="29" t="s">
        <v>46391</v>
      </c>
      <c r="F3040" s="36" t="s">
        <v>54401</v>
      </c>
      <c r="G3040" s="39">
        <v>905981.61</v>
      </c>
      <c r="H3040" s="42">
        <v>211</v>
      </c>
    </row>
    <row r="3041" spans="1:8" ht="15" customHeight="1">
      <c r="A3041" s="26">
        <v>23914494</v>
      </c>
      <c r="B3041" s="29" t="s">
        <v>5279</v>
      </c>
      <c r="C3041" s="29" t="s">
        <v>19977</v>
      </c>
      <c r="D3041" s="29" t="s">
        <v>33177</v>
      </c>
      <c r="E3041" s="29" t="s">
        <v>46392</v>
      </c>
      <c r="F3041" s="36" t="s">
        <v>54401</v>
      </c>
      <c r="G3041" s="39">
        <v>2057308.45</v>
      </c>
      <c r="H3041" s="42">
        <v>211</v>
      </c>
    </row>
    <row r="3042" spans="1:8" ht="15" customHeight="1">
      <c r="A3042" s="26">
        <v>23914504</v>
      </c>
      <c r="B3042" s="29" t="s">
        <v>5280</v>
      </c>
      <c r="C3042" s="29" t="s">
        <v>19978</v>
      </c>
      <c r="D3042" s="29" t="s">
        <v>33178</v>
      </c>
      <c r="E3042" s="29" t="s">
        <v>46393</v>
      </c>
      <c r="F3042" s="36" t="s">
        <v>54401</v>
      </c>
      <c r="G3042" s="39">
        <v>85693.85</v>
      </c>
      <c r="H3042" s="42">
        <v>211</v>
      </c>
    </row>
    <row r="3043" spans="1:8" ht="15" customHeight="1">
      <c r="A3043" s="26">
        <v>23914555</v>
      </c>
      <c r="B3043" s="29" t="s">
        <v>5281</v>
      </c>
      <c r="C3043" s="29" t="s">
        <v>19979</v>
      </c>
      <c r="D3043" s="29" t="s">
        <v>33179</v>
      </c>
      <c r="E3043" s="29" t="s">
        <v>46394</v>
      </c>
      <c r="F3043" s="36" t="s">
        <v>54401</v>
      </c>
      <c r="G3043" s="39">
        <f>641284.82+2222357</f>
        <v>2863641.82</v>
      </c>
      <c r="H3043" s="42">
        <v>211</v>
      </c>
    </row>
    <row r="3044" spans="1:8" ht="15" customHeight="1">
      <c r="A3044" s="26">
        <v>23914574</v>
      </c>
      <c r="B3044" s="29" t="s">
        <v>5282</v>
      </c>
      <c r="C3044" s="29" t="s">
        <v>17204</v>
      </c>
      <c r="D3044" s="29" t="s">
        <v>30349</v>
      </c>
      <c r="E3044" s="29" t="s">
        <v>43926</v>
      </c>
      <c r="F3044" s="36" t="s">
        <v>54401</v>
      </c>
      <c r="G3044" s="39">
        <v>516171.75</v>
      </c>
      <c r="H3044" s="42">
        <v>211</v>
      </c>
    </row>
    <row r="3045" spans="1:8" ht="15" customHeight="1">
      <c r="A3045" s="26">
        <v>23914598</v>
      </c>
      <c r="B3045" s="29" t="s">
        <v>5283</v>
      </c>
      <c r="C3045" s="29" t="s">
        <v>19980</v>
      </c>
      <c r="D3045" s="29" t="s">
        <v>33180</v>
      </c>
      <c r="E3045" s="29" t="s">
        <v>43926</v>
      </c>
      <c r="F3045" s="36" t="s">
        <v>54401</v>
      </c>
      <c r="G3045" s="39">
        <v>1126977.1100000001</v>
      </c>
      <c r="H3045" s="42">
        <v>211</v>
      </c>
    </row>
    <row r="3046" spans="1:8" ht="15" customHeight="1">
      <c r="A3046" s="26">
        <v>23914605</v>
      </c>
      <c r="B3046" s="29" t="s">
        <v>5284</v>
      </c>
      <c r="C3046" s="29" t="s">
        <v>19981</v>
      </c>
      <c r="D3046" s="29" t="s">
        <v>33181</v>
      </c>
      <c r="E3046" s="29" t="s">
        <v>46395</v>
      </c>
      <c r="F3046" s="36" t="s">
        <v>54401</v>
      </c>
      <c r="G3046" s="39">
        <f>1744743.64+2252669</f>
        <v>3997412.6399999997</v>
      </c>
      <c r="H3046" s="42">
        <v>211</v>
      </c>
    </row>
    <row r="3047" spans="1:8" ht="15" customHeight="1">
      <c r="A3047" s="26">
        <v>23914607</v>
      </c>
      <c r="B3047" s="29" t="s">
        <v>5285</v>
      </c>
      <c r="C3047" s="29" t="s">
        <v>19982</v>
      </c>
      <c r="D3047" s="29" t="s">
        <v>33182</v>
      </c>
      <c r="E3047" s="29" t="s">
        <v>43926</v>
      </c>
      <c r="F3047" s="36" t="s">
        <v>54401</v>
      </c>
      <c r="G3047" s="39">
        <v>206225.37</v>
      </c>
      <c r="H3047" s="42">
        <v>211</v>
      </c>
    </row>
    <row r="3048" spans="1:8" ht="15" customHeight="1">
      <c r="A3048" s="26">
        <v>23925366</v>
      </c>
      <c r="B3048" s="29" t="s">
        <v>5286</v>
      </c>
      <c r="C3048" s="29" t="s">
        <v>19983</v>
      </c>
      <c r="D3048" s="29" t="s">
        <v>33183</v>
      </c>
      <c r="E3048" s="29" t="s">
        <v>46396</v>
      </c>
      <c r="F3048" s="36" t="s">
        <v>54401</v>
      </c>
      <c r="G3048" s="39">
        <v>907760.86</v>
      </c>
      <c r="H3048" s="42">
        <v>211</v>
      </c>
    </row>
    <row r="3049" spans="1:8" ht="15" customHeight="1">
      <c r="A3049" s="26">
        <v>23926045</v>
      </c>
      <c r="B3049" s="29" t="s">
        <v>5287</v>
      </c>
      <c r="C3049" s="29" t="s">
        <v>19984</v>
      </c>
      <c r="D3049" s="29" t="s">
        <v>33184</v>
      </c>
      <c r="E3049" s="29" t="s">
        <v>45430</v>
      </c>
      <c r="F3049" s="36" t="s">
        <v>54401</v>
      </c>
      <c r="G3049" s="39">
        <f>2259993.88+920459</f>
        <v>3180452.88</v>
      </c>
      <c r="H3049" s="42">
        <v>211</v>
      </c>
    </row>
    <row r="3050" spans="1:8" ht="15" customHeight="1">
      <c r="A3050" s="26">
        <v>23926070</v>
      </c>
      <c r="B3050" s="29" t="s">
        <v>5288</v>
      </c>
      <c r="C3050" s="29" t="s">
        <v>19985</v>
      </c>
      <c r="D3050" s="29" t="s">
        <v>33185</v>
      </c>
      <c r="E3050" s="29" t="s">
        <v>46397</v>
      </c>
      <c r="F3050" s="36" t="s">
        <v>54401</v>
      </c>
      <c r="G3050" s="39">
        <f>5505802.44-4436+181156</f>
        <v>5682522.4400000004</v>
      </c>
      <c r="H3050" s="42">
        <v>211</v>
      </c>
    </row>
    <row r="3051" spans="1:8" ht="15" customHeight="1">
      <c r="A3051" s="26">
        <v>23926570</v>
      </c>
      <c r="B3051" s="29" t="s">
        <v>5289</v>
      </c>
      <c r="C3051" s="29" t="s">
        <v>19986</v>
      </c>
      <c r="D3051" s="29" t="s">
        <v>33186</v>
      </c>
      <c r="E3051" s="29" t="s">
        <v>46398</v>
      </c>
      <c r="F3051" s="36" t="s">
        <v>54401</v>
      </c>
      <c r="G3051" s="39">
        <v>1395765.7</v>
      </c>
      <c r="H3051" s="42">
        <v>211</v>
      </c>
    </row>
    <row r="3052" spans="1:8" ht="15" customHeight="1">
      <c r="A3052" s="26">
        <v>23926575</v>
      </c>
      <c r="B3052" s="29" t="s">
        <v>5290</v>
      </c>
      <c r="C3052" s="29" t="s">
        <v>19987</v>
      </c>
      <c r="D3052" s="29" t="s">
        <v>33187</v>
      </c>
      <c r="E3052" s="29" t="s">
        <v>46399</v>
      </c>
      <c r="F3052" s="36" t="s">
        <v>54444</v>
      </c>
      <c r="G3052" s="39">
        <v>8573369.4900000002</v>
      </c>
      <c r="H3052" s="42">
        <v>211</v>
      </c>
    </row>
    <row r="3053" spans="1:8" ht="15" customHeight="1">
      <c r="A3053" s="26">
        <v>23926625</v>
      </c>
      <c r="B3053" s="29" t="s">
        <v>5291</v>
      </c>
      <c r="C3053" s="26" t="s">
        <v>19988</v>
      </c>
      <c r="D3053" s="26" t="s">
        <v>33188</v>
      </c>
      <c r="E3053" s="26" t="s">
        <v>46400</v>
      </c>
      <c r="F3053" s="37" t="s">
        <v>54401</v>
      </c>
      <c r="G3053" s="39">
        <v>213225.22</v>
      </c>
      <c r="H3053" s="42">
        <v>211</v>
      </c>
    </row>
    <row r="3054" spans="1:8" ht="15" customHeight="1">
      <c r="A3054" s="26">
        <v>23926777</v>
      </c>
      <c r="B3054" s="29" t="s">
        <v>5292</v>
      </c>
      <c r="C3054" s="29" t="s">
        <v>19989</v>
      </c>
      <c r="D3054" s="29" t="s">
        <v>33189</v>
      </c>
      <c r="E3054" s="29" t="s">
        <v>46401</v>
      </c>
      <c r="F3054" s="36" t="s">
        <v>54401</v>
      </c>
      <c r="G3054" s="39">
        <v>16361.34</v>
      </c>
      <c r="H3054" s="42">
        <v>211</v>
      </c>
    </row>
    <row r="3055" spans="1:8" ht="15" customHeight="1">
      <c r="A3055" s="26">
        <v>23926931</v>
      </c>
      <c r="B3055" s="29" t="s">
        <v>5293</v>
      </c>
      <c r="C3055" s="26" t="s">
        <v>19990</v>
      </c>
      <c r="D3055" s="26" t="s">
        <v>33190</v>
      </c>
      <c r="E3055" s="26" t="s">
        <v>46402</v>
      </c>
      <c r="F3055" s="37" t="s">
        <v>54401</v>
      </c>
      <c r="G3055" s="39">
        <v>1715573.73</v>
      </c>
      <c r="H3055" s="42">
        <v>211</v>
      </c>
    </row>
    <row r="3056" spans="1:8" ht="15" customHeight="1">
      <c r="A3056" s="26">
        <v>23927293</v>
      </c>
      <c r="B3056" s="29" t="s">
        <v>5294</v>
      </c>
      <c r="C3056" s="26" t="s">
        <v>19991</v>
      </c>
      <c r="D3056" s="26" t="s">
        <v>33191</v>
      </c>
      <c r="E3056" s="26" t="s">
        <v>46403</v>
      </c>
      <c r="F3056" s="37" t="s">
        <v>54401</v>
      </c>
      <c r="G3056" s="39">
        <v>345094.54</v>
      </c>
      <c r="H3056" s="42">
        <v>211</v>
      </c>
    </row>
    <row r="3057" spans="1:8" ht="15" customHeight="1">
      <c r="A3057" s="26">
        <v>23927370</v>
      </c>
      <c r="B3057" s="29" t="s">
        <v>5295</v>
      </c>
      <c r="C3057" s="29" t="s">
        <v>19992</v>
      </c>
      <c r="D3057" s="29" t="s">
        <v>33192</v>
      </c>
      <c r="E3057" s="29" t="s">
        <v>46404</v>
      </c>
      <c r="F3057" s="36" t="s">
        <v>54401</v>
      </c>
      <c r="G3057" s="39">
        <f>1314646.09+18517</f>
        <v>1333163.0900000001</v>
      </c>
      <c r="H3057" s="42">
        <v>211</v>
      </c>
    </row>
    <row r="3058" spans="1:8" ht="15" customHeight="1">
      <c r="A3058" s="26">
        <v>23927386</v>
      </c>
      <c r="B3058" s="29" t="s">
        <v>5296</v>
      </c>
      <c r="C3058" s="29" t="s">
        <v>19993</v>
      </c>
      <c r="D3058" s="29" t="s">
        <v>33193</v>
      </c>
      <c r="E3058" s="29" t="s">
        <v>46405</v>
      </c>
      <c r="F3058" s="36" t="s">
        <v>54401</v>
      </c>
      <c r="G3058" s="39">
        <v>5053477.21</v>
      </c>
      <c r="H3058" s="42">
        <v>211</v>
      </c>
    </row>
    <row r="3059" spans="1:8" ht="15" customHeight="1">
      <c r="A3059" s="26">
        <v>23944338</v>
      </c>
      <c r="B3059" s="29" t="s">
        <v>5297</v>
      </c>
      <c r="C3059" s="29" t="s">
        <v>19994</v>
      </c>
      <c r="D3059" s="29" t="s">
        <v>33194</v>
      </c>
      <c r="E3059" s="29" t="s">
        <v>46406</v>
      </c>
      <c r="F3059" s="36" t="s">
        <v>54426</v>
      </c>
      <c r="G3059" s="39">
        <v>3926346.77</v>
      </c>
      <c r="H3059" s="42">
        <v>211</v>
      </c>
    </row>
    <row r="3060" spans="1:8" ht="15" customHeight="1">
      <c r="A3060" s="26">
        <v>23944664</v>
      </c>
      <c r="B3060" s="29" t="s">
        <v>5298</v>
      </c>
      <c r="C3060" s="29" t="s">
        <v>19995</v>
      </c>
      <c r="D3060" s="29" t="s">
        <v>33195</v>
      </c>
      <c r="E3060" s="29" t="s">
        <v>46407</v>
      </c>
      <c r="F3060" s="36" t="s">
        <v>54426</v>
      </c>
      <c r="G3060" s="39">
        <v>278030.56</v>
      </c>
      <c r="H3060" s="42">
        <v>211</v>
      </c>
    </row>
    <row r="3061" spans="1:8" ht="15" customHeight="1">
      <c r="A3061" s="26">
        <v>23945291</v>
      </c>
      <c r="B3061" s="29" t="s">
        <v>5299</v>
      </c>
      <c r="C3061" s="29" t="s">
        <v>19996</v>
      </c>
      <c r="D3061" s="29" t="s">
        <v>33196</v>
      </c>
      <c r="E3061" s="29" t="s">
        <v>46408</v>
      </c>
      <c r="F3061" s="36" t="s">
        <v>54401</v>
      </c>
      <c r="G3061" s="39">
        <v>3585595.34</v>
      </c>
      <c r="H3061" s="42">
        <v>211</v>
      </c>
    </row>
    <row r="3062" spans="1:8" ht="15" customHeight="1">
      <c r="A3062" s="26">
        <v>23945419</v>
      </c>
      <c r="B3062" s="29" t="s">
        <v>5300</v>
      </c>
      <c r="C3062" s="29" t="s">
        <v>19997</v>
      </c>
      <c r="D3062" s="29" t="s">
        <v>33197</v>
      </c>
      <c r="E3062" s="29" t="s">
        <v>46409</v>
      </c>
      <c r="F3062" s="36" t="s">
        <v>54401</v>
      </c>
      <c r="G3062" s="39">
        <v>4069764.43</v>
      </c>
      <c r="H3062" s="42">
        <v>211</v>
      </c>
    </row>
    <row r="3063" spans="1:8" ht="15" customHeight="1">
      <c r="A3063" s="26">
        <v>23945681</v>
      </c>
      <c r="B3063" s="29" t="s">
        <v>5301</v>
      </c>
      <c r="C3063" s="29" t="s">
        <v>19998</v>
      </c>
      <c r="D3063" s="29" t="s">
        <v>33198</v>
      </c>
      <c r="E3063" s="29" t="s">
        <v>46410</v>
      </c>
      <c r="F3063" s="36" t="s">
        <v>54426</v>
      </c>
      <c r="G3063" s="39">
        <f>6948037.86-207927</f>
        <v>6740110.8600000003</v>
      </c>
      <c r="H3063" s="42">
        <v>211</v>
      </c>
    </row>
    <row r="3064" spans="1:8" ht="15" customHeight="1">
      <c r="A3064" s="26">
        <v>23945939</v>
      </c>
      <c r="B3064" s="29" t="s">
        <v>5302</v>
      </c>
      <c r="C3064" s="29" t="s">
        <v>19999</v>
      </c>
      <c r="D3064" s="29" t="s">
        <v>33199</v>
      </c>
      <c r="E3064" s="29" t="s">
        <v>46411</v>
      </c>
      <c r="F3064" s="36" t="s">
        <v>54401</v>
      </c>
      <c r="G3064" s="39">
        <v>184718.35</v>
      </c>
      <c r="H3064" s="42">
        <v>211</v>
      </c>
    </row>
    <row r="3065" spans="1:8" ht="15" customHeight="1">
      <c r="A3065" s="26">
        <v>23946011</v>
      </c>
      <c r="B3065" s="29" t="s">
        <v>5303</v>
      </c>
      <c r="C3065" s="29" t="s">
        <v>20000</v>
      </c>
      <c r="D3065" s="29" t="s">
        <v>33200</v>
      </c>
      <c r="E3065" s="29" t="s">
        <v>46412</v>
      </c>
      <c r="F3065" s="36" t="s">
        <v>54426</v>
      </c>
      <c r="G3065" s="39">
        <f>68173158.38-264588</f>
        <v>67908570.379999995</v>
      </c>
      <c r="H3065" s="42">
        <v>211</v>
      </c>
    </row>
    <row r="3066" spans="1:8" ht="15" customHeight="1">
      <c r="A3066" s="26">
        <v>23946225</v>
      </c>
      <c r="B3066" s="29" t="s">
        <v>5304</v>
      </c>
      <c r="C3066" s="29" t="s">
        <v>20001</v>
      </c>
      <c r="D3066" s="29" t="s">
        <v>33201</v>
      </c>
      <c r="E3066" s="29" t="s">
        <v>43926</v>
      </c>
      <c r="F3066" s="36" t="s">
        <v>54401</v>
      </c>
      <c r="G3066" s="39">
        <v>922222.25</v>
      </c>
      <c r="H3066" s="42">
        <v>211</v>
      </c>
    </row>
    <row r="3067" spans="1:8" ht="15" customHeight="1">
      <c r="A3067" s="26">
        <v>23946552</v>
      </c>
      <c r="B3067" s="29" t="s">
        <v>5305</v>
      </c>
      <c r="C3067" s="29" t="s">
        <v>17204</v>
      </c>
      <c r="D3067" s="29" t="s">
        <v>33202</v>
      </c>
      <c r="E3067" s="29" t="s">
        <v>43926</v>
      </c>
      <c r="F3067" s="36" t="s">
        <v>54401</v>
      </c>
      <c r="G3067" s="39">
        <v>391330.45</v>
      </c>
      <c r="H3067" s="42">
        <v>211</v>
      </c>
    </row>
    <row r="3068" spans="1:8" ht="15" customHeight="1">
      <c r="A3068" s="26">
        <v>23946674</v>
      </c>
      <c r="B3068" s="29" t="s">
        <v>5306</v>
      </c>
      <c r="C3068" s="29" t="s">
        <v>20002</v>
      </c>
      <c r="D3068" s="29" t="s">
        <v>33203</v>
      </c>
      <c r="E3068" s="29" t="s">
        <v>46413</v>
      </c>
      <c r="F3068" s="36" t="s">
        <v>54401</v>
      </c>
      <c r="G3068" s="39">
        <f>4770527.81+27426</f>
        <v>4797953.8099999996</v>
      </c>
      <c r="H3068" s="42">
        <v>211</v>
      </c>
    </row>
    <row r="3069" spans="1:8" ht="15" customHeight="1">
      <c r="A3069" s="26">
        <v>23965951</v>
      </c>
      <c r="B3069" s="29" t="s">
        <v>5307</v>
      </c>
      <c r="C3069" s="29" t="s">
        <v>20003</v>
      </c>
      <c r="D3069" s="29" t="s">
        <v>33204</v>
      </c>
      <c r="E3069" s="29" t="s">
        <v>46414</v>
      </c>
      <c r="F3069" s="36" t="s">
        <v>54401</v>
      </c>
      <c r="G3069" s="39">
        <v>709713.27</v>
      </c>
      <c r="H3069" s="42">
        <v>211</v>
      </c>
    </row>
    <row r="3070" spans="1:8" ht="15" customHeight="1">
      <c r="A3070" s="26">
        <v>23966365</v>
      </c>
      <c r="B3070" s="29" t="s">
        <v>5308</v>
      </c>
      <c r="C3070" s="29" t="s">
        <v>17204</v>
      </c>
      <c r="D3070" s="29" t="s">
        <v>30349</v>
      </c>
      <c r="E3070" s="29" t="s">
        <v>43926</v>
      </c>
      <c r="F3070" s="36" t="s">
        <v>54401</v>
      </c>
      <c r="G3070" s="39">
        <v>478461.89</v>
      </c>
      <c r="H3070" s="42">
        <v>211</v>
      </c>
    </row>
    <row r="3071" spans="1:8" ht="15" customHeight="1">
      <c r="A3071" s="26">
        <v>23983978</v>
      </c>
      <c r="B3071" s="29" t="s">
        <v>5309</v>
      </c>
      <c r="C3071" s="29" t="s">
        <v>20004</v>
      </c>
      <c r="D3071" s="29" t="s">
        <v>33205</v>
      </c>
      <c r="E3071" s="29" t="s">
        <v>46415</v>
      </c>
      <c r="F3071" s="36" t="s">
        <v>54401</v>
      </c>
      <c r="G3071" s="39">
        <f>1057854.1+36737+387207</f>
        <v>1481798.1</v>
      </c>
      <c r="H3071" s="42">
        <v>211</v>
      </c>
    </row>
    <row r="3072" spans="1:8" ht="15" customHeight="1">
      <c r="A3072" s="26">
        <v>24010494</v>
      </c>
      <c r="B3072" s="29" t="s">
        <v>5310</v>
      </c>
      <c r="C3072" s="29" t="s">
        <v>20005</v>
      </c>
      <c r="D3072" s="29" t="s">
        <v>33206</v>
      </c>
      <c r="E3072" s="29" t="s">
        <v>46416</v>
      </c>
      <c r="F3072" s="36" t="s">
        <v>54401</v>
      </c>
      <c r="G3072" s="39">
        <v>931616.57</v>
      </c>
      <c r="H3072" s="42">
        <v>211</v>
      </c>
    </row>
    <row r="3073" spans="1:8" ht="15" customHeight="1">
      <c r="A3073" s="26">
        <v>24016459</v>
      </c>
      <c r="B3073" s="29" t="s">
        <v>5311</v>
      </c>
      <c r="C3073" s="29" t="s">
        <v>20006</v>
      </c>
      <c r="D3073" s="29" t="s">
        <v>33207</v>
      </c>
      <c r="E3073" s="29" t="s">
        <v>46417</v>
      </c>
      <c r="F3073" s="36" t="s">
        <v>54401</v>
      </c>
      <c r="G3073" s="39">
        <v>59888.58</v>
      </c>
      <c r="H3073" s="42">
        <v>211</v>
      </c>
    </row>
    <row r="3074" spans="1:8" ht="15" customHeight="1">
      <c r="A3074" s="26">
        <v>24016777</v>
      </c>
      <c r="B3074" s="29" t="s">
        <v>5312</v>
      </c>
      <c r="C3074" s="29" t="s">
        <v>20007</v>
      </c>
      <c r="D3074" s="29" t="s">
        <v>33208</v>
      </c>
      <c r="E3074" s="29" t="s">
        <v>46418</v>
      </c>
      <c r="F3074" s="36" t="s">
        <v>54401</v>
      </c>
      <c r="G3074" s="39">
        <f>821370.14+2905889</f>
        <v>3727259.14</v>
      </c>
      <c r="H3074" s="42">
        <v>211</v>
      </c>
    </row>
    <row r="3075" spans="1:8" ht="15" customHeight="1">
      <c r="A3075" s="26">
        <v>24016937</v>
      </c>
      <c r="B3075" s="29" t="s">
        <v>5313</v>
      </c>
      <c r="C3075" s="29" t="s">
        <v>20008</v>
      </c>
      <c r="D3075" s="29" t="s">
        <v>33209</v>
      </c>
      <c r="E3075" s="29" t="s">
        <v>46419</v>
      </c>
      <c r="F3075" s="36" t="s">
        <v>54401</v>
      </c>
      <c r="G3075" s="39">
        <f>635239.14+395597</f>
        <v>1030836.14</v>
      </c>
      <c r="H3075" s="42">
        <v>211</v>
      </c>
    </row>
    <row r="3076" spans="1:8" ht="15" customHeight="1">
      <c r="A3076" s="26">
        <v>24017688</v>
      </c>
      <c r="B3076" s="29" t="s">
        <v>5314</v>
      </c>
      <c r="C3076" s="26" t="s">
        <v>17204</v>
      </c>
      <c r="D3076" s="26" t="s">
        <v>30349</v>
      </c>
      <c r="E3076" s="26" t="s">
        <v>43926</v>
      </c>
      <c r="F3076" s="37" t="s">
        <v>54401</v>
      </c>
      <c r="G3076" s="39">
        <v>534061.68999999994</v>
      </c>
      <c r="H3076" s="42">
        <v>211</v>
      </c>
    </row>
    <row r="3077" spans="1:8" ht="15" customHeight="1">
      <c r="A3077" s="26">
        <v>24018300</v>
      </c>
      <c r="B3077" s="29" t="s">
        <v>5315</v>
      </c>
      <c r="C3077" s="29" t="s">
        <v>20009</v>
      </c>
      <c r="D3077" s="29" t="s">
        <v>33210</v>
      </c>
      <c r="E3077" s="29" t="s">
        <v>46420</v>
      </c>
      <c r="F3077" s="36" t="s">
        <v>54401</v>
      </c>
      <c r="G3077" s="39">
        <f>3602132.44-7810</f>
        <v>3594322.44</v>
      </c>
      <c r="H3077" s="42">
        <v>211</v>
      </c>
    </row>
    <row r="3078" spans="1:8" ht="15" customHeight="1">
      <c r="A3078" s="26">
        <v>24018774</v>
      </c>
      <c r="B3078" s="29" t="s">
        <v>5316</v>
      </c>
      <c r="C3078" s="29" t="s">
        <v>20010</v>
      </c>
      <c r="D3078" s="29" t="s">
        <v>33211</v>
      </c>
      <c r="E3078" s="29" t="s">
        <v>46421</v>
      </c>
      <c r="F3078" s="36" t="s">
        <v>54401</v>
      </c>
      <c r="G3078" s="39">
        <v>404934.75</v>
      </c>
      <c r="H3078" s="42">
        <v>211</v>
      </c>
    </row>
    <row r="3079" spans="1:8" ht="15" customHeight="1">
      <c r="A3079" s="26">
        <v>24019035</v>
      </c>
      <c r="B3079" s="29" t="s">
        <v>5317</v>
      </c>
      <c r="C3079" s="29" t="s">
        <v>20011</v>
      </c>
      <c r="D3079" s="29" t="s">
        <v>33212</v>
      </c>
      <c r="E3079" s="29" t="s">
        <v>46422</v>
      </c>
      <c r="F3079" s="36" t="s">
        <v>54401</v>
      </c>
      <c r="G3079" s="39">
        <f>2621845.58+277786</f>
        <v>2899631.58</v>
      </c>
      <c r="H3079" s="42">
        <v>211</v>
      </c>
    </row>
    <row r="3080" spans="1:8" ht="15" customHeight="1">
      <c r="A3080" s="26">
        <v>24019189</v>
      </c>
      <c r="B3080" s="29" t="s">
        <v>5318</v>
      </c>
      <c r="C3080" s="29" t="s">
        <v>20012</v>
      </c>
      <c r="D3080" s="29" t="s">
        <v>33213</v>
      </c>
      <c r="E3080" s="29" t="s">
        <v>46423</v>
      </c>
      <c r="F3080" s="36" t="s">
        <v>54401</v>
      </c>
      <c r="G3080" s="39">
        <f>7536099.86-589403</f>
        <v>6946696.8600000003</v>
      </c>
      <c r="H3080" s="42">
        <v>211</v>
      </c>
    </row>
    <row r="3081" spans="1:8" ht="15" customHeight="1">
      <c r="A3081" s="26">
        <v>24019371</v>
      </c>
      <c r="B3081" s="29" t="s">
        <v>5319</v>
      </c>
      <c r="C3081" s="29" t="s">
        <v>20013</v>
      </c>
      <c r="D3081" s="29" t="s">
        <v>33214</v>
      </c>
      <c r="E3081" s="29" t="s">
        <v>46424</v>
      </c>
      <c r="F3081" s="36" t="s">
        <v>54401</v>
      </c>
      <c r="G3081" s="39">
        <v>7600</v>
      </c>
      <c r="H3081" s="42">
        <v>211</v>
      </c>
    </row>
    <row r="3082" spans="1:8" ht="15" customHeight="1">
      <c r="A3082" s="26">
        <v>24021917</v>
      </c>
      <c r="B3082" s="29" t="s">
        <v>5320</v>
      </c>
      <c r="C3082" s="29" t="s">
        <v>20014</v>
      </c>
      <c r="D3082" s="29" t="s">
        <v>33215</v>
      </c>
      <c r="E3082" s="29" t="s">
        <v>46425</v>
      </c>
      <c r="F3082" s="36" t="s">
        <v>54445</v>
      </c>
      <c r="G3082" s="39">
        <f>2002254.7+24980+162702</f>
        <v>2189936.7000000002</v>
      </c>
      <c r="H3082" s="42">
        <v>211</v>
      </c>
    </row>
    <row r="3083" spans="1:8" ht="15" customHeight="1">
      <c r="A3083" s="26">
        <v>24030402</v>
      </c>
      <c r="B3083" s="29" t="s">
        <v>5321</v>
      </c>
      <c r="C3083" s="29" t="s">
        <v>20015</v>
      </c>
      <c r="D3083" s="29" t="s">
        <v>33216</v>
      </c>
      <c r="E3083" s="29" t="s">
        <v>43926</v>
      </c>
      <c r="F3083" s="36" t="s">
        <v>54401</v>
      </c>
      <c r="G3083" s="39">
        <v>1130987.77</v>
      </c>
      <c r="H3083" s="42">
        <v>211</v>
      </c>
    </row>
    <row r="3084" spans="1:8" ht="15" customHeight="1">
      <c r="A3084" s="26">
        <v>24030794</v>
      </c>
      <c r="B3084" s="29" t="s">
        <v>5322</v>
      </c>
      <c r="C3084" s="29" t="s">
        <v>20016</v>
      </c>
      <c r="D3084" s="29" t="s">
        <v>33217</v>
      </c>
      <c r="E3084" s="29" t="s">
        <v>46426</v>
      </c>
      <c r="F3084" s="36" t="s">
        <v>54401</v>
      </c>
      <c r="G3084" s="39">
        <v>6005661.0899999999</v>
      </c>
      <c r="H3084" s="42">
        <v>211</v>
      </c>
    </row>
    <row r="3085" spans="1:8" ht="15" customHeight="1">
      <c r="A3085" s="26">
        <v>24030832</v>
      </c>
      <c r="B3085" s="29" t="s">
        <v>5323</v>
      </c>
      <c r="C3085" s="29" t="s">
        <v>20017</v>
      </c>
      <c r="D3085" s="29" t="s">
        <v>33218</v>
      </c>
      <c r="E3085" s="29" t="s">
        <v>46427</v>
      </c>
      <c r="F3085" s="36" t="s">
        <v>54401</v>
      </c>
      <c r="G3085" s="39">
        <f>1955621.95+335094</f>
        <v>2290715.9500000002</v>
      </c>
      <c r="H3085" s="42">
        <v>211</v>
      </c>
    </row>
    <row r="3086" spans="1:8" ht="15" customHeight="1">
      <c r="A3086" s="26">
        <v>24030875</v>
      </c>
      <c r="B3086" s="29" t="s">
        <v>5324</v>
      </c>
      <c r="C3086" s="29" t="s">
        <v>20018</v>
      </c>
      <c r="D3086" s="29" t="s">
        <v>33219</v>
      </c>
      <c r="E3086" s="29" t="s">
        <v>46428</v>
      </c>
      <c r="F3086" s="36" t="s">
        <v>54401</v>
      </c>
      <c r="G3086" s="39">
        <v>566320.96</v>
      </c>
      <c r="H3086" s="42">
        <v>211</v>
      </c>
    </row>
    <row r="3087" spans="1:8" ht="15" customHeight="1">
      <c r="A3087" s="26">
        <v>24031130</v>
      </c>
      <c r="B3087" s="29" t="s">
        <v>5325</v>
      </c>
      <c r="C3087" s="29" t="s">
        <v>20019</v>
      </c>
      <c r="D3087" s="29" t="s">
        <v>33220</v>
      </c>
      <c r="E3087" s="29" t="s">
        <v>46429</v>
      </c>
      <c r="F3087" s="36" t="s">
        <v>54401</v>
      </c>
      <c r="G3087" s="39">
        <v>19441.009999999998</v>
      </c>
      <c r="H3087" s="42">
        <v>211</v>
      </c>
    </row>
    <row r="3088" spans="1:8" ht="15" customHeight="1">
      <c r="A3088" s="26">
        <v>24031536</v>
      </c>
      <c r="B3088" s="29" t="s">
        <v>5326</v>
      </c>
      <c r="C3088" s="29" t="s">
        <v>20020</v>
      </c>
      <c r="D3088" s="29" t="s">
        <v>33221</v>
      </c>
      <c r="E3088" s="29" t="s">
        <v>46430</v>
      </c>
      <c r="F3088" s="36" t="s">
        <v>54401</v>
      </c>
      <c r="G3088" s="39">
        <f>627531.63+229909+584139</f>
        <v>1441579.63</v>
      </c>
      <c r="H3088" s="42">
        <v>211</v>
      </c>
    </row>
    <row r="3089" spans="1:8" ht="15" customHeight="1">
      <c r="A3089" s="26">
        <v>24031669</v>
      </c>
      <c r="B3089" s="29" t="s">
        <v>5327</v>
      </c>
      <c r="C3089" s="29" t="s">
        <v>20021</v>
      </c>
      <c r="D3089" s="29" t="s">
        <v>33222</v>
      </c>
      <c r="E3089" s="29" t="s">
        <v>46431</v>
      </c>
      <c r="F3089" s="36" t="s">
        <v>54401</v>
      </c>
      <c r="G3089" s="39">
        <v>548815.09</v>
      </c>
      <c r="H3089" s="42">
        <v>211</v>
      </c>
    </row>
    <row r="3090" spans="1:8" ht="15" customHeight="1">
      <c r="A3090" s="26">
        <v>24031725</v>
      </c>
      <c r="B3090" s="29" t="s">
        <v>5328</v>
      </c>
      <c r="C3090" s="29" t="s">
        <v>17204</v>
      </c>
      <c r="D3090" s="29" t="s">
        <v>33223</v>
      </c>
      <c r="E3090" s="29" t="s">
        <v>43926</v>
      </c>
      <c r="F3090" s="36" t="s">
        <v>54401</v>
      </c>
      <c r="G3090" s="39">
        <v>367148.66</v>
      </c>
      <c r="H3090" s="42">
        <v>211</v>
      </c>
    </row>
    <row r="3091" spans="1:8" ht="15" customHeight="1">
      <c r="A3091" s="26">
        <v>24035189</v>
      </c>
      <c r="B3091" s="29" t="s">
        <v>5329</v>
      </c>
      <c r="C3091" s="29" t="s">
        <v>20022</v>
      </c>
      <c r="D3091" s="29" t="s">
        <v>33224</v>
      </c>
      <c r="E3091" s="29" t="s">
        <v>46432</v>
      </c>
      <c r="F3091" s="36" t="s">
        <v>54401</v>
      </c>
      <c r="G3091" s="39">
        <v>836217.27</v>
      </c>
      <c r="H3091" s="42">
        <v>211</v>
      </c>
    </row>
    <row r="3092" spans="1:8" ht="15" customHeight="1">
      <c r="A3092" s="26">
        <v>24037453</v>
      </c>
      <c r="B3092" s="29" t="s">
        <v>5330</v>
      </c>
      <c r="C3092" s="29" t="s">
        <v>20023</v>
      </c>
      <c r="D3092" s="29" t="s">
        <v>33225</v>
      </c>
      <c r="E3092" s="29" t="s">
        <v>46433</v>
      </c>
      <c r="F3092" s="36" t="s">
        <v>54401</v>
      </c>
      <c r="G3092" s="39">
        <v>412113.39</v>
      </c>
      <c r="H3092" s="42">
        <v>211</v>
      </c>
    </row>
    <row r="3093" spans="1:8" ht="15" customHeight="1">
      <c r="A3093" s="26">
        <v>24037531</v>
      </c>
      <c r="B3093" s="29" t="s">
        <v>5331</v>
      </c>
      <c r="C3093" s="29" t="s">
        <v>20024</v>
      </c>
      <c r="D3093" s="29" t="s">
        <v>33226</v>
      </c>
      <c r="E3093" s="29" t="s">
        <v>46434</v>
      </c>
      <c r="F3093" s="36" t="s">
        <v>54401</v>
      </c>
      <c r="G3093" s="39">
        <v>977194.95</v>
      </c>
      <c r="H3093" s="42">
        <v>211</v>
      </c>
    </row>
    <row r="3094" spans="1:8" ht="15" customHeight="1">
      <c r="A3094" s="26">
        <v>24037648</v>
      </c>
      <c r="B3094" s="29" t="s">
        <v>5332</v>
      </c>
      <c r="C3094" s="29" t="s">
        <v>20025</v>
      </c>
      <c r="D3094" s="29" t="s">
        <v>33227</v>
      </c>
      <c r="E3094" s="29" t="s">
        <v>46435</v>
      </c>
      <c r="F3094" s="36" t="s">
        <v>54401</v>
      </c>
      <c r="G3094" s="39">
        <f>3900988.23+607800</f>
        <v>4508788.2300000004</v>
      </c>
      <c r="H3094" s="42">
        <v>211</v>
      </c>
    </row>
    <row r="3095" spans="1:8" ht="15" customHeight="1">
      <c r="A3095" s="26">
        <v>24037717</v>
      </c>
      <c r="B3095" s="29" t="s">
        <v>5333</v>
      </c>
      <c r="C3095" s="29" t="s">
        <v>20026</v>
      </c>
      <c r="D3095" s="29" t="s">
        <v>33228</v>
      </c>
      <c r="E3095" s="29" t="s">
        <v>46436</v>
      </c>
      <c r="F3095" s="36" t="s">
        <v>54401</v>
      </c>
      <c r="G3095" s="39">
        <v>115462.18</v>
      </c>
      <c r="H3095" s="42">
        <v>211</v>
      </c>
    </row>
    <row r="3096" spans="1:8" ht="15" customHeight="1">
      <c r="A3096" s="26">
        <v>24037789</v>
      </c>
      <c r="B3096" s="29" t="s">
        <v>5334</v>
      </c>
      <c r="C3096" s="26" t="s">
        <v>20027</v>
      </c>
      <c r="D3096" s="26" t="s">
        <v>33229</v>
      </c>
      <c r="E3096" s="26" t="s">
        <v>46437</v>
      </c>
      <c r="F3096" s="37" t="s">
        <v>54401</v>
      </c>
      <c r="G3096" s="39">
        <f>1421395.17+10915+146647</f>
        <v>1578957.17</v>
      </c>
      <c r="H3096" s="42">
        <v>211</v>
      </c>
    </row>
    <row r="3097" spans="1:8" ht="15" customHeight="1">
      <c r="A3097" s="26">
        <v>24037804</v>
      </c>
      <c r="B3097" s="29" t="s">
        <v>5335</v>
      </c>
      <c r="C3097" s="29" t="s">
        <v>20028</v>
      </c>
      <c r="D3097" s="29" t="s">
        <v>33230</v>
      </c>
      <c r="E3097" s="29" t="s">
        <v>46438</v>
      </c>
      <c r="F3097" s="36" t="s">
        <v>54401</v>
      </c>
      <c r="G3097" s="39">
        <v>526691.21</v>
      </c>
      <c r="H3097" s="42">
        <v>211</v>
      </c>
    </row>
    <row r="3098" spans="1:8" ht="15" customHeight="1">
      <c r="A3098" s="26">
        <v>24037843</v>
      </c>
      <c r="B3098" s="29" t="s">
        <v>5336</v>
      </c>
      <c r="C3098" s="29" t="s">
        <v>20029</v>
      </c>
      <c r="D3098" s="29" t="s">
        <v>33231</v>
      </c>
      <c r="E3098" s="29" t="s">
        <v>46439</v>
      </c>
      <c r="F3098" s="36" t="s">
        <v>54401</v>
      </c>
      <c r="G3098" s="39">
        <v>1617362.47</v>
      </c>
      <c r="H3098" s="42">
        <v>211</v>
      </c>
    </row>
    <row r="3099" spans="1:8" ht="15" customHeight="1">
      <c r="A3099" s="26">
        <v>24038107</v>
      </c>
      <c r="B3099" s="29" t="s">
        <v>5337</v>
      </c>
      <c r="C3099" s="29" t="s">
        <v>20030</v>
      </c>
      <c r="D3099" s="29" t="s">
        <v>33232</v>
      </c>
      <c r="E3099" s="29" t="s">
        <v>43926</v>
      </c>
      <c r="F3099" s="36" t="s">
        <v>54401</v>
      </c>
      <c r="G3099" s="39">
        <v>176262.18</v>
      </c>
      <c r="H3099" s="42">
        <v>211</v>
      </c>
    </row>
    <row r="3100" spans="1:8" ht="15" customHeight="1">
      <c r="A3100" s="26">
        <v>24038149</v>
      </c>
      <c r="B3100" s="29" t="s">
        <v>5338</v>
      </c>
      <c r="C3100" s="29" t="s">
        <v>20031</v>
      </c>
      <c r="D3100" s="29" t="s">
        <v>33233</v>
      </c>
      <c r="E3100" s="29" t="s">
        <v>46440</v>
      </c>
      <c r="F3100" s="36" t="s">
        <v>54401</v>
      </c>
      <c r="G3100" s="39">
        <v>45619.68</v>
      </c>
      <c r="H3100" s="42">
        <v>211</v>
      </c>
    </row>
    <row r="3101" spans="1:8" ht="15" customHeight="1">
      <c r="A3101" s="26">
        <v>24046663</v>
      </c>
      <c r="B3101" s="29" t="s">
        <v>5339</v>
      </c>
      <c r="C3101" s="29" t="s">
        <v>20032</v>
      </c>
      <c r="D3101" s="29" t="s">
        <v>33234</v>
      </c>
      <c r="E3101" s="29" t="s">
        <v>46441</v>
      </c>
      <c r="F3101" s="36" t="s">
        <v>54401</v>
      </c>
      <c r="G3101" s="39">
        <v>1306400.51</v>
      </c>
      <c r="H3101" s="42">
        <v>211</v>
      </c>
    </row>
    <row r="3102" spans="1:8" ht="15" customHeight="1">
      <c r="A3102" s="26">
        <v>24046963</v>
      </c>
      <c r="B3102" s="29" t="s">
        <v>5340</v>
      </c>
      <c r="C3102" s="29" t="s">
        <v>20033</v>
      </c>
      <c r="D3102" s="29" t="s">
        <v>33235</v>
      </c>
      <c r="E3102" s="29" t="s">
        <v>46442</v>
      </c>
      <c r="F3102" s="36" t="s">
        <v>54423</v>
      </c>
      <c r="G3102" s="39">
        <v>124705.88</v>
      </c>
      <c r="H3102" s="42">
        <v>211</v>
      </c>
    </row>
    <row r="3103" spans="1:8" ht="15" customHeight="1">
      <c r="A3103" s="26">
        <v>24047225</v>
      </c>
      <c r="B3103" s="29" t="s">
        <v>5341</v>
      </c>
      <c r="C3103" s="29" t="s">
        <v>20034</v>
      </c>
      <c r="D3103" s="29" t="s">
        <v>33236</v>
      </c>
      <c r="E3103" s="29" t="s">
        <v>46443</v>
      </c>
      <c r="F3103" s="36" t="s">
        <v>54418</v>
      </c>
      <c r="G3103" s="39">
        <f>883267.54+24123506-70724</f>
        <v>24936049.539999999</v>
      </c>
      <c r="H3103" s="42">
        <v>211</v>
      </c>
    </row>
    <row r="3104" spans="1:8" ht="15" customHeight="1">
      <c r="A3104" s="26">
        <v>24047313</v>
      </c>
      <c r="B3104" s="29" t="s">
        <v>5342</v>
      </c>
      <c r="C3104" s="29" t="s">
        <v>20035</v>
      </c>
      <c r="D3104" s="29" t="s">
        <v>33237</v>
      </c>
      <c r="E3104" s="29" t="s">
        <v>46444</v>
      </c>
      <c r="F3104" s="36" t="s">
        <v>54423</v>
      </c>
      <c r="G3104" s="39">
        <f>2613028.67-148006</f>
        <v>2465022.67</v>
      </c>
      <c r="H3104" s="42">
        <v>211</v>
      </c>
    </row>
    <row r="3105" spans="1:8" ht="15" customHeight="1">
      <c r="A3105" s="26">
        <v>24047334</v>
      </c>
      <c r="B3105" s="29" t="s">
        <v>5343</v>
      </c>
      <c r="C3105" s="26" t="s">
        <v>20036</v>
      </c>
      <c r="D3105" s="26" t="s">
        <v>33238</v>
      </c>
      <c r="E3105" s="26" t="s">
        <v>43926</v>
      </c>
      <c r="F3105" s="37" t="s">
        <v>54401</v>
      </c>
      <c r="G3105" s="39">
        <v>93844.19</v>
      </c>
      <c r="H3105" s="42">
        <v>211</v>
      </c>
    </row>
    <row r="3106" spans="1:8" ht="15" customHeight="1">
      <c r="A3106" s="26">
        <v>24047444</v>
      </c>
      <c r="B3106" s="29" t="s">
        <v>5344</v>
      </c>
      <c r="C3106" s="29" t="s">
        <v>20037</v>
      </c>
      <c r="D3106" s="29" t="s">
        <v>33239</v>
      </c>
      <c r="E3106" s="29" t="s">
        <v>46445</v>
      </c>
      <c r="F3106" s="36" t="s">
        <v>54401</v>
      </c>
      <c r="G3106" s="39">
        <f>923310.31+3216443</f>
        <v>4139753.31</v>
      </c>
      <c r="H3106" s="42">
        <v>211</v>
      </c>
    </row>
    <row r="3107" spans="1:8" ht="15" customHeight="1">
      <c r="A3107" s="26">
        <v>24047463</v>
      </c>
      <c r="B3107" s="29" t="s">
        <v>5345</v>
      </c>
      <c r="C3107" s="29" t="s">
        <v>20038</v>
      </c>
      <c r="D3107" s="29" t="s">
        <v>33240</v>
      </c>
      <c r="E3107" s="29" t="s">
        <v>46446</v>
      </c>
      <c r="F3107" s="36" t="s">
        <v>54401</v>
      </c>
      <c r="G3107" s="39">
        <v>189260.65</v>
      </c>
      <c r="H3107" s="42">
        <v>211</v>
      </c>
    </row>
    <row r="3108" spans="1:8" ht="15" customHeight="1">
      <c r="A3108" s="26">
        <v>24047530</v>
      </c>
      <c r="B3108" s="29" t="s">
        <v>5346</v>
      </c>
      <c r="C3108" s="29" t="s">
        <v>20039</v>
      </c>
      <c r="D3108" s="29" t="s">
        <v>33241</v>
      </c>
      <c r="E3108" s="29" t="s">
        <v>46447</v>
      </c>
      <c r="F3108" s="36" t="s">
        <v>54423</v>
      </c>
      <c r="G3108" s="39">
        <v>865214.06</v>
      </c>
      <c r="H3108" s="42">
        <v>211</v>
      </c>
    </row>
    <row r="3109" spans="1:8" ht="15" customHeight="1">
      <c r="A3109" s="26">
        <v>24047620</v>
      </c>
      <c r="B3109" s="29" t="s">
        <v>5347</v>
      </c>
      <c r="C3109" s="29" t="s">
        <v>20040</v>
      </c>
      <c r="D3109" s="29" t="s">
        <v>33242</v>
      </c>
      <c r="E3109" s="29" t="s">
        <v>46448</v>
      </c>
      <c r="F3109" s="36" t="s">
        <v>54401</v>
      </c>
      <c r="G3109" s="39">
        <v>23403.35</v>
      </c>
      <c r="H3109" s="42">
        <v>211</v>
      </c>
    </row>
    <row r="3110" spans="1:8" ht="15" customHeight="1">
      <c r="A3110" s="26">
        <v>24048011</v>
      </c>
      <c r="B3110" s="29" t="s">
        <v>5348</v>
      </c>
      <c r="C3110" s="29" t="s">
        <v>20041</v>
      </c>
      <c r="D3110" s="29" t="s">
        <v>33243</v>
      </c>
      <c r="E3110" s="29" t="s">
        <v>46449</v>
      </c>
      <c r="F3110" s="36" t="s">
        <v>54401</v>
      </c>
      <c r="G3110" s="39">
        <v>195855.48</v>
      </c>
      <c r="H3110" s="42">
        <v>211</v>
      </c>
    </row>
    <row r="3111" spans="1:8" ht="15" customHeight="1">
      <c r="A3111" s="26">
        <v>24048015</v>
      </c>
      <c r="B3111" s="29" t="s">
        <v>5349</v>
      </c>
      <c r="C3111" s="29" t="s">
        <v>20042</v>
      </c>
      <c r="D3111" s="29" t="s">
        <v>33244</v>
      </c>
      <c r="E3111" s="29" t="s">
        <v>46450</v>
      </c>
      <c r="F3111" s="36" t="s">
        <v>54423</v>
      </c>
      <c r="G3111" s="39">
        <v>290470.59000000003</v>
      </c>
      <c r="H3111" s="42">
        <v>211</v>
      </c>
    </row>
    <row r="3112" spans="1:8" ht="15" customHeight="1">
      <c r="A3112" s="26">
        <v>24048050</v>
      </c>
      <c r="B3112" s="29" t="s">
        <v>5350</v>
      </c>
      <c r="C3112" s="29" t="s">
        <v>17204</v>
      </c>
      <c r="D3112" s="29" t="s">
        <v>33245</v>
      </c>
      <c r="E3112" s="29" t="s">
        <v>43926</v>
      </c>
      <c r="F3112" s="36" t="s">
        <v>54401</v>
      </c>
      <c r="G3112" s="39">
        <v>61155.01</v>
      </c>
      <c r="H3112" s="42">
        <v>211</v>
      </c>
    </row>
    <row r="3113" spans="1:8" ht="15" customHeight="1">
      <c r="A3113" s="26">
        <v>24048095</v>
      </c>
      <c r="B3113" s="29" t="s">
        <v>5351</v>
      </c>
      <c r="C3113" s="29" t="s">
        <v>20043</v>
      </c>
      <c r="D3113" s="29" t="s">
        <v>33246</v>
      </c>
      <c r="E3113" s="29" t="s">
        <v>46451</v>
      </c>
      <c r="F3113" s="36" t="s">
        <v>54401</v>
      </c>
      <c r="G3113" s="39">
        <v>72528.56</v>
      </c>
      <c r="H3113" s="42">
        <v>211</v>
      </c>
    </row>
    <row r="3114" spans="1:8" ht="15" customHeight="1">
      <c r="A3114" s="26">
        <v>24048151</v>
      </c>
      <c r="B3114" s="29" t="s">
        <v>5352</v>
      </c>
      <c r="C3114" s="29" t="s">
        <v>20044</v>
      </c>
      <c r="D3114" s="29" t="s">
        <v>33247</v>
      </c>
      <c r="E3114" s="29" t="s">
        <v>46452</v>
      </c>
      <c r="F3114" s="36" t="s">
        <v>54401</v>
      </c>
      <c r="G3114" s="39">
        <v>314570.81</v>
      </c>
      <c r="H3114" s="42">
        <v>211</v>
      </c>
    </row>
    <row r="3115" spans="1:8" ht="15" customHeight="1">
      <c r="A3115" s="26">
        <v>24048204</v>
      </c>
      <c r="B3115" s="29" t="s">
        <v>5353</v>
      </c>
      <c r="C3115" s="29" t="s">
        <v>17204</v>
      </c>
      <c r="D3115" s="29" t="s">
        <v>33248</v>
      </c>
      <c r="E3115" s="29" t="s">
        <v>43926</v>
      </c>
      <c r="F3115" s="36" t="s">
        <v>54401</v>
      </c>
      <c r="G3115" s="39">
        <v>198553.04</v>
      </c>
      <c r="H3115" s="42">
        <v>211</v>
      </c>
    </row>
    <row r="3116" spans="1:8" ht="15" customHeight="1">
      <c r="A3116" s="26">
        <v>24048245</v>
      </c>
      <c r="B3116" s="29" t="s">
        <v>5354</v>
      </c>
      <c r="C3116" s="29" t="s">
        <v>20045</v>
      </c>
      <c r="D3116" s="29" t="s">
        <v>33249</v>
      </c>
      <c r="E3116" s="29" t="s">
        <v>46453</v>
      </c>
      <c r="F3116" s="36" t="s">
        <v>54423</v>
      </c>
      <c r="G3116" s="39">
        <v>1549262.84</v>
      </c>
      <c r="H3116" s="42">
        <v>211</v>
      </c>
    </row>
    <row r="3117" spans="1:8" ht="15" customHeight="1">
      <c r="A3117" s="26">
        <v>24048305</v>
      </c>
      <c r="B3117" s="29" t="s">
        <v>5355</v>
      </c>
      <c r="C3117" s="29" t="s">
        <v>20046</v>
      </c>
      <c r="D3117" s="29" t="s">
        <v>33250</v>
      </c>
      <c r="E3117" s="29" t="s">
        <v>46454</v>
      </c>
      <c r="F3117" s="36" t="s">
        <v>54423</v>
      </c>
      <c r="G3117" s="39">
        <v>3143992.37</v>
      </c>
      <c r="H3117" s="42">
        <v>211</v>
      </c>
    </row>
    <row r="3118" spans="1:8" ht="15" customHeight="1">
      <c r="A3118" s="26">
        <v>24048426</v>
      </c>
      <c r="B3118" s="29" t="s">
        <v>5356</v>
      </c>
      <c r="C3118" s="29" t="s">
        <v>20047</v>
      </c>
      <c r="D3118" s="29" t="s">
        <v>33251</v>
      </c>
      <c r="E3118" s="29" t="s">
        <v>46455</v>
      </c>
      <c r="F3118" s="36" t="s">
        <v>54423</v>
      </c>
      <c r="G3118" s="39">
        <v>1295604.22</v>
      </c>
      <c r="H3118" s="42">
        <v>211</v>
      </c>
    </row>
    <row r="3119" spans="1:8" ht="15" customHeight="1">
      <c r="A3119" s="26">
        <v>24048516</v>
      </c>
      <c r="B3119" s="29" t="s">
        <v>5357</v>
      </c>
      <c r="C3119" s="29" t="s">
        <v>20048</v>
      </c>
      <c r="D3119" s="29" t="s">
        <v>33252</v>
      </c>
      <c r="E3119" s="29" t="s">
        <v>46456</v>
      </c>
      <c r="F3119" s="36" t="s">
        <v>54401</v>
      </c>
      <c r="G3119" s="39">
        <v>3890857.14</v>
      </c>
      <c r="H3119" s="42">
        <v>211</v>
      </c>
    </row>
    <row r="3120" spans="1:8" ht="15" customHeight="1">
      <c r="A3120" s="26">
        <v>24048568</v>
      </c>
      <c r="B3120" s="29" t="s">
        <v>5358</v>
      </c>
      <c r="C3120" s="29" t="s">
        <v>20049</v>
      </c>
      <c r="D3120" s="29" t="s">
        <v>33253</v>
      </c>
      <c r="E3120" s="29" t="s">
        <v>46457</v>
      </c>
      <c r="F3120" s="36" t="s">
        <v>54401</v>
      </c>
      <c r="G3120" s="39">
        <v>160139.32999999999</v>
      </c>
      <c r="H3120" s="42">
        <v>211</v>
      </c>
    </row>
    <row r="3121" spans="1:8" ht="15" customHeight="1">
      <c r="A3121" s="26">
        <v>24048603</v>
      </c>
      <c r="B3121" s="29" t="s">
        <v>5359</v>
      </c>
      <c r="C3121" s="29" t="s">
        <v>20050</v>
      </c>
      <c r="D3121" s="29" t="s">
        <v>33254</v>
      </c>
      <c r="E3121" s="29" t="s">
        <v>46458</v>
      </c>
      <c r="F3121" s="36" t="s">
        <v>54401</v>
      </c>
      <c r="G3121" s="39">
        <v>536677.31000000006</v>
      </c>
      <c r="H3121" s="42">
        <v>211</v>
      </c>
    </row>
    <row r="3122" spans="1:8" ht="15" customHeight="1">
      <c r="A3122" s="26">
        <v>24048612</v>
      </c>
      <c r="B3122" s="29" t="s">
        <v>5360</v>
      </c>
      <c r="C3122" s="29" t="s">
        <v>20051</v>
      </c>
      <c r="D3122" s="29" t="s">
        <v>33255</v>
      </c>
      <c r="E3122" s="29" t="s">
        <v>46459</v>
      </c>
      <c r="F3122" s="36" t="s">
        <v>54423</v>
      </c>
      <c r="G3122" s="39">
        <v>6596468.29</v>
      </c>
      <c r="H3122" s="42">
        <v>211</v>
      </c>
    </row>
    <row r="3123" spans="1:8" ht="15" customHeight="1">
      <c r="A3123" s="26">
        <v>24048750</v>
      </c>
      <c r="B3123" s="29" t="s">
        <v>5361</v>
      </c>
      <c r="C3123" s="29" t="s">
        <v>20052</v>
      </c>
      <c r="D3123" s="29" t="s">
        <v>33256</v>
      </c>
      <c r="E3123" s="29" t="s">
        <v>46460</v>
      </c>
      <c r="F3123" s="36" t="s">
        <v>54401</v>
      </c>
      <c r="G3123" s="39">
        <v>999378.1</v>
      </c>
      <c r="H3123" s="42">
        <v>211</v>
      </c>
    </row>
    <row r="3124" spans="1:8" ht="15" customHeight="1">
      <c r="A3124" s="26">
        <v>24048781</v>
      </c>
      <c r="B3124" s="29" t="s">
        <v>5362</v>
      </c>
      <c r="C3124" s="29" t="s">
        <v>20053</v>
      </c>
      <c r="D3124" s="29" t="s">
        <v>33257</v>
      </c>
      <c r="E3124" s="29" t="s">
        <v>46461</v>
      </c>
      <c r="F3124" s="36" t="s">
        <v>54423</v>
      </c>
      <c r="G3124" s="39">
        <f>4759185.43-132904</f>
        <v>4626281.43</v>
      </c>
      <c r="H3124" s="42">
        <v>211</v>
      </c>
    </row>
    <row r="3125" spans="1:8" ht="15" customHeight="1">
      <c r="A3125" s="26">
        <v>24048856</v>
      </c>
      <c r="B3125" s="29" t="s">
        <v>5363</v>
      </c>
      <c r="C3125" s="29" t="s">
        <v>20054</v>
      </c>
      <c r="D3125" s="29" t="s">
        <v>33258</v>
      </c>
      <c r="E3125" s="29" t="s">
        <v>46462</v>
      </c>
      <c r="F3125" s="36" t="s">
        <v>54423</v>
      </c>
      <c r="G3125" s="39">
        <f>1208821.08+459295</f>
        <v>1668116.08</v>
      </c>
      <c r="H3125" s="42">
        <v>211</v>
      </c>
    </row>
    <row r="3126" spans="1:8" ht="15" customHeight="1">
      <c r="A3126" s="26">
        <v>24048873</v>
      </c>
      <c r="B3126" s="29" t="s">
        <v>5364</v>
      </c>
      <c r="C3126" s="29" t="s">
        <v>20055</v>
      </c>
      <c r="D3126" s="29" t="s">
        <v>33259</v>
      </c>
      <c r="E3126" s="29" t="s">
        <v>46463</v>
      </c>
      <c r="F3126" s="36" t="s">
        <v>54423</v>
      </c>
      <c r="G3126" s="39">
        <v>7935674.3200000003</v>
      </c>
      <c r="H3126" s="42">
        <v>211</v>
      </c>
    </row>
    <row r="3127" spans="1:8" ht="15" customHeight="1">
      <c r="A3127" s="26">
        <v>24048955</v>
      </c>
      <c r="B3127" s="29" t="s">
        <v>5365</v>
      </c>
      <c r="C3127" s="29" t="s">
        <v>20056</v>
      </c>
      <c r="D3127" s="29" t="s">
        <v>33260</v>
      </c>
      <c r="E3127" s="29" t="s">
        <v>46464</v>
      </c>
      <c r="F3127" s="36" t="s">
        <v>54401</v>
      </c>
      <c r="G3127" s="39">
        <v>46397.53</v>
      </c>
      <c r="H3127" s="42">
        <v>211</v>
      </c>
    </row>
    <row r="3128" spans="1:8" ht="15" customHeight="1">
      <c r="A3128" s="26">
        <v>24049013</v>
      </c>
      <c r="B3128" s="29" t="s">
        <v>5366</v>
      </c>
      <c r="C3128" s="29" t="s">
        <v>20057</v>
      </c>
      <c r="D3128" s="29" t="s">
        <v>33261</v>
      </c>
      <c r="E3128" s="29" t="s">
        <v>46465</v>
      </c>
      <c r="F3128" s="36" t="s">
        <v>54401</v>
      </c>
      <c r="G3128" s="39">
        <v>4727200.25</v>
      </c>
      <c r="H3128" s="42">
        <v>211</v>
      </c>
    </row>
    <row r="3129" spans="1:8" ht="15" customHeight="1">
      <c r="A3129" s="26">
        <v>24049036</v>
      </c>
      <c r="B3129" s="29" t="s">
        <v>5367</v>
      </c>
      <c r="C3129" s="29" t="s">
        <v>20058</v>
      </c>
      <c r="D3129" s="29" t="s">
        <v>33262</v>
      </c>
      <c r="E3129" s="29" t="s">
        <v>46466</v>
      </c>
      <c r="F3129" s="36" t="s">
        <v>54401</v>
      </c>
      <c r="G3129" s="39">
        <f>603589.76+253515</f>
        <v>857104.76</v>
      </c>
      <c r="H3129" s="42">
        <v>211</v>
      </c>
    </row>
    <row r="3130" spans="1:8" ht="15" customHeight="1">
      <c r="A3130" s="26">
        <v>24049097</v>
      </c>
      <c r="B3130" s="29" t="s">
        <v>5368</v>
      </c>
      <c r="C3130" s="29" t="s">
        <v>20059</v>
      </c>
      <c r="D3130" s="29" t="s">
        <v>33263</v>
      </c>
      <c r="E3130" s="29" t="s">
        <v>46467</v>
      </c>
      <c r="F3130" s="36" t="s">
        <v>54401</v>
      </c>
      <c r="G3130" s="39">
        <f>19504.2+1030302+1267346</f>
        <v>2317152.2000000002</v>
      </c>
      <c r="H3130" s="42">
        <v>211</v>
      </c>
    </row>
    <row r="3131" spans="1:8" ht="15" customHeight="1">
      <c r="A3131" s="26">
        <v>24049141</v>
      </c>
      <c r="B3131" s="29" t="s">
        <v>5369</v>
      </c>
      <c r="C3131" s="29" t="s">
        <v>20060</v>
      </c>
      <c r="D3131" s="29" t="s">
        <v>33264</v>
      </c>
      <c r="E3131" s="29" t="s">
        <v>46468</v>
      </c>
      <c r="F3131" s="36" t="s">
        <v>54401</v>
      </c>
      <c r="G3131" s="39">
        <v>702198.59</v>
      </c>
      <c r="H3131" s="42">
        <v>211</v>
      </c>
    </row>
    <row r="3132" spans="1:8" ht="15" customHeight="1">
      <c r="A3132" s="26">
        <v>24049267</v>
      </c>
      <c r="B3132" s="29" t="s">
        <v>5370</v>
      </c>
      <c r="C3132" s="29" t="s">
        <v>20061</v>
      </c>
      <c r="D3132" s="29" t="s">
        <v>33265</v>
      </c>
      <c r="E3132" s="29" t="s">
        <v>46469</v>
      </c>
      <c r="F3132" s="36" t="s">
        <v>54423</v>
      </c>
      <c r="G3132" s="39">
        <v>90644.32</v>
      </c>
      <c r="H3132" s="42">
        <v>211</v>
      </c>
    </row>
    <row r="3133" spans="1:8" ht="15" customHeight="1">
      <c r="A3133" s="26">
        <v>24049297</v>
      </c>
      <c r="B3133" s="29" t="s">
        <v>5371</v>
      </c>
      <c r="C3133" s="29" t="s">
        <v>20062</v>
      </c>
      <c r="D3133" s="29" t="s">
        <v>33266</v>
      </c>
      <c r="E3133" s="29" t="s">
        <v>43926</v>
      </c>
      <c r="F3133" s="36" t="s">
        <v>54401</v>
      </c>
      <c r="G3133" s="39">
        <f>2954544.45+430878</f>
        <v>3385422.45</v>
      </c>
      <c r="H3133" s="42">
        <v>211</v>
      </c>
    </row>
    <row r="3134" spans="1:8" ht="15" customHeight="1">
      <c r="A3134" s="26">
        <v>24049306</v>
      </c>
      <c r="B3134" s="29" t="s">
        <v>5372</v>
      </c>
      <c r="C3134" s="29" t="s">
        <v>20063</v>
      </c>
      <c r="D3134" s="29" t="s">
        <v>33267</v>
      </c>
      <c r="E3134" s="29" t="s">
        <v>43926</v>
      </c>
      <c r="F3134" s="36" t="s">
        <v>54401</v>
      </c>
      <c r="G3134" s="39">
        <v>118464.16</v>
      </c>
      <c r="H3134" s="42">
        <v>211</v>
      </c>
    </row>
    <row r="3135" spans="1:8" ht="15" customHeight="1">
      <c r="A3135" s="26">
        <v>24049343</v>
      </c>
      <c r="B3135" s="29" t="s">
        <v>5373</v>
      </c>
      <c r="C3135" s="29" t="s">
        <v>20064</v>
      </c>
      <c r="D3135" s="29" t="s">
        <v>33268</v>
      </c>
      <c r="E3135" s="29" t="s">
        <v>731</v>
      </c>
      <c r="F3135" s="36" t="s">
        <v>54401</v>
      </c>
      <c r="G3135" s="39">
        <v>475245.29</v>
      </c>
      <c r="H3135" s="42">
        <v>211</v>
      </c>
    </row>
    <row r="3136" spans="1:8" ht="15" customHeight="1">
      <c r="A3136" s="26">
        <v>24049412</v>
      </c>
      <c r="B3136" s="29" t="s">
        <v>5374</v>
      </c>
      <c r="C3136" s="29" t="s">
        <v>20065</v>
      </c>
      <c r="D3136" s="29" t="s">
        <v>33269</v>
      </c>
      <c r="E3136" s="29" t="s">
        <v>46470</v>
      </c>
      <c r="F3136" s="36" t="s">
        <v>54401</v>
      </c>
      <c r="G3136" s="39">
        <f>1581806.98+587487+351821</f>
        <v>2521114.98</v>
      </c>
      <c r="H3136" s="42">
        <v>211</v>
      </c>
    </row>
    <row r="3137" spans="1:8" ht="15" customHeight="1">
      <c r="A3137" s="26">
        <v>24049429</v>
      </c>
      <c r="B3137" s="29" t="s">
        <v>5375</v>
      </c>
      <c r="C3137" s="29" t="s">
        <v>20066</v>
      </c>
      <c r="D3137" s="29" t="s">
        <v>33270</v>
      </c>
      <c r="E3137" s="29" t="s">
        <v>46471</v>
      </c>
      <c r="F3137" s="36" t="s">
        <v>54401</v>
      </c>
      <c r="G3137" s="39">
        <v>162666.89000000001</v>
      </c>
      <c r="H3137" s="42">
        <v>211</v>
      </c>
    </row>
    <row r="3138" spans="1:8" ht="15" customHeight="1">
      <c r="A3138" s="26">
        <v>24049436</v>
      </c>
      <c r="B3138" s="29" t="s">
        <v>5376</v>
      </c>
      <c r="C3138" s="29" t="s">
        <v>20067</v>
      </c>
      <c r="D3138" s="29" t="s">
        <v>33271</v>
      </c>
      <c r="E3138" s="29" t="s">
        <v>46472</v>
      </c>
      <c r="F3138" s="36" t="s">
        <v>54401</v>
      </c>
      <c r="G3138" s="39">
        <v>41877.56</v>
      </c>
      <c r="H3138" s="42">
        <v>211</v>
      </c>
    </row>
    <row r="3139" spans="1:8" ht="15" customHeight="1">
      <c r="A3139" s="26">
        <v>24049439</v>
      </c>
      <c r="B3139" s="29" t="s">
        <v>5377</v>
      </c>
      <c r="C3139" s="29" t="s">
        <v>20068</v>
      </c>
      <c r="D3139" s="29" t="s">
        <v>33272</v>
      </c>
      <c r="E3139" s="29" t="s">
        <v>46473</v>
      </c>
      <c r="F3139" s="36" t="s">
        <v>54423</v>
      </c>
      <c r="G3139" s="39">
        <v>7481461.4800000004</v>
      </c>
      <c r="H3139" s="42">
        <v>211</v>
      </c>
    </row>
    <row r="3140" spans="1:8" ht="15" customHeight="1">
      <c r="A3140" s="26">
        <v>24049472</v>
      </c>
      <c r="B3140" s="29" t="s">
        <v>5378</v>
      </c>
      <c r="C3140" s="29" t="s">
        <v>20069</v>
      </c>
      <c r="D3140" s="29" t="s">
        <v>33273</v>
      </c>
      <c r="E3140" s="29" t="s">
        <v>46474</v>
      </c>
      <c r="F3140" s="36" t="s">
        <v>54401</v>
      </c>
      <c r="G3140" s="39">
        <f>2864240.79+40731+77091</f>
        <v>2982062.79</v>
      </c>
      <c r="H3140" s="42">
        <v>211</v>
      </c>
    </row>
    <row r="3141" spans="1:8" ht="15" customHeight="1">
      <c r="A3141" s="26">
        <v>24049484</v>
      </c>
      <c r="B3141" s="29" t="s">
        <v>5379</v>
      </c>
      <c r="C3141" s="29" t="s">
        <v>20070</v>
      </c>
      <c r="D3141" s="29" t="s">
        <v>33274</v>
      </c>
      <c r="E3141" s="29" t="s">
        <v>46475</v>
      </c>
      <c r="F3141" s="36" t="s">
        <v>54401</v>
      </c>
      <c r="G3141" s="39">
        <v>17760</v>
      </c>
      <c r="H3141" s="42">
        <v>211</v>
      </c>
    </row>
    <row r="3142" spans="1:8" ht="15" customHeight="1">
      <c r="A3142" s="26">
        <v>24049489</v>
      </c>
      <c r="B3142" s="29" t="s">
        <v>5380</v>
      </c>
      <c r="C3142" s="29" t="s">
        <v>20071</v>
      </c>
      <c r="D3142" s="29" t="s">
        <v>33275</v>
      </c>
      <c r="E3142" s="29" t="s">
        <v>46476</v>
      </c>
      <c r="F3142" s="36" t="s">
        <v>54401</v>
      </c>
      <c r="G3142" s="39">
        <v>2710520.87</v>
      </c>
      <c r="H3142" s="42">
        <v>211</v>
      </c>
    </row>
    <row r="3143" spans="1:8" ht="15" customHeight="1">
      <c r="A3143" s="26">
        <v>24049507</v>
      </c>
      <c r="B3143" s="29" t="s">
        <v>5381</v>
      </c>
      <c r="C3143" s="26" t="s">
        <v>20072</v>
      </c>
      <c r="D3143" s="26" t="s">
        <v>33276</v>
      </c>
      <c r="E3143" s="26" t="s">
        <v>46477</v>
      </c>
      <c r="F3143" s="37" t="s">
        <v>54401</v>
      </c>
      <c r="G3143" s="39">
        <v>5840611.0099999998</v>
      </c>
      <c r="H3143" s="42">
        <v>211</v>
      </c>
    </row>
    <row r="3144" spans="1:8" ht="15" customHeight="1">
      <c r="A3144" s="26">
        <v>24049575</v>
      </c>
      <c r="B3144" s="29" t="s">
        <v>5382</v>
      </c>
      <c r="C3144" s="29" t="s">
        <v>20073</v>
      </c>
      <c r="D3144" s="29" t="s">
        <v>33277</v>
      </c>
      <c r="E3144" s="29" t="s">
        <v>46478</v>
      </c>
      <c r="F3144" s="36" t="s">
        <v>54401</v>
      </c>
      <c r="G3144" s="39">
        <v>857450.13</v>
      </c>
      <c r="H3144" s="42">
        <v>211</v>
      </c>
    </row>
    <row r="3145" spans="1:8" ht="15" customHeight="1">
      <c r="A3145" s="26">
        <v>24049606</v>
      </c>
      <c r="B3145" s="29" t="s">
        <v>5383</v>
      </c>
      <c r="C3145" s="29" t="s">
        <v>20074</v>
      </c>
      <c r="D3145" s="29" t="s">
        <v>33278</v>
      </c>
      <c r="E3145" s="29" t="s">
        <v>46479</v>
      </c>
      <c r="F3145" s="36" t="s">
        <v>54423</v>
      </c>
      <c r="G3145" s="39">
        <v>7026538.8399999999</v>
      </c>
      <c r="H3145" s="42">
        <v>211</v>
      </c>
    </row>
    <row r="3146" spans="1:8" ht="15" customHeight="1">
      <c r="A3146" s="26">
        <v>24049657</v>
      </c>
      <c r="B3146" s="29" t="s">
        <v>5384</v>
      </c>
      <c r="C3146" s="29" t="s">
        <v>20075</v>
      </c>
      <c r="D3146" s="29" t="s">
        <v>33279</v>
      </c>
      <c r="E3146" s="29" t="s">
        <v>46480</v>
      </c>
      <c r="F3146" s="36" t="s">
        <v>54423</v>
      </c>
      <c r="G3146" s="39">
        <v>2623632.38</v>
      </c>
      <c r="H3146" s="42">
        <v>211</v>
      </c>
    </row>
    <row r="3147" spans="1:8" ht="15" customHeight="1">
      <c r="A3147" s="26">
        <v>24049681</v>
      </c>
      <c r="B3147" s="29" t="s">
        <v>5385</v>
      </c>
      <c r="C3147" s="29" t="s">
        <v>20076</v>
      </c>
      <c r="D3147" s="29" t="s">
        <v>33280</v>
      </c>
      <c r="E3147" s="29" t="s">
        <v>46481</v>
      </c>
      <c r="F3147" s="36" t="s">
        <v>54423</v>
      </c>
      <c r="G3147" s="39">
        <f>3223283.35-14831</f>
        <v>3208452.35</v>
      </c>
      <c r="H3147" s="42">
        <v>211</v>
      </c>
    </row>
    <row r="3148" spans="1:8" ht="15" customHeight="1">
      <c r="A3148" s="26">
        <v>24049684</v>
      </c>
      <c r="B3148" s="29" t="s">
        <v>5386</v>
      </c>
      <c r="C3148" s="29" t="s">
        <v>17204</v>
      </c>
      <c r="D3148" s="29" t="s">
        <v>33281</v>
      </c>
      <c r="E3148" s="29" t="s">
        <v>43926</v>
      </c>
      <c r="F3148" s="36" t="s">
        <v>54401</v>
      </c>
      <c r="G3148" s="39">
        <v>77441.100000000006</v>
      </c>
      <c r="H3148" s="42">
        <v>211</v>
      </c>
    </row>
    <row r="3149" spans="1:8" ht="15" customHeight="1">
      <c r="A3149" s="26">
        <v>24049692</v>
      </c>
      <c r="B3149" s="29" t="s">
        <v>5387</v>
      </c>
      <c r="C3149" s="26" t="s">
        <v>20077</v>
      </c>
      <c r="D3149" s="26" t="s">
        <v>33282</v>
      </c>
      <c r="E3149" s="26" t="s">
        <v>46482</v>
      </c>
      <c r="F3149" s="37" t="s">
        <v>54401</v>
      </c>
      <c r="G3149" s="39">
        <v>4647988.5</v>
      </c>
      <c r="H3149" s="42">
        <v>211</v>
      </c>
    </row>
    <row r="3150" spans="1:8" ht="15" customHeight="1">
      <c r="A3150" s="26">
        <v>24049717</v>
      </c>
      <c r="B3150" s="29" t="s">
        <v>5388</v>
      </c>
      <c r="C3150" s="29" t="s">
        <v>20078</v>
      </c>
      <c r="D3150" s="29" t="s">
        <v>33283</v>
      </c>
      <c r="E3150" s="29" t="s">
        <v>46483</v>
      </c>
      <c r="F3150" s="36" t="s">
        <v>54401</v>
      </c>
      <c r="G3150" s="39">
        <v>1985490.84</v>
      </c>
      <c r="H3150" s="42">
        <v>211</v>
      </c>
    </row>
    <row r="3151" spans="1:8" ht="15" customHeight="1">
      <c r="A3151" s="26">
        <v>24049745</v>
      </c>
      <c r="B3151" s="29" t="s">
        <v>5389</v>
      </c>
      <c r="C3151" s="29" t="s">
        <v>20079</v>
      </c>
      <c r="D3151" s="29" t="s">
        <v>33284</v>
      </c>
      <c r="E3151" s="29" t="s">
        <v>46484</v>
      </c>
      <c r="F3151" s="36" t="s">
        <v>54401</v>
      </c>
      <c r="G3151" s="39">
        <v>1313012.3799999999</v>
      </c>
      <c r="H3151" s="42">
        <v>211</v>
      </c>
    </row>
    <row r="3152" spans="1:8" ht="15" customHeight="1">
      <c r="A3152" s="26">
        <v>24049762</v>
      </c>
      <c r="B3152" s="29" t="s">
        <v>5390</v>
      </c>
      <c r="C3152" s="29" t="s">
        <v>20080</v>
      </c>
      <c r="D3152" s="29" t="s">
        <v>33285</v>
      </c>
      <c r="E3152" s="29" t="s">
        <v>46485</v>
      </c>
      <c r="F3152" s="36" t="s">
        <v>54401</v>
      </c>
      <c r="G3152" s="39">
        <v>5670388.6699999999</v>
      </c>
      <c r="H3152" s="42">
        <v>211</v>
      </c>
    </row>
    <row r="3153" spans="1:8" ht="15" customHeight="1">
      <c r="A3153" s="26">
        <v>24049763</v>
      </c>
      <c r="B3153" s="29" t="s">
        <v>5391</v>
      </c>
      <c r="C3153" s="29" t="s">
        <v>20081</v>
      </c>
      <c r="D3153" s="29" t="s">
        <v>33286</v>
      </c>
      <c r="E3153" s="29" t="s">
        <v>46486</v>
      </c>
      <c r="F3153" s="36" t="s">
        <v>54401</v>
      </c>
      <c r="G3153" s="39">
        <v>313373.09000000003</v>
      </c>
      <c r="H3153" s="42">
        <v>211</v>
      </c>
    </row>
    <row r="3154" spans="1:8" ht="15" customHeight="1">
      <c r="A3154" s="26">
        <v>24049788</v>
      </c>
      <c r="B3154" s="29" t="s">
        <v>5392</v>
      </c>
      <c r="C3154" s="29" t="s">
        <v>20082</v>
      </c>
      <c r="D3154" s="29" t="s">
        <v>33287</v>
      </c>
      <c r="E3154" s="29" t="s">
        <v>46487</v>
      </c>
      <c r="F3154" s="36" t="s">
        <v>54401</v>
      </c>
      <c r="G3154" s="39">
        <v>3481344.25</v>
      </c>
      <c r="H3154" s="42">
        <v>211</v>
      </c>
    </row>
    <row r="3155" spans="1:8" ht="15" customHeight="1">
      <c r="A3155" s="26">
        <v>24049811</v>
      </c>
      <c r="B3155" s="29" t="s">
        <v>5393</v>
      </c>
      <c r="C3155" s="29" t="s">
        <v>20083</v>
      </c>
      <c r="D3155" s="29" t="s">
        <v>33288</v>
      </c>
      <c r="E3155" s="29" t="s">
        <v>46488</v>
      </c>
      <c r="F3155" s="36" t="s">
        <v>54401</v>
      </c>
      <c r="G3155" s="39">
        <f>4548602.54+532113</f>
        <v>5080715.54</v>
      </c>
      <c r="H3155" s="42">
        <v>211</v>
      </c>
    </row>
    <row r="3156" spans="1:8" ht="15" customHeight="1">
      <c r="A3156" s="26">
        <v>24049812</v>
      </c>
      <c r="B3156" s="29" t="s">
        <v>5394</v>
      </c>
      <c r="C3156" s="29" t="s">
        <v>20084</v>
      </c>
      <c r="D3156" s="29" t="s">
        <v>33289</v>
      </c>
      <c r="E3156" s="29" t="s">
        <v>46489</v>
      </c>
      <c r="F3156" s="36" t="s">
        <v>54423</v>
      </c>
      <c r="G3156" s="39">
        <v>804533.16</v>
      </c>
      <c r="H3156" s="42">
        <v>211</v>
      </c>
    </row>
    <row r="3157" spans="1:8" ht="15" customHeight="1">
      <c r="A3157" s="26">
        <v>24049820</v>
      </c>
      <c r="B3157" s="29" t="s">
        <v>5395</v>
      </c>
      <c r="C3157" s="29" t="s">
        <v>20085</v>
      </c>
      <c r="D3157" s="29" t="s">
        <v>33290</v>
      </c>
      <c r="E3157" s="29" t="s">
        <v>46490</v>
      </c>
      <c r="F3157" s="36" t="s">
        <v>54401</v>
      </c>
      <c r="G3157" s="39">
        <v>71230.820000000007</v>
      </c>
      <c r="H3157" s="42">
        <v>211</v>
      </c>
    </row>
    <row r="3158" spans="1:8" ht="15" customHeight="1">
      <c r="A3158" s="26">
        <v>24049832</v>
      </c>
      <c r="B3158" s="29" t="s">
        <v>5396</v>
      </c>
      <c r="C3158" s="29" t="s">
        <v>20086</v>
      </c>
      <c r="D3158" s="29" t="s">
        <v>33291</v>
      </c>
      <c r="E3158" s="29" t="s">
        <v>46491</v>
      </c>
      <c r="F3158" s="36" t="s">
        <v>54418</v>
      </c>
      <c r="G3158" s="39">
        <v>4549015.5199999996</v>
      </c>
      <c r="H3158" s="42">
        <v>211</v>
      </c>
    </row>
    <row r="3159" spans="1:8" ht="15" customHeight="1">
      <c r="A3159" s="26">
        <v>24049833</v>
      </c>
      <c r="B3159" s="29" t="s">
        <v>5397</v>
      </c>
      <c r="C3159" s="29" t="s">
        <v>20087</v>
      </c>
      <c r="D3159" s="29" t="s">
        <v>33292</v>
      </c>
      <c r="E3159" s="29" t="s">
        <v>46492</v>
      </c>
      <c r="F3159" s="36" t="s">
        <v>54401</v>
      </c>
      <c r="G3159" s="39">
        <v>2802627.12</v>
      </c>
      <c r="H3159" s="42">
        <v>211</v>
      </c>
    </row>
    <row r="3160" spans="1:8" ht="15" customHeight="1">
      <c r="A3160" s="26">
        <v>24049862</v>
      </c>
      <c r="B3160" s="29" t="s">
        <v>5398</v>
      </c>
      <c r="C3160" s="29" t="s">
        <v>20088</v>
      </c>
      <c r="D3160" s="29" t="s">
        <v>33293</v>
      </c>
      <c r="E3160" s="29" t="s">
        <v>46493</v>
      </c>
      <c r="F3160" s="36" t="s">
        <v>54401</v>
      </c>
      <c r="G3160" s="39">
        <v>6193581.0899999999</v>
      </c>
      <c r="H3160" s="42">
        <v>211</v>
      </c>
    </row>
    <row r="3161" spans="1:8" ht="15" customHeight="1">
      <c r="A3161" s="26">
        <v>24049896</v>
      </c>
      <c r="B3161" s="29" t="s">
        <v>5399</v>
      </c>
      <c r="C3161" s="29" t="s">
        <v>20089</v>
      </c>
      <c r="D3161" s="29" t="s">
        <v>33294</v>
      </c>
      <c r="E3161" s="29" t="s">
        <v>43926</v>
      </c>
      <c r="F3161" s="36" t="s">
        <v>54401</v>
      </c>
      <c r="G3161" s="39">
        <v>322732.92</v>
      </c>
      <c r="H3161" s="42">
        <v>211</v>
      </c>
    </row>
    <row r="3162" spans="1:8" ht="15" customHeight="1">
      <c r="A3162" s="26">
        <v>24049917</v>
      </c>
      <c r="B3162" s="29" t="s">
        <v>5400</v>
      </c>
      <c r="C3162" s="29" t="s">
        <v>17204</v>
      </c>
      <c r="D3162" s="29" t="s">
        <v>33295</v>
      </c>
      <c r="E3162" s="29" t="s">
        <v>43926</v>
      </c>
      <c r="F3162" s="36" t="s">
        <v>54401</v>
      </c>
      <c r="G3162" s="39">
        <v>305409.08</v>
      </c>
      <c r="H3162" s="42">
        <v>211</v>
      </c>
    </row>
    <row r="3163" spans="1:8" ht="15" customHeight="1">
      <c r="A3163" s="26">
        <v>24049969</v>
      </c>
      <c r="B3163" s="29" t="s">
        <v>5401</v>
      </c>
      <c r="C3163" s="29" t="s">
        <v>20090</v>
      </c>
      <c r="D3163" s="29" t="s">
        <v>33296</v>
      </c>
      <c r="E3163" s="29" t="s">
        <v>46494</v>
      </c>
      <c r="F3163" s="36" t="s">
        <v>54401</v>
      </c>
      <c r="G3163" s="39">
        <v>130824.04</v>
      </c>
      <c r="H3163" s="42">
        <v>211</v>
      </c>
    </row>
    <row r="3164" spans="1:8" ht="15" customHeight="1">
      <c r="A3164" s="26">
        <v>24049972</v>
      </c>
      <c r="B3164" s="29" t="s">
        <v>5402</v>
      </c>
      <c r="C3164" s="29" t="s">
        <v>20091</v>
      </c>
      <c r="D3164" s="29" t="s">
        <v>33297</v>
      </c>
      <c r="E3164" s="29" t="s">
        <v>46495</v>
      </c>
      <c r="F3164" s="36" t="s">
        <v>54423</v>
      </c>
      <c r="G3164" s="39">
        <v>44084.03</v>
      </c>
      <c r="H3164" s="42">
        <v>211</v>
      </c>
    </row>
    <row r="3165" spans="1:8" ht="15" customHeight="1">
      <c r="A3165" s="26">
        <v>24049974</v>
      </c>
      <c r="B3165" s="29" t="s">
        <v>5403</v>
      </c>
      <c r="C3165" s="29" t="s">
        <v>17204</v>
      </c>
      <c r="D3165" s="29" t="s">
        <v>33298</v>
      </c>
      <c r="E3165" s="29" t="s">
        <v>46496</v>
      </c>
      <c r="F3165" s="36" t="s">
        <v>54423</v>
      </c>
      <c r="G3165" s="39">
        <v>1842076.5</v>
      </c>
      <c r="H3165" s="42">
        <v>211</v>
      </c>
    </row>
    <row r="3166" spans="1:8" ht="15" customHeight="1">
      <c r="A3166" s="26">
        <v>24049978</v>
      </c>
      <c r="B3166" s="29" t="s">
        <v>5404</v>
      </c>
      <c r="C3166" s="29" t="s">
        <v>20092</v>
      </c>
      <c r="D3166" s="29" t="s">
        <v>33299</v>
      </c>
      <c r="E3166" s="29" t="s">
        <v>46497</v>
      </c>
      <c r="F3166" s="36" t="s">
        <v>54401</v>
      </c>
      <c r="G3166" s="39">
        <f>2261429.29+859043</f>
        <v>3120472.29</v>
      </c>
      <c r="H3166" s="42">
        <v>211</v>
      </c>
    </row>
    <row r="3167" spans="1:8" ht="15" customHeight="1">
      <c r="A3167" s="26">
        <v>24049981</v>
      </c>
      <c r="B3167" s="29" t="s">
        <v>5405</v>
      </c>
      <c r="C3167" s="29" t="s">
        <v>20093</v>
      </c>
      <c r="D3167" s="29" t="s">
        <v>33300</v>
      </c>
      <c r="E3167" s="29" t="s">
        <v>46498</v>
      </c>
      <c r="F3167" s="36" t="s">
        <v>54423</v>
      </c>
      <c r="G3167" s="39">
        <f>10286053.27-207044</f>
        <v>10079009.27</v>
      </c>
      <c r="H3167" s="42">
        <v>211</v>
      </c>
    </row>
    <row r="3168" spans="1:8" ht="15" customHeight="1">
      <c r="A3168" s="26">
        <v>24050013</v>
      </c>
      <c r="B3168" s="29" t="s">
        <v>5406</v>
      </c>
      <c r="C3168" s="29" t="s">
        <v>20094</v>
      </c>
      <c r="D3168" s="29" t="s">
        <v>33301</v>
      </c>
      <c r="E3168" s="29" t="s">
        <v>46499</v>
      </c>
      <c r="F3168" s="36" t="s">
        <v>54401</v>
      </c>
      <c r="G3168" s="39">
        <v>551260.79</v>
      </c>
      <c r="H3168" s="42">
        <v>211</v>
      </c>
    </row>
    <row r="3169" spans="1:8" ht="15" customHeight="1">
      <c r="A3169" s="26">
        <v>24050024</v>
      </c>
      <c r="B3169" s="29" t="s">
        <v>5407</v>
      </c>
      <c r="C3169" s="29" t="s">
        <v>20095</v>
      </c>
      <c r="D3169" s="29" t="s">
        <v>33302</v>
      </c>
      <c r="E3169" s="29" t="s">
        <v>46500</v>
      </c>
      <c r="F3169" s="36" t="s">
        <v>54401</v>
      </c>
      <c r="G3169" s="39">
        <v>1203101.27</v>
      </c>
      <c r="H3169" s="42">
        <v>211</v>
      </c>
    </row>
    <row r="3170" spans="1:8" ht="15" customHeight="1">
      <c r="A3170" s="26">
        <v>24050084</v>
      </c>
      <c r="B3170" s="29" t="s">
        <v>5408</v>
      </c>
      <c r="C3170" s="26" t="s">
        <v>20096</v>
      </c>
      <c r="D3170" s="26" t="s">
        <v>30349</v>
      </c>
      <c r="E3170" s="26" t="s">
        <v>43926</v>
      </c>
      <c r="F3170" s="37" t="s">
        <v>54401</v>
      </c>
      <c r="G3170" s="39">
        <v>179262.89</v>
      </c>
      <c r="H3170" s="42">
        <v>211</v>
      </c>
    </row>
    <row r="3171" spans="1:8" ht="15" customHeight="1">
      <c r="A3171" s="26">
        <v>24050091</v>
      </c>
      <c r="B3171" s="29" t="s">
        <v>5409</v>
      </c>
      <c r="C3171" s="29" t="s">
        <v>20097</v>
      </c>
      <c r="D3171" s="29" t="s">
        <v>33303</v>
      </c>
      <c r="E3171" s="29" t="s">
        <v>46501</v>
      </c>
      <c r="F3171" s="36" t="s">
        <v>54401</v>
      </c>
      <c r="G3171" s="39">
        <v>1942219.16</v>
      </c>
      <c r="H3171" s="42">
        <v>211</v>
      </c>
    </row>
    <row r="3172" spans="1:8" ht="15" customHeight="1">
      <c r="A3172" s="26">
        <v>24050093</v>
      </c>
      <c r="B3172" s="29" t="s">
        <v>5410</v>
      </c>
      <c r="C3172" s="29" t="s">
        <v>20098</v>
      </c>
      <c r="D3172" s="29" t="s">
        <v>33304</v>
      </c>
      <c r="E3172" s="29" t="s">
        <v>46502</v>
      </c>
      <c r="F3172" s="36" t="s">
        <v>54401</v>
      </c>
      <c r="G3172" s="39">
        <f>3258106.76+17034+7662</f>
        <v>3282802.76</v>
      </c>
      <c r="H3172" s="42">
        <v>211</v>
      </c>
    </row>
    <row r="3173" spans="1:8" ht="15" customHeight="1">
      <c r="A3173" s="26">
        <v>24050119</v>
      </c>
      <c r="B3173" s="29" t="s">
        <v>5411</v>
      </c>
      <c r="C3173" s="29" t="s">
        <v>20099</v>
      </c>
      <c r="D3173" s="29" t="s">
        <v>33305</v>
      </c>
      <c r="E3173" s="29" t="s">
        <v>46503</v>
      </c>
      <c r="F3173" s="36" t="s">
        <v>54401</v>
      </c>
      <c r="G3173" s="39">
        <v>111378.11</v>
      </c>
      <c r="H3173" s="42">
        <v>211</v>
      </c>
    </row>
    <row r="3174" spans="1:8" ht="15" customHeight="1">
      <c r="A3174" s="26">
        <v>24050143</v>
      </c>
      <c r="B3174" s="29" t="s">
        <v>5412</v>
      </c>
      <c r="C3174" s="26" t="s">
        <v>17204</v>
      </c>
      <c r="D3174" s="26" t="s">
        <v>30349</v>
      </c>
      <c r="E3174" s="26" t="s">
        <v>43926</v>
      </c>
      <c r="F3174" s="37" t="s">
        <v>54401</v>
      </c>
      <c r="G3174" s="39">
        <v>126843.04</v>
      </c>
      <c r="H3174" s="42">
        <v>211</v>
      </c>
    </row>
    <row r="3175" spans="1:8" ht="15" customHeight="1">
      <c r="A3175" s="26">
        <v>24050153</v>
      </c>
      <c r="B3175" s="29" t="s">
        <v>5413</v>
      </c>
      <c r="C3175" s="29" t="s">
        <v>20100</v>
      </c>
      <c r="D3175" s="29" t="s">
        <v>33306</v>
      </c>
      <c r="E3175" s="29" t="s">
        <v>46504</v>
      </c>
      <c r="F3175" s="36" t="s">
        <v>54401</v>
      </c>
      <c r="G3175" s="39">
        <v>568597.48</v>
      </c>
      <c r="H3175" s="42">
        <v>211</v>
      </c>
    </row>
    <row r="3176" spans="1:8" ht="15" customHeight="1">
      <c r="A3176" s="26">
        <v>24050172</v>
      </c>
      <c r="B3176" s="29" t="s">
        <v>5414</v>
      </c>
      <c r="C3176" s="29" t="s">
        <v>20101</v>
      </c>
      <c r="D3176" s="29" t="s">
        <v>33307</v>
      </c>
      <c r="E3176" s="29" t="s">
        <v>46505</v>
      </c>
      <c r="F3176" s="36" t="s">
        <v>54423</v>
      </c>
      <c r="G3176" s="39">
        <f>4877513.2+1063789</f>
        <v>5941302.2000000002</v>
      </c>
      <c r="H3176" s="42">
        <v>211</v>
      </c>
    </row>
    <row r="3177" spans="1:8" ht="15" customHeight="1">
      <c r="A3177" s="26">
        <v>24050175</v>
      </c>
      <c r="B3177" s="29" t="s">
        <v>5415</v>
      </c>
      <c r="C3177" s="26" t="s">
        <v>20102</v>
      </c>
      <c r="D3177" s="26" t="s">
        <v>33308</v>
      </c>
      <c r="E3177" s="26" t="s">
        <v>46506</v>
      </c>
      <c r="F3177" s="37" t="s">
        <v>54423</v>
      </c>
      <c r="G3177" s="39">
        <v>1691977.55</v>
      </c>
      <c r="H3177" s="42">
        <v>211</v>
      </c>
    </row>
    <row r="3178" spans="1:8" ht="15" customHeight="1">
      <c r="A3178" s="26">
        <v>24050239</v>
      </c>
      <c r="B3178" s="30" t="s">
        <v>5416</v>
      </c>
      <c r="C3178" s="29"/>
      <c r="D3178" s="29"/>
      <c r="E3178" s="29"/>
      <c r="F3178" s="36" t="s">
        <v>54410</v>
      </c>
      <c r="G3178" s="39">
        <v>315084.40000000002</v>
      </c>
      <c r="H3178" s="42">
        <v>211</v>
      </c>
    </row>
    <row r="3179" spans="1:8" ht="15" customHeight="1">
      <c r="A3179" s="26">
        <v>24050268</v>
      </c>
      <c r="B3179" s="29" t="s">
        <v>5417</v>
      </c>
      <c r="C3179" s="29" t="s">
        <v>17204</v>
      </c>
      <c r="D3179" s="29" t="s">
        <v>30349</v>
      </c>
      <c r="E3179" s="29" t="s">
        <v>43926</v>
      </c>
      <c r="F3179" s="36" t="s">
        <v>54401</v>
      </c>
      <c r="G3179" s="39">
        <v>46840.34</v>
      </c>
      <c r="H3179" s="42">
        <v>211</v>
      </c>
    </row>
    <row r="3180" spans="1:8" ht="15" customHeight="1">
      <c r="A3180" s="26">
        <v>24050288</v>
      </c>
      <c r="B3180" s="29" t="s">
        <v>5418</v>
      </c>
      <c r="C3180" s="29" t="s">
        <v>20103</v>
      </c>
      <c r="D3180" s="29" t="s">
        <v>33309</v>
      </c>
      <c r="E3180" s="29" t="s">
        <v>46507</v>
      </c>
      <c r="F3180" s="36" t="s">
        <v>54423</v>
      </c>
      <c r="G3180" s="39">
        <v>3061474.61</v>
      </c>
      <c r="H3180" s="42">
        <v>211</v>
      </c>
    </row>
    <row r="3181" spans="1:8" ht="15" customHeight="1">
      <c r="A3181" s="26">
        <v>24050293</v>
      </c>
      <c r="B3181" s="29" t="s">
        <v>5419</v>
      </c>
      <c r="C3181" s="29" t="s">
        <v>20104</v>
      </c>
      <c r="D3181" s="29" t="s">
        <v>33310</v>
      </c>
      <c r="E3181" s="29" t="s">
        <v>44345</v>
      </c>
      <c r="F3181" s="36" t="s">
        <v>54401</v>
      </c>
      <c r="G3181" s="39">
        <v>1964158.13</v>
      </c>
      <c r="H3181" s="42">
        <v>211</v>
      </c>
    </row>
    <row r="3182" spans="1:8" ht="15" customHeight="1">
      <c r="A3182" s="26">
        <v>24050294</v>
      </c>
      <c r="B3182" s="29" t="s">
        <v>5420</v>
      </c>
      <c r="C3182" s="29" t="s">
        <v>20105</v>
      </c>
      <c r="D3182" s="29" t="s">
        <v>33311</v>
      </c>
      <c r="E3182" s="29" t="s">
        <v>46476</v>
      </c>
      <c r="F3182" s="36" t="s">
        <v>54401</v>
      </c>
      <c r="G3182" s="39">
        <v>4141653.42</v>
      </c>
      <c r="H3182" s="42">
        <v>211</v>
      </c>
    </row>
    <row r="3183" spans="1:8" ht="15" customHeight="1">
      <c r="A3183" s="26">
        <v>24050298</v>
      </c>
      <c r="B3183" s="29" t="s">
        <v>5421</v>
      </c>
      <c r="C3183" s="29" t="s">
        <v>20106</v>
      </c>
      <c r="D3183" s="29" t="s">
        <v>33312</v>
      </c>
      <c r="E3183" s="29" t="s">
        <v>46508</v>
      </c>
      <c r="F3183" s="36" t="s">
        <v>54401</v>
      </c>
      <c r="G3183" s="39">
        <v>1402212.95</v>
      </c>
      <c r="H3183" s="42">
        <v>211</v>
      </c>
    </row>
    <row r="3184" spans="1:8" ht="15" customHeight="1">
      <c r="A3184" s="26">
        <v>24050329</v>
      </c>
      <c r="B3184" s="29" t="s">
        <v>5422</v>
      </c>
      <c r="C3184" s="29" t="s">
        <v>17204</v>
      </c>
      <c r="D3184" s="29" t="s">
        <v>33313</v>
      </c>
      <c r="E3184" s="29" t="s">
        <v>43926</v>
      </c>
      <c r="F3184" s="36" t="s">
        <v>54401</v>
      </c>
      <c r="G3184" s="39">
        <v>385328.02</v>
      </c>
      <c r="H3184" s="42">
        <v>211</v>
      </c>
    </row>
    <row r="3185" spans="1:8" ht="15" customHeight="1">
      <c r="A3185" s="26">
        <v>24050356</v>
      </c>
      <c r="B3185" s="29" t="s">
        <v>5423</v>
      </c>
      <c r="C3185" s="29" t="s">
        <v>20107</v>
      </c>
      <c r="D3185" s="29" t="s">
        <v>33314</v>
      </c>
      <c r="E3185" s="29" t="s">
        <v>46509</v>
      </c>
      <c r="F3185" s="36" t="s">
        <v>54401</v>
      </c>
      <c r="G3185" s="39">
        <v>2499982.42</v>
      </c>
      <c r="H3185" s="42">
        <v>211</v>
      </c>
    </row>
    <row r="3186" spans="1:8" ht="15" customHeight="1">
      <c r="A3186" s="26">
        <v>24050358</v>
      </c>
      <c r="B3186" s="29" t="s">
        <v>5424</v>
      </c>
      <c r="C3186" s="29" t="s">
        <v>20108</v>
      </c>
      <c r="D3186" s="29" t="s">
        <v>33315</v>
      </c>
      <c r="E3186" s="29" t="s">
        <v>46510</v>
      </c>
      <c r="F3186" s="36" t="s">
        <v>54423</v>
      </c>
      <c r="G3186" s="39">
        <v>1547362.79</v>
      </c>
      <c r="H3186" s="42">
        <v>211</v>
      </c>
    </row>
    <row r="3187" spans="1:8" ht="15" customHeight="1">
      <c r="A3187" s="26">
        <v>24050385</v>
      </c>
      <c r="B3187" s="29" t="s">
        <v>5425</v>
      </c>
      <c r="C3187" s="29" t="s">
        <v>20109</v>
      </c>
      <c r="D3187" s="29" t="s">
        <v>33316</v>
      </c>
      <c r="E3187" s="29" t="s">
        <v>46511</v>
      </c>
      <c r="F3187" s="36" t="s">
        <v>54423</v>
      </c>
      <c r="G3187" s="39">
        <v>6800717.1799999997</v>
      </c>
      <c r="H3187" s="42">
        <v>211</v>
      </c>
    </row>
    <row r="3188" spans="1:8" ht="15" customHeight="1">
      <c r="A3188" s="26">
        <v>24050394</v>
      </c>
      <c r="B3188" s="29" t="s">
        <v>5426</v>
      </c>
      <c r="C3188" s="29" t="s">
        <v>20110</v>
      </c>
      <c r="D3188" s="29" t="s">
        <v>33317</v>
      </c>
      <c r="E3188" s="29" t="s">
        <v>46512</v>
      </c>
      <c r="F3188" s="36" t="s">
        <v>54423</v>
      </c>
      <c r="G3188" s="39">
        <v>6759394.7300000004</v>
      </c>
      <c r="H3188" s="42">
        <v>211</v>
      </c>
    </row>
    <row r="3189" spans="1:8" ht="15" customHeight="1">
      <c r="A3189" s="26">
        <v>24050395</v>
      </c>
      <c r="B3189" s="29" t="s">
        <v>5427</v>
      </c>
      <c r="C3189" s="29" t="s">
        <v>17204</v>
      </c>
      <c r="D3189" s="29" t="s">
        <v>30349</v>
      </c>
      <c r="E3189" s="29" t="s">
        <v>43926</v>
      </c>
      <c r="F3189" s="36" t="s">
        <v>54401</v>
      </c>
      <c r="G3189" s="39">
        <v>558608.66</v>
      </c>
      <c r="H3189" s="42">
        <v>211</v>
      </c>
    </row>
    <row r="3190" spans="1:8" ht="15" customHeight="1">
      <c r="A3190" s="26">
        <v>24050477</v>
      </c>
      <c r="B3190" s="29" t="s">
        <v>5428</v>
      </c>
      <c r="C3190" s="29" t="s">
        <v>20111</v>
      </c>
      <c r="D3190" s="29" t="s">
        <v>33318</v>
      </c>
      <c r="E3190" s="29" t="s">
        <v>46513</v>
      </c>
      <c r="F3190" s="36" t="s">
        <v>54401</v>
      </c>
      <c r="G3190" s="39">
        <f>6883458.77+18075</f>
        <v>6901533.7699999996</v>
      </c>
      <c r="H3190" s="42">
        <v>211</v>
      </c>
    </row>
    <row r="3191" spans="1:8" ht="15" customHeight="1">
      <c r="A3191" s="26">
        <v>24050478</v>
      </c>
      <c r="B3191" s="29" t="s">
        <v>5429</v>
      </c>
      <c r="C3191" s="29" t="s">
        <v>20112</v>
      </c>
      <c r="D3191" s="29" t="s">
        <v>33319</v>
      </c>
      <c r="E3191" s="29" t="s">
        <v>46514</v>
      </c>
      <c r="F3191" s="36" t="s">
        <v>54423</v>
      </c>
      <c r="G3191" s="39">
        <v>86680.68</v>
      </c>
      <c r="H3191" s="42">
        <v>211</v>
      </c>
    </row>
    <row r="3192" spans="1:8" ht="15" customHeight="1">
      <c r="A3192" s="26">
        <v>24059107</v>
      </c>
      <c r="B3192" s="29" t="s">
        <v>5430</v>
      </c>
      <c r="C3192" s="29" t="s">
        <v>20113</v>
      </c>
      <c r="D3192" s="29" t="s">
        <v>33320</v>
      </c>
      <c r="E3192" s="29" t="s">
        <v>46515</v>
      </c>
      <c r="F3192" s="36" t="s">
        <v>54401</v>
      </c>
      <c r="G3192" s="39">
        <v>1519348.89</v>
      </c>
      <c r="H3192" s="42">
        <v>211</v>
      </c>
    </row>
    <row r="3193" spans="1:8" ht="15" customHeight="1">
      <c r="A3193" s="26">
        <v>24059354</v>
      </c>
      <c r="B3193" s="29" t="s">
        <v>5431</v>
      </c>
      <c r="C3193" s="26" t="s">
        <v>20114</v>
      </c>
      <c r="D3193" s="26" t="s">
        <v>33321</v>
      </c>
      <c r="E3193" s="26" t="s">
        <v>46516</v>
      </c>
      <c r="F3193" s="37" t="s">
        <v>54401</v>
      </c>
      <c r="G3193" s="39">
        <v>1701742.62</v>
      </c>
      <c r="H3193" s="42">
        <v>211</v>
      </c>
    </row>
    <row r="3194" spans="1:8" ht="15" customHeight="1">
      <c r="A3194" s="26">
        <v>24059852</v>
      </c>
      <c r="B3194" s="29" t="s">
        <v>5432</v>
      </c>
      <c r="C3194" s="29" t="s">
        <v>20115</v>
      </c>
      <c r="D3194" s="29" t="s">
        <v>33322</v>
      </c>
      <c r="E3194" s="29" t="s">
        <v>46517</v>
      </c>
      <c r="F3194" s="36" t="s">
        <v>54401</v>
      </c>
      <c r="G3194" s="39">
        <v>508248.83</v>
      </c>
      <c r="H3194" s="42">
        <v>211</v>
      </c>
    </row>
    <row r="3195" spans="1:8" ht="15" customHeight="1">
      <c r="A3195" s="26">
        <v>24059854</v>
      </c>
      <c r="B3195" s="29" t="s">
        <v>5433</v>
      </c>
      <c r="C3195" s="29" t="s">
        <v>20116</v>
      </c>
      <c r="D3195" s="29" t="s">
        <v>33323</v>
      </c>
      <c r="E3195" s="29" t="s">
        <v>43926</v>
      </c>
      <c r="F3195" s="36" t="s">
        <v>54401</v>
      </c>
      <c r="G3195" s="39">
        <v>376570.54</v>
      </c>
      <c r="H3195" s="42">
        <v>211</v>
      </c>
    </row>
    <row r="3196" spans="1:8" ht="15" customHeight="1">
      <c r="A3196" s="26">
        <v>24064765</v>
      </c>
      <c r="B3196" s="29" t="s">
        <v>5434</v>
      </c>
      <c r="C3196" s="29" t="s">
        <v>20117</v>
      </c>
      <c r="D3196" s="29" t="s">
        <v>33324</v>
      </c>
      <c r="E3196" s="29" t="s">
        <v>46518</v>
      </c>
      <c r="F3196" s="36" t="s">
        <v>54401</v>
      </c>
      <c r="G3196" s="39">
        <v>52663.89</v>
      </c>
      <c r="H3196" s="42">
        <v>211</v>
      </c>
    </row>
    <row r="3197" spans="1:8" ht="15" customHeight="1">
      <c r="A3197" s="26">
        <v>24064914</v>
      </c>
      <c r="B3197" s="29" t="s">
        <v>5435</v>
      </c>
      <c r="C3197" s="29" t="s">
        <v>20118</v>
      </c>
      <c r="D3197" s="29" t="s">
        <v>33325</v>
      </c>
      <c r="E3197" s="29" t="s">
        <v>43926</v>
      </c>
      <c r="F3197" s="36" t="s">
        <v>54401</v>
      </c>
      <c r="G3197" s="39">
        <v>18652.66</v>
      </c>
      <c r="H3197" s="42">
        <v>211</v>
      </c>
    </row>
    <row r="3198" spans="1:8" ht="15" customHeight="1">
      <c r="A3198" s="26">
        <v>24064941</v>
      </c>
      <c r="B3198" s="29" t="s">
        <v>5436</v>
      </c>
      <c r="C3198" s="29" t="s">
        <v>20119</v>
      </c>
      <c r="D3198" s="29" t="s">
        <v>33326</v>
      </c>
      <c r="E3198" s="29" t="s">
        <v>46519</v>
      </c>
      <c r="F3198" s="36" t="s">
        <v>54425</v>
      </c>
      <c r="G3198" s="39">
        <v>3020807.97</v>
      </c>
      <c r="H3198" s="42">
        <v>211</v>
      </c>
    </row>
    <row r="3199" spans="1:8" ht="15" customHeight="1">
      <c r="A3199" s="26">
        <v>24064989</v>
      </c>
      <c r="B3199" s="29" t="s">
        <v>5437</v>
      </c>
      <c r="C3199" s="26" t="s">
        <v>20120</v>
      </c>
      <c r="D3199" s="26" t="s">
        <v>33327</v>
      </c>
      <c r="E3199" s="26" t="s">
        <v>46520</v>
      </c>
      <c r="F3199" s="37" t="s">
        <v>54401</v>
      </c>
      <c r="G3199" s="39">
        <v>812456.15</v>
      </c>
      <c r="H3199" s="42">
        <v>211</v>
      </c>
    </row>
    <row r="3200" spans="1:8" ht="15" customHeight="1">
      <c r="A3200" s="26">
        <v>24064991</v>
      </c>
      <c r="B3200" s="29" t="s">
        <v>5438</v>
      </c>
      <c r="C3200" s="29" t="s">
        <v>20121</v>
      </c>
      <c r="D3200" s="29" t="s">
        <v>33328</v>
      </c>
      <c r="E3200" s="29" t="s">
        <v>46521</v>
      </c>
      <c r="F3200" s="36" t="s">
        <v>54401</v>
      </c>
      <c r="G3200" s="39">
        <f>769088.72+5925908-5142</f>
        <v>6689854.7199999997</v>
      </c>
      <c r="H3200" s="42">
        <v>211</v>
      </c>
    </row>
    <row r="3201" spans="1:8" ht="15" customHeight="1">
      <c r="A3201" s="26">
        <v>24065058</v>
      </c>
      <c r="B3201" s="29" t="s">
        <v>5439</v>
      </c>
      <c r="C3201" s="29" t="s">
        <v>17204</v>
      </c>
      <c r="D3201" s="29" t="s">
        <v>33329</v>
      </c>
      <c r="E3201" s="29" t="s">
        <v>43926</v>
      </c>
      <c r="F3201" s="36" t="s">
        <v>54401</v>
      </c>
      <c r="G3201" s="39">
        <v>139502.63</v>
      </c>
      <c r="H3201" s="42">
        <v>211</v>
      </c>
    </row>
    <row r="3202" spans="1:8" ht="15" customHeight="1">
      <c r="A3202" s="26">
        <v>24065080</v>
      </c>
      <c r="B3202" s="29" t="s">
        <v>5440</v>
      </c>
      <c r="C3202" s="29" t="s">
        <v>20122</v>
      </c>
      <c r="D3202" s="29" t="s">
        <v>33330</v>
      </c>
      <c r="E3202" s="29" t="s">
        <v>46522</v>
      </c>
      <c r="F3202" s="36" t="s">
        <v>54401</v>
      </c>
      <c r="G3202" s="39">
        <v>5811094.3200000003</v>
      </c>
      <c r="H3202" s="42">
        <v>211</v>
      </c>
    </row>
    <row r="3203" spans="1:8" ht="15" customHeight="1">
      <c r="A3203" s="26">
        <v>24065128</v>
      </c>
      <c r="B3203" s="29" t="s">
        <v>5441</v>
      </c>
      <c r="C3203" s="29" t="s">
        <v>20123</v>
      </c>
      <c r="D3203" s="29" t="s">
        <v>33331</v>
      </c>
      <c r="E3203" s="29" t="s">
        <v>46523</v>
      </c>
      <c r="F3203" s="36" t="s">
        <v>54401</v>
      </c>
      <c r="G3203" s="39">
        <v>152161.49</v>
      </c>
      <c r="H3203" s="42">
        <v>211</v>
      </c>
    </row>
    <row r="3204" spans="1:8" ht="15" customHeight="1">
      <c r="A3204" s="26">
        <v>24065137</v>
      </c>
      <c r="B3204" s="29" t="s">
        <v>5442</v>
      </c>
      <c r="C3204" s="29" t="s">
        <v>20124</v>
      </c>
      <c r="D3204" s="29" t="s">
        <v>33332</v>
      </c>
      <c r="E3204" s="29" t="s">
        <v>44390</v>
      </c>
      <c r="F3204" s="36" t="s">
        <v>54401</v>
      </c>
      <c r="G3204" s="39">
        <v>1328562.21</v>
      </c>
      <c r="H3204" s="42">
        <v>211</v>
      </c>
    </row>
    <row r="3205" spans="1:8" ht="15" customHeight="1">
      <c r="A3205" s="26">
        <v>24069507</v>
      </c>
      <c r="B3205" s="29" t="s">
        <v>5443</v>
      </c>
      <c r="C3205" s="29" t="s">
        <v>20125</v>
      </c>
      <c r="D3205" s="29" t="s">
        <v>33333</v>
      </c>
      <c r="E3205" s="29" t="s">
        <v>46524</v>
      </c>
      <c r="F3205" s="36" t="s">
        <v>54401</v>
      </c>
      <c r="G3205" s="39">
        <f>2420618.77+5142-275641</f>
        <v>2150119.77</v>
      </c>
      <c r="H3205" s="42">
        <v>211</v>
      </c>
    </row>
    <row r="3206" spans="1:8" ht="15" customHeight="1">
      <c r="A3206" s="26">
        <v>24070061</v>
      </c>
      <c r="B3206" s="29" t="s">
        <v>5444</v>
      </c>
      <c r="C3206" s="29" t="s">
        <v>20126</v>
      </c>
      <c r="D3206" s="29" t="s">
        <v>33334</v>
      </c>
      <c r="E3206" s="29" t="s">
        <v>46525</v>
      </c>
      <c r="F3206" s="36" t="s">
        <v>54401</v>
      </c>
      <c r="G3206" s="39">
        <v>2969276.99</v>
      </c>
      <c r="H3206" s="42">
        <v>211</v>
      </c>
    </row>
    <row r="3207" spans="1:8" ht="15" customHeight="1">
      <c r="A3207" s="26">
        <v>24070914</v>
      </c>
      <c r="B3207" s="29" t="s">
        <v>5445</v>
      </c>
      <c r="C3207" s="29" t="s">
        <v>20127</v>
      </c>
      <c r="D3207" s="29" t="s">
        <v>33335</v>
      </c>
      <c r="E3207" s="29" t="s">
        <v>46526</v>
      </c>
      <c r="F3207" s="36" t="s">
        <v>54401</v>
      </c>
      <c r="G3207" s="39">
        <v>453239.58</v>
      </c>
      <c r="H3207" s="42">
        <v>211</v>
      </c>
    </row>
    <row r="3208" spans="1:8" ht="15" customHeight="1">
      <c r="A3208" s="26">
        <v>24079116</v>
      </c>
      <c r="B3208" s="29" t="s">
        <v>5446</v>
      </c>
      <c r="C3208" s="29" t="s">
        <v>20128</v>
      </c>
      <c r="D3208" s="29" t="s">
        <v>33336</v>
      </c>
      <c r="E3208" s="29" t="s">
        <v>46527</v>
      </c>
      <c r="F3208" s="36" t="s">
        <v>54401</v>
      </c>
      <c r="G3208" s="39">
        <v>466331.05</v>
      </c>
      <c r="H3208" s="42">
        <v>211</v>
      </c>
    </row>
    <row r="3209" spans="1:8" ht="15" customHeight="1">
      <c r="A3209" s="26">
        <v>24079602</v>
      </c>
      <c r="B3209" s="29" t="s">
        <v>5447</v>
      </c>
      <c r="C3209" s="29" t="s">
        <v>17204</v>
      </c>
      <c r="D3209" s="29" t="s">
        <v>33337</v>
      </c>
      <c r="E3209" s="29" t="s">
        <v>43926</v>
      </c>
      <c r="F3209" s="36" t="s">
        <v>54401</v>
      </c>
      <c r="G3209" s="39">
        <v>42252.1</v>
      </c>
      <c r="H3209" s="42">
        <v>211</v>
      </c>
    </row>
    <row r="3210" spans="1:8" ht="15" customHeight="1">
      <c r="A3210" s="26">
        <v>24079869</v>
      </c>
      <c r="B3210" s="29" t="s">
        <v>5448</v>
      </c>
      <c r="C3210" s="29" t="s">
        <v>20129</v>
      </c>
      <c r="D3210" s="29" t="s">
        <v>33338</v>
      </c>
      <c r="E3210" s="29" t="s">
        <v>44327</v>
      </c>
      <c r="F3210" s="36" t="s">
        <v>54401</v>
      </c>
      <c r="G3210" s="39">
        <v>21755.72</v>
      </c>
      <c r="H3210" s="42">
        <v>211</v>
      </c>
    </row>
    <row r="3211" spans="1:8" ht="15" customHeight="1">
      <c r="A3211" s="26">
        <v>24080397</v>
      </c>
      <c r="B3211" s="29" t="s">
        <v>5449</v>
      </c>
      <c r="C3211" s="29" t="s">
        <v>20130</v>
      </c>
      <c r="D3211" s="29" t="s">
        <v>33339</v>
      </c>
      <c r="E3211" s="29" t="s">
        <v>46528</v>
      </c>
      <c r="F3211" s="36" t="s">
        <v>54402</v>
      </c>
      <c r="G3211" s="39">
        <v>1442713.35</v>
      </c>
      <c r="H3211" s="42">
        <v>211</v>
      </c>
    </row>
    <row r="3212" spans="1:8" ht="15" customHeight="1">
      <c r="A3212" s="26">
        <v>24080525</v>
      </c>
      <c r="B3212" s="29" t="s">
        <v>5450</v>
      </c>
      <c r="C3212" s="29" t="s">
        <v>20131</v>
      </c>
      <c r="D3212" s="29" t="s">
        <v>33340</v>
      </c>
      <c r="E3212" s="29" t="s">
        <v>46529</v>
      </c>
      <c r="F3212" s="36" t="s">
        <v>54427</v>
      </c>
      <c r="G3212" s="39">
        <v>3902960.28</v>
      </c>
      <c r="H3212" s="42">
        <v>211</v>
      </c>
    </row>
    <row r="3213" spans="1:8" ht="15" customHeight="1">
      <c r="A3213" s="26">
        <v>24080545</v>
      </c>
      <c r="B3213" s="29" t="s">
        <v>5451</v>
      </c>
      <c r="C3213" s="29" t="s">
        <v>20132</v>
      </c>
      <c r="D3213" s="29" t="s">
        <v>33341</v>
      </c>
      <c r="E3213" s="29" t="s">
        <v>46530</v>
      </c>
      <c r="F3213" s="36" t="s">
        <v>54401</v>
      </c>
      <c r="G3213" s="39">
        <f>1198518.65+40975</f>
        <v>1239493.6499999999</v>
      </c>
      <c r="H3213" s="42">
        <v>211</v>
      </c>
    </row>
    <row r="3214" spans="1:8" ht="15" customHeight="1">
      <c r="A3214" s="26">
        <v>24080839</v>
      </c>
      <c r="B3214" s="29" t="s">
        <v>5452</v>
      </c>
      <c r="C3214" s="26" t="s">
        <v>20133</v>
      </c>
      <c r="D3214" s="26" t="s">
        <v>31038</v>
      </c>
      <c r="E3214" s="26" t="s">
        <v>46531</v>
      </c>
      <c r="F3214" s="37" t="s">
        <v>54401</v>
      </c>
      <c r="G3214" s="39">
        <v>230281.17</v>
      </c>
      <c r="H3214" s="42">
        <v>211</v>
      </c>
    </row>
    <row r="3215" spans="1:8" ht="15" customHeight="1">
      <c r="A3215" s="26">
        <v>24080874</v>
      </c>
      <c r="B3215" s="29" t="s">
        <v>5453</v>
      </c>
      <c r="C3215" s="29" t="s">
        <v>20134</v>
      </c>
      <c r="D3215" s="29" t="s">
        <v>33342</v>
      </c>
      <c r="E3215" s="29" t="s">
        <v>46532</v>
      </c>
      <c r="F3215" s="36" t="s">
        <v>54401</v>
      </c>
      <c r="G3215" s="39">
        <v>1313621.44</v>
      </c>
      <c r="H3215" s="42">
        <v>211</v>
      </c>
    </row>
    <row r="3216" spans="1:8" ht="15" customHeight="1">
      <c r="A3216" s="26">
        <v>24081047</v>
      </c>
      <c r="B3216" s="29" t="s">
        <v>5454</v>
      </c>
      <c r="C3216" s="29" t="s">
        <v>20135</v>
      </c>
      <c r="D3216" s="29" t="s">
        <v>33343</v>
      </c>
      <c r="E3216" s="29" t="s">
        <v>44402</v>
      </c>
      <c r="F3216" s="36" t="s">
        <v>54401</v>
      </c>
      <c r="G3216" s="39">
        <f>3093835.04+14142</f>
        <v>3107977.04</v>
      </c>
      <c r="H3216" s="42">
        <v>211</v>
      </c>
    </row>
    <row r="3217" spans="1:8" ht="15" customHeight="1">
      <c r="A3217" s="26">
        <v>24081073</v>
      </c>
      <c r="B3217" s="29" t="s">
        <v>5455</v>
      </c>
      <c r="C3217" s="29" t="s">
        <v>20136</v>
      </c>
      <c r="D3217" s="29" t="s">
        <v>33344</v>
      </c>
      <c r="E3217" s="29" t="s">
        <v>46533</v>
      </c>
      <c r="F3217" s="36" t="s">
        <v>54401</v>
      </c>
      <c r="G3217" s="39">
        <v>287832.12</v>
      </c>
      <c r="H3217" s="42">
        <v>211</v>
      </c>
    </row>
    <row r="3218" spans="1:8" ht="15" customHeight="1">
      <c r="A3218" s="26">
        <v>24081225</v>
      </c>
      <c r="B3218" s="29" t="s">
        <v>5456</v>
      </c>
      <c r="C3218" s="29" t="s">
        <v>20137</v>
      </c>
      <c r="D3218" s="29" t="s">
        <v>33345</v>
      </c>
      <c r="E3218" s="29" t="s">
        <v>46534</v>
      </c>
      <c r="F3218" s="36" t="s">
        <v>54401</v>
      </c>
      <c r="G3218" s="39">
        <v>239214.3</v>
      </c>
      <c r="H3218" s="42">
        <v>211</v>
      </c>
    </row>
    <row r="3219" spans="1:8" ht="15" customHeight="1">
      <c r="A3219" s="26">
        <v>24081227</v>
      </c>
      <c r="B3219" s="29" t="s">
        <v>5457</v>
      </c>
      <c r="C3219" s="29" t="s">
        <v>20138</v>
      </c>
      <c r="D3219" s="29" t="s">
        <v>33346</v>
      </c>
      <c r="E3219" s="29" t="s">
        <v>46384</v>
      </c>
      <c r="F3219" s="36" t="s">
        <v>54427</v>
      </c>
      <c r="G3219" s="39">
        <v>260835.9</v>
      </c>
      <c r="H3219" s="42">
        <v>211</v>
      </c>
    </row>
    <row r="3220" spans="1:8" ht="15" customHeight="1">
      <c r="A3220" s="26">
        <v>24081328</v>
      </c>
      <c r="B3220" s="29" t="s">
        <v>5458</v>
      </c>
      <c r="C3220" s="29" t="s">
        <v>17204</v>
      </c>
      <c r="D3220" s="29" t="s">
        <v>30349</v>
      </c>
      <c r="E3220" s="29" t="s">
        <v>43926</v>
      </c>
      <c r="F3220" s="36" t="s">
        <v>54401</v>
      </c>
      <c r="G3220" s="39">
        <v>138100.29</v>
      </c>
      <c r="H3220" s="42">
        <v>211</v>
      </c>
    </row>
    <row r="3221" spans="1:8" ht="15" customHeight="1">
      <c r="A3221" s="26">
        <v>24081426</v>
      </c>
      <c r="B3221" s="29" t="s">
        <v>5459</v>
      </c>
      <c r="C3221" s="29" t="s">
        <v>20139</v>
      </c>
      <c r="D3221" s="29" t="s">
        <v>33347</v>
      </c>
      <c r="E3221" s="29" t="s">
        <v>46535</v>
      </c>
      <c r="F3221" s="36" t="s">
        <v>54401</v>
      </c>
      <c r="G3221" s="39">
        <v>333301.09999999998</v>
      </c>
      <c r="H3221" s="42">
        <v>211</v>
      </c>
    </row>
    <row r="3222" spans="1:8" ht="15" customHeight="1">
      <c r="A3222" s="26">
        <v>24081520</v>
      </c>
      <c r="B3222" s="29" t="s">
        <v>5460</v>
      </c>
      <c r="C3222" s="29" t="s">
        <v>20140</v>
      </c>
      <c r="D3222" s="29" t="s">
        <v>33348</v>
      </c>
      <c r="E3222" s="29" t="s">
        <v>46536</v>
      </c>
      <c r="F3222" s="36" t="s">
        <v>54401</v>
      </c>
      <c r="G3222" s="39">
        <v>1079467.28</v>
      </c>
      <c r="H3222" s="42">
        <v>211</v>
      </c>
    </row>
    <row r="3223" spans="1:8" ht="15" customHeight="1">
      <c r="A3223" s="26">
        <v>24081709</v>
      </c>
      <c r="B3223" s="29" t="s">
        <v>5461</v>
      </c>
      <c r="C3223" s="26" t="s">
        <v>20141</v>
      </c>
      <c r="D3223" s="26" t="s">
        <v>33349</v>
      </c>
      <c r="E3223" s="26" t="s">
        <v>46537</v>
      </c>
      <c r="F3223" s="37" t="s">
        <v>54401</v>
      </c>
      <c r="G3223" s="39">
        <v>104794.78</v>
      </c>
      <c r="H3223" s="42">
        <v>211</v>
      </c>
    </row>
    <row r="3224" spans="1:8" ht="15" customHeight="1">
      <c r="A3224" s="26">
        <v>24081753</v>
      </c>
      <c r="B3224" s="29" t="s">
        <v>5462</v>
      </c>
      <c r="C3224" s="29" t="s">
        <v>20142</v>
      </c>
      <c r="D3224" s="29" t="s">
        <v>33350</v>
      </c>
      <c r="E3224" s="29" t="s">
        <v>46538</v>
      </c>
      <c r="F3224" s="36" t="s">
        <v>54401</v>
      </c>
      <c r="G3224" s="39">
        <v>177908.96</v>
      </c>
      <c r="H3224" s="42">
        <v>211</v>
      </c>
    </row>
    <row r="3225" spans="1:8" ht="15" customHeight="1">
      <c r="A3225" s="26">
        <v>24081760</v>
      </c>
      <c r="B3225" s="29" t="s">
        <v>5463</v>
      </c>
      <c r="C3225" s="29" t="s">
        <v>20143</v>
      </c>
      <c r="D3225" s="29" t="s">
        <v>33351</v>
      </c>
      <c r="E3225" s="29" t="s">
        <v>46539</v>
      </c>
      <c r="F3225" s="36" t="s">
        <v>54401</v>
      </c>
      <c r="G3225" s="39">
        <v>671148.61</v>
      </c>
      <c r="H3225" s="42">
        <v>211</v>
      </c>
    </row>
    <row r="3226" spans="1:8" ht="15" customHeight="1">
      <c r="A3226" s="26">
        <v>24081773</v>
      </c>
      <c r="B3226" s="29" t="s">
        <v>5464</v>
      </c>
      <c r="C3226" s="26" t="s">
        <v>20144</v>
      </c>
      <c r="D3226" s="26" t="s">
        <v>33352</v>
      </c>
      <c r="E3226" s="26" t="s">
        <v>46540</v>
      </c>
      <c r="F3226" s="37" t="s">
        <v>54427</v>
      </c>
      <c r="G3226" s="39">
        <v>1368861.47</v>
      </c>
      <c r="H3226" s="42">
        <v>211</v>
      </c>
    </row>
    <row r="3227" spans="1:8" ht="15" customHeight="1">
      <c r="A3227" s="26">
        <v>24081918</v>
      </c>
      <c r="B3227" s="29" t="s">
        <v>5465</v>
      </c>
      <c r="C3227" s="29" t="s">
        <v>20145</v>
      </c>
      <c r="D3227" s="29" t="s">
        <v>33353</v>
      </c>
      <c r="E3227" s="29" t="s">
        <v>43926</v>
      </c>
      <c r="F3227" s="36" t="s">
        <v>54401</v>
      </c>
      <c r="G3227" s="39">
        <v>234579.83</v>
      </c>
      <c r="H3227" s="42">
        <v>211</v>
      </c>
    </row>
    <row r="3228" spans="1:8" ht="15" customHeight="1">
      <c r="A3228" s="26">
        <v>24089513</v>
      </c>
      <c r="B3228" s="29" t="s">
        <v>5466</v>
      </c>
      <c r="C3228" s="29" t="s">
        <v>20146</v>
      </c>
      <c r="D3228" s="29" t="s">
        <v>33354</v>
      </c>
      <c r="E3228" s="29" t="s">
        <v>46541</v>
      </c>
      <c r="F3228" s="36" t="s">
        <v>54401</v>
      </c>
      <c r="G3228" s="39">
        <f>833273.46+315484</f>
        <v>1148757.46</v>
      </c>
      <c r="H3228" s="42">
        <v>211</v>
      </c>
    </row>
    <row r="3229" spans="1:8" ht="15" customHeight="1">
      <c r="A3229" s="26">
        <v>24089777</v>
      </c>
      <c r="B3229" s="29" t="s">
        <v>5467</v>
      </c>
      <c r="C3229" s="29" t="s">
        <v>20147</v>
      </c>
      <c r="D3229" s="29" t="s">
        <v>33355</v>
      </c>
      <c r="E3229" s="29" t="s">
        <v>46542</v>
      </c>
      <c r="F3229" s="36" t="s">
        <v>54401</v>
      </c>
      <c r="G3229" s="39">
        <v>22120.51</v>
      </c>
      <c r="H3229" s="42">
        <v>211</v>
      </c>
    </row>
    <row r="3230" spans="1:8" ht="15" customHeight="1">
      <c r="A3230" s="26">
        <v>24089860</v>
      </c>
      <c r="B3230" s="29" t="s">
        <v>5468</v>
      </c>
      <c r="C3230" s="29" t="s">
        <v>20148</v>
      </c>
      <c r="D3230" s="29" t="s">
        <v>33356</v>
      </c>
      <c r="E3230" s="29" t="s">
        <v>46543</v>
      </c>
      <c r="F3230" s="36" t="s">
        <v>54407</v>
      </c>
      <c r="G3230" s="39">
        <f>3319712.77-89366</f>
        <v>3230346.77</v>
      </c>
      <c r="H3230" s="42">
        <v>211</v>
      </c>
    </row>
    <row r="3231" spans="1:8" ht="15" customHeight="1">
      <c r="A3231" s="26">
        <v>24089892</v>
      </c>
      <c r="B3231" s="29" t="s">
        <v>5469</v>
      </c>
      <c r="C3231" s="29" t="s">
        <v>20149</v>
      </c>
      <c r="D3231" s="29" t="s">
        <v>33357</v>
      </c>
      <c r="E3231" s="29" t="s">
        <v>46544</v>
      </c>
      <c r="F3231" s="36" t="s">
        <v>54401</v>
      </c>
      <c r="G3231" s="39">
        <v>10169702.24</v>
      </c>
      <c r="H3231" s="42">
        <v>211</v>
      </c>
    </row>
    <row r="3232" spans="1:8" ht="15" customHeight="1">
      <c r="A3232" s="26">
        <v>24089912</v>
      </c>
      <c r="B3232" s="29" t="s">
        <v>5470</v>
      </c>
      <c r="C3232" s="29" t="s">
        <v>20150</v>
      </c>
      <c r="D3232" s="29" t="s">
        <v>33358</v>
      </c>
      <c r="E3232" s="29" t="s">
        <v>44131</v>
      </c>
      <c r="F3232" s="36" t="s">
        <v>54401</v>
      </c>
      <c r="G3232" s="39">
        <v>24450.17</v>
      </c>
      <c r="H3232" s="42">
        <v>211</v>
      </c>
    </row>
    <row r="3233" spans="1:8" ht="15" customHeight="1">
      <c r="A3233" s="26">
        <v>24090177</v>
      </c>
      <c r="B3233" s="29" t="s">
        <v>5471</v>
      </c>
      <c r="C3233" s="29" t="s">
        <v>20151</v>
      </c>
      <c r="D3233" s="29" t="s">
        <v>33359</v>
      </c>
      <c r="E3233" s="29" t="s">
        <v>46545</v>
      </c>
      <c r="F3233" s="36" t="s">
        <v>54401</v>
      </c>
      <c r="G3233" s="39">
        <f>5849173.46-137873</f>
        <v>5711300.46</v>
      </c>
      <c r="H3233" s="42">
        <v>211</v>
      </c>
    </row>
    <row r="3234" spans="1:8" ht="15" customHeight="1">
      <c r="A3234" s="26">
        <v>24090240</v>
      </c>
      <c r="B3234" s="29" t="s">
        <v>5472</v>
      </c>
      <c r="C3234" s="29" t="s">
        <v>20152</v>
      </c>
      <c r="D3234" s="29" t="s">
        <v>33360</v>
      </c>
      <c r="E3234" s="29" t="s">
        <v>46546</v>
      </c>
      <c r="F3234" s="36" t="s">
        <v>54401</v>
      </c>
      <c r="G3234" s="39">
        <f>2316452.15+854143</f>
        <v>3170595.15</v>
      </c>
      <c r="H3234" s="42">
        <v>211</v>
      </c>
    </row>
    <row r="3235" spans="1:8" ht="15" customHeight="1">
      <c r="A3235" s="26">
        <v>24090497</v>
      </c>
      <c r="B3235" s="29" t="s">
        <v>5473</v>
      </c>
      <c r="C3235" s="29" t="s">
        <v>20153</v>
      </c>
      <c r="D3235" s="29" t="s">
        <v>33361</v>
      </c>
      <c r="E3235" s="29" t="s">
        <v>43926</v>
      </c>
      <c r="F3235" s="36" t="s">
        <v>54401</v>
      </c>
      <c r="G3235" s="39">
        <v>8941.17</v>
      </c>
      <c r="H3235" s="42">
        <v>211</v>
      </c>
    </row>
    <row r="3236" spans="1:8" ht="15" customHeight="1">
      <c r="A3236" s="26">
        <v>24090863</v>
      </c>
      <c r="B3236" s="29" t="s">
        <v>5474</v>
      </c>
      <c r="C3236" s="29" t="s">
        <v>20154</v>
      </c>
      <c r="D3236" s="29" t="s">
        <v>33362</v>
      </c>
      <c r="E3236" s="29" t="s">
        <v>46547</v>
      </c>
      <c r="F3236" s="36" t="s">
        <v>54401</v>
      </c>
      <c r="G3236" s="39">
        <f>2742853.68+388310</f>
        <v>3131163.68</v>
      </c>
      <c r="H3236" s="42">
        <v>211</v>
      </c>
    </row>
    <row r="3237" spans="1:8" ht="15" customHeight="1">
      <c r="A3237" s="26">
        <v>24091033</v>
      </c>
      <c r="B3237" s="29" t="s">
        <v>5475</v>
      </c>
      <c r="C3237" s="29" t="s">
        <v>20155</v>
      </c>
      <c r="D3237" s="29" t="s">
        <v>33363</v>
      </c>
      <c r="E3237" s="29" t="s">
        <v>46548</v>
      </c>
      <c r="F3237" s="36" t="s">
        <v>54401</v>
      </c>
      <c r="G3237" s="39">
        <f>3389761+976680</f>
        <v>4366441</v>
      </c>
      <c r="H3237" s="42">
        <v>211</v>
      </c>
    </row>
    <row r="3238" spans="1:8" ht="15" customHeight="1">
      <c r="A3238" s="26">
        <v>24091086</v>
      </c>
      <c r="B3238" s="29" t="s">
        <v>5476</v>
      </c>
      <c r="C3238" s="29" t="s">
        <v>20156</v>
      </c>
      <c r="D3238" s="29" t="s">
        <v>33364</v>
      </c>
      <c r="E3238" s="29" t="s">
        <v>46549</v>
      </c>
      <c r="F3238" s="36" t="s">
        <v>54401</v>
      </c>
      <c r="G3238" s="39">
        <f>114966.51+1021199</f>
        <v>1136165.51</v>
      </c>
      <c r="H3238" s="42">
        <v>211</v>
      </c>
    </row>
    <row r="3239" spans="1:8" ht="15" customHeight="1">
      <c r="A3239" s="26">
        <v>24091285</v>
      </c>
      <c r="B3239" s="29" t="s">
        <v>5477</v>
      </c>
      <c r="C3239" s="29" t="s">
        <v>17204</v>
      </c>
      <c r="D3239" s="29" t="s">
        <v>33365</v>
      </c>
      <c r="E3239" s="29" t="s">
        <v>43926</v>
      </c>
      <c r="F3239" s="36" t="s">
        <v>54401</v>
      </c>
      <c r="G3239" s="39">
        <v>37863.360000000001</v>
      </c>
      <c r="H3239" s="42">
        <v>211</v>
      </c>
    </row>
    <row r="3240" spans="1:8" ht="15" customHeight="1">
      <c r="A3240" s="26">
        <v>24091420</v>
      </c>
      <c r="B3240" s="29" t="s">
        <v>5478</v>
      </c>
      <c r="C3240" s="29" t="s">
        <v>20157</v>
      </c>
      <c r="D3240" s="29" t="s">
        <v>33366</v>
      </c>
      <c r="E3240" s="29" t="s">
        <v>46550</v>
      </c>
      <c r="F3240" s="36" t="s">
        <v>54428</v>
      </c>
      <c r="G3240" s="39">
        <v>419547.32</v>
      </c>
      <c r="H3240" s="42">
        <v>211</v>
      </c>
    </row>
    <row r="3241" spans="1:8" ht="15" customHeight="1">
      <c r="A3241" s="26">
        <v>24098084</v>
      </c>
      <c r="B3241" s="29" t="s">
        <v>5479</v>
      </c>
      <c r="C3241" s="29" t="s">
        <v>17204</v>
      </c>
      <c r="D3241" s="29" t="s">
        <v>33367</v>
      </c>
      <c r="E3241" s="29" t="s">
        <v>43926</v>
      </c>
      <c r="F3241" s="36" t="s">
        <v>54409</v>
      </c>
      <c r="G3241" s="39">
        <v>45517.15</v>
      </c>
      <c r="H3241" s="42">
        <v>211</v>
      </c>
    </row>
    <row r="3242" spans="1:8" ht="15" customHeight="1">
      <c r="A3242" s="26">
        <v>24098280</v>
      </c>
      <c r="B3242" s="29" t="s">
        <v>5480</v>
      </c>
      <c r="C3242" s="29" t="s">
        <v>17204</v>
      </c>
      <c r="D3242" s="29" t="s">
        <v>33368</v>
      </c>
      <c r="E3242" s="29" t="s">
        <v>43926</v>
      </c>
      <c r="F3242" s="36" t="s">
        <v>54401</v>
      </c>
      <c r="G3242" s="39">
        <v>234984.5</v>
      </c>
      <c r="H3242" s="42">
        <v>211</v>
      </c>
    </row>
    <row r="3243" spans="1:8" ht="15" customHeight="1">
      <c r="A3243" s="26">
        <v>24098287</v>
      </c>
      <c r="B3243" s="29" t="s">
        <v>5481</v>
      </c>
      <c r="C3243" s="29" t="s">
        <v>20158</v>
      </c>
      <c r="D3243" s="29" t="s">
        <v>33369</v>
      </c>
      <c r="E3243" s="29" t="s">
        <v>46551</v>
      </c>
      <c r="F3243" s="36" t="s">
        <v>54401</v>
      </c>
      <c r="G3243" s="39">
        <v>305544.44</v>
      </c>
      <c r="H3243" s="42">
        <v>211</v>
      </c>
    </row>
    <row r="3244" spans="1:8" ht="15" customHeight="1">
      <c r="A3244" s="26">
        <v>24098321</v>
      </c>
      <c r="B3244" s="29" t="s">
        <v>5482</v>
      </c>
      <c r="C3244" s="29" t="s">
        <v>20159</v>
      </c>
      <c r="D3244" s="29" t="s">
        <v>33370</v>
      </c>
      <c r="E3244" s="29" t="s">
        <v>46552</v>
      </c>
      <c r="F3244" s="36" t="s">
        <v>54401</v>
      </c>
      <c r="G3244" s="39">
        <v>198363.02</v>
      </c>
      <c r="H3244" s="42">
        <v>211</v>
      </c>
    </row>
    <row r="3245" spans="1:8" ht="15" customHeight="1">
      <c r="A3245" s="26">
        <v>24098479</v>
      </c>
      <c r="B3245" s="29" t="s">
        <v>5483</v>
      </c>
      <c r="C3245" s="29" t="s">
        <v>20160</v>
      </c>
      <c r="D3245" s="29" t="s">
        <v>33371</v>
      </c>
      <c r="E3245" s="29" t="s">
        <v>46376</v>
      </c>
      <c r="F3245" s="36" t="s">
        <v>54401</v>
      </c>
      <c r="G3245" s="39">
        <f>8202390.07+378861</f>
        <v>8581251.0700000003</v>
      </c>
      <c r="H3245" s="42">
        <v>211</v>
      </c>
    </row>
    <row r="3246" spans="1:8" ht="15" customHeight="1">
      <c r="A3246" s="26">
        <v>24098500</v>
      </c>
      <c r="B3246" s="29" t="s">
        <v>5484</v>
      </c>
      <c r="C3246" s="29" t="s">
        <v>20161</v>
      </c>
      <c r="D3246" s="29" t="s">
        <v>33372</v>
      </c>
      <c r="E3246" s="29" t="s">
        <v>46553</v>
      </c>
      <c r="F3246" s="36" t="s">
        <v>54401</v>
      </c>
      <c r="G3246" s="39">
        <v>30605.05</v>
      </c>
      <c r="H3246" s="42">
        <v>211</v>
      </c>
    </row>
    <row r="3247" spans="1:8" ht="15" customHeight="1">
      <c r="A3247" s="26">
        <v>24098525</v>
      </c>
      <c r="B3247" s="29" t="s">
        <v>5485</v>
      </c>
      <c r="C3247" s="29" t="s">
        <v>20162</v>
      </c>
      <c r="D3247" s="29" t="s">
        <v>33373</v>
      </c>
      <c r="E3247" s="29" t="s">
        <v>46554</v>
      </c>
      <c r="F3247" s="36" t="s">
        <v>54401</v>
      </c>
      <c r="G3247" s="39">
        <v>220142.29</v>
      </c>
      <c r="H3247" s="42">
        <v>211</v>
      </c>
    </row>
    <row r="3248" spans="1:8" ht="15" customHeight="1">
      <c r="A3248" s="26">
        <v>24098550</v>
      </c>
      <c r="B3248" s="29" t="s">
        <v>5486</v>
      </c>
      <c r="C3248" s="29" t="s">
        <v>20163</v>
      </c>
      <c r="D3248" s="29" t="s">
        <v>33374</v>
      </c>
      <c r="E3248" s="29" t="s">
        <v>46555</v>
      </c>
      <c r="F3248" s="36" t="s">
        <v>54401</v>
      </c>
      <c r="G3248" s="39">
        <f>1056075.32+42670</f>
        <v>1098745.32</v>
      </c>
      <c r="H3248" s="42">
        <v>211</v>
      </c>
    </row>
    <row r="3249" spans="1:8" ht="15" customHeight="1">
      <c r="A3249" s="26">
        <v>24098574</v>
      </c>
      <c r="B3249" s="29" t="s">
        <v>5487</v>
      </c>
      <c r="C3249" s="29" t="s">
        <v>20164</v>
      </c>
      <c r="D3249" s="29" t="s">
        <v>33375</v>
      </c>
      <c r="E3249" s="29" t="s">
        <v>46556</v>
      </c>
      <c r="F3249" s="36" t="s">
        <v>54401</v>
      </c>
      <c r="G3249" s="39">
        <v>1402941.17</v>
      </c>
      <c r="H3249" s="42">
        <v>211</v>
      </c>
    </row>
    <row r="3250" spans="1:8" ht="15" customHeight="1">
      <c r="A3250" s="26">
        <v>24098660</v>
      </c>
      <c r="B3250" s="29" t="s">
        <v>5488</v>
      </c>
      <c r="C3250" s="29" t="s">
        <v>20165</v>
      </c>
      <c r="D3250" s="29" t="s">
        <v>33376</v>
      </c>
      <c r="E3250" s="29" t="s">
        <v>46557</v>
      </c>
      <c r="F3250" s="36" t="s">
        <v>54401</v>
      </c>
      <c r="G3250" s="39">
        <v>3888670.88</v>
      </c>
      <c r="H3250" s="42">
        <v>211</v>
      </c>
    </row>
    <row r="3251" spans="1:8" ht="15" customHeight="1">
      <c r="A3251" s="26">
        <v>24098825</v>
      </c>
      <c r="B3251" s="29" t="s">
        <v>5489</v>
      </c>
      <c r="C3251" s="29" t="s">
        <v>20166</v>
      </c>
      <c r="D3251" s="29" t="s">
        <v>33377</v>
      </c>
      <c r="E3251" s="29" t="s">
        <v>46558</v>
      </c>
      <c r="F3251" s="36" t="s">
        <v>54407</v>
      </c>
      <c r="G3251" s="39">
        <v>4288950.1500000004</v>
      </c>
      <c r="H3251" s="42">
        <v>211</v>
      </c>
    </row>
    <row r="3252" spans="1:8" ht="15" customHeight="1">
      <c r="A3252" s="26">
        <v>24098830</v>
      </c>
      <c r="B3252" s="29" t="s">
        <v>5490</v>
      </c>
      <c r="C3252" s="29" t="s">
        <v>20167</v>
      </c>
      <c r="D3252" s="29" t="s">
        <v>33378</v>
      </c>
      <c r="E3252" s="29" t="s">
        <v>43926</v>
      </c>
      <c r="F3252" s="36" t="s">
        <v>54407</v>
      </c>
      <c r="G3252" s="39">
        <v>407577.35</v>
      </c>
      <c r="H3252" s="42">
        <v>211</v>
      </c>
    </row>
    <row r="3253" spans="1:8" ht="15" customHeight="1">
      <c r="A3253" s="26">
        <v>24099068</v>
      </c>
      <c r="B3253" s="29" t="s">
        <v>5491</v>
      </c>
      <c r="C3253" s="29" t="s">
        <v>20168</v>
      </c>
      <c r="D3253" s="29" t="s">
        <v>33379</v>
      </c>
      <c r="E3253" s="29" t="s">
        <v>748</v>
      </c>
      <c r="F3253" s="36" t="s">
        <v>54407</v>
      </c>
      <c r="G3253" s="39">
        <v>5584125</v>
      </c>
      <c r="H3253" s="42">
        <v>211</v>
      </c>
    </row>
    <row r="3254" spans="1:8" ht="15" customHeight="1">
      <c r="A3254" s="26">
        <v>24099189</v>
      </c>
      <c r="B3254" s="29" t="s">
        <v>5492</v>
      </c>
      <c r="C3254" s="29" t="s">
        <v>20169</v>
      </c>
      <c r="D3254" s="29" t="s">
        <v>33380</v>
      </c>
      <c r="E3254" s="29" t="s">
        <v>46559</v>
      </c>
      <c r="F3254" s="36" t="s">
        <v>54408</v>
      </c>
      <c r="G3254" s="39">
        <f>6142773.34-131277</f>
        <v>6011496.3399999999</v>
      </c>
      <c r="H3254" s="42">
        <v>211</v>
      </c>
    </row>
    <row r="3255" spans="1:8" ht="15" customHeight="1">
      <c r="A3255" s="26">
        <v>24099193</v>
      </c>
      <c r="B3255" s="29" t="s">
        <v>5493</v>
      </c>
      <c r="C3255" s="29" t="s">
        <v>20170</v>
      </c>
      <c r="D3255" s="29" t="s">
        <v>33381</v>
      </c>
      <c r="E3255" s="29" t="s">
        <v>46560</v>
      </c>
      <c r="F3255" s="36" t="s">
        <v>54401</v>
      </c>
      <c r="G3255" s="39">
        <v>183635.66</v>
      </c>
      <c r="H3255" s="42">
        <v>211</v>
      </c>
    </row>
    <row r="3256" spans="1:8" ht="15" customHeight="1">
      <c r="A3256" s="26">
        <v>24099351</v>
      </c>
      <c r="B3256" s="29" t="s">
        <v>5494</v>
      </c>
      <c r="C3256" s="29" t="s">
        <v>20171</v>
      </c>
      <c r="D3256" s="29" t="s">
        <v>33382</v>
      </c>
      <c r="E3256" s="29" t="s">
        <v>46561</v>
      </c>
      <c r="F3256" s="36" t="s">
        <v>54428</v>
      </c>
      <c r="G3256" s="39">
        <v>1089274.1000000001</v>
      </c>
      <c r="H3256" s="42">
        <v>211</v>
      </c>
    </row>
    <row r="3257" spans="1:8" ht="15" customHeight="1">
      <c r="A3257" s="26">
        <v>24099386</v>
      </c>
      <c r="B3257" s="29" t="s">
        <v>5495</v>
      </c>
      <c r="C3257" s="29" t="s">
        <v>20172</v>
      </c>
      <c r="D3257" s="29" t="s">
        <v>33383</v>
      </c>
      <c r="E3257" s="29" t="s">
        <v>46562</v>
      </c>
      <c r="F3257" s="36" t="s">
        <v>54401</v>
      </c>
      <c r="G3257" s="39">
        <v>1235036.3799999999</v>
      </c>
      <c r="H3257" s="42">
        <v>211</v>
      </c>
    </row>
    <row r="3258" spans="1:8" ht="15" customHeight="1">
      <c r="A3258" s="26">
        <v>24099393</v>
      </c>
      <c r="B3258" s="29" t="s">
        <v>5496</v>
      </c>
      <c r="C3258" s="29" t="s">
        <v>20173</v>
      </c>
      <c r="D3258" s="29" t="s">
        <v>33384</v>
      </c>
      <c r="E3258" s="29" t="s">
        <v>43926</v>
      </c>
      <c r="F3258" s="36" t="s">
        <v>54401</v>
      </c>
      <c r="G3258" s="39">
        <v>95508.34</v>
      </c>
      <c r="H3258" s="42">
        <v>211</v>
      </c>
    </row>
    <row r="3259" spans="1:8" ht="15" customHeight="1">
      <c r="A3259" s="26">
        <v>24099460</v>
      </c>
      <c r="B3259" s="29" t="s">
        <v>5497</v>
      </c>
      <c r="C3259" s="26" t="s">
        <v>20174</v>
      </c>
      <c r="D3259" s="26" t="s">
        <v>33385</v>
      </c>
      <c r="E3259" s="26" t="s">
        <v>46563</v>
      </c>
      <c r="F3259" s="37" t="s">
        <v>54401</v>
      </c>
      <c r="G3259" s="39">
        <f>525430.49+1133851</f>
        <v>1659281.49</v>
      </c>
      <c r="H3259" s="42">
        <v>211</v>
      </c>
    </row>
    <row r="3260" spans="1:8" ht="15" customHeight="1">
      <c r="A3260" s="26">
        <v>24099492</v>
      </c>
      <c r="B3260" s="29" t="s">
        <v>5498</v>
      </c>
      <c r="C3260" s="29" t="s">
        <v>20175</v>
      </c>
      <c r="D3260" s="29" t="s">
        <v>33386</v>
      </c>
      <c r="E3260" s="29" t="s">
        <v>46564</v>
      </c>
      <c r="F3260" s="36" t="s">
        <v>54401</v>
      </c>
      <c r="G3260" s="39">
        <v>607139.52</v>
      </c>
      <c r="H3260" s="42">
        <v>211</v>
      </c>
    </row>
    <row r="3261" spans="1:8" ht="15" customHeight="1">
      <c r="A3261" s="26">
        <v>24099568</v>
      </c>
      <c r="B3261" s="29" t="s">
        <v>5499</v>
      </c>
      <c r="C3261" s="29" t="s">
        <v>20176</v>
      </c>
      <c r="D3261" s="29" t="s">
        <v>33387</v>
      </c>
      <c r="E3261" s="29" t="s">
        <v>46565</v>
      </c>
      <c r="F3261" s="36" t="s">
        <v>54401</v>
      </c>
      <c r="G3261" s="39">
        <v>1443562.11</v>
      </c>
      <c r="H3261" s="42">
        <v>211</v>
      </c>
    </row>
    <row r="3262" spans="1:8" ht="15" customHeight="1">
      <c r="A3262" s="26">
        <v>24099619</v>
      </c>
      <c r="B3262" s="29" t="s">
        <v>5500</v>
      </c>
      <c r="C3262" s="29" t="s">
        <v>20177</v>
      </c>
      <c r="D3262" s="29" t="s">
        <v>33388</v>
      </c>
      <c r="E3262" s="29" t="s">
        <v>46566</v>
      </c>
      <c r="F3262" s="36" t="s">
        <v>54407</v>
      </c>
      <c r="G3262" s="39">
        <v>2573703.1</v>
      </c>
      <c r="H3262" s="42">
        <v>211</v>
      </c>
    </row>
    <row r="3263" spans="1:8" ht="15" customHeight="1">
      <c r="A3263" s="26">
        <v>24099703</v>
      </c>
      <c r="B3263" s="29" t="s">
        <v>5501</v>
      </c>
      <c r="C3263" s="29" t="s">
        <v>20178</v>
      </c>
      <c r="D3263" s="29" t="s">
        <v>33389</v>
      </c>
      <c r="E3263" s="29" t="s">
        <v>46567</v>
      </c>
      <c r="F3263" s="36" t="s">
        <v>54407</v>
      </c>
      <c r="G3263" s="39">
        <v>41042.019999999997</v>
      </c>
      <c r="H3263" s="42">
        <v>211</v>
      </c>
    </row>
    <row r="3264" spans="1:8" ht="15" customHeight="1">
      <c r="A3264" s="26">
        <v>24099738</v>
      </c>
      <c r="B3264" s="29" t="s">
        <v>5502</v>
      </c>
      <c r="C3264" s="29" t="s">
        <v>20179</v>
      </c>
      <c r="D3264" s="29" t="s">
        <v>33390</v>
      </c>
      <c r="E3264" s="29" t="s">
        <v>46568</v>
      </c>
      <c r="F3264" s="36" t="s">
        <v>54407</v>
      </c>
      <c r="G3264" s="39">
        <f>17456704.59-264285</f>
        <v>17192419.59</v>
      </c>
      <c r="H3264" s="42">
        <v>211</v>
      </c>
    </row>
    <row r="3265" spans="1:8" ht="15" customHeight="1">
      <c r="A3265" s="26">
        <v>24099740</v>
      </c>
      <c r="B3265" s="29" t="s">
        <v>5503</v>
      </c>
      <c r="C3265" s="29" t="s">
        <v>20180</v>
      </c>
      <c r="D3265" s="29" t="s">
        <v>33391</v>
      </c>
      <c r="E3265" s="29" t="s">
        <v>46569</v>
      </c>
      <c r="F3265" s="36" t="s">
        <v>54407</v>
      </c>
      <c r="G3265" s="39">
        <v>9358667.5500000007</v>
      </c>
      <c r="H3265" s="42">
        <v>211</v>
      </c>
    </row>
    <row r="3266" spans="1:8" ht="15" customHeight="1">
      <c r="A3266" s="26">
        <v>24099826</v>
      </c>
      <c r="B3266" s="29" t="s">
        <v>5504</v>
      </c>
      <c r="C3266" s="29" t="s">
        <v>20181</v>
      </c>
      <c r="D3266" s="29" t="s">
        <v>33392</v>
      </c>
      <c r="E3266" s="29" t="s">
        <v>46570</v>
      </c>
      <c r="F3266" s="36" t="s">
        <v>54401</v>
      </c>
      <c r="G3266" s="39">
        <v>125210.79</v>
      </c>
      <c r="H3266" s="42">
        <v>211</v>
      </c>
    </row>
    <row r="3267" spans="1:8" ht="15" customHeight="1">
      <c r="A3267" s="26">
        <v>24099930</v>
      </c>
      <c r="B3267" s="29" t="s">
        <v>5505</v>
      </c>
      <c r="C3267" s="29" t="s">
        <v>20182</v>
      </c>
      <c r="D3267" s="29" t="s">
        <v>33393</v>
      </c>
      <c r="E3267" s="29" t="s">
        <v>46571</v>
      </c>
      <c r="F3267" s="36" t="s">
        <v>54401</v>
      </c>
      <c r="G3267" s="39">
        <v>163953.44</v>
      </c>
      <c r="H3267" s="42">
        <v>211</v>
      </c>
    </row>
    <row r="3268" spans="1:8" ht="15" customHeight="1">
      <c r="A3268" s="26">
        <v>24100035</v>
      </c>
      <c r="B3268" s="29" t="s">
        <v>5506</v>
      </c>
      <c r="C3268" s="29" t="s">
        <v>17204</v>
      </c>
      <c r="D3268" s="29" t="s">
        <v>30349</v>
      </c>
      <c r="E3268" s="29" t="s">
        <v>43926</v>
      </c>
      <c r="F3268" s="36" t="s">
        <v>54401</v>
      </c>
      <c r="G3268" s="39">
        <f>284395.65+2156856</f>
        <v>2441251.65</v>
      </c>
      <c r="H3268" s="42">
        <v>211</v>
      </c>
    </row>
    <row r="3269" spans="1:8" ht="15" customHeight="1">
      <c r="A3269" s="26">
        <v>24100218</v>
      </c>
      <c r="B3269" s="29" t="s">
        <v>5507</v>
      </c>
      <c r="C3269" s="29" t="s">
        <v>20183</v>
      </c>
      <c r="D3269" s="29" t="s">
        <v>33394</v>
      </c>
      <c r="E3269" s="29" t="s">
        <v>46335</v>
      </c>
      <c r="F3269" s="36" t="s">
        <v>54401</v>
      </c>
      <c r="G3269" s="39">
        <v>3504755.2</v>
      </c>
      <c r="H3269" s="42">
        <v>211</v>
      </c>
    </row>
    <row r="3270" spans="1:8" ht="15" customHeight="1">
      <c r="A3270" s="26">
        <v>24100276</v>
      </c>
      <c r="B3270" s="29" t="s">
        <v>5508</v>
      </c>
      <c r="C3270" s="29" t="s">
        <v>20184</v>
      </c>
      <c r="D3270" s="29" t="s">
        <v>33395</v>
      </c>
      <c r="E3270" s="29" t="s">
        <v>46572</v>
      </c>
      <c r="F3270" s="36" t="s">
        <v>54401</v>
      </c>
      <c r="G3270" s="39">
        <v>371299.63</v>
      </c>
      <c r="H3270" s="42">
        <v>211</v>
      </c>
    </row>
    <row r="3271" spans="1:8" ht="15" customHeight="1">
      <c r="A3271" s="26">
        <v>24100308</v>
      </c>
      <c r="B3271" s="29" t="s">
        <v>5509</v>
      </c>
      <c r="C3271" s="29" t="s">
        <v>20185</v>
      </c>
      <c r="D3271" s="29" t="s">
        <v>33396</v>
      </c>
      <c r="E3271" s="29" t="s">
        <v>46573</v>
      </c>
      <c r="F3271" s="36" t="s">
        <v>54401</v>
      </c>
      <c r="G3271" s="39">
        <v>337619.16</v>
      </c>
      <c r="H3271" s="42">
        <v>211</v>
      </c>
    </row>
    <row r="3272" spans="1:8" ht="15" customHeight="1">
      <c r="A3272" s="26">
        <v>24100313</v>
      </c>
      <c r="B3272" s="29" t="s">
        <v>5510</v>
      </c>
      <c r="C3272" s="29" t="s">
        <v>20186</v>
      </c>
      <c r="D3272" s="29" t="s">
        <v>33397</v>
      </c>
      <c r="E3272" s="29" t="s">
        <v>46574</v>
      </c>
      <c r="F3272" s="36" t="s">
        <v>54401</v>
      </c>
      <c r="G3272" s="39">
        <v>5297357.45</v>
      </c>
      <c r="H3272" s="42">
        <v>211</v>
      </c>
    </row>
    <row r="3273" spans="1:8" ht="15" customHeight="1">
      <c r="A3273" s="26">
        <v>24100404</v>
      </c>
      <c r="B3273" s="29" t="s">
        <v>5511</v>
      </c>
      <c r="C3273" s="29" t="s">
        <v>20187</v>
      </c>
      <c r="D3273" s="29" t="s">
        <v>33398</v>
      </c>
      <c r="E3273" s="29" t="s">
        <v>748</v>
      </c>
      <c r="F3273" s="36" t="s">
        <v>54407</v>
      </c>
      <c r="G3273" s="39">
        <v>1911049.5</v>
      </c>
      <c r="H3273" s="42">
        <v>211</v>
      </c>
    </row>
    <row r="3274" spans="1:8" ht="15" customHeight="1">
      <c r="A3274" s="26">
        <v>24100424</v>
      </c>
      <c r="B3274" s="29" t="s">
        <v>5512</v>
      </c>
      <c r="C3274" s="29" t="s">
        <v>20188</v>
      </c>
      <c r="D3274" s="29" t="s">
        <v>33399</v>
      </c>
      <c r="E3274" s="29" t="s">
        <v>46575</v>
      </c>
      <c r="F3274" s="36" t="s">
        <v>54407</v>
      </c>
      <c r="G3274" s="39">
        <f>6412283.93-47257</f>
        <v>6365026.9299999997</v>
      </c>
      <c r="H3274" s="42">
        <v>211</v>
      </c>
    </row>
    <row r="3275" spans="1:8" ht="15" customHeight="1">
      <c r="A3275" s="26">
        <v>24100466</v>
      </c>
      <c r="B3275" s="29" t="s">
        <v>5513</v>
      </c>
      <c r="C3275" s="29" t="s">
        <v>20189</v>
      </c>
      <c r="D3275" s="29" t="s">
        <v>33400</v>
      </c>
      <c r="E3275" s="29" t="s">
        <v>46576</v>
      </c>
      <c r="F3275" s="36" t="s">
        <v>54401</v>
      </c>
      <c r="G3275" s="39">
        <v>750423.46</v>
      </c>
      <c r="H3275" s="42">
        <v>211</v>
      </c>
    </row>
    <row r="3276" spans="1:8" ht="15" customHeight="1">
      <c r="A3276" s="26">
        <v>24100548</v>
      </c>
      <c r="B3276" s="29" t="s">
        <v>5514</v>
      </c>
      <c r="C3276" s="29" t="s">
        <v>20190</v>
      </c>
      <c r="D3276" s="29" t="s">
        <v>33401</v>
      </c>
      <c r="E3276" s="29" t="s">
        <v>46577</v>
      </c>
      <c r="F3276" s="36" t="s">
        <v>54401</v>
      </c>
      <c r="G3276" s="39">
        <f>2490690.71+8342</f>
        <v>2499032.71</v>
      </c>
      <c r="H3276" s="42">
        <v>211</v>
      </c>
    </row>
    <row r="3277" spans="1:8" ht="15" customHeight="1">
      <c r="A3277" s="26">
        <v>24100579</v>
      </c>
      <c r="B3277" s="29" t="s">
        <v>5515</v>
      </c>
      <c r="C3277" s="29" t="s">
        <v>20191</v>
      </c>
      <c r="D3277" s="29" t="s">
        <v>33402</v>
      </c>
      <c r="E3277" s="29" t="s">
        <v>46578</v>
      </c>
      <c r="F3277" s="36" t="s">
        <v>54401</v>
      </c>
      <c r="G3277" s="39">
        <f>2003122.11-18914</f>
        <v>1984208.11</v>
      </c>
      <c r="H3277" s="42">
        <v>211</v>
      </c>
    </row>
    <row r="3278" spans="1:8" ht="15" customHeight="1">
      <c r="A3278" s="26">
        <v>24100581</v>
      </c>
      <c r="B3278" s="29" t="s">
        <v>5516</v>
      </c>
      <c r="C3278" s="29" t="s">
        <v>20192</v>
      </c>
      <c r="D3278" s="29" t="s">
        <v>33403</v>
      </c>
      <c r="E3278" s="29" t="s">
        <v>43926</v>
      </c>
      <c r="F3278" s="36" t="s">
        <v>54401</v>
      </c>
      <c r="G3278" s="39">
        <v>2739372.17</v>
      </c>
      <c r="H3278" s="42">
        <v>211</v>
      </c>
    </row>
    <row r="3279" spans="1:8" ht="15" customHeight="1">
      <c r="A3279" s="26">
        <v>24100605</v>
      </c>
      <c r="B3279" s="29" t="s">
        <v>5517</v>
      </c>
      <c r="C3279" s="29" t="s">
        <v>20193</v>
      </c>
      <c r="D3279" s="29" t="s">
        <v>33404</v>
      </c>
      <c r="E3279" s="29" t="s">
        <v>46579</v>
      </c>
      <c r="F3279" s="36" t="s">
        <v>54401</v>
      </c>
      <c r="G3279" s="39">
        <v>182062.57</v>
      </c>
      <c r="H3279" s="42">
        <v>211</v>
      </c>
    </row>
    <row r="3280" spans="1:8" ht="15" customHeight="1">
      <c r="A3280" s="26">
        <v>24100642</v>
      </c>
      <c r="B3280" s="29" t="s">
        <v>5518</v>
      </c>
      <c r="C3280" s="26" t="s">
        <v>17204</v>
      </c>
      <c r="D3280" s="26" t="s">
        <v>33405</v>
      </c>
      <c r="E3280" s="26" t="s">
        <v>43926</v>
      </c>
      <c r="F3280" s="37" t="s">
        <v>54401</v>
      </c>
      <c r="G3280" s="39">
        <v>400579.66</v>
      </c>
      <c r="H3280" s="42">
        <v>211</v>
      </c>
    </row>
    <row r="3281" spans="1:8" ht="15" customHeight="1">
      <c r="A3281" s="26">
        <v>24100712</v>
      </c>
      <c r="B3281" s="29" t="s">
        <v>5519</v>
      </c>
      <c r="C3281" s="29" t="s">
        <v>20194</v>
      </c>
      <c r="D3281" s="29" t="s">
        <v>33406</v>
      </c>
      <c r="E3281" s="29" t="s">
        <v>46580</v>
      </c>
      <c r="F3281" s="36" t="s">
        <v>54401</v>
      </c>
      <c r="G3281" s="39">
        <v>714685.47</v>
      </c>
      <c r="H3281" s="42">
        <v>211</v>
      </c>
    </row>
    <row r="3282" spans="1:8" ht="15" customHeight="1">
      <c r="A3282" s="26">
        <v>24100730</v>
      </c>
      <c r="B3282" s="29" t="s">
        <v>5520</v>
      </c>
      <c r="C3282" s="29" t="s">
        <v>20195</v>
      </c>
      <c r="D3282" s="29" t="s">
        <v>33407</v>
      </c>
      <c r="E3282" s="29" t="s">
        <v>46581</v>
      </c>
      <c r="F3282" s="36" t="s">
        <v>54401</v>
      </c>
      <c r="G3282" s="39">
        <v>568417.29</v>
      </c>
      <c r="H3282" s="42">
        <v>211</v>
      </c>
    </row>
    <row r="3283" spans="1:8" ht="15" customHeight="1">
      <c r="A3283" s="26">
        <v>24100733</v>
      </c>
      <c r="B3283" s="29" t="s">
        <v>5521</v>
      </c>
      <c r="C3283" s="29" t="s">
        <v>20196</v>
      </c>
      <c r="D3283" s="29" t="s">
        <v>33408</v>
      </c>
      <c r="E3283" s="29" t="s">
        <v>46582</v>
      </c>
      <c r="F3283" s="36" t="s">
        <v>54401</v>
      </c>
      <c r="G3283" s="39">
        <v>1496432.65</v>
      </c>
      <c r="H3283" s="42">
        <v>211</v>
      </c>
    </row>
    <row r="3284" spans="1:8" ht="15" customHeight="1">
      <c r="A3284" s="26">
        <v>24100816</v>
      </c>
      <c r="B3284" s="29" t="s">
        <v>5522</v>
      </c>
      <c r="C3284" s="29" t="s">
        <v>17204</v>
      </c>
      <c r="D3284" s="29" t="s">
        <v>33409</v>
      </c>
      <c r="E3284" s="29" t="s">
        <v>43926</v>
      </c>
      <c r="F3284" s="36" t="s">
        <v>54401</v>
      </c>
      <c r="G3284" s="39">
        <v>138655.46</v>
      </c>
      <c r="H3284" s="42">
        <v>211</v>
      </c>
    </row>
    <row r="3285" spans="1:8" ht="15" customHeight="1">
      <c r="A3285" s="26">
        <v>24100824</v>
      </c>
      <c r="B3285" s="29" t="s">
        <v>5523</v>
      </c>
      <c r="C3285" s="29" t="s">
        <v>20197</v>
      </c>
      <c r="D3285" s="29" t="s">
        <v>33410</v>
      </c>
      <c r="E3285" s="29" t="s">
        <v>46583</v>
      </c>
      <c r="F3285" s="36" t="s">
        <v>54407</v>
      </c>
      <c r="G3285" s="39">
        <f>11050912.69+2540927</f>
        <v>13591839.689999999</v>
      </c>
      <c r="H3285" s="42">
        <v>211</v>
      </c>
    </row>
    <row r="3286" spans="1:8" ht="15" customHeight="1">
      <c r="A3286" s="26">
        <v>24100868</v>
      </c>
      <c r="B3286" s="29" t="s">
        <v>5524</v>
      </c>
      <c r="C3286" s="29" t="s">
        <v>20198</v>
      </c>
      <c r="D3286" s="29" t="s">
        <v>33411</v>
      </c>
      <c r="E3286" s="29" t="s">
        <v>46584</v>
      </c>
      <c r="F3286" s="36" t="s">
        <v>54407</v>
      </c>
      <c r="G3286" s="39">
        <f>5347209.27-117815</f>
        <v>5229394.2699999996</v>
      </c>
      <c r="H3286" s="42">
        <v>211</v>
      </c>
    </row>
    <row r="3287" spans="1:8" ht="15" customHeight="1">
      <c r="A3287" s="26">
        <v>24100869</v>
      </c>
      <c r="B3287" s="29" t="s">
        <v>5525</v>
      </c>
      <c r="C3287" s="29" t="s">
        <v>20199</v>
      </c>
      <c r="D3287" s="29" t="s">
        <v>33412</v>
      </c>
      <c r="E3287" s="29" t="s">
        <v>748</v>
      </c>
      <c r="F3287" s="36" t="s">
        <v>54401</v>
      </c>
      <c r="G3287" s="39">
        <v>3504083.86</v>
      </c>
      <c r="H3287" s="42">
        <v>211</v>
      </c>
    </row>
    <row r="3288" spans="1:8" ht="15" customHeight="1">
      <c r="A3288" s="26">
        <v>24100901</v>
      </c>
      <c r="B3288" s="29" t="s">
        <v>5526</v>
      </c>
      <c r="C3288" s="29" t="s">
        <v>20200</v>
      </c>
      <c r="D3288" s="29" t="s">
        <v>33413</v>
      </c>
      <c r="E3288" s="29" t="s">
        <v>46585</v>
      </c>
      <c r="F3288" s="36" t="s">
        <v>54428</v>
      </c>
      <c r="G3288" s="39">
        <v>671209.5</v>
      </c>
      <c r="H3288" s="42">
        <v>211</v>
      </c>
    </row>
    <row r="3289" spans="1:8" ht="15" customHeight="1">
      <c r="A3289" s="26">
        <v>24100991</v>
      </c>
      <c r="B3289" s="29" t="s">
        <v>5527</v>
      </c>
      <c r="C3289" s="29" t="s">
        <v>20201</v>
      </c>
      <c r="D3289" s="29" t="s">
        <v>33414</v>
      </c>
      <c r="E3289" s="29" t="s">
        <v>43926</v>
      </c>
      <c r="F3289" s="36" t="s">
        <v>54401</v>
      </c>
      <c r="G3289" s="39">
        <v>1131414.8899999999</v>
      </c>
      <c r="H3289" s="42">
        <v>211</v>
      </c>
    </row>
    <row r="3290" spans="1:8" ht="15" customHeight="1">
      <c r="A3290" s="26">
        <v>24112059</v>
      </c>
      <c r="B3290" s="29" t="s">
        <v>5528</v>
      </c>
      <c r="C3290" s="29" t="s">
        <v>20202</v>
      </c>
      <c r="D3290" s="29" t="s">
        <v>32826</v>
      </c>
      <c r="E3290" s="29" t="s">
        <v>43928</v>
      </c>
      <c r="F3290" s="36" t="s">
        <v>54401</v>
      </c>
      <c r="G3290" s="39">
        <v>349561.45</v>
      </c>
      <c r="H3290" s="42">
        <v>211</v>
      </c>
    </row>
    <row r="3291" spans="1:8" ht="15" customHeight="1">
      <c r="A3291" s="26">
        <v>24114311</v>
      </c>
      <c r="B3291" s="29" t="s">
        <v>5529</v>
      </c>
      <c r="C3291" s="29" t="s">
        <v>20203</v>
      </c>
      <c r="D3291" s="29" t="s">
        <v>33415</v>
      </c>
      <c r="E3291" s="29" t="s">
        <v>46586</v>
      </c>
      <c r="F3291" s="36" t="s">
        <v>54401</v>
      </c>
      <c r="G3291" s="39">
        <f>962424.06+61568+13180</f>
        <v>1037172.06</v>
      </c>
      <c r="H3291" s="42">
        <v>211</v>
      </c>
    </row>
    <row r="3292" spans="1:8" ht="15" customHeight="1">
      <c r="A3292" s="26">
        <v>24115112</v>
      </c>
      <c r="B3292" s="29" t="s">
        <v>5530</v>
      </c>
      <c r="C3292" s="29" t="s">
        <v>20204</v>
      </c>
      <c r="D3292" s="29" t="s">
        <v>33416</v>
      </c>
      <c r="E3292" s="29" t="s">
        <v>46587</v>
      </c>
      <c r="F3292" s="36" t="s">
        <v>54402</v>
      </c>
      <c r="G3292" s="39">
        <f>7978206.75-15680</f>
        <v>7962526.75</v>
      </c>
      <c r="H3292" s="42">
        <v>211</v>
      </c>
    </row>
    <row r="3293" spans="1:8" ht="15" customHeight="1">
      <c r="A3293" s="26">
        <v>24115494</v>
      </c>
      <c r="B3293" s="29" t="s">
        <v>5531</v>
      </c>
      <c r="C3293" s="29" t="s">
        <v>20205</v>
      </c>
      <c r="D3293" s="29" t="s">
        <v>33417</v>
      </c>
      <c r="E3293" s="29" t="s">
        <v>46588</v>
      </c>
      <c r="F3293" s="36" t="s">
        <v>54401</v>
      </c>
      <c r="G3293" s="39">
        <v>729703.57</v>
      </c>
      <c r="H3293" s="42">
        <v>211</v>
      </c>
    </row>
    <row r="3294" spans="1:8" ht="15" customHeight="1">
      <c r="A3294" s="26">
        <v>24115702</v>
      </c>
      <c r="B3294" s="29" t="s">
        <v>5532</v>
      </c>
      <c r="C3294" s="29" t="s">
        <v>20206</v>
      </c>
      <c r="D3294" s="29" t="s">
        <v>33418</v>
      </c>
      <c r="E3294" s="29" t="s">
        <v>46589</v>
      </c>
      <c r="F3294" s="36" t="s">
        <v>54401</v>
      </c>
      <c r="G3294" s="39">
        <f>1550001.76+34087</f>
        <v>1584088.76</v>
      </c>
      <c r="H3294" s="42">
        <v>211</v>
      </c>
    </row>
    <row r="3295" spans="1:8" ht="15" customHeight="1">
      <c r="A3295" s="26">
        <v>24117017</v>
      </c>
      <c r="B3295" s="29" t="s">
        <v>5533</v>
      </c>
      <c r="C3295" s="29" t="s">
        <v>17204</v>
      </c>
      <c r="D3295" s="29" t="s">
        <v>30349</v>
      </c>
      <c r="E3295" s="29" t="s">
        <v>43926</v>
      </c>
      <c r="F3295" s="36" t="s">
        <v>54401</v>
      </c>
      <c r="G3295" s="39">
        <v>23873.94</v>
      </c>
      <c r="H3295" s="42">
        <v>211</v>
      </c>
    </row>
    <row r="3296" spans="1:8" ht="15" customHeight="1">
      <c r="A3296" s="26">
        <v>24125000</v>
      </c>
      <c r="B3296" s="29" t="s">
        <v>5534</v>
      </c>
      <c r="C3296" s="29" t="s">
        <v>20207</v>
      </c>
      <c r="D3296" s="29" t="s">
        <v>33419</v>
      </c>
      <c r="E3296" s="29" t="s">
        <v>46590</v>
      </c>
      <c r="F3296" s="36" t="s">
        <v>54429</v>
      </c>
      <c r="G3296" s="39">
        <f>9532836.87-22915</f>
        <v>9509921.8699999992</v>
      </c>
      <c r="H3296" s="42">
        <v>211</v>
      </c>
    </row>
    <row r="3297" spans="1:8" ht="15" customHeight="1">
      <c r="A3297" s="26">
        <v>24125528</v>
      </c>
      <c r="B3297" s="29" t="s">
        <v>5535</v>
      </c>
      <c r="C3297" s="29" t="s">
        <v>20208</v>
      </c>
      <c r="D3297" s="29" t="s">
        <v>33420</v>
      </c>
      <c r="E3297" s="29" t="s">
        <v>46591</v>
      </c>
      <c r="F3297" s="36" t="s">
        <v>54429</v>
      </c>
      <c r="G3297" s="39">
        <f>230951.84+30615055-1612377</f>
        <v>29233629.84</v>
      </c>
      <c r="H3297" s="42">
        <v>211</v>
      </c>
    </row>
    <row r="3298" spans="1:8" ht="15" customHeight="1">
      <c r="A3298" s="26">
        <v>24129138</v>
      </c>
      <c r="B3298" s="29" t="s">
        <v>5536</v>
      </c>
      <c r="C3298" s="29" t="s">
        <v>20209</v>
      </c>
      <c r="D3298" s="29" t="s">
        <v>33421</v>
      </c>
      <c r="E3298" s="29" t="s">
        <v>46592</v>
      </c>
      <c r="F3298" s="36" t="s">
        <v>54401</v>
      </c>
      <c r="G3298" s="39">
        <v>334247.40000000002</v>
      </c>
      <c r="H3298" s="42">
        <v>211</v>
      </c>
    </row>
    <row r="3299" spans="1:8" ht="15" customHeight="1">
      <c r="A3299" s="26">
        <v>24129872</v>
      </c>
      <c r="B3299" s="29" t="s">
        <v>5537</v>
      </c>
      <c r="C3299" s="29" t="s">
        <v>20210</v>
      </c>
      <c r="D3299" s="29" t="s">
        <v>33422</v>
      </c>
      <c r="E3299" s="29" t="s">
        <v>46593</v>
      </c>
      <c r="F3299" s="36" t="s">
        <v>54412</v>
      </c>
      <c r="G3299" s="39">
        <v>383000.3</v>
      </c>
      <c r="H3299" s="42">
        <v>211</v>
      </c>
    </row>
    <row r="3300" spans="1:8" ht="15" customHeight="1">
      <c r="A3300" s="26">
        <v>24130126</v>
      </c>
      <c r="B3300" s="29" t="s">
        <v>5538</v>
      </c>
      <c r="C3300" s="29" t="s">
        <v>20211</v>
      </c>
      <c r="D3300" s="29" t="s">
        <v>33423</v>
      </c>
      <c r="E3300" s="29" t="s">
        <v>46594</v>
      </c>
      <c r="F3300" s="36" t="s">
        <v>54401</v>
      </c>
      <c r="G3300" s="39">
        <v>233965.4</v>
      </c>
      <c r="H3300" s="42">
        <v>211</v>
      </c>
    </row>
    <row r="3301" spans="1:8" ht="15" customHeight="1">
      <c r="A3301" s="26">
        <v>24130168</v>
      </c>
      <c r="B3301" s="29" t="s">
        <v>5539</v>
      </c>
      <c r="C3301" s="29" t="s">
        <v>20212</v>
      </c>
      <c r="D3301" s="29" t="s">
        <v>30376</v>
      </c>
      <c r="E3301" s="29" t="s">
        <v>46595</v>
      </c>
      <c r="F3301" s="36" t="s">
        <v>54401</v>
      </c>
      <c r="G3301" s="39">
        <f>1259501.47+1095840</f>
        <v>2355341.4699999997</v>
      </c>
      <c r="H3301" s="42">
        <v>211</v>
      </c>
    </row>
    <row r="3302" spans="1:8" ht="15" customHeight="1">
      <c r="A3302" s="26">
        <v>24130292</v>
      </c>
      <c r="B3302" s="29" t="s">
        <v>5540</v>
      </c>
      <c r="C3302" s="29" t="s">
        <v>20213</v>
      </c>
      <c r="D3302" s="29" t="s">
        <v>33424</v>
      </c>
      <c r="E3302" s="29" t="s">
        <v>46596</v>
      </c>
      <c r="F3302" s="36" t="s">
        <v>54401</v>
      </c>
      <c r="G3302" s="39">
        <f>1209656.49+16143522-60122</f>
        <v>17293056.489999998</v>
      </c>
      <c r="H3302" s="42">
        <v>211</v>
      </c>
    </row>
    <row r="3303" spans="1:8" ht="15" customHeight="1">
      <c r="A3303" s="26">
        <v>24130516</v>
      </c>
      <c r="B3303" s="29" t="s">
        <v>5541</v>
      </c>
      <c r="C3303" s="29" t="s">
        <v>20214</v>
      </c>
      <c r="D3303" s="29" t="s">
        <v>33425</v>
      </c>
      <c r="E3303" s="29" t="s">
        <v>46597</v>
      </c>
      <c r="F3303" s="36" t="s">
        <v>54401</v>
      </c>
      <c r="G3303" s="39">
        <v>3793838.14</v>
      </c>
      <c r="H3303" s="42">
        <v>211</v>
      </c>
    </row>
    <row r="3304" spans="1:8" ht="15" customHeight="1">
      <c r="A3304" s="26">
        <v>24130567</v>
      </c>
      <c r="B3304" s="29" t="s">
        <v>5542</v>
      </c>
      <c r="C3304" s="29" t="s">
        <v>20215</v>
      </c>
      <c r="D3304" s="29" t="s">
        <v>33426</v>
      </c>
      <c r="E3304" s="29" t="s">
        <v>44345</v>
      </c>
      <c r="F3304" s="36" t="s">
        <v>54401</v>
      </c>
      <c r="G3304" s="39">
        <v>498904.33</v>
      </c>
      <c r="H3304" s="42">
        <v>211</v>
      </c>
    </row>
    <row r="3305" spans="1:8" ht="15" customHeight="1">
      <c r="A3305" s="26">
        <v>24130629</v>
      </c>
      <c r="B3305" s="29" t="s">
        <v>5543</v>
      </c>
      <c r="C3305" s="29" t="s">
        <v>20216</v>
      </c>
      <c r="D3305" s="29" t="s">
        <v>33427</v>
      </c>
      <c r="E3305" s="29" t="s">
        <v>44425</v>
      </c>
      <c r="F3305" s="36" t="s">
        <v>54401</v>
      </c>
      <c r="G3305" s="39">
        <v>216600.45</v>
      </c>
      <c r="H3305" s="42">
        <v>211</v>
      </c>
    </row>
    <row r="3306" spans="1:8" ht="15" customHeight="1">
      <c r="A3306" s="26">
        <v>24137696</v>
      </c>
      <c r="B3306" s="29" t="s">
        <v>5544</v>
      </c>
      <c r="C3306" s="29" t="s">
        <v>20217</v>
      </c>
      <c r="D3306" s="29" t="s">
        <v>33428</v>
      </c>
      <c r="E3306" s="29" t="s">
        <v>46598</v>
      </c>
      <c r="F3306" s="36" t="s">
        <v>54401</v>
      </c>
      <c r="G3306" s="39">
        <v>1817631.6</v>
      </c>
      <c r="H3306" s="42">
        <v>211</v>
      </c>
    </row>
    <row r="3307" spans="1:8" ht="15" customHeight="1">
      <c r="A3307" s="26">
        <v>24138729</v>
      </c>
      <c r="B3307" s="29" t="s">
        <v>5545</v>
      </c>
      <c r="C3307" s="29" t="s">
        <v>20218</v>
      </c>
      <c r="D3307" s="29" t="s">
        <v>33429</v>
      </c>
      <c r="E3307" s="29" t="s">
        <v>46599</v>
      </c>
      <c r="F3307" s="36" t="s">
        <v>54401</v>
      </c>
      <c r="G3307" s="39">
        <v>4470137.33</v>
      </c>
      <c r="H3307" s="42">
        <v>211</v>
      </c>
    </row>
    <row r="3308" spans="1:8" ht="15" customHeight="1">
      <c r="A3308" s="26">
        <v>24146758</v>
      </c>
      <c r="B3308" s="29" t="s">
        <v>5546</v>
      </c>
      <c r="C3308" s="29" t="s">
        <v>20219</v>
      </c>
      <c r="D3308" s="29" t="s">
        <v>33430</v>
      </c>
      <c r="E3308" s="29" t="s">
        <v>46600</v>
      </c>
      <c r="F3308" s="36" t="s">
        <v>54401</v>
      </c>
      <c r="G3308" s="39">
        <v>3206463.07</v>
      </c>
      <c r="H3308" s="42">
        <v>211</v>
      </c>
    </row>
    <row r="3309" spans="1:8" ht="15" customHeight="1">
      <c r="A3309" s="26">
        <v>24148802</v>
      </c>
      <c r="B3309" s="29" t="s">
        <v>5547</v>
      </c>
      <c r="C3309" s="29" t="s">
        <v>20220</v>
      </c>
      <c r="D3309" s="29" t="s">
        <v>33431</v>
      </c>
      <c r="E3309" s="29" t="s">
        <v>46601</v>
      </c>
      <c r="F3309" s="36" t="s">
        <v>54401</v>
      </c>
      <c r="G3309" s="39">
        <v>118625.41</v>
      </c>
      <c r="H3309" s="42">
        <v>211</v>
      </c>
    </row>
    <row r="3310" spans="1:8" ht="15" customHeight="1">
      <c r="A3310" s="26">
        <v>24149162</v>
      </c>
      <c r="B3310" s="29" t="s">
        <v>5548</v>
      </c>
      <c r="C3310" s="29" t="s">
        <v>20221</v>
      </c>
      <c r="D3310" s="29" t="s">
        <v>33432</v>
      </c>
      <c r="E3310" s="29" t="s">
        <v>46602</v>
      </c>
      <c r="F3310" s="36" t="s">
        <v>54430</v>
      </c>
      <c r="G3310" s="39">
        <v>2901685.05</v>
      </c>
      <c r="H3310" s="42">
        <v>211</v>
      </c>
    </row>
    <row r="3311" spans="1:8" ht="15" customHeight="1">
      <c r="A3311" s="26">
        <v>24149408</v>
      </c>
      <c r="B3311" s="29" t="s">
        <v>5549</v>
      </c>
      <c r="C3311" s="29" t="s">
        <v>20222</v>
      </c>
      <c r="D3311" s="29" t="s">
        <v>33433</v>
      </c>
      <c r="E3311" s="29" t="s">
        <v>46603</v>
      </c>
      <c r="F3311" s="36" t="s">
        <v>54430</v>
      </c>
      <c r="G3311" s="39">
        <f>9996954.73-14319</f>
        <v>9982635.7300000004</v>
      </c>
      <c r="H3311" s="42">
        <v>211</v>
      </c>
    </row>
    <row r="3312" spans="1:8" ht="15" customHeight="1">
      <c r="A3312" s="26">
        <v>24149433</v>
      </c>
      <c r="B3312" s="29" t="s">
        <v>5550</v>
      </c>
      <c r="C3312" s="29" t="s">
        <v>20223</v>
      </c>
      <c r="D3312" s="29" t="s">
        <v>30349</v>
      </c>
      <c r="E3312" s="29" t="s">
        <v>43926</v>
      </c>
      <c r="F3312" s="36" t="s">
        <v>54401</v>
      </c>
      <c r="G3312" s="39">
        <v>509282.26</v>
      </c>
      <c r="H3312" s="42">
        <v>211</v>
      </c>
    </row>
    <row r="3313" spans="1:8" ht="15" customHeight="1">
      <c r="A3313" s="26">
        <v>24149510</v>
      </c>
      <c r="B3313" s="29" t="s">
        <v>5551</v>
      </c>
      <c r="C3313" s="29" t="s">
        <v>20224</v>
      </c>
      <c r="D3313" s="29" t="s">
        <v>33434</v>
      </c>
      <c r="E3313" s="29" t="s">
        <v>46604</v>
      </c>
      <c r="F3313" s="36" t="s">
        <v>54430</v>
      </c>
      <c r="G3313" s="39">
        <v>5544610.3700000001</v>
      </c>
      <c r="H3313" s="42">
        <v>211</v>
      </c>
    </row>
    <row r="3314" spans="1:8" ht="15" customHeight="1">
      <c r="A3314" s="26">
        <v>24149573</v>
      </c>
      <c r="B3314" s="29" t="s">
        <v>5552</v>
      </c>
      <c r="C3314" s="26" t="s">
        <v>20225</v>
      </c>
      <c r="D3314" s="26" t="s">
        <v>33435</v>
      </c>
      <c r="E3314" s="26" t="s">
        <v>46605</v>
      </c>
      <c r="F3314" s="37" t="s">
        <v>54401</v>
      </c>
      <c r="G3314" s="39">
        <v>175103.95</v>
      </c>
      <c r="H3314" s="42">
        <v>211</v>
      </c>
    </row>
    <row r="3315" spans="1:8" ht="15" customHeight="1">
      <c r="A3315" s="26">
        <v>24149684</v>
      </c>
      <c r="B3315" s="29" t="s">
        <v>5553</v>
      </c>
      <c r="C3315" s="29" t="s">
        <v>20226</v>
      </c>
      <c r="D3315" s="29" t="s">
        <v>33436</v>
      </c>
      <c r="E3315" s="29" t="s">
        <v>46606</v>
      </c>
      <c r="F3315" s="36" t="s">
        <v>54401</v>
      </c>
      <c r="G3315" s="39">
        <f>4056692.51-11596</f>
        <v>4045096.51</v>
      </c>
      <c r="H3315" s="42">
        <v>211</v>
      </c>
    </row>
    <row r="3316" spans="1:8" ht="15" customHeight="1">
      <c r="A3316" s="26">
        <v>24149728</v>
      </c>
      <c r="B3316" s="29" t="s">
        <v>5554</v>
      </c>
      <c r="C3316" s="29" t="s">
        <v>20227</v>
      </c>
      <c r="D3316" s="29" t="s">
        <v>33437</v>
      </c>
      <c r="E3316" s="29" t="s">
        <v>46607</v>
      </c>
      <c r="F3316" s="36" t="s">
        <v>54401</v>
      </c>
      <c r="G3316" s="39">
        <v>346970.83</v>
      </c>
      <c r="H3316" s="42">
        <v>211</v>
      </c>
    </row>
    <row r="3317" spans="1:8" ht="15" customHeight="1">
      <c r="A3317" s="26">
        <v>24149862</v>
      </c>
      <c r="B3317" s="29" t="s">
        <v>5555</v>
      </c>
      <c r="C3317" s="29" t="s">
        <v>20228</v>
      </c>
      <c r="D3317" s="29" t="s">
        <v>33438</v>
      </c>
      <c r="E3317" s="29" t="s">
        <v>46608</v>
      </c>
      <c r="F3317" s="36" t="s">
        <v>54401</v>
      </c>
      <c r="G3317" s="39">
        <v>693514</v>
      </c>
      <c r="H3317" s="42">
        <v>211</v>
      </c>
    </row>
    <row r="3318" spans="1:8" ht="15" customHeight="1">
      <c r="A3318" s="26">
        <v>24149970</v>
      </c>
      <c r="B3318" s="29" t="s">
        <v>5556</v>
      </c>
      <c r="C3318" s="29" t="s">
        <v>20229</v>
      </c>
      <c r="D3318" s="29" t="s">
        <v>33439</v>
      </c>
      <c r="E3318" s="29" t="s">
        <v>46609</v>
      </c>
      <c r="F3318" s="36" t="s">
        <v>54401</v>
      </c>
      <c r="G3318" s="39">
        <v>161679.49</v>
      </c>
      <c r="H3318" s="42">
        <v>211</v>
      </c>
    </row>
    <row r="3319" spans="1:8" ht="15" customHeight="1">
      <c r="A3319" s="26">
        <v>24149993</v>
      </c>
      <c r="B3319" s="29" t="s">
        <v>5557</v>
      </c>
      <c r="C3319" s="29" t="s">
        <v>20230</v>
      </c>
      <c r="D3319" s="29" t="s">
        <v>33440</v>
      </c>
      <c r="E3319" s="29" t="s">
        <v>46610</v>
      </c>
      <c r="F3319" s="36" t="s">
        <v>54430</v>
      </c>
      <c r="G3319" s="39">
        <f>3983091.09-66213</f>
        <v>3916878.09</v>
      </c>
      <c r="H3319" s="42">
        <v>211</v>
      </c>
    </row>
    <row r="3320" spans="1:8" ht="15" customHeight="1">
      <c r="A3320" s="26">
        <v>24161210</v>
      </c>
      <c r="B3320" s="29" t="s">
        <v>5558</v>
      </c>
      <c r="C3320" s="29" t="s">
        <v>17204</v>
      </c>
      <c r="D3320" s="29" t="s">
        <v>33441</v>
      </c>
      <c r="E3320" s="29" t="s">
        <v>43926</v>
      </c>
      <c r="F3320" s="36" t="s">
        <v>54401</v>
      </c>
      <c r="G3320" s="39">
        <v>147316.34</v>
      </c>
      <c r="H3320" s="42">
        <v>211</v>
      </c>
    </row>
    <row r="3321" spans="1:8" ht="15" customHeight="1">
      <c r="A3321" s="26">
        <v>24163662</v>
      </c>
      <c r="B3321" s="29" t="s">
        <v>5559</v>
      </c>
      <c r="C3321" s="29" t="s">
        <v>20231</v>
      </c>
      <c r="D3321" s="29" t="s">
        <v>33442</v>
      </c>
      <c r="E3321" s="29" t="s">
        <v>46611</v>
      </c>
      <c r="F3321" s="36" t="s">
        <v>54401</v>
      </c>
      <c r="G3321" s="39">
        <f>3966350.03+1559537</f>
        <v>5525887.0299999993</v>
      </c>
      <c r="H3321" s="42">
        <v>211</v>
      </c>
    </row>
    <row r="3322" spans="1:8" ht="15" customHeight="1">
      <c r="A3322" s="26">
        <v>24166320</v>
      </c>
      <c r="B3322" s="29" t="s">
        <v>5560</v>
      </c>
      <c r="C3322" s="29" t="s">
        <v>20232</v>
      </c>
      <c r="D3322" s="29" t="s">
        <v>33443</v>
      </c>
      <c r="E3322" s="29" t="s">
        <v>44520</v>
      </c>
      <c r="F3322" s="36" t="s">
        <v>54401</v>
      </c>
      <c r="G3322" s="39">
        <v>37174.29</v>
      </c>
      <c r="H3322" s="42">
        <v>211</v>
      </c>
    </row>
    <row r="3323" spans="1:8" ht="15" customHeight="1">
      <c r="A3323" s="26">
        <v>24166344</v>
      </c>
      <c r="B3323" s="29" t="s">
        <v>5561</v>
      </c>
      <c r="C3323" s="29" t="s">
        <v>20233</v>
      </c>
      <c r="D3323" s="29" t="s">
        <v>33444</v>
      </c>
      <c r="E3323" s="29" t="s">
        <v>46612</v>
      </c>
      <c r="F3323" s="36" t="s">
        <v>54409</v>
      </c>
      <c r="G3323" s="39">
        <v>3168185.71</v>
      </c>
      <c r="H3323" s="42">
        <v>211</v>
      </c>
    </row>
    <row r="3324" spans="1:8" ht="15" customHeight="1">
      <c r="A3324" s="26">
        <v>24166373</v>
      </c>
      <c r="B3324" s="29" t="s">
        <v>5562</v>
      </c>
      <c r="C3324" s="29" t="s">
        <v>20234</v>
      </c>
      <c r="D3324" s="29" t="s">
        <v>33445</v>
      </c>
      <c r="E3324" s="29" t="s">
        <v>46613</v>
      </c>
      <c r="F3324" s="36" t="s">
        <v>54401</v>
      </c>
      <c r="G3324" s="39">
        <v>59795.45</v>
      </c>
      <c r="H3324" s="42">
        <v>211</v>
      </c>
    </row>
    <row r="3325" spans="1:8" ht="15" customHeight="1">
      <c r="A3325" s="26">
        <v>24166562</v>
      </c>
      <c r="B3325" s="29" t="s">
        <v>5563</v>
      </c>
      <c r="C3325" s="29" t="s">
        <v>20235</v>
      </c>
      <c r="D3325" s="29" t="s">
        <v>33446</v>
      </c>
      <c r="E3325" s="29" t="s">
        <v>46614</v>
      </c>
      <c r="F3325" s="36" t="s">
        <v>54412</v>
      </c>
      <c r="G3325" s="39">
        <v>441617.85</v>
      </c>
      <c r="H3325" s="42">
        <v>211</v>
      </c>
    </row>
    <row r="3326" spans="1:8" ht="15" customHeight="1">
      <c r="A3326" s="26">
        <v>24166569</v>
      </c>
      <c r="B3326" s="29" t="s">
        <v>5564</v>
      </c>
      <c r="C3326" s="29" t="s">
        <v>20236</v>
      </c>
      <c r="D3326" s="29" t="s">
        <v>32211</v>
      </c>
      <c r="E3326" s="29" t="s">
        <v>46615</v>
      </c>
      <c r="F3326" s="36" t="s">
        <v>54401</v>
      </c>
      <c r="G3326" s="39">
        <v>40890.75</v>
      </c>
      <c r="H3326" s="42">
        <v>211</v>
      </c>
    </row>
    <row r="3327" spans="1:8" ht="15" customHeight="1">
      <c r="A3327" s="26">
        <v>24166575</v>
      </c>
      <c r="B3327" s="29" t="s">
        <v>5565</v>
      </c>
      <c r="C3327" s="29" t="s">
        <v>20237</v>
      </c>
      <c r="D3327" s="29" t="s">
        <v>33447</v>
      </c>
      <c r="E3327" s="29" t="s">
        <v>46616</v>
      </c>
      <c r="F3327" s="36" t="s">
        <v>54401</v>
      </c>
      <c r="G3327" s="39">
        <f>1372163.41-168348</f>
        <v>1203815.4099999999</v>
      </c>
      <c r="H3327" s="42">
        <v>211</v>
      </c>
    </row>
    <row r="3328" spans="1:8" ht="15" customHeight="1">
      <c r="A3328" s="26">
        <v>24166584</v>
      </c>
      <c r="B3328" s="29" t="s">
        <v>5566</v>
      </c>
      <c r="C3328" s="29" t="s">
        <v>20238</v>
      </c>
      <c r="D3328" s="29" t="s">
        <v>33448</v>
      </c>
      <c r="E3328" s="29" t="s">
        <v>46617</v>
      </c>
      <c r="F3328" s="36" t="s">
        <v>54409</v>
      </c>
      <c r="G3328" s="39">
        <f>149932.77+5038928-47142</f>
        <v>5141718.7699999996</v>
      </c>
      <c r="H3328" s="42">
        <v>211</v>
      </c>
    </row>
    <row r="3329" spans="1:8" ht="15" customHeight="1">
      <c r="A3329" s="26">
        <v>24166669</v>
      </c>
      <c r="B3329" s="29" t="s">
        <v>5567</v>
      </c>
      <c r="C3329" s="29" t="s">
        <v>20239</v>
      </c>
      <c r="D3329" s="29" t="s">
        <v>33449</v>
      </c>
      <c r="E3329" s="29" t="s">
        <v>46618</v>
      </c>
      <c r="F3329" s="36" t="s">
        <v>54409</v>
      </c>
      <c r="G3329" s="39">
        <f>9457072.42-52850</f>
        <v>9404222.4199999999</v>
      </c>
      <c r="H3329" s="42">
        <v>211</v>
      </c>
    </row>
    <row r="3330" spans="1:8" ht="15" customHeight="1">
      <c r="A3330" s="26">
        <v>24166680</v>
      </c>
      <c r="B3330" s="29" t="s">
        <v>5568</v>
      </c>
      <c r="C3330" s="29" t="s">
        <v>20240</v>
      </c>
      <c r="D3330" s="29" t="s">
        <v>33450</v>
      </c>
      <c r="E3330" s="29" t="s">
        <v>46619</v>
      </c>
      <c r="F3330" s="36" t="s">
        <v>54409</v>
      </c>
      <c r="G3330" s="39">
        <v>3729096.33</v>
      </c>
      <c r="H3330" s="42">
        <v>211</v>
      </c>
    </row>
    <row r="3331" spans="1:8" ht="15" customHeight="1">
      <c r="A3331" s="26">
        <v>24166729</v>
      </c>
      <c r="B3331" s="29" t="s">
        <v>5569</v>
      </c>
      <c r="C3331" s="29" t="s">
        <v>17337</v>
      </c>
      <c r="D3331" s="29" t="s">
        <v>30376</v>
      </c>
      <c r="E3331" s="29" t="s">
        <v>46620</v>
      </c>
      <c r="F3331" s="36" t="s">
        <v>54401</v>
      </c>
      <c r="G3331" s="39">
        <v>17641.46</v>
      </c>
      <c r="H3331" s="42">
        <v>211</v>
      </c>
    </row>
    <row r="3332" spans="1:8" ht="15" customHeight="1">
      <c r="A3332" s="26">
        <v>24166763</v>
      </c>
      <c r="B3332" s="29" t="s">
        <v>5570</v>
      </c>
      <c r="C3332" s="29" t="s">
        <v>20241</v>
      </c>
      <c r="D3332" s="29" t="s">
        <v>33451</v>
      </c>
      <c r="E3332" s="29" t="s">
        <v>45967</v>
      </c>
      <c r="F3332" s="36" t="s">
        <v>54401</v>
      </c>
      <c r="G3332" s="39">
        <v>17881.400000000001</v>
      </c>
      <c r="H3332" s="42">
        <v>211</v>
      </c>
    </row>
    <row r="3333" spans="1:8" ht="15" customHeight="1">
      <c r="A3333" s="26">
        <v>24166786</v>
      </c>
      <c r="B3333" s="29" t="s">
        <v>5571</v>
      </c>
      <c r="C3333" s="29" t="s">
        <v>20242</v>
      </c>
      <c r="D3333" s="29" t="s">
        <v>33452</v>
      </c>
      <c r="E3333" s="29" t="s">
        <v>43926</v>
      </c>
      <c r="F3333" s="36" t="s">
        <v>54401</v>
      </c>
      <c r="G3333" s="39">
        <f>418756.07+368018+199402+104003</f>
        <v>1090179.07</v>
      </c>
      <c r="H3333" s="42">
        <v>211</v>
      </c>
    </row>
    <row r="3334" spans="1:8" ht="15" customHeight="1">
      <c r="A3334" s="26">
        <v>24166820</v>
      </c>
      <c r="B3334" s="29" t="s">
        <v>5572</v>
      </c>
      <c r="C3334" s="29" t="s">
        <v>20243</v>
      </c>
      <c r="D3334" s="29" t="s">
        <v>33453</v>
      </c>
      <c r="E3334" s="29" t="s">
        <v>46621</v>
      </c>
      <c r="F3334" s="36" t="s">
        <v>54401</v>
      </c>
      <c r="G3334" s="39">
        <f>712046.45+491335</f>
        <v>1203381.45</v>
      </c>
      <c r="H3334" s="42">
        <v>211</v>
      </c>
    </row>
    <row r="3335" spans="1:8" ht="15" customHeight="1">
      <c r="A3335" s="26">
        <v>24166831</v>
      </c>
      <c r="B3335" s="29" t="s">
        <v>5573</v>
      </c>
      <c r="C3335" s="29" t="s">
        <v>20244</v>
      </c>
      <c r="D3335" s="29" t="s">
        <v>33454</v>
      </c>
      <c r="E3335" s="29" t="s">
        <v>46622</v>
      </c>
      <c r="F3335" s="36" t="s">
        <v>54401</v>
      </c>
      <c r="G3335" s="39">
        <v>2051498.92</v>
      </c>
      <c r="H3335" s="42">
        <v>211</v>
      </c>
    </row>
    <row r="3336" spans="1:8" ht="15" customHeight="1">
      <c r="A3336" s="26">
        <v>24166832</v>
      </c>
      <c r="B3336" s="29" t="s">
        <v>5574</v>
      </c>
      <c r="C3336" s="29" t="s">
        <v>20245</v>
      </c>
      <c r="D3336" s="29" t="s">
        <v>33455</v>
      </c>
      <c r="E3336" s="29" t="s">
        <v>46623</v>
      </c>
      <c r="F3336" s="36" t="s">
        <v>54401</v>
      </c>
      <c r="G3336" s="39">
        <v>827578.87</v>
      </c>
      <c r="H3336" s="42">
        <v>211</v>
      </c>
    </row>
    <row r="3337" spans="1:8" ht="15" customHeight="1">
      <c r="A3337" s="26">
        <v>24166900</v>
      </c>
      <c r="B3337" s="29" t="s">
        <v>5575</v>
      </c>
      <c r="C3337" s="29" t="s">
        <v>20246</v>
      </c>
      <c r="D3337" s="29" t="s">
        <v>33456</v>
      </c>
      <c r="E3337" s="29" t="s">
        <v>46624</v>
      </c>
      <c r="F3337" s="36" t="s">
        <v>54401</v>
      </c>
      <c r="G3337" s="39">
        <v>22336.13</v>
      </c>
      <c r="H3337" s="42">
        <v>211</v>
      </c>
    </row>
    <row r="3338" spans="1:8" ht="15" customHeight="1">
      <c r="A3338" s="26">
        <v>24166917</v>
      </c>
      <c r="B3338" s="29" t="s">
        <v>5576</v>
      </c>
      <c r="C3338" s="29" t="s">
        <v>20247</v>
      </c>
      <c r="D3338" s="29" t="s">
        <v>33457</v>
      </c>
      <c r="E3338" s="29" t="s">
        <v>46625</v>
      </c>
      <c r="F3338" s="36" t="s">
        <v>54409</v>
      </c>
      <c r="G3338" s="39">
        <f>1525757.21+37630142-133694</f>
        <v>39022205.210000001</v>
      </c>
      <c r="H3338" s="42">
        <v>211</v>
      </c>
    </row>
    <row r="3339" spans="1:8" ht="15" customHeight="1">
      <c r="A3339" s="26">
        <v>24166929</v>
      </c>
      <c r="B3339" s="29" t="s">
        <v>5577</v>
      </c>
      <c r="C3339" s="29" t="s">
        <v>20248</v>
      </c>
      <c r="D3339" s="29" t="s">
        <v>33458</v>
      </c>
      <c r="E3339" s="29" t="s">
        <v>46626</v>
      </c>
      <c r="F3339" s="36" t="s">
        <v>54409</v>
      </c>
      <c r="G3339" s="39">
        <f>4330924.4+1263150</f>
        <v>5594074.4000000004</v>
      </c>
      <c r="H3339" s="42">
        <v>211</v>
      </c>
    </row>
    <row r="3340" spans="1:8" ht="15" customHeight="1">
      <c r="A3340" s="26">
        <v>24166945</v>
      </c>
      <c r="B3340" s="29" t="s">
        <v>5578</v>
      </c>
      <c r="C3340" s="29" t="s">
        <v>20249</v>
      </c>
      <c r="D3340" s="29" t="s">
        <v>33459</v>
      </c>
      <c r="E3340" s="29" t="s">
        <v>43926</v>
      </c>
      <c r="F3340" s="36" t="s">
        <v>54401</v>
      </c>
      <c r="G3340" s="39">
        <v>610247.34</v>
      </c>
      <c r="H3340" s="42">
        <v>211</v>
      </c>
    </row>
    <row r="3341" spans="1:8" ht="15" customHeight="1">
      <c r="A3341" s="26">
        <v>24166959</v>
      </c>
      <c r="B3341" s="29" t="s">
        <v>5579</v>
      </c>
      <c r="C3341" s="29" t="s">
        <v>20250</v>
      </c>
      <c r="D3341" s="29" t="s">
        <v>33460</v>
      </c>
      <c r="E3341" s="29" t="s">
        <v>46627</v>
      </c>
      <c r="F3341" s="36" t="s">
        <v>54401</v>
      </c>
      <c r="G3341" s="39">
        <v>1724487.21</v>
      </c>
      <c r="H3341" s="42">
        <v>211</v>
      </c>
    </row>
    <row r="3342" spans="1:8" ht="15" customHeight="1">
      <c r="A3342" s="26">
        <v>24166966</v>
      </c>
      <c r="B3342" s="29" t="s">
        <v>5580</v>
      </c>
      <c r="C3342" s="29" t="s">
        <v>20251</v>
      </c>
      <c r="D3342" s="29" t="s">
        <v>33461</v>
      </c>
      <c r="E3342" s="29" t="s">
        <v>46628</v>
      </c>
      <c r="F3342" s="36" t="s">
        <v>54401</v>
      </c>
      <c r="G3342" s="39">
        <v>389500.24</v>
      </c>
      <c r="H3342" s="42">
        <v>211</v>
      </c>
    </row>
    <row r="3343" spans="1:8" ht="15" customHeight="1">
      <c r="A3343" s="26">
        <v>24166974</v>
      </c>
      <c r="B3343" s="29" t="s">
        <v>5581</v>
      </c>
      <c r="C3343" s="26" t="s">
        <v>17204</v>
      </c>
      <c r="D3343" s="26" t="s">
        <v>33462</v>
      </c>
      <c r="E3343" s="26" t="s">
        <v>44923</v>
      </c>
      <c r="F3343" s="37" t="s">
        <v>54406</v>
      </c>
      <c r="G3343" s="39">
        <v>11369.75</v>
      </c>
      <c r="H3343" s="42">
        <v>211</v>
      </c>
    </row>
    <row r="3344" spans="1:8" ht="15" customHeight="1">
      <c r="A3344" s="26">
        <v>24166982</v>
      </c>
      <c r="B3344" s="29" t="s">
        <v>5582</v>
      </c>
      <c r="C3344" s="29" t="s">
        <v>20252</v>
      </c>
      <c r="D3344" s="29" t="s">
        <v>33463</v>
      </c>
      <c r="E3344" s="29" t="s">
        <v>46629</v>
      </c>
      <c r="F3344" s="36" t="s">
        <v>54401</v>
      </c>
      <c r="G3344" s="39">
        <v>113599.53</v>
      </c>
      <c r="H3344" s="42">
        <v>211</v>
      </c>
    </row>
    <row r="3345" spans="1:8" ht="15" customHeight="1">
      <c r="A3345" s="26">
        <v>24166986</v>
      </c>
      <c r="B3345" s="29" t="s">
        <v>5583</v>
      </c>
      <c r="C3345" s="29" t="s">
        <v>20253</v>
      </c>
      <c r="D3345" s="29" t="s">
        <v>33464</v>
      </c>
      <c r="E3345" s="29" t="s">
        <v>46630</v>
      </c>
      <c r="F3345" s="36" t="s">
        <v>54401</v>
      </c>
      <c r="G3345" s="39">
        <v>238007.08</v>
      </c>
      <c r="H3345" s="42">
        <v>211</v>
      </c>
    </row>
    <row r="3346" spans="1:8" ht="15" customHeight="1">
      <c r="A3346" s="26">
        <v>24166994</v>
      </c>
      <c r="B3346" s="29" t="s">
        <v>5584</v>
      </c>
      <c r="C3346" s="29" t="s">
        <v>20254</v>
      </c>
      <c r="D3346" s="29" t="s">
        <v>33465</v>
      </c>
      <c r="E3346" s="29" t="s">
        <v>46041</v>
      </c>
      <c r="F3346" s="36" t="s">
        <v>54401</v>
      </c>
      <c r="G3346" s="39">
        <v>4320161.2300000004</v>
      </c>
      <c r="H3346" s="42">
        <v>211</v>
      </c>
    </row>
    <row r="3347" spans="1:8" ht="15" customHeight="1">
      <c r="A3347" s="26">
        <v>24166996</v>
      </c>
      <c r="B3347" s="29" t="s">
        <v>5585</v>
      </c>
      <c r="C3347" s="29" t="s">
        <v>17204</v>
      </c>
      <c r="D3347" s="29" t="s">
        <v>33466</v>
      </c>
      <c r="E3347" s="29" t="s">
        <v>46631</v>
      </c>
      <c r="F3347" s="36" t="s">
        <v>54401</v>
      </c>
      <c r="G3347" s="39">
        <v>322460.5</v>
      </c>
      <c r="H3347" s="42">
        <v>211</v>
      </c>
    </row>
    <row r="3348" spans="1:8" ht="15" customHeight="1">
      <c r="A3348" s="26">
        <v>24167045</v>
      </c>
      <c r="B3348" s="29" t="s">
        <v>5586</v>
      </c>
      <c r="C3348" s="29" t="s">
        <v>20255</v>
      </c>
      <c r="D3348" s="29" t="s">
        <v>33467</v>
      </c>
      <c r="E3348" s="29" t="s">
        <v>46632</v>
      </c>
      <c r="F3348" s="36" t="s">
        <v>54409</v>
      </c>
      <c r="G3348" s="39">
        <v>4519380.4000000004</v>
      </c>
      <c r="H3348" s="42">
        <v>211</v>
      </c>
    </row>
    <row r="3349" spans="1:8" ht="15" customHeight="1">
      <c r="A3349" s="26">
        <v>24167153</v>
      </c>
      <c r="B3349" s="29" t="s">
        <v>5587</v>
      </c>
      <c r="C3349" s="29" t="s">
        <v>20256</v>
      </c>
      <c r="D3349" s="29" t="s">
        <v>33468</v>
      </c>
      <c r="E3349" s="29" t="s">
        <v>46633</v>
      </c>
      <c r="F3349" s="36" t="s">
        <v>54401</v>
      </c>
      <c r="G3349" s="39">
        <v>1333387.32</v>
      </c>
      <c r="H3349" s="42">
        <v>211</v>
      </c>
    </row>
    <row r="3350" spans="1:8" ht="15" customHeight="1">
      <c r="A3350" s="26">
        <v>24167170</v>
      </c>
      <c r="B3350" s="29" t="s">
        <v>5588</v>
      </c>
      <c r="C3350" s="29" t="s">
        <v>17204</v>
      </c>
      <c r="D3350" s="29" t="s">
        <v>30349</v>
      </c>
      <c r="E3350" s="29" t="s">
        <v>43926</v>
      </c>
      <c r="F3350" s="36" t="s">
        <v>54401</v>
      </c>
      <c r="G3350" s="39">
        <v>16337.31</v>
      </c>
      <c r="H3350" s="42">
        <v>211</v>
      </c>
    </row>
    <row r="3351" spans="1:8" ht="15" customHeight="1">
      <c r="A3351" s="26">
        <v>24167182</v>
      </c>
      <c r="B3351" s="29" t="s">
        <v>5589</v>
      </c>
      <c r="C3351" s="29" t="s">
        <v>20257</v>
      </c>
      <c r="D3351" s="29" t="s">
        <v>33469</v>
      </c>
      <c r="E3351" s="29" t="s">
        <v>43926</v>
      </c>
      <c r="F3351" s="36" t="s">
        <v>54409</v>
      </c>
      <c r="G3351" s="39">
        <v>81627.100000000006</v>
      </c>
      <c r="H3351" s="42">
        <v>211</v>
      </c>
    </row>
    <row r="3352" spans="1:8" ht="15" customHeight="1">
      <c r="A3352" s="26">
        <v>24167228</v>
      </c>
      <c r="B3352" s="29" t="s">
        <v>5590</v>
      </c>
      <c r="C3352" s="29" t="s">
        <v>20258</v>
      </c>
      <c r="D3352" s="29" t="s">
        <v>33470</v>
      </c>
      <c r="E3352" s="29" t="s">
        <v>46634</v>
      </c>
      <c r="F3352" s="36" t="s">
        <v>54409</v>
      </c>
      <c r="G3352" s="39">
        <v>1159722.5900000001</v>
      </c>
      <c r="H3352" s="42">
        <v>211</v>
      </c>
    </row>
    <row r="3353" spans="1:8" ht="15" customHeight="1">
      <c r="A3353" s="26">
        <v>24167252</v>
      </c>
      <c r="B3353" s="29" t="s">
        <v>5591</v>
      </c>
      <c r="C3353" s="26" t="s">
        <v>20259</v>
      </c>
      <c r="D3353" s="26" t="s">
        <v>30376</v>
      </c>
      <c r="E3353" s="26" t="s">
        <v>46635</v>
      </c>
      <c r="F3353" s="37" t="s">
        <v>54409</v>
      </c>
      <c r="G3353" s="39">
        <f>654039.65+411432</f>
        <v>1065471.6499999999</v>
      </c>
      <c r="H3353" s="42">
        <v>211</v>
      </c>
    </row>
    <row r="3354" spans="1:8" ht="15" customHeight="1">
      <c r="A3354" s="26">
        <v>24167262</v>
      </c>
      <c r="B3354" s="29" t="s">
        <v>5592</v>
      </c>
      <c r="C3354" s="29" t="s">
        <v>20260</v>
      </c>
      <c r="D3354" s="29" t="s">
        <v>33471</v>
      </c>
      <c r="E3354" s="29" t="s">
        <v>46636</v>
      </c>
      <c r="F3354" s="36" t="s">
        <v>54401</v>
      </c>
      <c r="G3354" s="39">
        <v>8010374.3099999996</v>
      </c>
      <c r="H3354" s="42">
        <v>211</v>
      </c>
    </row>
    <row r="3355" spans="1:8" ht="15" customHeight="1">
      <c r="A3355" s="26">
        <v>24167268</v>
      </c>
      <c r="B3355" s="29" t="s">
        <v>5593</v>
      </c>
      <c r="C3355" s="26" t="s">
        <v>20261</v>
      </c>
      <c r="D3355" s="26" t="s">
        <v>33472</v>
      </c>
      <c r="E3355" s="26" t="s">
        <v>46637</v>
      </c>
      <c r="F3355" s="37" t="s">
        <v>54401</v>
      </c>
      <c r="G3355" s="39">
        <v>577229.44999999995</v>
      </c>
      <c r="H3355" s="42">
        <v>211</v>
      </c>
    </row>
    <row r="3356" spans="1:8" ht="15" customHeight="1">
      <c r="A3356" s="26">
        <v>24167271</v>
      </c>
      <c r="B3356" s="29" t="s">
        <v>5594</v>
      </c>
      <c r="C3356" s="29" t="s">
        <v>20262</v>
      </c>
      <c r="D3356" s="29" t="s">
        <v>33473</v>
      </c>
      <c r="E3356" s="29" t="s">
        <v>43926</v>
      </c>
      <c r="F3356" s="36" t="s">
        <v>54401</v>
      </c>
      <c r="G3356" s="39">
        <f>1073890.99+385540</f>
        <v>1459430.99</v>
      </c>
      <c r="H3356" s="42">
        <v>211</v>
      </c>
    </row>
    <row r="3357" spans="1:8" ht="15" customHeight="1">
      <c r="A3357" s="26">
        <v>24167307</v>
      </c>
      <c r="B3357" s="29" t="s">
        <v>5595</v>
      </c>
      <c r="C3357" s="29" t="s">
        <v>20263</v>
      </c>
      <c r="D3357" s="29" t="s">
        <v>33474</v>
      </c>
      <c r="E3357" s="29" t="s">
        <v>46638</v>
      </c>
      <c r="F3357" s="36" t="s">
        <v>54401</v>
      </c>
      <c r="G3357" s="39">
        <v>72696.89</v>
      </c>
      <c r="H3357" s="42">
        <v>211</v>
      </c>
    </row>
    <row r="3358" spans="1:8" ht="15" customHeight="1">
      <c r="A3358" s="26">
        <v>24167390</v>
      </c>
      <c r="B3358" s="29" t="s">
        <v>5596</v>
      </c>
      <c r="C3358" s="29" t="s">
        <v>20264</v>
      </c>
      <c r="D3358" s="29" t="s">
        <v>33475</v>
      </c>
      <c r="E3358" s="29" t="s">
        <v>46639</v>
      </c>
      <c r="F3358" s="36" t="s">
        <v>54409</v>
      </c>
      <c r="G3358" s="39">
        <f>1646917.35-251098</f>
        <v>1395819.35</v>
      </c>
      <c r="H3358" s="42">
        <v>211</v>
      </c>
    </row>
    <row r="3359" spans="1:8" ht="15" customHeight="1">
      <c r="A3359" s="26">
        <v>24167413</v>
      </c>
      <c r="B3359" s="29" t="s">
        <v>5597</v>
      </c>
      <c r="C3359" s="29" t="s">
        <v>20265</v>
      </c>
      <c r="D3359" s="29" t="s">
        <v>33476</v>
      </c>
      <c r="E3359" s="29" t="s">
        <v>46640</v>
      </c>
      <c r="F3359" s="36" t="s">
        <v>54401</v>
      </c>
      <c r="G3359" s="39">
        <v>672693.78</v>
      </c>
      <c r="H3359" s="42">
        <v>211</v>
      </c>
    </row>
    <row r="3360" spans="1:8" ht="15" customHeight="1">
      <c r="A3360" s="26">
        <v>24167417</v>
      </c>
      <c r="B3360" s="29" t="s">
        <v>5598</v>
      </c>
      <c r="C3360" s="29" t="s">
        <v>20266</v>
      </c>
      <c r="D3360" s="29" t="s">
        <v>33477</v>
      </c>
      <c r="E3360" s="29" t="s">
        <v>46641</v>
      </c>
      <c r="F3360" s="36" t="s">
        <v>54409</v>
      </c>
      <c r="G3360" s="39">
        <f>46428.57+8795158</f>
        <v>8841586.5700000003</v>
      </c>
      <c r="H3360" s="42">
        <v>211</v>
      </c>
    </row>
    <row r="3361" spans="1:8" ht="15" customHeight="1">
      <c r="A3361" s="26">
        <v>24167420</v>
      </c>
      <c r="B3361" s="29" t="s">
        <v>5599</v>
      </c>
      <c r="C3361" s="29" t="s">
        <v>20267</v>
      </c>
      <c r="D3361" s="29" t="s">
        <v>33478</v>
      </c>
      <c r="E3361" s="29" t="s">
        <v>46642</v>
      </c>
      <c r="F3361" s="36" t="s">
        <v>54401</v>
      </c>
      <c r="G3361" s="39">
        <v>76960.5</v>
      </c>
      <c r="H3361" s="42">
        <v>211</v>
      </c>
    </row>
    <row r="3362" spans="1:8" ht="15" customHeight="1">
      <c r="A3362" s="26">
        <v>24167457</v>
      </c>
      <c r="B3362" s="29" t="s">
        <v>5600</v>
      </c>
      <c r="C3362" s="29" t="s">
        <v>20268</v>
      </c>
      <c r="D3362" s="29" t="s">
        <v>30714</v>
      </c>
      <c r="E3362" s="29" t="s">
        <v>46643</v>
      </c>
      <c r="F3362" s="36" t="s">
        <v>54409</v>
      </c>
      <c r="G3362" s="39">
        <v>721845.3</v>
      </c>
      <c r="H3362" s="42">
        <v>211</v>
      </c>
    </row>
    <row r="3363" spans="1:8" ht="15" customHeight="1">
      <c r="A3363" s="26">
        <v>24167486</v>
      </c>
      <c r="B3363" s="29" t="s">
        <v>5601</v>
      </c>
      <c r="C3363" s="29" t="s">
        <v>20269</v>
      </c>
      <c r="D3363" s="29" t="s">
        <v>33479</v>
      </c>
      <c r="E3363" s="29" t="s">
        <v>46644</v>
      </c>
      <c r="F3363" s="36" t="s">
        <v>54401</v>
      </c>
      <c r="G3363" s="39">
        <v>1500688.76</v>
      </c>
      <c r="H3363" s="42">
        <v>211</v>
      </c>
    </row>
    <row r="3364" spans="1:8" ht="15" customHeight="1">
      <c r="A3364" s="26">
        <v>24167496</v>
      </c>
      <c r="B3364" s="29" t="s">
        <v>5602</v>
      </c>
      <c r="C3364" s="29" t="s">
        <v>20270</v>
      </c>
      <c r="D3364" s="29" t="s">
        <v>33480</v>
      </c>
      <c r="E3364" s="29" t="s">
        <v>43926</v>
      </c>
      <c r="F3364" s="36" t="s">
        <v>54401</v>
      </c>
      <c r="G3364" s="39">
        <v>1512062.34</v>
      </c>
      <c r="H3364" s="42">
        <v>211</v>
      </c>
    </row>
    <row r="3365" spans="1:8" ht="15" customHeight="1">
      <c r="A3365" s="26">
        <v>24167513</v>
      </c>
      <c r="B3365" s="29" t="s">
        <v>5603</v>
      </c>
      <c r="C3365" s="26" t="s">
        <v>20271</v>
      </c>
      <c r="D3365" s="26" t="s">
        <v>30349</v>
      </c>
      <c r="E3365" s="26" t="s">
        <v>43926</v>
      </c>
      <c r="F3365" s="37" t="s">
        <v>54401</v>
      </c>
      <c r="G3365" s="39">
        <v>297836.88</v>
      </c>
      <c r="H3365" s="42">
        <v>211</v>
      </c>
    </row>
    <row r="3366" spans="1:8" ht="15" customHeight="1">
      <c r="A3366" s="26">
        <v>24167514</v>
      </c>
      <c r="B3366" s="29" t="s">
        <v>5604</v>
      </c>
      <c r="C3366" s="29" t="s">
        <v>20272</v>
      </c>
      <c r="D3366" s="29" t="s">
        <v>33481</v>
      </c>
      <c r="E3366" s="29" t="s">
        <v>46645</v>
      </c>
      <c r="F3366" s="36" t="s">
        <v>54401</v>
      </c>
      <c r="G3366" s="39">
        <v>376416.16</v>
      </c>
      <c r="H3366" s="42">
        <v>211</v>
      </c>
    </row>
    <row r="3367" spans="1:8" ht="15" customHeight="1">
      <c r="A3367" s="26">
        <v>24167559</v>
      </c>
      <c r="B3367" s="29" t="s">
        <v>5605</v>
      </c>
      <c r="C3367" s="29" t="s">
        <v>20273</v>
      </c>
      <c r="D3367" s="29" t="s">
        <v>33482</v>
      </c>
      <c r="E3367" s="29" t="s">
        <v>46646</v>
      </c>
      <c r="F3367" s="36" t="s">
        <v>54409</v>
      </c>
      <c r="G3367" s="39">
        <v>2192271.42</v>
      </c>
      <c r="H3367" s="42">
        <v>211</v>
      </c>
    </row>
    <row r="3368" spans="1:8" ht="15" customHeight="1">
      <c r="A3368" s="26">
        <v>24167562</v>
      </c>
      <c r="B3368" s="29" t="s">
        <v>5606</v>
      </c>
      <c r="C3368" s="29" t="s">
        <v>20274</v>
      </c>
      <c r="D3368" s="29" t="s">
        <v>33483</v>
      </c>
      <c r="E3368" s="29" t="s">
        <v>46647</v>
      </c>
      <c r="F3368" s="36" t="s">
        <v>54409</v>
      </c>
      <c r="G3368" s="39">
        <v>1047612.15</v>
      </c>
      <c r="H3368" s="42">
        <v>211</v>
      </c>
    </row>
    <row r="3369" spans="1:8" ht="15" customHeight="1">
      <c r="A3369" s="26">
        <v>24167598</v>
      </c>
      <c r="B3369" s="29" t="s">
        <v>5607</v>
      </c>
      <c r="C3369" s="29" t="s">
        <v>20275</v>
      </c>
      <c r="D3369" s="29" t="s">
        <v>30387</v>
      </c>
      <c r="E3369" s="29" t="s">
        <v>46648</v>
      </c>
      <c r="F3369" s="36" t="s">
        <v>54409</v>
      </c>
      <c r="G3369" s="39">
        <v>4659189.8</v>
      </c>
      <c r="H3369" s="42">
        <v>211</v>
      </c>
    </row>
    <row r="3370" spans="1:8" ht="15" customHeight="1">
      <c r="A3370" s="26">
        <v>24167601</v>
      </c>
      <c r="B3370" s="29" t="s">
        <v>5608</v>
      </c>
      <c r="C3370" s="29" t="s">
        <v>20276</v>
      </c>
      <c r="D3370" s="29" t="s">
        <v>33484</v>
      </c>
      <c r="E3370" s="29" t="s">
        <v>46649</v>
      </c>
      <c r="F3370" s="36" t="s">
        <v>54409</v>
      </c>
      <c r="G3370" s="39">
        <v>1486269.61</v>
      </c>
      <c r="H3370" s="42">
        <v>211</v>
      </c>
    </row>
    <row r="3371" spans="1:8" ht="15" customHeight="1">
      <c r="A3371" s="26">
        <v>24167607</v>
      </c>
      <c r="B3371" s="29" t="s">
        <v>5609</v>
      </c>
      <c r="C3371" s="29" t="s">
        <v>20277</v>
      </c>
      <c r="D3371" s="29" t="s">
        <v>33485</v>
      </c>
      <c r="E3371" s="29" t="s">
        <v>46650</v>
      </c>
      <c r="F3371" s="36" t="s">
        <v>54409</v>
      </c>
      <c r="G3371" s="39">
        <f>1945317.59-44250</f>
        <v>1901067.59</v>
      </c>
      <c r="H3371" s="42">
        <v>211</v>
      </c>
    </row>
    <row r="3372" spans="1:8" ht="15" customHeight="1">
      <c r="A3372" s="26">
        <v>24167627</v>
      </c>
      <c r="B3372" s="29" t="s">
        <v>5610</v>
      </c>
      <c r="C3372" s="29" t="s">
        <v>20278</v>
      </c>
      <c r="D3372" s="29" t="s">
        <v>33486</v>
      </c>
      <c r="E3372" s="29" t="s">
        <v>46651</v>
      </c>
      <c r="F3372" s="36" t="s">
        <v>54401</v>
      </c>
      <c r="G3372" s="39">
        <v>641647.91</v>
      </c>
      <c r="H3372" s="42">
        <v>211</v>
      </c>
    </row>
    <row r="3373" spans="1:8" ht="15" customHeight="1">
      <c r="A3373" s="26">
        <v>24167637</v>
      </c>
      <c r="B3373" s="29" t="s">
        <v>5611</v>
      </c>
      <c r="C3373" s="29" t="s">
        <v>17204</v>
      </c>
      <c r="D3373" s="29" t="s">
        <v>30349</v>
      </c>
      <c r="E3373" s="29" t="s">
        <v>43926</v>
      </c>
      <c r="F3373" s="36" t="s">
        <v>54401</v>
      </c>
      <c r="G3373" s="39">
        <v>272031.34999999998</v>
      </c>
      <c r="H3373" s="42">
        <v>211</v>
      </c>
    </row>
    <row r="3374" spans="1:8" ht="15" customHeight="1">
      <c r="A3374" s="26">
        <v>24167650</v>
      </c>
      <c r="B3374" s="29" t="s">
        <v>5612</v>
      </c>
      <c r="C3374" s="29" t="s">
        <v>20279</v>
      </c>
      <c r="D3374" s="29" t="s">
        <v>33487</v>
      </c>
      <c r="E3374" s="29" t="s">
        <v>717</v>
      </c>
      <c r="F3374" s="36" t="s">
        <v>54401</v>
      </c>
      <c r="G3374" s="39">
        <v>210316.82</v>
      </c>
      <c r="H3374" s="42">
        <v>211</v>
      </c>
    </row>
    <row r="3375" spans="1:8" ht="15" customHeight="1">
      <c r="A3375" s="26">
        <v>24167657</v>
      </c>
      <c r="B3375" s="29" t="s">
        <v>5613</v>
      </c>
      <c r="C3375" s="29" t="s">
        <v>20280</v>
      </c>
      <c r="D3375" s="29" t="s">
        <v>33488</v>
      </c>
      <c r="E3375" s="29" t="s">
        <v>46652</v>
      </c>
      <c r="F3375" s="36" t="s">
        <v>54401</v>
      </c>
      <c r="G3375" s="39">
        <v>3366622.85</v>
      </c>
      <c r="H3375" s="42">
        <v>211</v>
      </c>
    </row>
    <row r="3376" spans="1:8" ht="15" customHeight="1">
      <c r="A3376" s="26">
        <v>24167691</v>
      </c>
      <c r="B3376" s="29" t="s">
        <v>5614</v>
      </c>
      <c r="C3376" s="29" t="s">
        <v>20281</v>
      </c>
      <c r="D3376" s="29" t="s">
        <v>33489</v>
      </c>
      <c r="E3376" s="29" t="s">
        <v>46653</v>
      </c>
      <c r="F3376" s="36" t="s">
        <v>54401</v>
      </c>
      <c r="G3376" s="39">
        <v>905552.05</v>
      </c>
      <c r="H3376" s="42">
        <v>211</v>
      </c>
    </row>
    <row r="3377" spans="1:8" ht="15" customHeight="1">
      <c r="A3377" s="26">
        <v>24175934</v>
      </c>
      <c r="B3377" s="29" t="s">
        <v>5615</v>
      </c>
      <c r="C3377" s="29" t="s">
        <v>20282</v>
      </c>
      <c r="D3377" s="29" t="s">
        <v>33490</v>
      </c>
      <c r="E3377" s="29" t="s">
        <v>46654</v>
      </c>
      <c r="F3377" s="36" t="s">
        <v>54401</v>
      </c>
      <c r="G3377" s="39">
        <v>252719.57</v>
      </c>
      <c r="H3377" s="42">
        <v>211</v>
      </c>
    </row>
    <row r="3378" spans="1:8" ht="15" customHeight="1">
      <c r="A3378" s="26">
        <v>24176073</v>
      </c>
      <c r="B3378" s="29" t="s">
        <v>5616</v>
      </c>
      <c r="C3378" s="29" t="s">
        <v>20283</v>
      </c>
      <c r="D3378" s="29" t="s">
        <v>33491</v>
      </c>
      <c r="E3378" s="29" t="s">
        <v>46655</v>
      </c>
      <c r="F3378" s="36" t="s">
        <v>54401</v>
      </c>
      <c r="G3378" s="39">
        <v>2239679.29</v>
      </c>
      <c r="H3378" s="42">
        <v>211</v>
      </c>
    </row>
    <row r="3379" spans="1:8" ht="15" customHeight="1">
      <c r="A3379" s="26">
        <v>24176347</v>
      </c>
      <c r="B3379" s="29" t="s">
        <v>5617</v>
      </c>
      <c r="C3379" s="29" t="s">
        <v>20284</v>
      </c>
      <c r="D3379" s="29" t="s">
        <v>33492</v>
      </c>
      <c r="E3379" s="29" t="s">
        <v>46656</v>
      </c>
      <c r="F3379" s="36" t="s">
        <v>54401</v>
      </c>
      <c r="G3379" s="39">
        <v>1471390.96</v>
      </c>
      <c r="H3379" s="42">
        <v>211</v>
      </c>
    </row>
    <row r="3380" spans="1:8" ht="15" customHeight="1">
      <c r="A3380" s="26">
        <v>24176641</v>
      </c>
      <c r="B3380" s="29" t="s">
        <v>5618</v>
      </c>
      <c r="C3380" s="29" t="s">
        <v>20285</v>
      </c>
      <c r="D3380" s="29" t="s">
        <v>33493</v>
      </c>
      <c r="E3380" s="29" t="s">
        <v>46657</v>
      </c>
      <c r="F3380" s="36" t="s">
        <v>54401</v>
      </c>
      <c r="G3380" s="39">
        <v>4916701.21</v>
      </c>
      <c r="H3380" s="42">
        <v>211</v>
      </c>
    </row>
    <row r="3381" spans="1:8" ht="15" customHeight="1">
      <c r="A3381" s="26">
        <v>24176782</v>
      </c>
      <c r="B3381" s="29" t="s">
        <v>5619</v>
      </c>
      <c r="C3381" s="29" t="s">
        <v>20286</v>
      </c>
      <c r="D3381" s="29" t="s">
        <v>33494</v>
      </c>
      <c r="E3381" s="29" t="s">
        <v>46658</v>
      </c>
      <c r="F3381" s="36" t="s">
        <v>54401</v>
      </c>
      <c r="G3381" s="39">
        <f>1931039.36+1506106+24108</f>
        <v>3461253.3600000003</v>
      </c>
      <c r="H3381" s="42">
        <v>211</v>
      </c>
    </row>
    <row r="3382" spans="1:8" ht="15" customHeight="1">
      <c r="A3382" s="26">
        <v>24176972</v>
      </c>
      <c r="B3382" s="29" t="s">
        <v>5620</v>
      </c>
      <c r="C3382" s="29" t="s">
        <v>17204</v>
      </c>
      <c r="D3382" s="29" t="s">
        <v>30349</v>
      </c>
      <c r="E3382" s="29" t="s">
        <v>43926</v>
      </c>
      <c r="F3382" s="36" t="s">
        <v>54401</v>
      </c>
      <c r="G3382" s="39">
        <v>515256.15</v>
      </c>
      <c r="H3382" s="42">
        <v>211</v>
      </c>
    </row>
    <row r="3383" spans="1:8" ht="15" customHeight="1">
      <c r="A3383" s="26">
        <v>24182924</v>
      </c>
      <c r="B3383" s="29" t="s">
        <v>5621</v>
      </c>
      <c r="C3383" s="29" t="s">
        <v>20287</v>
      </c>
      <c r="D3383" s="29" t="s">
        <v>33495</v>
      </c>
      <c r="E3383" s="29" t="s">
        <v>46659</v>
      </c>
      <c r="F3383" s="36" t="s">
        <v>54420</v>
      </c>
      <c r="G3383" s="39">
        <v>199965.85</v>
      </c>
      <c r="H3383" s="42">
        <v>211</v>
      </c>
    </row>
    <row r="3384" spans="1:8" ht="15" customHeight="1">
      <c r="A3384" s="26">
        <v>24182925</v>
      </c>
      <c r="B3384" s="29" t="s">
        <v>5622</v>
      </c>
      <c r="C3384" s="29" t="s">
        <v>17204</v>
      </c>
      <c r="D3384" s="29" t="s">
        <v>33496</v>
      </c>
      <c r="E3384" s="29" t="s">
        <v>43926</v>
      </c>
      <c r="F3384" s="36" t="s">
        <v>54401</v>
      </c>
      <c r="G3384" s="39">
        <v>229519.72</v>
      </c>
      <c r="H3384" s="42">
        <v>211</v>
      </c>
    </row>
    <row r="3385" spans="1:8" ht="15" customHeight="1">
      <c r="A3385" s="26">
        <v>24182957</v>
      </c>
      <c r="B3385" s="29" t="s">
        <v>5623</v>
      </c>
      <c r="C3385" s="29" t="s">
        <v>20288</v>
      </c>
      <c r="D3385" s="29" t="s">
        <v>33497</v>
      </c>
      <c r="E3385" s="29" t="s">
        <v>43926</v>
      </c>
      <c r="F3385" s="36" t="s">
        <v>54401</v>
      </c>
      <c r="G3385" s="39">
        <v>961286.73</v>
      </c>
      <c r="H3385" s="42">
        <v>211</v>
      </c>
    </row>
    <row r="3386" spans="1:8" ht="15" customHeight="1">
      <c r="A3386" s="26">
        <v>24182966</v>
      </c>
      <c r="B3386" s="29" t="s">
        <v>5624</v>
      </c>
      <c r="C3386" s="29" t="s">
        <v>20289</v>
      </c>
      <c r="D3386" s="29" t="s">
        <v>33498</v>
      </c>
      <c r="E3386" s="29" t="s">
        <v>46660</v>
      </c>
      <c r="F3386" s="36" t="s">
        <v>54404</v>
      </c>
      <c r="G3386" s="39">
        <f>4751064.76-50972</f>
        <v>4700092.76</v>
      </c>
      <c r="H3386" s="42">
        <v>211</v>
      </c>
    </row>
    <row r="3387" spans="1:8" ht="15" customHeight="1">
      <c r="A3387" s="26">
        <v>24183067</v>
      </c>
      <c r="B3387" s="29" t="s">
        <v>5625</v>
      </c>
      <c r="C3387" s="26" t="s">
        <v>20290</v>
      </c>
      <c r="D3387" s="26" t="s">
        <v>33499</v>
      </c>
      <c r="E3387" s="26" t="s">
        <v>46661</v>
      </c>
      <c r="F3387" s="37" t="s">
        <v>54401</v>
      </c>
      <c r="G3387" s="39">
        <f>895549.11+153061</f>
        <v>1048610.1099999999</v>
      </c>
      <c r="H3387" s="42">
        <v>211</v>
      </c>
    </row>
    <row r="3388" spans="1:8" ht="15" customHeight="1">
      <c r="A3388" s="26">
        <v>24183071</v>
      </c>
      <c r="B3388" s="29" t="s">
        <v>5626</v>
      </c>
      <c r="C3388" s="29" t="s">
        <v>20291</v>
      </c>
      <c r="D3388" s="29" t="s">
        <v>33500</v>
      </c>
      <c r="E3388" s="29" t="s">
        <v>46662</v>
      </c>
      <c r="F3388" s="36" t="s">
        <v>54404</v>
      </c>
      <c r="G3388" s="39">
        <f>4487144.1+86829</f>
        <v>4573973.0999999996</v>
      </c>
      <c r="H3388" s="42">
        <v>211</v>
      </c>
    </row>
    <row r="3389" spans="1:8" ht="15" customHeight="1">
      <c r="A3389" s="26">
        <v>24183092</v>
      </c>
      <c r="B3389" s="29" t="s">
        <v>5627</v>
      </c>
      <c r="C3389" s="29" t="s">
        <v>20292</v>
      </c>
      <c r="D3389" s="29" t="s">
        <v>33501</v>
      </c>
      <c r="E3389" s="29" t="s">
        <v>46663</v>
      </c>
      <c r="F3389" s="36" t="s">
        <v>54401</v>
      </c>
      <c r="G3389" s="39">
        <f>1008575.59+92053+341763</f>
        <v>1442391.5899999999</v>
      </c>
      <c r="H3389" s="42">
        <v>211</v>
      </c>
    </row>
    <row r="3390" spans="1:8" ht="15" customHeight="1">
      <c r="A3390" s="26">
        <v>24183190</v>
      </c>
      <c r="B3390" s="29" t="s">
        <v>5628</v>
      </c>
      <c r="C3390" s="29" t="s">
        <v>20293</v>
      </c>
      <c r="D3390" s="29" t="s">
        <v>33502</v>
      </c>
      <c r="E3390" s="29" t="s">
        <v>43926</v>
      </c>
      <c r="F3390" s="36" t="s">
        <v>54401</v>
      </c>
      <c r="G3390" s="39">
        <v>1675898.69</v>
      </c>
      <c r="H3390" s="42">
        <v>211</v>
      </c>
    </row>
    <row r="3391" spans="1:8" ht="15" customHeight="1">
      <c r="A3391" s="26">
        <v>24183260</v>
      </c>
      <c r="B3391" s="29" t="s">
        <v>5629</v>
      </c>
      <c r="C3391" s="29" t="s">
        <v>20294</v>
      </c>
      <c r="D3391" s="29" t="s">
        <v>33503</v>
      </c>
      <c r="E3391" s="29" t="s">
        <v>46664</v>
      </c>
      <c r="F3391" s="36" t="s">
        <v>54401</v>
      </c>
      <c r="G3391" s="39">
        <v>1660908.6</v>
      </c>
      <c r="H3391" s="42">
        <v>211</v>
      </c>
    </row>
    <row r="3392" spans="1:8" ht="15" customHeight="1">
      <c r="A3392" s="26">
        <v>24183305</v>
      </c>
      <c r="B3392" s="29" t="s">
        <v>5630</v>
      </c>
      <c r="C3392" s="26" t="s">
        <v>20295</v>
      </c>
      <c r="D3392" s="26" t="s">
        <v>33504</v>
      </c>
      <c r="E3392" s="26" t="s">
        <v>46348</v>
      </c>
      <c r="F3392" s="37" t="s">
        <v>54401</v>
      </c>
      <c r="G3392" s="39">
        <v>2566397.7400000002</v>
      </c>
      <c r="H3392" s="42">
        <v>211</v>
      </c>
    </row>
    <row r="3393" spans="1:8" ht="15" customHeight="1">
      <c r="A3393" s="26">
        <v>24183312</v>
      </c>
      <c r="B3393" s="29" t="s">
        <v>5631</v>
      </c>
      <c r="C3393" s="29" t="s">
        <v>17204</v>
      </c>
      <c r="D3393" s="29" t="s">
        <v>30349</v>
      </c>
      <c r="E3393" s="29" t="s">
        <v>43926</v>
      </c>
      <c r="F3393" s="36" t="s">
        <v>54401</v>
      </c>
      <c r="G3393" s="39">
        <v>409149.7</v>
      </c>
      <c r="H3393" s="42">
        <v>211</v>
      </c>
    </row>
    <row r="3394" spans="1:8" ht="15" customHeight="1">
      <c r="A3394" s="26">
        <v>24183318</v>
      </c>
      <c r="B3394" s="29" t="s">
        <v>5632</v>
      </c>
      <c r="C3394" s="29" t="s">
        <v>20296</v>
      </c>
      <c r="D3394" s="29" t="s">
        <v>33505</v>
      </c>
      <c r="E3394" s="29" t="s">
        <v>46665</v>
      </c>
      <c r="F3394" s="36" t="s">
        <v>54401</v>
      </c>
      <c r="G3394" s="39">
        <v>3806982.59</v>
      </c>
      <c r="H3394" s="42">
        <v>211</v>
      </c>
    </row>
    <row r="3395" spans="1:8" ht="15" customHeight="1">
      <c r="A3395" s="26">
        <v>24188011</v>
      </c>
      <c r="B3395" s="29" t="s">
        <v>5633</v>
      </c>
      <c r="C3395" s="29" t="s">
        <v>20297</v>
      </c>
      <c r="D3395" s="29" t="s">
        <v>33506</v>
      </c>
      <c r="E3395" s="29" t="s">
        <v>46666</v>
      </c>
      <c r="F3395" s="36" t="s">
        <v>54432</v>
      </c>
      <c r="G3395" s="39">
        <f>3971854.77-102142</f>
        <v>3869712.77</v>
      </c>
      <c r="H3395" s="42">
        <v>211</v>
      </c>
    </row>
    <row r="3396" spans="1:8" ht="15" customHeight="1">
      <c r="A3396" s="26">
        <v>24188134</v>
      </c>
      <c r="B3396" s="29" t="s">
        <v>5634</v>
      </c>
      <c r="C3396" s="29" t="s">
        <v>20298</v>
      </c>
      <c r="D3396" s="29" t="s">
        <v>33507</v>
      </c>
      <c r="E3396" s="29" t="s">
        <v>46667</v>
      </c>
      <c r="F3396" s="36" t="s">
        <v>54432</v>
      </c>
      <c r="G3396" s="39">
        <f>14617991.58-13462</f>
        <v>14604529.58</v>
      </c>
      <c r="H3396" s="42">
        <v>211</v>
      </c>
    </row>
    <row r="3397" spans="1:8" ht="15" customHeight="1">
      <c r="A3397" s="26">
        <v>24188176</v>
      </c>
      <c r="B3397" s="29" t="s">
        <v>5635</v>
      </c>
      <c r="C3397" s="29" t="s">
        <v>20299</v>
      </c>
      <c r="D3397" s="29" t="s">
        <v>33508</v>
      </c>
      <c r="E3397" s="29" t="s">
        <v>46668</v>
      </c>
      <c r="F3397" s="36" t="s">
        <v>54401</v>
      </c>
      <c r="G3397" s="39">
        <v>26008.41</v>
      </c>
      <c r="H3397" s="42">
        <v>211</v>
      </c>
    </row>
    <row r="3398" spans="1:8" ht="15" customHeight="1">
      <c r="A3398" s="26">
        <v>24202550</v>
      </c>
      <c r="B3398" s="29" t="s">
        <v>5636</v>
      </c>
      <c r="C3398" s="29" t="s">
        <v>20300</v>
      </c>
      <c r="D3398" s="29" t="s">
        <v>33509</v>
      </c>
      <c r="E3398" s="29" t="s">
        <v>46669</v>
      </c>
      <c r="F3398" s="36" t="s">
        <v>54401</v>
      </c>
      <c r="G3398" s="39">
        <v>5710112.9100000001</v>
      </c>
      <c r="H3398" s="42">
        <v>211</v>
      </c>
    </row>
    <row r="3399" spans="1:8" ht="15" customHeight="1">
      <c r="A3399" s="26">
        <v>24205812</v>
      </c>
      <c r="B3399" s="29" t="s">
        <v>5637</v>
      </c>
      <c r="C3399" s="29" t="s">
        <v>20301</v>
      </c>
      <c r="D3399" s="29" t="s">
        <v>33510</v>
      </c>
      <c r="E3399" s="29" t="s">
        <v>46670</v>
      </c>
      <c r="F3399" s="36" t="s">
        <v>54401</v>
      </c>
      <c r="G3399" s="39">
        <v>6069701.1500000004</v>
      </c>
      <c r="H3399" s="42">
        <v>211</v>
      </c>
    </row>
    <row r="3400" spans="1:8" ht="15" customHeight="1">
      <c r="A3400" s="26">
        <v>24205856</v>
      </c>
      <c r="B3400" s="29" t="s">
        <v>5638</v>
      </c>
      <c r="C3400" s="29" t="s">
        <v>20302</v>
      </c>
      <c r="D3400" s="29" t="s">
        <v>33511</v>
      </c>
      <c r="E3400" s="29" t="s">
        <v>46671</v>
      </c>
      <c r="F3400" s="36" t="s">
        <v>54401</v>
      </c>
      <c r="G3400" s="39">
        <v>3221997.6</v>
      </c>
      <c r="H3400" s="42">
        <v>211</v>
      </c>
    </row>
    <row r="3401" spans="1:8" ht="15" customHeight="1">
      <c r="A3401" s="26">
        <v>24228118</v>
      </c>
      <c r="B3401" s="29" t="s">
        <v>5639</v>
      </c>
      <c r="C3401" s="29" t="s">
        <v>20303</v>
      </c>
      <c r="D3401" s="29" t="s">
        <v>33512</v>
      </c>
      <c r="E3401" s="29" t="s">
        <v>46672</v>
      </c>
      <c r="F3401" s="36" t="s">
        <v>54401</v>
      </c>
      <c r="G3401" s="39">
        <v>182437.83</v>
      </c>
      <c r="H3401" s="42">
        <v>211</v>
      </c>
    </row>
    <row r="3402" spans="1:8" ht="15" customHeight="1">
      <c r="A3402" s="26">
        <v>24341183</v>
      </c>
      <c r="B3402" s="29" t="s">
        <v>5640</v>
      </c>
      <c r="C3402" s="26" t="s">
        <v>17204</v>
      </c>
      <c r="D3402" s="26" t="s">
        <v>30349</v>
      </c>
      <c r="E3402" s="26" t="s">
        <v>43926</v>
      </c>
      <c r="F3402" s="37" t="s">
        <v>54401</v>
      </c>
      <c r="G3402" s="39">
        <v>104210.1</v>
      </c>
      <c r="H3402" s="42">
        <v>211</v>
      </c>
    </row>
    <row r="3403" spans="1:8" ht="15" customHeight="1">
      <c r="A3403" s="26">
        <v>24346770</v>
      </c>
      <c r="B3403" s="29" t="s">
        <v>5641</v>
      </c>
      <c r="C3403" s="29" t="s">
        <v>20304</v>
      </c>
      <c r="D3403" s="29" t="s">
        <v>33513</v>
      </c>
      <c r="E3403" s="29" t="s">
        <v>46673</v>
      </c>
      <c r="F3403" s="36" t="s">
        <v>54402</v>
      </c>
      <c r="G3403" s="39">
        <v>205704.08</v>
      </c>
      <c r="H3403" s="42">
        <v>211</v>
      </c>
    </row>
    <row r="3404" spans="1:8" ht="15" customHeight="1">
      <c r="A3404" s="26">
        <v>24801651</v>
      </c>
      <c r="B3404" s="29" t="s">
        <v>5642</v>
      </c>
      <c r="C3404" s="29" t="s">
        <v>20305</v>
      </c>
      <c r="D3404" s="29" t="s">
        <v>33514</v>
      </c>
      <c r="E3404" s="29" t="s">
        <v>46674</v>
      </c>
      <c r="F3404" s="36" t="s">
        <v>54401</v>
      </c>
      <c r="G3404" s="39">
        <v>15310.92</v>
      </c>
      <c r="H3404" s="42">
        <v>211</v>
      </c>
    </row>
    <row r="3405" spans="1:8" ht="15" customHeight="1">
      <c r="A3405" s="26">
        <v>26039247</v>
      </c>
      <c r="B3405" s="29" t="s">
        <v>5643</v>
      </c>
      <c r="C3405" s="29" t="s">
        <v>20306</v>
      </c>
      <c r="D3405" s="29" t="s">
        <v>33515</v>
      </c>
      <c r="E3405" s="29" t="s">
        <v>46675</v>
      </c>
      <c r="F3405" s="36" t="s">
        <v>54401</v>
      </c>
      <c r="G3405" s="39">
        <v>54689.08</v>
      </c>
      <c r="H3405" s="42">
        <v>211</v>
      </c>
    </row>
    <row r="3406" spans="1:8" ht="15" customHeight="1">
      <c r="A3406" s="26">
        <v>26424198</v>
      </c>
      <c r="B3406" s="29" t="s">
        <v>5644</v>
      </c>
      <c r="C3406" s="29" t="s">
        <v>20307</v>
      </c>
      <c r="D3406" s="29" t="s">
        <v>33516</v>
      </c>
      <c r="E3406" s="29" t="s">
        <v>46676</v>
      </c>
      <c r="F3406" s="36" t="s">
        <v>54401</v>
      </c>
      <c r="G3406" s="39">
        <v>4265.88</v>
      </c>
      <c r="H3406" s="42">
        <v>211</v>
      </c>
    </row>
    <row r="3407" spans="1:8" ht="15" customHeight="1">
      <c r="A3407" s="26">
        <v>26424337</v>
      </c>
      <c r="B3407" s="29" t="s">
        <v>5645</v>
      </c>
      <c r="C3407" s="29" t="s">
        <v>20308</v>
      </c>
      <c r="D3407" s="29" t="s">
        <v>33517</v>
      </c>
      <c r="E3407" s="29" t="s">
        <v>46677</v>
      </c>
      <c r="F3407" s="36" t="s">
        <v>54401</v>
      </c>
      <c r="G3407" s="39">
        <v>2724614.2</v>
      </c>
      <c r="H3407" s="42">
        <v>211</v>
      </c>
    </row>
    <row r="3408" spans="1:8" ht="15" customHeight="1">
      <c r="A3408" s="26">
        <v>26564263</v>
      </c>
      <c r="B3408" s="29" t="s">
        <v>5646</v>
      </c>
      <c r="C3408" s="29" t="s">
        <v>20309</v>
      </c>
      <c r="D3408" s="29" t="s">
        <v>33518</v>
      </c>
      <c r="E3408" s="29" t="s">
        <v>46678</v>
      </c>
      <c r="F3408" s="36" t="s">
        <v>54401</v>
      </c>
      <c r="G3408" s="39">
        <f>4841780.52+27934</f>
        <v>4869714.5199999996</v>
      </c>
      <c r="H3408" s="42">
        <v>211</v>
      </c>
    </row>
    <row r="3409" spans="1:8" ht="15" customHeight="1">
      <c r="A3409" s="26">
        <v>26777963</v>
      </c>
      <c r="B3409" s="29" t="s">
        <v>5647</v>
      </c>
      <c r="C3409" s="29" t="s">
        <v>20310</v>
      </c>
      <c r="D3409" s="29" t="s">
        <v>33519</v>
      </c>
      <c r="E3409" s="29" t="s">
        <v>46679</v>
      </c>
      <c r="F3409" s="36" t="s">
        <v>54401</v>
      </c>
      <c r="G3409" s="39">
        <v>595000.36</v>
      </c>
      <c r="H3409" s="42">
        <v>211</v>
      </c>
    </row>
    <row r="3410" spans="1:8" ht="15" customHeight="1">
      <c r="A3410" s="26">
        <v>27600619</v>
      </c>
      <c r="B3410" s="29" t="s">
        <v>5648</v>
      </c>
      <c r="C3410" s="29" t="s">
        <v>20311</v>
      </c>
      <c r="D3410" s="29" t="s">
        <v>33520</v>
      </c>
      <c r="E3410" s="29" t="s">
        <v>46680</v>
      </c>
      <c r="F3410" s="36" t="s">
        <v>54401</v>
      </c>
      <c r="G3410" s="39">
        <v>1634734.86</v>
      </c>
      <c r="H3410" s="42">
        <v>211</v>
      </c>
    </row>
    <row r="3411" spans="1:8" ht="15" customHeight="1">
      <c r="A3411" s="26">
        <v>27651355</v>
      </c>
      <c r="B3411" s="29" t="s">
        <v>5649</v>
      </c>
      <c r="C3411" s="29" t="s">
        <v>20312</v>
      </c>
      <c r="D3411" s="29" t="s">
        <v>33521</v>
      </c>
      <c r="E3411" s="29" t="s">
        <v>46681</v>
      </c>
      <c r="F3411" s="36" t="s">
        <v>54401</v>
      </c>
      <c r="G3411" s="39">
        <v>76479.41</v>
      </c>
      <c r="H3411" s="42">
        <v>211</v>
      </c>
    </row>
    <row r="3412" spans="1:8" ht="15" customHeight="1">
      <c r="A3412" s="26">
        <v>27927440</v>
      </c>
      <c r="B3412" s="29" t="s">
        <v>5650</v>
      </c>
      <c r="C3412" s="29" t="s">
        <v>17262</v>
      </c>
      <c r="D3412" s="29" t="s">
        <v>33522</v>
      </c>
      <c r="E3412" s="29" t="s">
        <v>46682</v>
      </c>
      <c r="F3412" s="36" t="s">
        <v>54401</v>
      </c>
      <c r="G3412" s="39">
        <v>280000</v>
      </c>
      <c r="H3412" s="42">
        <v>211</v>
      </c>
    </row>
    <row r="3413" spans="1:8" ht="15" customHeight="1">
      <c r="A3413" s="26">
        <v>27978792</v>
      </c>
      <c r="B3413" s="29" t="s">
        <v>5651</v>
      </c>
      <c r="C3413" s="29" t="s">
        <v>20313</v>
      </c>
      <c r="D3413" s="29" t="s">
        <v>33523</v>
      </c>
      <c r="E3413" s="29" t="s">
        <v>46683</v>
      </c>
      <c r="F3413" s="36" t="s">
        <v>54401</v>
      </c>
      <c r="G3413" s="39">
        <v>119941.71</v>
      </c>
      <c r="H3413" s="42">
        <v>211</v>
      </c>
    </row>
    <row r="3414" spans="1:8" ht="15" customHeight="1">
      <c r="A3414" s="26">
        <v>28053915</v>
      </c>
      <c r="B3414" s="29" t="s">
        <v>5652</v>
      </c>
      <c r="C3414" s="29" t="s">
        <v>20314</v>
      </c>
      <c r="D3414" s="29" t="s">
        <v>33524</v>
      </c>
      <c r="E3414" s="29" t="s">
        <v>46684</v>
      </c>
      <c r="F3414" s="36" t="s">
        <v>54401</v>
      </c>
      <c r="G3414" s="39">
        <v>204434.44</v>
      </c>
      <c r="H3414" s="42">
        <v>211</v>
      </c>
    </row>
    <row r="3415" spans="1:8" ht="15" customHeight="1">
      <c r="A3415" s="26">
        <v>28054103</v>
      </c>
      <c r="B3415" s="29" t="s">
        <v>5653</v>
      </c>
      <c r="C3415" s="29" t="s">
        <v>20315</v>
      </c>
      <c r="D3415" s="29" t="s">
        <v>33525</v>
      </c>
      <c r="E3415" s="29" t="s">
        <v>46685</v>
      </c>
      <c r="F3415" s="36" t="s">
        <v>54401</v>
      </c>
      <c r="G3415" s="39">
        <v>324771.73</v>
      </c>
      <c r="H3415" s="42">
        <v>211</v>
      </c>
    </row>
    <row r="3416" spans="1:8" ht="15" customHeight="1">
      <c r="A3416" s="26">
        <v>28054207</v>
      </c>
      <c r="B3416" s="29" t="s">
        <v>5654</v>
      </c>
      <c r="C3416" s="26" t="s">
        <v>20316</v>
      </c>
      <c r="D3416" s="26" t="s">
        <v>33526</v>
      </c>
      <c r="E3416" s="26" t="s">
        <v>46686</v>
      </c>
      <c r="F3416" s="37" t="s">
        <v>54401</v>
      </c>
      <c r="G3416" s="39">
        <v>4543463.8600000003</v>
      </c>
      <c r="H3416" s="42">
        <v>211</v>
      </c>
    </row>
    <row r="3417" spans="1:8" ht="15" customHeight="1">
      <c r="A3417" s="26">
        <v>28057208</v>
      </c>
      <c r="B3417" s="29" t="s">
        <v>5655</v>
      </c>
      <c r="C3417" s="29" t="s">
        <v>20317</v>
      </c>
      <c r="D3417" s="29" t="s">
        <v>33527</v>
      </c>
      <c r="E3417" s="29" t="s">
        <v>46687</v>
      </c>
      <c r="F3417" s="36" t="s">
        <v>54401</v>
      </c>
      <c r="G3417" s="39">
        <v>2198064.48</v>
      </c>
      <c r="H3417" s="42">
        <v>211</v>
      </c>
    </row>
    <row r="3418" spans="1:8" ht="15" customHeight="1">
      <c r="A3418" s="26">
        <v>28076922</v>
      </c>
      <c r="B3418" s="29" t="s">
        <v>5656</v>
      </c>
      <c r="C3418" s="29" t="s">
        <v>20318</v>
      </c>
      <c r="D3418" s="29" t="s">
        <v>33528</v>
      </c>
      <c r="E3418" s="29" t="s">
        <v>43926</v>
      </c>
      <c r="F3418" s="36" t="s">
        <v>54401</v>
      </c>
      <c r="G3418" s="39">
        <f>1110826.11+1207614</f>
        <v>2318440.1100000003</v>
      </c>
      <c r="H3418" s="42">
        <v>211</v>
      </c>
    </row>
    <row r="3419" spans="1:8" ht="15" customHeight="1">
      <c r="A3419" s="26">
        <v>28083039</v>
      </c>
      <c r="B3419" s="29" t="s">
        <v>5657</v>
      </c>
      <c r="C3419" s="29" t="s">
        <v>17858</v>
      </c>
      <c r="D3419" s="29" t="s">
        <v>33529</v>
      </c>
      <c r="E3419" s="29" t="s">
        <v>46688</v>
      </c>
      <c r="F3419" s="36" t="s">
        <v>54401</v>
      </c>
      <c r="G3419" s="39">
        <v>389597.23</v>
      </c>
      <c r="H3419" s="42">
        <v>211</v>
      </c>
    </row>
    <row r="3420" spans="1:8" ht="15" customHeight="1">
      <c r="A3420" s="26">
        <v>28083666</v>
      </c>
      <c r="B3420" s="29" t="s">
        <v>5658</v>
      </c>
      <c r="C3420" s="26" t="s">
        <v>20319</v>
      </c>
      <c r="D3420" s="26" t="s">
        <v>33530</v>
      </c>
      <c r="E3420" s="26" t="s">
        <v>46689</v>
      </c>
      <c r="F3420" s="37" t="s">
        <v>54401</v>
      </c>
      <c r="G3420" s="39">
        <f>1601088.01+30180</f>
        <v>1631268.01</v>
      </c>
      <c r="H3420" s="42">
        <v>211</v>
      </c>
    </row>
    <row r="3421" spans="1:8" ht="15" customHeight="1">
      <c r="A3421" s="26">
        <v>28115508</v>
      </c>
      <c r="B3421" s="29" t="s">
        <v>5659</v>
      </c>
      <c r="C3421" s="26" t="s">
        <v>20320</v>
      </c>
      <c r="D3421" s="26" t="s">
        <v>33531</v>
      </c>
      <c r="E3421" s="26" t="s">
        <v>46690</v>
      </c>
      <c r="F3421" s="37" t="s">
        <v>54401</v>
      </c>
      <c r="G3421" s="39">
        <v>29712.53</v>
      </c>
      <c r="H3421" s="42">
        <v>211</v>
      </c>
    </row>
    <row r="3422" spans="1:8" ht="15" customHeight="1">
      <c r="A3422" s="26">
        <v>28116005</v>
      </c>
      <c r="B3422" s="29" t="s">
        <v>5660</v>
      </c>
      <c r="C3422" s="29" t="s">
        <v>20321</v>
      </c>
      <c r="D3422" s="29" t="s">
        <v>33532</v>
      </c>
      <c r="E3422" s="29" t="s">
        <v>46691</v>
      </c>
      <c r="F3422" s="36" t="s">
        <v>54401</v>
      </c>
      <c r="G3422" s="39">
        <v>2678814.0499999998</v>
      </c>
      <c r="H3422" s="42">
        <v>211</v>
      </c>
    </row>
    <row r="3423" spans="1:8" ht="15" customHeight="1">
      <c r="A3423" s="26">
        <v>28157318</v>
      </c>
      <c r="B3423" s="29" t="s">
        <v>5661</v>
      </c>
      <c r="C3423" s="29" t="s">
        <v>20322</v>
      </c>
      <c r="D3423" s="29" t="s">
        <v>33533</v>
      </c>
      <c r="E3423" s="29" t="s">
        <v>46692</v>
      </c>
      <c r="F3423" s="36" t="s">
        <v>54401</v>
      </c>
      <c r="G3423" s="39">
        <v>107058.27</v>
      </c>
      <c r="H3423" s="42">
        <v>211</v>
      </c>
    </row>
    <row r="3424" spans="1:8" ht="15" customHeight="1">
      <c r="A3424" s="26">
        <v>28272673</v>
      </c>
      <c r="B3424" s="29" t="s">
        <v>5662</v>
      </c>
      <c r="C3424" s="26" t="s">
        <v>20323</v>
      </c>
      <c r="D3424" s="26" t="s">
        <v>33534</v>
      </c>
      <c r="E3424" s="26" t="s">
        <v>46693</v>
      </c>
      <c r="F3424" s="37" t="s">
        <v>54401</v>
      </c>
      <c r="G3424" s="39">
        <v>723744.44</v>
      </c>
      <c r="H3424" s="42">
        <v>211</v>
      </c>
    </row>
    <row r="3425" spans="1:8" ht="15" customHeight="1">
      <c r="A3425" s="26">
        <v>28272782</v>
      </c>
      <c r="B3425" s="29" t="s">
        <v>5663</v>
      </c>
      <c r="C3425" s="26" t="s">
        <v>20324</v>
      </c>
      <c r="D3425" s="26" t="s">
        <v>33535</v>
      </c>
      <c r="E3425" s="26" t="s">
        <v>46694</v>
      </c>
      <c r="F3425" s="37" t="s">
        <v>54401</v>
      </c>
      <c r="G3425" s="39">
        <v>2034302.15</v>
      </c>
      <c r="H3425" s="42">
        <v>211</v>
      </c>
    </row>
    <row r="3426" spans="1:8" ht="15" customHeight="1">
      <c r="A3426" s="26">
        <v>28307745</v>
      </c>
      <c r="B3426" s="29" t="s">
        <v>5664</v>
      </c>
      <c r="C3426" s="29" t="s">
        <v>20325</v>
      </c>
      <c r="D3426" s="29" t="s">
        <v>33536</v>
      </c>
      <c r="E3426" s="29" t="s">
        <v>46695</v>
      </c>
      <c r="F3426" s="36" t="s">
        <v>54401</v>
      </c>
      <c r="G3426" s="39">
        <v>160598.17000000001</v>
      </c>
      <c r="H3426" s="42">
        <v>211</v>
      </c>
    </row>
    <row r="3427" spans="1:8" ht="15" customHeight="1">
      <c r="A3427" s="26">
        <v>28337224</v>
      </c>
      <c r="B3427" s="29" t="s">
        <v>5665</v>
      </c>
      <c r="C3427" s="29" t="s">
        <v>20326</v>
      </c>
      <c r="D3427" s="29" t="s">
        <v>33537</v>
      </c>
      <c r="E3427" s="29" t="s">
        <v>46696</v>
      </c>
      <c r="F3427" s="36" t="s">
        <v>54401</v>
      </c>
      <c r="G3427" s="39">
        <v>90121.59</v>
      </c>
      <c r="H3427" s="42">
        <v>211</v>
      </c>
    </row>
    <row r="3428" spans="1:8" ht="15" customHeight="1">
      <c r="A3428" s="26">
        <v>28613046</v>
      </c>
      <c r="B3428" s="29" t="s">
        <v>5666</v>
      </c>
      <c r="C3428" s="29" t="s">
        <v>20327</v>
      </c>
      <c r="D3428" s="29" t="s">
        <v>33538</v>
      </c>
      <c r="E3428" s="29" t="s">
        <v>46697</v>
      </c>
      <c r="F3428" s="36" t="s">
        <v>54401</v>
      </c>
      <c r="G3428" s="39">
        <v>209696.06</v>
      </c>
      <c r="H3428" s="42">
        <v>211</v>
      </c>
    </row>
    <row r="3429" spans="1:8" ht="15" customHeight="1">
      <c r="A3429" s="26">
        <v>28711641</v>
      </c>
      <c r="B3429" s="29" t="s">
        <v>5667</v>
      </c>
      <c r="C3429" s="29" t="s">
        <v>20328</v>
      </c>
      <c r="D3429" s="29" t="s">
        <v>33539</v>
      </c>
      <c r="E3429" s="29" t="s">
        <v>46698</v>
      </c>
      <c r="F3429" s="36" t="s">
        <v>54402</v>
      </c>
      <c r="G3429" s="39">
        <f>6502285.29-142250</f>
        <v>6360035.29</v>
      </c>
      <c r="H3429" s="42">
        <v>211</v>
      </c>
    </row>
    <row r="3430" spans="1:8" ht="15" customHeight="1">
      <c r="A3430" s="26">
        <v>28898844</v>
      </c>
      <c r="B3430" s="29" t="s">
        <v>5668</v>
      </c>
      <c r="C3430" s="29" t="s">
        <v>20329</v>
      </c>
      <c r="D3430" s="29" t="s">
        <v>33540</v>
      </c>
      <c r="E3430" s="29" t="s">
        <v>46699</v>
      </c>
      <c r="F3430" s="36" t="s">
        <v>54401</v>
      </c>
      <c r="G3430" s="39">
        <v>121778.66</v>
      </c>
      <c r="H3430" s="42">
        <v>211</v>
      </c>
    </row>
    <row r="3431" spans="1:8" ht="15" customHeight="1">
      <c r="A3431" s="26">
        <v>28936861</v>
      </c>
      <c r="B3431" s="29" t="s">
        <v>5669</v>
      </c>
      <c r="C3431" s="29" t="s">
        <v>20330</v>
      </c>
      <c r="D3431" s="29" t="s">
        <v>30714</v>
      </c>
      <c r="E3431" s="29" t="s">
        <v>43926</v>
      </c>
      <c r="F3431" s="36" t="s">
        <v>54401</v>
      </c>
      <c r="G3431" s="39">
        <v>609823.06999999995</v>
      </c>
      <c r="H3431" s="42">
        <v>211</v>
      </c>
    </row>
    <row r="3432" spans="1:8" ht="15" customHeight="1">
      <c r="A3432" s="26">
        <v>30024464</v>
      </c>
      <c r="B3432" s="29" t="s">
        <v>5670</v>
      </c>
      <c r="C3432" s="29" t="s">
        <v>20331</v>
      </c>
      <c r="D3432" s="29" t="s">
        <v>33541</v>
      </c>
      <c r="E3432" s="29" t="s">
        <v>46700</v>
      </c>
      <c r="F3432" s="36" t="s">
        <v>54401</v>
      </c>
      <c r="G3432" s="39">
        <f>320749.99+2937742-9109</f>
        <v>3249382.99</v>
      </c>
      <c r="H3432" s="42">
        <v>211</v>
      </c>
    </row>
    <row r="3433" spans="1:8" ht="15" customHeight="1">
      <c r="A3433" s="26">
        <v>30024934</v>
      </c>
      <c r="B3433" s="29" t="s">
        <v>5671</v>
      </c>
      <c r="C3433" s="29" t="s">
        <v>20332</v>
      </c>
      <c r="D3433" s="29" t="s">
        <v>33542</v>
      </c>
      <c r="E3433" s="29" t="s">
        <v>46701</v>
      </c>
      <c r="F3433" s="36" t="s">
        <v>54401</v>
      </c>
      <c r="G3433" s="39">
        <f>4127064.04+112374</f>
        <v>4239438.04</v>
      </c>
      <c r="H3433" s="42">
        <v>211</v>
      </c>
    </row>
    <row r="3434" spans="1:8" ht="15" customHeight="1">
      <c r="A3434" s="26">
        <v>30050741</v>
      </c>
      <c r="B3434" s="29" t="s">
        <v>5672</v>
      </c>
      <c r="C3434" s="29" t="s">
        <v>20333</v>
      </c>
      <c r="D3434" s="29" t="s">
        <v>33543</v>
      </c>
      <c r="E3434" s="29" t="s">
        <v>46702</v>
      </c>
      <c r="F3434" s="36" t="s">
        <v>54401</v>
      </c>
      <c r="G3434" s="39">
        <v>194133.33</v>
      </c>
      <c r="H3434" s="42">
        <v>211</v>
      </c>
    </row>
    <row r="3435" spans="1:8" ht="15" customHeight="1">
      <c r="A3435" s="26">
        <v>30056577</v>
      </c>
      <c r="B3435" s="29" t="s">
        <v>5673</v>
      </c>
      <c r="C3435" s="29" t="s">
        <v>20334</v>
      </c>
      <c r="D3435" s="29" t="s">
        <v>33544</v>
      </c>
      <c r="E3435" s="29" t="s">
        <v>46703</v>
      </c>
      <c r="F3435" s="36" t="s">
        <v>54401</v>
      </c>
      <c r="G3435" s="39">
        <v>1056303.8999999999</v>
      </c>
      <c r="H3435" s="42">
        <v>211</v>
      </c>
    </row>
    <row r="3436" spans="1:8" ht="15" customHeight="1">
      <c r="A3436" s="26">
        <v>30207446</v>
      </c>
      <c r="B3436" s="29" t="s">
        <v>5674</v>
      </c>
      <c r="C3436" s="29" t="s">
        <v>20335</v>
      </c>
      <c r="D3436" s="29" t="s">
        <v>30376</v>
      </c>
      <c r="E3436" s="29" t="s">
        <v>46704</v>
      </c>
      <c r="F3436" s="36" t="s">
        <v>54401</v>
      </c>
      <c r="G3436" s="39">
        <f>1383570.6+303279</f>
        <v>1686849.6</v>
      </c>
      <c r="H3436" s="42">
        <v>211</v>
      </c>
    </row>
    <row r="3437" spans="1:8" ht="15" customHeight="1">
      <c r="A3437" s="26">
        <v>30235694</v>
      </c>
      <c r="B3437" s="29" t="s">
        <v>5675</v>
      </c>
      <c r="C3437" s="29" t="s">
        <v>20336</v>
      </c>
      <c r="D3437" s="29" t="s">
        <v>33545</v>
      </c>
      <c r="E3437" s="29" t="s">
        <v>46705</v>
      </c>
      <c r="F3437" s="36" t="s">
        <v>54401</v>
      </c>
      <c r="G3437" s="39">
        <v>265710.15000000002</v>
      </c>
      <c r="H3437" s="42">
        <v>211</v>
      </c>
    </row>
    <row r="3438" spans="1:8" ht="15" customHeight="1">
      <c r="A3438" s="26">
        <v>30289772</v>
      </c>
      <c r="B3438" s="29" t="s">
        <v>5676</v>
      </c>
      <c r="C3438" s="29" t="s">
        <v>20337</v>
      </c>
      <c r="D3438" s="29" t="s">
        <v>33546</v>
      </c>
      <c r="E3438" s="29" t="s">
        <v>46706</v>
      </c>
      <c r="F3438" s="36" t="s">
        <v>54401</v>
      </c>
      <c r="G3438" s="39">
        <v>1754610.48</v>
      </c>
      <c r="H3438" s="42">
        <v>211</v>
      </c>
    </row>
    <row r="3439" spans="1:8" ht="15" customHeight="1">
      <c r="A3439" s="26">
        <v>30300268</v>
      </c>
      <c r="B3439" s="29" t="s">
        <v>5677</v>
      </c>
      <c r="C3439" s="29" t="s">
        <v>20338</v>
      </c>
      <c r="D3439" s="29" t="s">
        <v>33547</v>
      </c>
      <c r="E3439" s="29" t="s">
        <v>46707</v>
      </c>
      <c r="F3439" s="36" t="s">
        <v>54401</v>
      </c>
      <c r="G3439" s="39">
        <f>1297545.98+77761</f>
        <v>1375306.98</v>
      </c>
      <c r="H3439" s="42">
        <v>211</v>
      </c>
    </row>
    <row r="3440" spans="1:8" ht="15" customHeight="1">
      <c r="A3440" s="26">
        <v>30303843</v>
      </c>
      <c r="B3440" s="29" t="s">
        <v>5678</v>
      </c>
      <c r="C3440" s="29" t="s">
        <v>20339</v>
      </c>
      <c r="D3440" s="29" t="s">
        <v>33548</v>
      </c>
      <c r="E3440" s="29" t="s">
        <v>46708</v>
      </c>
      <c r="F3440" s="36" t="s">
        <v>54402</v>
      </c>
      <c r="G3440" s="39">
        <v>1047986.7</v>
      </c>
      <c r="H3440" s="42">
        <v>211</v>
      </c>
    </row>
    <row r="3441" spans="1:8" ht="15" customHeight="1">
      <c r="A3441" s="26">
        <v>30342528</v>
      </c>
      <c r="B3441" s="29" t="s">
        <v>5679</v>
      </c>
      <c r="C3441" s="29" t="s">
        <v>20340</v>
      </c>
      <c r="D3441" s="29" t="s">
        <v>33549</v>
      </c>
      <c r="E3441" s="29" t="s">
        <v>46709</v>
      </c>
      <c r="F3441" s="36" t="s">
        <v>54401</v>
      </c>
      <c r="G3441" s="39">
        <f>14137905.69+261376+477638</f>
        <v>14876919.689999999</v>
      </c>
      <c r="H3441" s="42">
        <v>211</v>
      </c>
    </row>
    <row r="3442" spans="1:8" ht="15" customHeight="1">
      <c r="A3442" s="26">
        <v>30404263</v>
      </c>
      <c r="B3442" s="29" t="s">
        <v>5680</v>
      </c>
      <c r="C3442" s="29" t="s">
        <v>17204</v>
      </c>
      <c r="D3442" s="29" t="s">
        <v>33550</v>
      </c>
      <c r="E3442" s="29" t="s">
        <v>43926</v>
      </c>
      <c r="F3442" s="36" t="s">
        <v>54401</v>
      </c>
      <c r="G3442" s="39">
        <v>22613.439999999999</v>
      </c>
      <c r="H3442" s="42">
        <v>211</v>
      </c>
    </row>
    <row r="3443" spans="1:8" ht="15" customHeight="1">
      <c r="A3443" s="26">
        <v>30406315</v>
      </c>
      <c r="B3443" s="29" t="s">
        <v>5681</v>
      </c>
      <c r="C3443" s="26" t="s">
        <v>20341</v>
      </c>
      <c r="D3443" s="26" t="s">
        <v>33551</v>
      </c>
      <c r="E3443" s="26" t="s">
        <v>46710</v>
      </c>
      <c r="F3443" s="37" t="s">
        <v>54401</v>
      </c>
      <c r="G3443" s="39">
        <v>259700.44</v>
      </c>
      <c r="H3443" s="42">
        <v>211</v>
      </c>
    </row>
    <row r="3444" spans="1:8" ht="15" customHeight="1">
      <c r="A3444" s="26">
        <v>30407827</v>
      </c>
      <c r="B3444" s="29" t="s">
        <v>5682</v>
      </c>
      <c r="C3444" s="29" t="s">
        <v>20342</v>
      </c>
      <c r="D3444" s="29" t="s">
        <v>33552</v>
      </c>
      <c r="E3444" s="29" t="s">
        <v>44141</v>
      </c>
      <c r="F3444" s="36" t="s">
        <v>54401</v>
      </c>
      <c r="G3444" s="39">
        <v>1672232.09</v>
      </c>
      <c r="H3444" s="42">
        <v>211</v>
      </c>
    </row>
    <row r="3445" spans="1:8" ht="15" customHeight="1">
      <c r="A3445" s="26">
        <v>31194307</v>
      </c>
      <c r="B3445" s="29" t="s">
        <v>5683</v>
      </c>
      <c r="C3445" s="29" t="s">
        <v>20343</v>
      </c>
      <c r="D3445" s="29" t="s">
        <v>33553</v>
      </c>
      <c r="E3445" s="29" t="s">
        <v>46711</v>
      </c>
      <c r="F3445" s="36" t="s">
        <v>54401</v>
      </c>
      <c r="G3445" s="39">
        <v>526825.56000000006</v>
      </c>
      <c r="H3445" s="42">
        <v>211</v>
      </c>
    </row>
    <row r="3446" spans="1:8" ht="15" customHeight="1">
      <c r="A3446" s="26">
        <v>31264962</v>
      </c>
      <c r="B3446" s="29" t="s">
        <v>5684</v>
      </c>
      <c r="C3446" s="29" t="s">
        <v>20344</v>
      </c>
      <c r="D3446" s="29" t="s">
        <v>33554</v>
      </c>
      <c r="E3446" s="29" t="s">
        <v>46712</v>
      </c>
      <c r="F3446" s="36" t="s">
        <v>54401</v>
      </c>
      <c r="G3446" s="39">
        <v>657151.68999999994</v>
      </c>
      <c r="H3446" s="42">
        <v>211</v>
      </c>
    </row>
    <row r="3447" spans="1:8" ht="15" customHeight="1">
      <c r="A3447" s="26">
        <v>31280321</v>
      </c>
      <c r="B3447" s="29" t="s">
        <v>5685</v>
      </c>
      <c r="C3447" s="29" t="s">
        <v>20345</v>
      </c>
      <c r="D3447" s="29" t="s">
        <v>33555</v>
      </c>
      <c r="E3447" s="29" t="s">
        <v>46713</v>
      </c>
      <c r="F3447" s="36" t="s">
        <v>54401</v>
      </c>
      <c r="G3447" s="39">
        <f>2674612.31-257104</f>
        <v>2417508.31</v>
      </c>
      <c r="H3447" s="42">
        <v>211</v>
      </c>
    </row>
    <row r="3448" spans="1:8" ht="15" customHeight="1">
      <c r="A3448" s="26">
        <v>31436968</v>
      </c>
      <c r="B3448" s="29" t="s">
        <v>5686</v>
      </c>
      <c r="C3448" s="29" t="s">
        <v>20346</v>
      </c>
      <c r="D3448" s="29" t="s">
        <v>33556</v>
      </c>
      <c r="E3448" s="29" t="s">
        <v>46714</v>
      </c>
      <c r="F3448" s="36" t="s">
        <v>54401</v>
      </c>
      <c r="G3448" s="39">
        <v>3144559.77</v>
      </c>
      <c r="H3448" s="42">
        <v>211</v>
      </c>
    </row>
    <row r="3449" spans="1:8" ht="15" customHeight="1">
      <c r="A3449" s="26">
        <v>31847289</v>
      </c>
      <c r="B3449" s="29" t="s">
        <v>5687</v>
      </c>
      <c r="C3449" s="29" t="s">
        <v>17204</v>
      </c>
      <c r="D3449" s="29" t="s">
        <v>33557</v>
      </c>
      <c r="E3449" s="29" t="s">
        <v>43926</v>
      </c>
      <c r="F3449" s="36" t="s">
        <v>54401</v>
      </c>
      <c r="G3449" s="39">
        <v>1550</v>
      </c>
      <c r="H3449" s="42">
        <v>211</v>
      </c>
    </row>
    <row r="3450" spans="1:8" ht="15" customHeight="1">
      <c r="A3450" s="26">
        <v>31899722</v>
      </c>
      <c r="B3450" s="29" t="s">
        <v>5688</v>
      </c>
      <c r="C3450" s="29" t="s">
        <v>20347</v>
      </c>
      <c r="D3450" s="29" t="s">
        <v>33558</v>
      </c>
      <c r="E3450" s="29" t="s">
        <v>46715</v>
      </c>
      <c r="F3450" s="36" t="s">
        <v>54401</v>
      </c>
      <c r="G3450" s="39">
        <v>1279388.47</v>
      </c>
      <c r="H3450" s="42">
        <v>211</v>
      </c>
    </row>
    <row r="3451" spans="1:8" ht="15" customHeight="1">
      <c r="A3451" s="26">
        <v>32119847</v>
      </c>
      <c r="B3451" s="29" t="s">
        <v>5689</v>
      </c>
      <c r="C3451" s="26" t="s">
        <v>20348</v>
      </c>
      <c r="D3451" s="26" t="s">
        <v>33559</v>
      </c>
      <c r="E3451" s="26" t="s">
        <v>46716</v>
      </c>
      <c r="F3451" s="37" t="s">
        <v>54401</v>
      </c>
      <c r="G3451" s="39">
        <f>1435855.64+84168</f>
        <v>1520023.64</v>
      </c>
      <c r="H3451" s="42">
        <v>211</v>
      </c>
    </row>
    <row r="3452" spans="1:8" ht="15" customHeight="1">
      <c r="A3452" s="26">
        <v>32755397</v>
      </c>
      <c r="B3452" s="29" t="s">
        <v>5690</v>
      </c>
      <c r="C3452" s="29" t="s">
        <v>20349</v>
      </c>
      <c r="D3452" s="29" t="s">
        <v>33560</v>
      </c>
      <c r="E3452" s="29" t="s">
        <v>46717</v>
      </c>
      <c r="F3452" s="36" t="s">
        <v>54401</v>
      </c>
      <c r="G3452" s="39">
        <v>1320651.06</v>
      </c>
      <c r="H3452" s="42">
        <v>211</v>
      </c>
    </row>
    <row r="3453" spans="1:8" ht="15" customHeight="1">
      <c r="A3453" s="26">
        <v>32760342</v>
      </c>
      <c r="B3453" s="29" t="s">
        <v>5691</v>
      </c>
      <c r="C3453" s="29" t="s">
        <v>17204</v>
      </c>
      <c r="D3453" s="29" t="s">
        <v>33561</v>
      </c>
      <c r="E3453" s="29" t="s">
        <v>46718</v>
      </c>
      <c r="F3453" s="36" t="s">
        <v>54413</v>
      </c>
      <c r="G3453" s="39">
        <v>1227675.6499999999</v>
      </c>
      <c r="H3453" s="42">
        <v>211</v>
      </c>
    </row>
    <row r="3454" spans="1:8" ht="15" customHeight="1">
      <c r="A3454" s="26">
        <v>32768204</v>
      </c>
      <c r="B3454" s="29" t="s">
        <v>5692</v>
      </c>
      <c r="C3454" s="29" t="s">
        <v>20350</v>
      </c>
      <c r="D3454" s="29" t="s">
        <v>33562</v>
      </c>
      <c r="E3454" s="29" t="s">
        <v>46719</v>
      </c>
      <c r="F3454" s="36" t="s">
        <v>54402</v>
      </c>
      <c r="G3454" s="39">
        <v>631723.55000000005</v>
      </c>
      <c r="H3454" s="42">
        <v>211</v>
      </c>
    </row>
    <row r="3455" spans="1:8" ht="15" customHeight="1">
      <c r="A3455" s="26">
        <v>32821200</v>
      </c>
      <c r="B3455" s="29" t="s">
        <v>5693</v>
      </c>
      <c r="C3455" s="29" t="s">
        <v>17204</v>
      </c>
      <c r="D3455" s="29" t="s">
        <v>30376</v>
      </c>
      <c r="E3455" s="29" t="s">
        <v>43926</v>
      </c>
      <c r="F3455" s="36" t="s">
        <v>54401</v>
      </c>
      <c r="G3455" s="39">
        <v>158205.18</v>
      </c>
      <c r="H3455" s="42">
        <v>211</v>
      </c>
    </row>
    <row r="3456" spans="1:8" ht="15" customHeight="1">
      <c r="A3456" s="26">
        <v>33198974</v>
      </c>
      <c r="B3456" s="29" t="s">
        <v>5694</v>
      </c>
      <c r="C3456" s="29" t="s">
        <v>20351</v>
      </c>
      <c r="D3456" s="29" t="s">
        <v>33563</v>
      </c>
      <c r="E3456" s="29" t="s">
        <v>46720</v>
      </c>
      <c r="F3456" s="36" t="s">
        <v>54432</v>
      </c>
      <c r="G3456" s="39">
        <v>1152771.23</v>
      </c>
      <c r="H3456" s="42">
        <v>211</v>
      </c>
    </row>
    <row r="3457" spans="1:8" ht="15" customHeight="1">
      <c r="A3457" s="26">
        <v>33365493</v>
      </c>
      <c r="B3457" s="29" t="s">
        <v>5695</v>
      </c>
      <c r="C3457" s="29" t="s">
        <v>20352</v>
      </c>
      <c r="D3457" s="29" t="s">
        <v>33564</v>
      </c>
      <c r="E3457" s="29" t="s">
        <v>45390</v>
      </c>
      <c r="F3457" s="36" t="s">
        <v>54401</v>
      </c>
      <c r="G3457" s="39">
        <v>1806444.46</v>
      </c>
      <c r="H3457" s="42">
        <v>211</v>
      </c>
    </row>
    <row r="3458" spans="1:8" ht="15" customHeight="1">
      <c r="A3458" s="26">
        <v>33365744</v>
      </c>
      <c r="B3458" s="29" t="s">
        <v>5696</v>
      </c>
      <c r="C3458" s="29" t="s">
        <v>20353</v>
      </c>
      <c r="D3458" s="29" t="s">
        <v>33565</v>
      </c>
      <c r="E3458" s="29" t="s">
        <v>46721</v>
      </c>
      <c r="F3458" s="36" t="s">
        <v>54401</v>
      </c>
      <c r="G3458" s="39">
        <f>2588932.71+314155+165423</f>
        <v>3068510.71</v>
      </c>
      <c r="H3458" s="42">
        <v>211</v>
      </c>
    </row>
    <row r="3459" spans="1:8" ht="15" customHeight="1">
      <c r="A3459" s="26">
        <v>33366133</v>
      </c>
      <c r="B3459" s="29" t="s">
        <v>5697</v>
      </c>
      <c r="C3459" s="29" t="s">
        <v>20354</v>
      </c>
      <c r="D3459" s="29" t="s">
        <v>33566</v>
      </c>
      <c r="E3459" s="29" t="s">
        <v>46722</v>
      </c>
      <c r="F3459" s="36" t="s">
        <v>54401</v>
      </c>
      <c r="G3459" s="39">
        <v>320624.21000000002</v>
      </c>
      <c r="H3459" s="42">
        <v>211</v>
      </c>
    </row>
    <row r="3460" spans="1:8" ht="15" customHeight="1">
      <c r="A3460" s="26">
        <v>33366852</v>
      </c>
      <c r="B3460" s="29" t="s">
        <v>5698</v>
      </c>
      <c r="C3460" s="29" t="s">
        <v>20355</v>
      </c>
      <c r="D3460" s="29" t="s">
        <v>33567</v>
      </c>
      <c r="E3460" s="29" t="s">
        <v>45660</v>
      </c>
      <c r="F3460" s="36" t="s">
        <v>54401</v>
      </c>
      <c r="G3460" s="39">
        <f>1875974.58+212706</f>
        <v>2088680.58</v>
      </c>
      <c r="H3460" s="42">
        <v>211</v>
      </c>
    </row>
    <row r="3461" spans="1:8" ht="15" customHeight="1">
      <c r="A3461" s="26">
        <v>33366910</v>
      </c>
      <c r="B3461" s="29" t="s">
        <v>5699</v>
      </c>
      <c r="C3461" s="29" t="s">
        <v>20356</v>
      </c>
      <c r="D3461" s="29" t="s">
        <v>33568</v>
      </c>
      <c r="E3461" s="29" t="s">
        <v>46723</v>
      </c>
      <c r="F3461" s="36" t="s">
        <v>54401</v>
      </c>
      <c r="G3461" s="39">
        <v>717937.62</v>
      </c>
      <c r="H3461" s="42">
        <v>211</v>
      </c>
    </row>
    <row r="3462" spans="1:8" ht="15" customHeight="1">
      <c r="A3462" s="26">
        <v>33367212</v>
      </c>
      <c r="B3462" s="29" t="s">
        <v>5700</v>
      </c>
      <c r="C3462" s="29" t="s">
        <v>20357</v>
      </c>
      <c r="D3462" s="29" t="s">
        <v>33569</v>
      </c>
      <c r="E3462" s="29" t="s">
        <v>46724</v>
      </c>
      <c r="F3462" s="36" t="s">
        <v>54401</v>
      </c>
      <c r="G3462" s="39">
        <v>205123.96</v>
      </c>
      <c r="H3462" s="42">
        <v>211</v>
      </c>
    </row>
    <row r="3463" spans="1:8" ht="15" customHeight="1">
      <c r="A3463" s="26">
        <v>33367582</v>
      </c>
      <c r="B3463" s="29" t="s">
        <v>5701</v>
      </c>
      <c r="C3463" s="29" t="s">
        <v>20358</v>
      </c>
      <c r="D3463" s="29" t="s">
        <v>33570</v>
      </c>
      <c r="E3463" s="29" t="s">
        <v>46588</v>
      </c>
      <c r="F3463" s="36" t="s">
        <v>54401</v>
      </c>
      <c r="G3463" s="39">
        <v>22075.63</v>
      </c>
      <c r="H3463" s="42">
        <v>211</v>
      </c>
    </row>
    <row r="3464" spans="1:8" ht="15" customHeight="1">
      <c r="A3464" s="26">
        <v>33367715</v>
      </c>
      <c r="B3464" s="29" t="s">
        <v>5702</v>
      </c>
      <c r="C3464" s="26" t="s">
        <v>20359</v>
      </c>
      <c r="D3464" s="26" t="s">
        <v>33571</v>
      </c>
      <c r="E3464" s="26" t="s">
        <v>46725</v>
      </c>
      <c r="F3464" s="37" t="s">
        <v>54401</v>
      </c>
      <c r="G3464" s="39">
        <v>542649.17000000004</v>
      </c>
      <c r="H3464" s="42">
        <v>211</v>
      </c>
    </row>
    <row r="3465" spans="1:8" ht="15" customHeight="1">
      <c r="A3465" s="26">
        <v>33367746</v>
      </c>
      <c r="B3465" s="29" t="s">
        <v>5703</v>
      </c>
      <c r="C3465" s="26" t="s">
        <v>20360</v>
      </c>
      <c r="D3465" s="26" t="s">
        <v>33572</v>
      </c>
      <c r="E3465" s="26" t="s">
        <v>46726</v>
      </c>
      <c r="F3465" s="37" t="s">
        <v>54401</v>
      </c>
      <c r="G3465" s="39">
        <v>90925.88</v>
      </c>
      <c r="H3465" s="42">
        <v>211</v>
      </c>
    </row>
    <row r="3466" spans="1:8" ht="15" customHeight="1">
      <c r="A3466" s="26">
        <v>33367883</v>
      </c>
      <c r="B3466" s="29" t="s">
        <v>5704</v>
      </c>
      <c r="C3466" s="26" t="s">
        <v>20361</v>
      </c>
      <c r="D3466" s="26" t="s">
        <v>30376</v>
      </c>
      <c r="E3466" s="26" t="s">
        <v>46727</v>
      </c>
      <c r="F3466" s="37" t="s">
        <v>54401</v>
      </c>
      <c r="G3466" s="39">
        <v>370310.81</v>
      </c>
      <c r="H3466" s="42">
        <v>211</v>
      </c>
    </row>
    <row r="3467" spans="1:8" ht="15" customHeight="1">
      <c r="A3467" s="26">
        <v>33368321</v>
      </c>
      <c r="B3467" s="29" t="s">
        <v>5705</v>
      </c>
      <c r="C3467" s="29" t="s">
        <v>20362</v>
      </c>
      <c r="D3467" s="29" t="s">
        <v>33573</v>
      </c>
      <c r="E3467" s="29" t="s">
        <v>46728</v>
      </c>
      <c r="F3467" s="36" t="s">
        <v>54401</v>
      </c>
      <c r="G3467" s="39">
        <v>2268782.2999999998</v>
      </c>
      <c r="H3467" s="42">
        <v>211</v>
      </c>
    </row>
    <row r="3468" spans="1:8" ht="15" customHeight="1">
      <c r="A3468" s="26">
        <v>33368556</v>
      </c>
      <c r="B3468" s="29" t="s">
        <v>5706</v>
      </c>
      <c r="C3468" s="29" t="s">
        <v>20363</v>
      </c>
      <c r="D3468" s="29" t="s">
        <v>33574</v>
      </c>
      <c r="E3468" s="29" t="s">
        <v>46729</v>
      </c>
      <c r="F3468" s="36" t="s">
        <v>54401</v>
      </c>
      <c r="G3468" s="39">
        <v>1554041.52</v>
      </c>
      <c r="H3468" s="42">
        <v>211</v>
      </c>
    </row>
    <row r="3469" spans="1:8" ht="15" customHeight="1">
      <c r="A3469" s="26">
        <v>33368887</v>
      </c>
      <c r="B3469" s="29" t="s">
        <v>5707</v>
      </c>
      <c r="C3469" s="29" t="s">
        <v>20364</v>
      </c>
      <c r="D3469" s="29" t="s">
        <v>30349</v>
      </c>
      <c r="E3469" s="29" t="s">
        <v>43926</v>
      </c>
      <c r="F3469" s="36" t="s">
        <v>54401</v>
      </c>
      <c r="G3469" s="39">
        <v>80902.649999999994</v>
      </c>
      <c r="H3469" s="42">
        <v>211</v>
      </c>
    </row>
    <row r="3470" spans="1:8" ht="15" customHeight="1">
      <c r="A3470" s="26">
        <v>33369041</v>
      </c>
      <c r="B3470" s="29" t="s">
        <v>5708</v>
      </c>
      <c r="C3470" s="29" t="s">
        <v>20365</v>
      </c>
      <c r="D3470" s="29" t="s">
        <v>33575</v>
      </c>
      <c r="E3470" s="29" t="s">
        <v>46730</v>
      </c>
      <c r="F3470" s="36" t="s">
        <v>54401</v>
      </c>
      <c r="G3470" s="39">
        <v>1749415.62</v>
      </c>
      <c r="H3470" s="42">
        <v>211</v>
      </c>
    </row>
    <row r="3471" spans="1:8" ht="15" customHeight="1">
      <c r="A3471" s="26">
        <v>33369329</v>
      </c>
      <c r="B3471" s="29" t="s">
        <v>5709</v>
      </c>
      <c r="C3471" s="29" t="s">
        <v>20366</v>
      </c>
      <c r="D3471" s="29" t="s">
        <v>33576</v>
      </c>
      <c r="E3471" s="29" t="s">
        <v>46064</v>
      </c>
      <c r="F3471" s="36" t="s">
        <v>54401</v>
      </c>
      <c r="G3471" s="39">
        <f>2833067.35-1554+54369</f>
        <v>2885882.35</v>
      </c>
      <c r="H3471" s="42">
        <v>211</v>
      </c>
    </row>
    <row r="3472" spans="1:8" ht="15" customHeight="1">
      <c r="A3472" s="26">
        <v>33369495</v>
      </c>
      <c r="B3472" s="29" t="s">
        <v>5710</v>
      </c>
      <c r="C3472" s="29" t="s">
        <v>20367</v>
      </c>
      <c r="D3472" s="29" t="s">
        <v>33577</v>
      </c>
      <c r="E3472" s="29" t="s">
        <v>43926</v>
      </c>
      <c r="F3472" s="36" t="s">
        <v>54401</v>
      </c>
      <c r="G3472" s="39">
        <v>231076.07</v>
      </c>
      <c r="H3472" s="42">
        <v>211</v>
      </c>
    </row>
    <row r="3473" spans="1:8" ht="15" customHeight="1">
      <c r="A3473" s="26">
        <v>33375872</v>
      </c>
      <c r="B3473" s="29" t="s">
        <v>5711</v>
      </c>
      <c r="C3473" s="29" t="s">
        <v>20368</v>
      </c>
      <c r="D3473" s="29" t="s">
        <v>33578</v>
      </c>
      <c r="E3473" s="29" t="s">
        <v>46731</v>
      </c>
      <c r="F3473" s="36" t="s">
        <v>54401</v>
      </c>
      <c r="G3473" s="39">
        <v>4057743.49</v>
      </c>
      <c r="H3473" s="42">
        <v>211</v>
      </c>
    </row>
    <row r="3474" spans="1:8" ht="15" customHeight="1">
      <c r="A3474" s="26">
        <v>33376405</v>
      </c>
      <c r="B3474" s="29" t="s">
        <v>5712</v>
      </c>
      <c r="C3474" s="29" t="s">
        <v>20369</v>
      </c>
      <c r="D3474" s="29" t="s">
        <v>33579</v>
      </c>
      <c r="E3474" s="29" t="s">
        <v>45006</v>
      </c>
      <c r="F3474" s="36" t="s">
        <v>54401</v>
      </c>
      <c r="G3474" s="39">
        <v>51902.7</v>
      </c>
      <c r="H3474" s="42">
        <v>211</v>
      </c>
    </row>
    <row r="3475" spans="1:8" ht="15" customHeight="1">
      <c r="A3475" s="26">
        <v>33376462</v>
      </c>
      <c r="B3475" s="29" t="s">
        <v>5713</v>
      </c>
      <c r="C3475" s="29" t="s">
        <v>20370</v>
      </c>
      <c r="D3475" s="29" t="s">
        <v>33580</v>
      </c>
      <c r="E3475" s="29" t="s">
        <v>46732</v>
      </c>
      <c r="F3475" s="36" t="s">
        <v>54401</v>
      </c>
      <c r="G3475" s="39">
        <v>98416.05</v>
      </c>
      <c r="H3475" s="42">
        <v>211</v>
      </c>
    </row>
    <row r="3476" spans="1:8" ht="15" customHeight="1">
      <c r="A3476" s="26">
        <v>33376561</v>
      </c>
      <c r="B3476" s="29" t="s">
        <v>5714</v>
      </c>
      <c r="C3476" s="29" t="s">
        <v>20371</v>
      </c>
      <c r="D3476" s="29" t="s">
        <v>33581</v>
      </c>
      <c r="E3476" s="29" t="s">
        <v>43926</v>
      </c>
      <c r="F3476" s="36" t="s">
        <v>54401</v>
      </c>
      <c r="G3476" s="39">
        <v>3212657.87</v>
      </c>
      <c r="H3476" s="42">
        <v>211</v>
      </c>
    </row>
    <row r="3477" spans="1:8" ht="15" customHeight="1">
      <c r="A3477" s="26">
        <v>33376752</v>
      </c>
      <c r="B3477" s="29" t="s">
        <v>5715</v>
      </c>
      <c r="C3477" s="29" t="s">
        <v>20372</v>
      </c>
      <c r="D3477" s="29" t="s">
        <v>33582</v>
      </c>
      <c r="E3477" s="29" t="s">
        <v>46733</v>
      </c>
      <c r="F3477" s="36" t="s">
        <v>54401</v>
      </c>
      <c r="G3477" s="39">
        <v>3116250.25</v>
      </c>
      <c r="H3477" s="42">
        <v>211</v>
      </c>
    </row>
    <row r="3478" spans="1:8" ht="15" customHeight="1">
      <c r="A3478" s="26">
        <v>33376856</v>
      </c>
      <c r="B3478" s="29" t="s">
        <v>5716</v>
      </c>
      <c r="C3478" s="29" t="s">
        <v>20373</v>
      </c>
      <c r="D3478" s="29" t="s">
        <v>33583</v>
      </c>
      <c r="E3478" s="29" t="s">
        <v>46734</v>
      </c>
      <c r="F3478" s="36" t="s">
        <v>54401</v>
      </c>
      <c r="G3478" s="39">
        <f>935073.87+1855925</f>
        <v>2790998.87</v>
      </c>
      <c r="H3478" s="42">
        <v>211</v>
      </c>
    </row>
    <row r="3479" spans="1:8" ht="15" customHeight="1">
      <c r="A3479" s="26">
        <v>33377005</v>
      </c>
      <c r="B3479" s="29" t="s">
        <v>5717</v>
      </c>
      <c r="C3479" s="29" t="s">
        <v>17204</v>
      </c>
      <c r="D3479" s="29" t="s">
        <v>30349</v>
      </c>
      <c r="E3479" s="29" t="s">
        <v>43926</v>
      </c>
      <c r="F3479" s="36" t="s">
        <v>54401</v>
      </c>
      <c r="G3479" s="39">
        <v>477891.42</v>
      </c>
      <c r="H3479" s="42">
        <v>211</v>
      </c>
    </row>
    <row r="3480" spans="1:8" ht="15" customHeight="1">
      <c r="A3480" s="26">
        <v>33377363</v>
      </c>
      <c r="B3480" s="29" t="s">
        <v>5718</v>
      </c>
      <c r="C3480" s="29" t="s">
        <v>20374</v>
      </c>
      <c r="D3480" s="29" t="s">
        <v>33584</v>
      </c>
      <c r="E3480" s="29" t="s">
        <v>43926</v>
      </c>
      <c r="F3480" s="36" t="s">
        <v>54401</v>
      </c>
      <c r="G3480" s="39">
        <v>154397.10999999999</v>
      </c>
      <c r="H3480" s="42">
        <v>211</v>
      </c>
    </row>
    <row r="3481" spans="1:8" ht="15" customHeight="1">
      <c r="A3481" s="26">
        <v>33377410</v>
      </c>
      <c r="B3481" s="29" t="s">
        <v>5719</v>
      </c>
      <c r="C3481" s="29" t="s">
        <v>17204</v>
      </c>
      <c r="D3481" s="29" t="s">
        <v>30349</v>
      </c>
      <c r="E3481" s="29" t="s">
        <v>43926</v>
      </c>
      <c r="F3481" s="36" t="s">
        <v>54401</v>
      </c>
      <c r="G3481" s="39">
        <v>92807.56</v>
      </c>
      <c r="H3481" s="42">
        <v>211</v>
      </c>
    </row>
    <row r="3482" spans="1:8" ht="15" customHeight="1">
      <c r="A3482" s="26">
        <v>33378211</v>
      </c>
      <c r="B3482" s="29" t="s">
        <v>5720</v>
      </c>
      <c r="C3482" s="29" t="s">
        <v>20375</v>
      </c>
      <c r="D3482" s="29" t="s">
        <v>33585</v>
      </c>
      <c r="E3482" s="29" t="s">
        <v>46735</v>
      </c>
      <c r="F3482" s="36" t="s">
        <v>54413</v>
      </c>
      <c r="G3482" s="39">
        <v>1275643.95</v>
      </c>
      <c r="H3482" s="42">
        <v>211</v>
      </c>
    </row>
    <row r="3483" spans="1:8" ht="15" customHeight="1">
      <c r="A3483" s="26">
        <v>33378555</v>
      </c>
      <c r="B3483" s="29" t="s">
        <v>5721</v>
      </c>
      <c r="C3483" s="26" t="s">
        <v>20376</v>
      </c>
      <c r="D3483" s="26" t="s">
        <v>33586</v>
      </c>
      <c r="E3483" s="26" t="s">
        <v>46736</v>
      </c>
      <c r="F3483" s="37" t="s">
        <v>54401</v>
      </c>
      <c r="G3483" s="39">
        <v>460880.53</v>
      </c>
      <c r="H3483" s="42">
        <v>211</v>
      </c>
    </row>
    <row r="3484" spans="1:8" ht="15" customHeight="1">
      <c r="A3484" s="26">
        <v>33378904</v>
      </c>
      <c r="B3484" s="29" t="s">
        <v>5722</v>
      </c>
      <c r="C3484" s="29" t="s">
        <v>20377</v>
      </c>
      <c r="D3484" s="29" t="s">
        <v>33587</v>
      </c>
      <c r="E3484" s="29" t="s">
        <v>45339</v>
      </c>
      <c r="F3484" s="36" t="s">
        <v>54401</v>
      </c>
      <c r="G3484" s="39">
        <f>1002960.06+568958</f>
        <v>1571918.06</v>
      </c>
      <c r="H3484" s="42">
        <v>211</v>
      </c>
    </row>
    <row r="3485" spans="1:8" ht="15" customHeight="1">
      <c r="A3485" s="26">
        <v>33379138</v>
      </c>
      <c r="B3485" s="29" t="s">
        <v>5723</v>
      </c>
      <c r="C3485" s="29" t="s">
        <v>20378</v>
      </c>
      <c r="D3485" s="29" t="s">
        <v>33588</v>
      </c>
      <c r="E3485" s="29" t="s">
        <v>46737</v>
      </c>
      <c r="F3485" s="36" t="s">
        <v>54401</v>
      </c>
      <c r="G3485" s="39">
        <v>547307.93000000005</v>
      </c>
      <c r="H3485" s="42">
        <v>211</v>
      </c>
    </row>
    <row r="3486" spans="1:8" ht="15" customHeight="1">
      <c r="A3486" s="26">
        <v>33379250</v>
      </c>
      <c r="B3486" s="29" t="s">
        <v>5724</v>
      </c>
      <c r="C3486" s="29" t="s">
        <v>20379</v>
      </c>
      <c r="D3486" s="29" t="s">
        <v>33589</v>
      </c>
      <c r="E3486" s="29" t="s">
        <v>46738</v>
      </c>
      <c r="F3486" s="36" t="s">
        <v>54401</v>
      </c>
      <c r="G3486" s="39">
        <v>157457.23000000001</v>
      </c>
      <c r="H3486" s="42">
        <v>211</v>
      </c>
    </row>
    <row r="3487" spans="1:8" ht="15" customHeight="1">
      <c r="A3487" s="26">
        <v>33379274</v>
      </c>
      <c r="B3487" s="29" t="s">
        <v>5725</v>
      </c>
      <c r="C3487" s="29" t="s">
        <v>20380</v>
      </c>
      <c r="D3487" s="29" t="s">
        <v>33590</v>
      </c>
      <c r="E3487" s="29" t="s">
        <v>44600</v>
      </c>
      <c r="F3487" s="36" t="s">
        <v>54401</v>
      </c>
      <c r="G3487" s="39">
        <f>4363454.39+1597714</f>
        <v>5961168.3899999997</v>
      </c>
      <c r="H3487" s="42">
        <v>211</v>
      </c>
    </row>
    <row r="3488" spans="1:8" ht="15" customHeight="1">
      <c r="A3488" s="26">
        <v>33379739</v>
      </c>
      <c r="B3488" s="29" t="s">
        <v>5726</v>
      </c>
      <c r="C3488" s="29" t="s">
        <v>20381</v>
      </c>
      <c r="D3488" s="29" t="s">
        <v>33591</v>
      </c>
      <c r="E3488" s="29" t="s">
        <v>46739</v>
      </c>
      <c r="F3488" s="36" t="s">
        <v>54401</v>
      </c>
      <c r="G3488" s="39">
        <f>679227.06+110118</f>
        <v>789345.06</v>
      </c>
      <c r="H3488" s="42">
        <v>211</v>
      </c>
    </row>
    <row r="3489" spans="1:8" ht="15" customHeight="1">
      <c r="A3489" s="26">
        <v>33446469</v>
      </c>
      <c r="B3489" s="29" t="s">
        <v>5727</v>
      </c>
      <c r="C3489" s="29" t="s">
        <v>20382</v>
      </c>
      <c r="D3489" s="29" t="s">
        <v>33592</v>
      </c>
      <c r="E3489" s="29" t="s">
        <v>46740</v>
      </c>
      <c r="F3489" s="36" t="s">
        <v>54401</v>
      </c>
      <c r="G3489" s="39">
        <v>4975886.71</v>
      </c>
      <c r="H3489" s="42">
        <v>211</v>
      </c>
    </row>
    <row r="3490" spans="1:8" ht="15" customHeight="1">
      <c r="A3490" s="26">
        <v>33446706</v>
      </c>
      <c r="B3490" s="29" t="s">
        <v>5728</v>
      </c>
      <c r="C3490" s="29" t="s">
        <v>20383</v>
      </c>
      <c r="D3490" s="29" t="s">
        <v>33593</v>
      </c>
      <c r="E3490" s="29" t="s">
        <v>46741</v>
      </c>
      <c r="F3490" s="36" t="s">
        <v>54401</v>
      </c>
      <c r="G3490" s="39">
        <v>73598.399999999994</v>
      </c>
      <c r="H3490" s="42">
        <v>211</v>
      </c>
    </row>
    <row r="3491" spans="1:8" ht="15" customHeight="1">
      <c r="A3491" s="26">
        <v>33447298</v>
      </c>
      <c r="B3491" s="29" t="s">
        <v>5729</v>
      </c>
      <c r="C3491" s="29" t="s">
        <v>20384</v>
      </c>
      <c r="D3491" s="29" t="s">
        <v>33594</v>
      </c>
      <c r="E3491" s="29" t="s">
        <v>46742</v>
      </c>
      <c r="F3491" s="36" t="s">
        <v>54401</v>
      </c>
      <c r="G3491" s="39">
        <v>757752.29</v>
      </c>
      <c r="H3491" s="42">
        <v>211</v>
      </c>
    </row>
    <row r="3492" spans="1:8" ht="15" customHeight="1">
      <c r="A3492" s="26">
        <v>33447711</v>
      </c>
      <c r="B3492" s="29" t="s">
        <v>5730</v>
      </c>
      <c r="C3492" s="29" t="s">
        <v>20385</v>
      </c>
      <c r="D3492" s="29" t="s">
        <v>33595</v>
      </c>
      <c r="E3492" s="29" t="s">
        <v>46743</v>
      </c>
      <c r="F3492" s="36" t="s">
        <v>54414</v>
      </c>
      <c r="G3492" s="39">
        <v>826060.04</v>
      </c>
      <c r="H3492" s="42">
        <v>211</v>
      </c>
    </row>
    <row r="3493" spans="1:8" ht="15" customHeight="1">
      <c r="A3493" s="26">
        <v>33448996</v>
      </c>
      <c r="B3493" s="29" t="s">
        <v>5731</v>
      </c>
      <c r="C3493" s="26" t="s">
        <v>20386</v>
      </c>
      <c r="D3493" s="26" t="s">
        <v>33596</v>
      </c>
      <c r="E3493" s="26" t="s">
        <v>46744</v>
      </c>
      <c r="F3493" s="37" t="s">
        <v>54401</v>
      </c>
      <c r="G3493" s="39">
        <v>232353.51</v>
      </c>
      <c r="H3493" s="42">
        <v>211</v>
      </c>
    </row>
    <row r="3494" spans="1:8" ht="15" customHeight="1">
      <c r="A3494" s="26">
        <v>33449003</v>
      </c>
      <c r="B3494" s="29" t="s">
        <v>5732</v>
      </c>
      <c r="C3494" s="29" t="s">
        <v>20387</v>
      </c>
      <c r="D3494" s="29" t="s">
        <v>33597</v>
      </c>
      <c r="E3494" s="29" t="s">
        <v>46745</v>
      </c>
      <c r="F3494" s="36" t="s">
        <v>54401</v>
      </c>
      <c r="G3494" s="39">
        <v>939897.65</v>
      </c>
      <c r="H3494" s="42">
        <v>211</v>
      </c>
    </row>
    <row r="3495" spans="1:8" ht="15" customHeight="1">
      <c r="A3495" s="26">
        <v>33449042</v>
      </c>
      <c r="B3495" s="29" t="s">
        <v>5733</v>
      </c>
      <c r="C3495" s="29" t="s">
        <v>20388</v>
      </c>
      <c r="D3495" s="29" t="s">
        <v>33598</v>
      </c>
      <c r="E3495" s="29" t="s">
        <v>46746</v>
      </c>
      <c r="F3495" s="36" t="s">
        <v>54401</v>
      </c>
      <c r="G3495" s="39">
        <v>49664.86</v>
      </c>
      <c r="H3495" s="42">
        <v>211</v>
      </c>
    </row>
    <row r="3496" spans="1:8" ht="15" customHeight="1">
      <c r="A3496" s="26">
        <v>33449949</v>
      </c>
      <c r="B3496" s="29" t="s">
        <v>5734</v>
      </c>
      <c r="C3496" s="29" t="s">
        <v>20389</v>
      </c>
      <c r="D3496" s="29" t="s">
        <v>33599</v>
      </c>
      <c r="E3496" s="29" t="s">
        <v>46747</v>
      </c>
      <c r="F3496" s="36" t="s">
        <v>54401</v>
      </c>
      <c r="G3496" s="39">
        <v>14294.85</v>
      </c>
      <c r="H3496" s="42">
        <v>211</v>
      </c>
    </row>
    <row r="3497" spans="1:8" ht="15" customHeight="1">
      <c r="A3497" s="26">
        <v>33480038</v>
      </c>
      <c r="B3497" s="29" t="s">
        <v>5735</v>
      </c>
      <c r="C3497" s="29" t="s">
        <v>20390</v>
      </c>
      <c r="D3497" s="29" t="s">
        <v>33600</v>
      </c>
      <c r="E3497" s="29" t="s">
        <v>46748</v>
      </c>
      <c r="F3497" s="36" t="s">
        <v>54401</v>
      </c>
      <c r="G3497" s="39">
        <f>2392419.79+419933</f>
        <v>2812352.79</v>
      </c>
      <c r="H3497" s="42">
        <v>211</v>
      </c>
    </row>
    <row r="3498" spans="1:8" ht="15" customHeight="1">
      <c r="A3498" s="26">
        <v>33480836</v>
      </c>
      <c r="B3498" s="29" t="s">
        <v>5736</v>
      </c>
      <c r="C3498" s="29" t="s">
        <v>20391</v>
      </c>
      <c r="D3498" s="29" t="s">
        <v>33601</v>
      </c>
      <c r="E3498" s="29" t="s">
        <v>46749</v>
      </c>
      <c r="F3498" s="36" t="s">
        <v>54401</v>
      </c>
      <c r="G3498" s="39">
        <v>190624.67</v>
      </c>
      <c r="H3498" s="42">
        <v>211</v>
      </c>
    </row>
    <row r="3499" spans="1:8" ht="15" customHeight="1">
      <c r="A3499" s="26">
        <v>33515525</v>
      </c>
      <c r="B3499" s="29" t="s">
        <v>5737</v>
      </c>
      <c r="C3499" s="29" t="s">
        <v>20392</v>
      </c>
      <c r="D3499" s="29" t="s">
        <v>33602</v>
      </c>
      <c r="E3499" s="29" t="s">
        <v>46750</v>
      </c>
      <c r="F3499" s="36" t="s">
        <v>54401</v>
      </c>
      <c r="G3499" s="39">
        <v>341592.2</v>
      </c>
      <c r="H3499" s="42">
        <v>211</v>
      </c>
    </row>
    <row r="3500" spans="1:8" ht="15" customHeight="1">
      <c r="A3500" s="26">
        <v>33515816</v>
      </c>
      <c r="B3500" s="29" t="s">
        <v>5738</v>
      </c>
      <c r="C3500" s="29" t="s">
        <v>20393</v>
      </c>
      <c r="D3500" s="29" t="s">
        <v>33603</v>
      </c>
      <c r="E3500" s="29" t="s">
        <v>46474</v>
      </c>
      <c r="F3500" s="36" t="s">
        <v>54401</v>
      </c>
      <c r="G3500" s="39">
        <f>293536.82+988865</f>
        <v>1282401.82</v>
      </c>
      <c r="H3500" s="42">
        <v>211</v>
      </c>
    </row>
    <row r="3501" spans="1:8" ht="15" customHeight="1">
      <c r="A3501" s="26">
        <v>33630539</v>
      </c>
      <c r="B3501" s="29" t="s">
        <v>5739</v>
      </c>
      <c r="C3501" s="26" t="s">
        <v>20394</v>
      </c>
      <c r="D3501" s="26" t="s">
        <v>33604</v>
      </c>
      <c r="E3501" s="26" t="s">
        <v>43926</v>
      </c>
      <c r="F3501" s="37" t="s">
        <v>54401</v>
      </c>
      <c r="G3501" s="39">
        <v>118298.07</v>
      </c>
      <c r="H3501" s="42">
        <v>211</v>
      </c>
    </row>
    <row r="3502" spans="1:8" ht="15" customHeight="1">
      <c r="A3502" s="26">
        <v>33630547</v>
      </c>
      <c r="B3502" s="29" t="s">
        <v>5740</v>
      </c>
      <c r="C3502" s="29" t="s">
        <v>20395</v>
      </c>
      <c r="D3502" s="29" t="s">
        <v>33605</v>
      </c>
      <c r="E3502" s="29" t="s">
        <v>46751</v>
      </c>
      <c r="F3502" s="36" t="s">
        <v>54401</v>
      </c>
      <c r="G3502" s="39">
        <v>3433723.34</v>
      </c>
      <c r="H3502" s="42">
        <v>211</v>
      </c>
    </row>
    <row r="3503" spans="1:8" ht="15" customHeight="1">
      <c r="A3503" s="26">
        <v>33630551</v>
      </c>
      <c r="B3503" s="29" t="s">
        <v>5741</v>
      </c>
      <c r="C3503" s="29" t="s">
        <v>20396</v>
      </c>
      <c r="D3503" s="29" t="s">
        <v>33606</v>
      </c>
      <c r="E3503" s="29" t="s">
        <v>46752</v>
      </c>
      <c r="F3503" s="36" t="s">
        <v>54401</v>
      </c>
      <c r="G3503" s="39">
        <v>64848.73</v>
      </c>
      <c r="H3503" s="42">
        <v>211</v>
      </c>
    </row>
    <row r="3504" spans="1:8" ht="15" customHeight="1">
      <c r="A3504" s="26">
        <v>33640047</v>
      </c>
      <c r="B3504" s="29" t="s">
        <v>5742</v>
      </c>
      <c r="C3504" s="29" t="s">
        <v>20397</v>
      </c>
      <c r="D3504" s="29" t="s">
        <v>30387</v>
      </c>
      <c r="E3504" s="29" t="s">
        <v>44345</v>
      </c>
      <c r="F3504" s="36" t="s">
        <v>54401</v>
      </c>
      <c r="G3504" s="39">
        <v>2265475.88</v>
      </c>
      <c r="H3504" s="42">
        <v>211</v>
      </c>
    </row>
    <row r="3505" spans="1:8" ht="15" customHeight="1">
      <c r="A3505" s="26">
        <v>33646020</v>
      </c>
      <c r="B3505" s="29" t="s">
        <v>5743</v>
      </c>
      <c r="C3505" s="29" t="s">
        <v>20398</v>
      </c>
      <c r="D3505" s="29" t="s">
        <v>33607</v>
      </c>
      <c r="E3505" s="29" t="s">
        <v>46753</v>
      </c>
      <c r="F3505" s="36" t="s">
        <v>54401</v>
      </c>
      <c r="G3505" s="39">
        <v>556978.15</v>
      </c>
      <c r="H3505" s="42">
        <v>211</v>
      </c>
    </row>
    <row r="3506" spans="1:8" ht="15" customHeight="1">
      <c r="A3506" s="26">
        <v>33676291</v>
      </c>
      <c r="B3506" s="29" t="s">
        <v>5744</v>
      </c>
      <c r="C3506" s="29" t="s">
        <v>20399</v>
      </c>
      <c r="D3506" s="29" t="s">
        <v>33608</v>
      </c>
      <c r="E3506" s="29" t="s">
        <v>46754</v>
      </c>
      <c r="F3506" s="36" t="s">
        <v>54401</v>
      </c>
      <c r="G3506" s="39">
        <f>6083347.25+59126</f>
        <v>6142473.25</v>
      </c>
      <c r="H3506" s="42">
        <v>211</v>
      </c>
    </row>
    <row r="3507" spans="1:8" ht="15" customHeight="1">
      <c r="A3507" s="26">
        <v>33676394</v>
      </c>
      <c r="B3507" s="29" t="s">
        <v>5745</v>
      </c>
      <c r="C3507" s="29" t="s">
        <v>20400</v>
      </c>
      <c r="D3507" s="29" t="s">
        <v>33609</v>
      </c>
      <c r="E3507" s="29" t="s">
        <v>46755</v>
      </c>
      <c r="F3507" s="36" t="s">
        <v>54401</v>
      </c>
      <c r="G3507" s="39">
        <v>4664657.24</v>
      </c>
      <c r="H3507" s="42">
        <v>211</v>
      </c>
    </row>
    <row r="3508" spans="1:8" ht="15" customHeight="1">
      <c r="A3508" s="26">
        <v>33676588</v>
      </c>
      <c r="B3508" s="29" t="s">
        <v>5746</v>
      </c>
      <c r="C3508" s="29" t="s">
        <v>20401</v>
      </c>
      <c r="D3508" s="29" t="s">
        <v>33610</v>
      </c>
      <c r="E3508" s="29" t="s">
        <v>46756</v>
      </c>
      <c r="F3508" s="36" t="s">
        <v>54401</v>
      </c>
      <c r="G3508" s="39">
        <v>566912.01</v>
      </c>
      <c r="H3508" s="42">
        <v>211</v>
      </c>
    </row>
    <row r="3509" spans="1:8" ht="15" customHeight="1">
      <c r="A3509" s="26">
        <v>33676880</v>
      </c>
      <c r="B3509" s="29" t="s">
        <v>5747</v>
      </c>
      <c r="C3509" s="29" t="s">
        <v>20402</v>
      </c>
      <c r="D3509" s="29" t="s">
        <v>33611</v>
      </c>
      <c r="E3509" s="29" t="s">
        <v>44431</v>
      </c>
      <c r="F3509" s="36" t="s">
        <v>54401</v>
      </c>
      <c r="G3509" s="39">
        <v>227587.54</v>
      </c>
      <c r="H3509" s="42">
        <v>211</v>
      </c>
    </row>
    <row r="3510" spans="1:8" ht="15" customHeight="1">
      <c r="A3510" s="26">
        <v>33700719</v>
      </c>
      <c r="B3510" s="29" t="s">
        <v>5748</v>
      </c>
      <c r="C3510" s="29" t="s">
        <v>20403</v>
      </c>
      <c r="D3510" s="29" t="s">
        <v>33612</v>
      </c>
      <c r="E3510" s="29" t="s">
        <v>46757</v>
      </c>
      <c r="F3510" s="36" t="s">
        <v>54407</v>
      </c>
      <c r="G3510" s="39">
        <v>3749633.08</v>
      </c>
      <c r="H3510" s="42">
        <v>211</v>
      </c>
    </row>
    <row r="3511" spans="1:8" ht="15" customHeight="1">
      <c r="A3511" s="26">
        <v>34044007</v>
      </c>
      <c r="B3511" s="29" t="s">
        <v>5749</v>
      </c>
      <c r="C3511" s="29" t="s">
        <v>20404</v>
      </c>
      <c r="D3511" s="29" t="s">
        <v>33613</v>
      </c>
      <c r="E3511" s="29" t="s">
        <v>46758</v>
      </c>
      <c r="F3511" s="36" t="s">
        <v>54401</v>
      </c>
      <c r="G3511" s="39">
        <v>59767.43</v>
      </c>
      <c r="H3511" s="42">
        <v>211</v>
      </c>
    </row>
    <row r="3512" spans="1:8" ht="15" customHeight="1">
      <c r="A3512" s="26">
        <v>34321365</v>
      </c>
      <c r="B3512" s="29" t="s">
        <v>5750</v>
      </c>
      <c r="C3512" s="29" t="s">
        <v>20405</v>
      </c>
      <c r="D3512" s="29" t="s">
        <v>33614</v>
      </c>
      <c r="E3512" s="29" t="s">
        <v>46759</v>
      </c>
      <c r="F3512" s="36" t="s">
        <v>54401</v>
      </c>
      <c r="G3512" s="39">
        <f>1790838.79+213272</f>
        <v>2004110.79</v>
      </c>
      <c r="H3512" s="42">
        <v>211</v>
      </c>
    </row>
    <row r="3513" spans="1:8" ht="15" customHeight="1">
      <c r="A3513" s="26">
        <v>34557284</v>
      </c>
      <c r="B3513" s="29" t="s">
        <v>5751</v>
      </c>
      <c r="C3513" s="29" t="s">
        <v>20406</v>
      </c>
      <c r="D3513" s="29" t="s">
        <v>33615</v>
      </c>
      <c r="E3513" s="29" t="s">
        <v>46760</v>
      </c>
      <c r="F3513" s="36" t="s">
        <v>54409</v>
      </c>
      <c r="G3513" s="39">
        <f>5362723.11+21028398-340865</f>
        <v>26050256.109999999</v>
      </c>
      <c r="H3513" s="42">
        <v>211</v>
      </c>
    </row>
    <row r="3514" spans="1:8" ht="15" customHeight="1">
      <c r="A3514" s="26">
        <v>35252751</v>
      </c>
      <c r="B3514" s="29" t="s">
        <v>5752</v>
      </c>
      <c r="C3514" s="29" t="s">
        <v>20407</v>
      </c>
      <c r="D3514" s="29" t="s">
        <v>33616</v>
      </c>
      <c r="E3514" s="29" t="s">
        <v>46761</v>
      </c>
      <c r="F3514" s="36" t="s">
        <v>54401</v>
      </c>
      <c r="G3514" s="39">
        <f>1249810.77+442805</f>
        <v>1692615.77</v>
      </c>
      <c r="H3514" s="42">
        <v>211</v>
      </c>
    </row>
    <row r="3515" spans="1:8" ht="15" customHeight="1">
      <c r="A3515" s="26">
        <v>35262189</v>
      </c>
      <c r="B3515" s="29" t="s">
        <v>5753</v>
      </c>
      <c r="C3515" s="26" t="s">
        <v>17204</v>
      </c>
      <c r="D3515" s="26" t="s">
        <v>33617</v>
      </c>
      <c r="E3515" s="26" t="s">
        <v>43926</v>
      </c>
      <c r="F3515" s="37" t="s">
        <v>54401</v>
      </c>
      <c r="G3515" s="39">
        <v>405929.84</v>
      </c>
      <c r="H3515" s="42">
        <v>211</v>
      </c>
    </row>
    <row r="3516" spans="1:8" ht="15" customHeight="1">
      <c r="A3516" s="26">
        <v>35263870</v>
      </c>
      <c r="B3516" s="29" t="s">
        <v>5754</v>
      </c>
      <c r="C3516" s="29" t="s">
        <v>17204</v>
      </c>
      <c r="D3516" s="29" t="s">
        <v>30349</v>
      </c>
      <c r="E3516" s="29" t="s">
        <v>43926</v>
      </c>
      <c r="F3516" s="36" t="s">
        <v>54401</v>
      </c>
      <c r="G3516" s="39">
        <v>450595.07</v>
      </c>
      <c r="H3516" s="42">
        <v>211</v>
      </c>
    </row>
    <row r="3517" spans="1:8" ht="15" customHeight="1">
      <c r="A3517" s="26">
        <v>35285832</v>
      </c>
      <c r="B3517" s="29" t="s">
        <v>5755</v>
      </c>
      <c r="C3517" s="29" t="s">
        <v>20408</v>
      </c>
      <c r="D3517" s="29" t="s">
        <v>33618</v>
      </c>
      <c r="E3517" s="29" t="s">
        <v>46762</v>
      </c>
      <c r="F3517" s="36" t="s">
        <v>54401</v>
      </c>
      <c r="G3517" s="39">
        <v>127340.78</v>
      </c>
      <c r="H3517" s="42">
        <v>211</v>
      </c>
    </row>
    <row r="3518" spans="1:8" ht="15" customHeight="1">
      <c r="A3518" s="26">
        <v>35328183</v>
      </c>
      <c r="B3518" s="29" t="s">
        <v>5756</v>
      </c>
      <c r="C3518" s="29" t="s">
        <v>20409</v>
      </c>
      <c r="D3518" s="29" t="s">
        <v>33619</v>
      </c>
      <c r="E3518" s="29" t="s">
        <v>43926</v>
      </c>
      <c r="F3518" s="36" t="s">
        <v>54401</v>
      </c>
      <c r="G3518" s="39">
        <v>43160.53</v>
      </c>
      <c r="H3518" s="42">
        <v>211</v>
      </c>
    </row>
    <row r="3519" spans="1:8" ht="15" customHeight="1">
      <c r="A3519" s="26">
        <v>35331386</v>
      </c>
      <c r="B3519" s="29" t="s">
        <v>5757</v>
      </c>
      <c r="C3519" s="29" t="s">
        <v>20410</v>
      </c>
      <c r="D3519" s="29" t="s">
        <v>33620</v>
      </c>
      <c r="E3519" s="29" t="s">
        <v>46763</v>
      </c>
      <c r="F3519" s="36" t="s">
        <v>54401</v>
      </c>
      <c r="G3519" s="39">
        <v>401105.21</v>
      </c>
      <c r="H3519" s="42">
        <v>211</v>
      </c>
    </row>
    <row r="3520" spans="1:8" ht="15" customHeight="1">
      <c r="A3520" s="26">
        <v>35376262</v>
      </c>
      <c r="B3520" s="29" t="s">
        <v>5758</v>
      </c>
      <c r="C3520" s="29" t="s">
        <v>20411</v>
      </c>
      <c r="D3520" s="29" t="s">
        <v>33621</v>
      </c>
      <c r="E3520" s="29" t="s">
        <v>46764</v>
      </c>
      <c r="F3520" s="36" t="s">
        <v>54401</v>
      </c>
      <c r="G3520" s="39">
        <v>30792.29</v>
      </c>
      <c r="H3520" s="42">
        <v>211</v>
      </c>
    </row>
    <row r="3521" spans="1:8" ht="15" customHeight="1">
      <c r="A3521" s="26">
        <v>35403829</v>
      </c>
      <c r="B3521" s="29" t="s">
        <v>5759</v>
      </c>
      <c r="C3521" s="29" t="s">
        <v>20412</v>
      </c>
      <c r="D3521" s="29" t="s">
        <v>33622</v>
      </c>
      <c r="E3521" s="29" t="s">
        <v>46765</v>
      </c>
      <c r="F3521" s="36" t="s">
        <v>54402</v>
      </c>
      <c r="G3521" s="39">
        <v>4568819.92</v>
      </c>
      <c r="H3521" s="42">
        <v>211</v>
      </c>
    </row>
    <row r="3522" spans="1:8" ht="15" customHeight="1">
      <c r="A3522" s="26">
        <v>35410529</v>
      </c>
      <c r="B3522" s="29" t="s">
        <v>5760</v>
      </c>
      <c r="C3522" s="29" t="s">
        <v>20413</v>
      </c>
      <c r="D3522" s="29" t="s">
        <v>33623</v>
      </c>
      <c r="E3522" s="29" t="s">
        <v>46766</v>
      </c>
      <c r="F3522" s="36" t="s">
        <v>54401</v>
      </c>
      <c r="G3522" s="39">
        <v>258961.95</v>
      </c>
      <c r="H3522" s="42">
        <v>211</v>
      </c>
    </row>
    <row r="3523" spans="1:8" ht="15" customHeight="1">
      <c r="A3523" s="26">
        <v>35411897</v>
      </c>
      <c r="B3523" s="29" t="s">
        <v>5761</v>
      </c>
      <c r="C3523" s="29" t="s">
        <v>20414</v>
      </c>
      <c r="D3523" s="29" t="s">
        <v>33624</v>
      </c>
      <c r="E3523" s="29" t="s">
        <v>43926</v>
      </c>
      <c r="F3523" s="36" t="s">
        <v>54401</v>
      </c>
      <c r="G3523" s="39">
        <f>750198.03+1557625</f>
        <v>2307823.0300000003</v>
      </c>
      <c r="H3523" s="42">
        <v>211</v>
      </c>
    </row>
    <row r="3524" spans="1:8" ht="15" customHeight="1">
      <c r="A3524" s="26">
        <v>35412943</v>
      </c>
      <c r="B3524" s="29" t="s">
        <v>5762</v>
      </c>
      <c r="C3524" s="29" t="s">
        <v>20415</v>
      </c>
      <c r="D3524" s="29" t="s">
        <v>33625</v>
      </c>
      <c r="E3524" s="29" t="s">
        <v>46767</v>
      </c>
      <c r="F3524" s="36" t="s">
        <v>54401</v>
      </c>
      <c r="G3524" s="39">
        <v>92038.15</v>
      </c>
      <c r="H3524" s="42">
        <v>211</v>
      </c>
    </row>
    <row r="3525" spans="1:8" ht="15" customHeight="1">
      <c r="A3525" s="26">
        <v>35416304</v>
      </c>
      <c r="B3525" s="29" t="s">
        <v>5763</v>
      </c>
      <c r="C3525" s="29" t="s">
        <v>20416</v>
      </c>
      <c r="D3525" s="29" t="s">
        <v>33626</v>
      </c>
      <c r="E3525" s="29" t="s">
        <v>46768</v>
      </c>
      <c r="F3525" s="36" t="s">
        <v>54401</v>
      </c>
      <c r="G3525" s="39">
        <f>5897979.96+3842251</f>
        <v>9740230.9600000009</v>
      </c>
      <c r="H3525" s="42">
        <v>211</v>
      </c>
    </row>
    <row r="3526" spans="1:8" ht="15" customHeight="1">
      <c r="A3526" s="26">
        <v>35427810</v>
      </c>
      <c r="B3526" s="29" t="s">
        <v>5764</v>
      </c>
      <c r="C3526" s="29" t="s">
        <v>20417</v>
      </c>
      <c r="D3526" s="29" t="s">
        <v>33627</v>
      </c>
      <c r="E3526" s="29" t="s">
        <v>46769</v>
      </c>
      <c r="F3526" s="36" t="s">
        <v>54401</v>
      </c>
      <c r="G3526" s="39">
        <v>13352998.880000001</v>
      </c>
      <c r="H3526" s="42">
        <v>211</v>
      </c>
    </row>
    <row r="3527" spans="1:8" ht="15" customHeight="1">
      <c r="A3527" s="26">
        <v>35450487</v>
      </c>
      <c r="B3527" s="29" t="s">
        <v>5765</v>
      </c>
      <c r="C3527" s="29" t="s">
        <v>20418</v>
      </c>
      <c r="D3527" s="29" t="s">
        <v>33628</v>
      </c>
      <c r="E3527" s="29" t="s">
        <v>46770</v>
      </c>
      <c r="F3527" s="36" t="s">
        <v>54401</v>
      </c>
      <c r="G3527" s="39">
        <f>2549285.79+420779</f>
        <v>2970064.79</v>
      </c>
      <c r="H3527" s="42">
        <v>211</v>
      </c>
    </row>
    <row r="3528" spans="1:8" ht="15" customHeight="1">
      <c r="A3528" s="26">
        <v>35468751</v>
      </c>
      <c r="B3528" s="29" t="s">
        <v>5766</v>
      </c>
      <c r="C3528" s="29" t="s">
        <v>20419</v>
      </c>
      <c r="D3528" s="29" t="s">
        <v>33629</v>
      </c>
      <c r="E3528" s="29" t="s">
        <v>46771</v>
      </c>
      <c r="F3528" s="36" t="s">
        <v>54401</v>
      </c>
      <c r="G3528" s="39">
        <v>228067.23</v>
      </c>
      <c r="H3528" s="42">
        <v>211</v>
      </c>
    </row>
    <row r="3529" spans="1:8" ht="15" customHeight="1">
      <c r="A3529" s="26">
        <v>35477658</v>
      </c>
      <c r="B3529" s="29" t="s">
        <v>5767</v>
      </c>
      <c r="C3529" s="29" t="s">
        <v>20420</v>
      </c>
      <c r="D3529" s="29" t="s">
        <v>33630</v>
      </c>
      <c r="E3529" s="29" t="s">
        <v>46772</v>
      </c>
      <c r="F3529" s="36" t="s">
        <v>54401</v>
      </c>
      <c r="G3529" s="39">
        <v>1268020.1599999999</v>
      </c>
      <c r="H3529" s="42">
        <v>211</v>
      </c>
    </row>
    <row r="3530" spans="1:8" ht="15" customHeight="1">
      <c r="A3530" s="26">
        <v>35494423</v>
      </c>
      <c r="B3530" s="29" t="s">
        <v>5768</v>
      </c>
      <c r="C3530" s="26" t="s">
        <v>20421</v>
      </c>
      <c r="D3530" s="26" t="s">
        <v>33631</v>
      </c>
      <c r="E3530" s="26" t="s">
        <v>46773</v>
      </c>
      <c r="F3530" s="37" t="s">
        <v>54401</v>
      </c>
      <c r="G3530" s="39">
        <v>27555</v>
      </c>
      <c r="H3530" s="42">
        <v>211</v>
      </c>
    </row>
    <row r="3531" spans="1:8" ht="15" customHeight="1">
      <c r="A3531" s="26">
        <v>35510005</v>
      </c>
      <c r="B3531" s="29" t="s">
        <v>5769</v>
      </c>
      <c r="C3531" s="29" t="s">
        <v>20422</v>
      </c>
      <c r="D3531" s="29" t="s">
        <v>33632</v>
      </c>
      <c r="E3531" s="29" t="s">
        <v>46774</v>
      </c>
      <c r="F3531" s="36" t="s">
        <v>54401</v>
      </c>
      <c r="G3531" s="39">
        <v>162800</v>
      </c>
      <c r="H3531" s="42">
        <v>211</v>
      </c>
    </row>
    <row r="3532" spans="1:8" ht="15" customHeight="1">
      <c r="A3532" s="26">
        <v>35527273</v>
      </c>
      <c r="B3532" s="29" t="s">
        <v>5770</v>
      </c>
      <c r="C3532" s="29" t="s">
        <v>20423</v>
      </c>
      <c r="D3532" s="29" t="s">
        <v>33633</v>
      </c>
      <c r="E3532" s="29" t="s">
        <v>43926</v>
      </c>
      <c r="F3532" s="36" t="s">
        <v>54401</v>
      </c>
      <c r="G3532" s="39">
        <v>345634.51</v>
      </c>
      <c r="H3532" s="42">
        <v>211</v>
      </c>
    </row>
    <row r="3533" spans="1:8" ht="15" customHeight="1">
      <c r="A3533" s="26">
        <v>35536158</v>
      </c>
      <c r="B3533" s="29" t="s">
        <v>5771</v>
      </c>
      <c r="C3533" s="29" t="s">
        <v>20424</v>
      </c>
      <c r="D3533" s="29" t="s">
        <v>33634</v>
      </c>
      <c r="E3533" s="29" t="s">
        <v>46775</v>
      </c>
      <c r="F3533" s="36" t="s">
        <v>54401</v>
      </c>
      <c r="G3533" s="39">
        <v>94487.48</v>
      </c>
      <c r="H3533" s="42">
        <v>211</v>
      </c>
    </row>
    <row r="3534" spans="1:8" ht="15" customHeight="1">
      <c r="A3534" s="26">
        <v>36149614</v>
      </c>
      <c r="B3534" s="29" t="s">
        <v>5772</v>
      </c>
      <c r="C3534" s="26" t="s">
        <v>20425</v>
      </c>
      <c r="D3534" s="26" t="s">
        <v>33635</v>
      </c>
      <c r="E3534" s="26" t="s">
        <v>46776</v>
      </c>
      <c r="F3534" s="37" t="s">
        <v>54401</v>
      </c>
      <c r="G3534" s="39">
        <f>937852.02+353670</f>
        <v>1291522.02</v>
      </c>
      <c r="H3534" s="42">
        <v>211</v>
      </c>
    </row>
    <row r="3535" spans="1:8" ht="15" customHeight="1">
      <c r="A3535" s="26">
        <v>36179221</v>
      </c>
      <c r="B3535" s="29" t="s">
        <v>5773</v>
      </c>
      <c r="C3535" s="29" t="s">
        <v>20426</v>
      </c>
      <c r="D3535" s="29" t="s">
        <v>33636</v>
      </c>
      <c r="E3535" s="29" t="s">
        <v>45178</v>
      </c>
      <c r="F3535" s="36" t="s">
        <v>54401</v>
      </c>
      <c r="G3535" s="39">
        <v>3485495.08</v>
      </c>
      <c r="H3535" s="42">
        <v>211</v>
      </c>
    </row>
    <row r="3536" spans="1:8" ht="15" customHeight="1">
      <c r="A3536" s="26">
        <v>36289485</v>
      </c>
      <c r="B3536" s="29" t="s">
        <v>5774</v>
      </c>
      <c r="C3536" s="29" t="s">
        <v>17204</v>
      </c>
      <c r="D3536" s="29" t="s">
        <v>33637</v>
      </c>
      <c r="E3536" s="29" t="s">
        <v>43926</v>
      </c>
      <c r="F3536" s="36" t="s">
        <v>54401</v>
      </c>
      <c r="G3536" s="39">
        <v>1707841.71</v>
      </c>
      <c r="H3536" s="42">
        <v>211</v>
      </c>
    </row>
    <row r="3537" spans="1:8" ht="15" customHeight="1">
      <c r="A3537" s="26">
        <v>36307190</v>
      </c>
      <c r="B3537" s="29" t="s">
        <v>5775</v>
      </c>
      <c r="C3537" s="29" t="s">
        <v>20427</v>
      </c>
      <c r="D3537" s="29" t="s">
        <v>33638</v>
      </c>
      <c r="E3537" s="29" t="s">
        <v>43926</v>
      </c>
      <c r="F3537" s="36" t="s">
        <v>54401</v>
      </c>
      <c r="G3537" s="39">
        <v>668249.72</v>
      </c>
      <c r="H3537" s="42">
        <v>211</v>
      </c>
    </row>
    <row r="3538" spans="1:8" ht="15" customHeight="1">
      <c r="A3538" s="26">
        <v>36347296</v>
      </c>
      <c r="B3538" s="29" t="s">
        <v>5776</v>
      </c>
      <c r="C3538" s="29" t="s">
        <v>20428</v>
      </c>
      <c r="D3538" s="29" t="s">
        <v>33639</v>
      </c>
      <c r="E3538" s="29" t="s">
        <v>46777</v>
      </c>
      <c r="F3538" s="36" t="s">
        <v>54401</v>
      </c>
      <c r="G3538" s="39">
        <v>671914.04</v>
      </c>
      <c r="H3538" s="42">
        <v>211</v>
      </c>
    </row>
    <row r="3539" spans="1:8" ht="15" customHeight="1">
      <c r="A3539" s="26">
        <v>36660826</v>
      </c>
      <c r="B3539" s="29" t="s">
        <v>5777</v>
      </c>
      <c r="C3539" s="29" t="s">
        <v>20429</v>
      </c>
      <c r="D3539" s="29" t="s">
        <v>31409</v>
      </c>
      <c r="E3539" s="29" t="s">
        <v>46778</v>
      </c>
      <c r="F3539" s="36" t="s">
        <v>54401</v>
      </c>
      <c r="G3539" s="39">
        <f>2833583.74+249383</f>
        <v>3082966.74</v>
      </c>
      <c r="H3539" s="42">
        <v>211</v>
      </c>
    </row>
    <row r="3540" spans="1:8" ht="15" customHeight="1">
      <c r="A3540" s="26">
        <v>36676223</v>
      </c>
      <c r="B3540" s="29" t="s">
        <v>5778</v>
      </c>
      <c r="C3540" s="29" t="s">
        <v>20430</v>
      </c>
      <c r="D3540" s="29" t="s">
        <v>33640</v>
      </c>
      <c r="E3540" s="29" t="s">
        <v>44840</v>
      </c>
      <c r="F3540" s="36" t="s">
        <v>54401</v>
      </c>
      <c r="G3540" s="39">
        <v>668830.5</v>
      </c>
      <c r="H3540" s="42">
        <v>211</v>
      </c>
    </row>
    <row r="3541" spans="1:8" ht="15" customHeight="1">
      <c r="A3541" s="26">
        <v>36721390</v>
      </c>
      <c r="B3541" s="29" t="s">
        <v>5779</v>
      </c>
      <c r="C3541" s="29" t="s">
        <v>20431</v>
      </c>
      <c r="D3541" s="29" t="s">
        <v>33641</v>
      </c>
      <c r="E3541" s="29" t="s">
        <v>45795</v>
      </c>
      <c r="F3541" s="36" t="s">
        <v>54401</v>
      </c>
      <c r="G3541" s="39">
        <v>273490.56</v>
      </c>
      <c r="H3541" s="42">
        <v>211</v>
      </c>
    </row>
    <row r="3542" spans="1:8" ht="15" customHeight="1">
      <c r="A3542" s="26">
        <v>36994398</v>
      </c>
      <c r="B3542" s="29" t="s">
        <v>5780</v>
      </c>
      <c r="C3542" s="29" t="s">
        <v>20432</v>
      </c>
      <c r="D3542" s="29" t="s">
        <v>33642</v>
      </c>
      <c r="E3542" s="29" t="s">
        <v>46779</v>
      </c>
      <c r="F3542" s="36" t="s">
        <v>54401</v>
      </c>
      <c r="G3542" s="39">
        <f>400640.34+2749295-337741</f>
        <v>2812194.34</v>
      </c>
      <c r="H3542" s="42">
        <v>211</v>
      </c>
    </row>
    <row r="3543" spans="1:8" ht="15" customHeight="1">
      <c r="A3543" s="26">
        <v>37177014</v>
      </c>
      <c r="B3543" s="29" t="s">
        <v>5781</v>
      </c>
      <c r="C3543" s="26" t="s">
        <v>20433</v>
      </c>
      <c r="D3543" s="26" t="s">
        <v>33643</v>
      </c>
      <c r="E3543" s="26" t="s">
        <v>46780</v>
      </c>
      <c r="F3543" s="37" t="s">
        <v>54401</v>
      </c>
      <c r="G3543" s="39">
        <v>383398.48</v>
      </c>
      <c r="H3543" s="42">
        <v>211</v>
      </c>
    </row>
    <row r="3544" spans="1:8" ht="15" customHeight="1">
      <c r="A3544" s="26">
        <v>37179631</v>
      </c>
      <c r="B3544" s="29" t="s">
        <v>5782</v>
      </c>
      <c r="C3544" s="29" t="s">
        <v>20434</v>
      </c>
      <c r="D3544" s="29" t="s">
        <v>33644</v>
      </c>
      <c r="E3544" s="29" t="s">
        <v>46781</v>
      </c>
      <c r="F3544" s="36" t="s">
        <v>54401</v>
      </c>
      <c r="G3544" s="39">
        <f>12292754.9-147107+339171</f>
        <v>12484818.9</v>
      </c>
      <c r="H3544" s="42">
        <v>211</v>
      </c>
    </row>
    <row r="3545" spans="1:8" ht="15" customHeight="1">
      <c r="A3545" s="26">
        <v>37294268</v>
      </c>
      <c r="B3545" s="29" t="s">
        <v>5783</v>
      </c>
      <c r="C3545" s="29" t="s">
        <v>20435</v>
      </c>
      <c r="D3545" s="29" t="s">
        <v>33645</v>
      </c>
      <c r="E3545" s="29" t="s">
        <v>46782</v>
      </c>
      <c r="F3545" s="36" t="s">
        <v>54401</v>
      </c>
      <c r="G3545" s="39">
        <v>1091305.1000000001</v>
      </c>
      <c r="H3545" s="42">
        <v>211</v>
      </c>
    </row>
    <row r="3546" spans="1:8" ht="15" customHeight="1">
      <c r="A3546" s="26">
        <v>37313243</v>
      </c>
      <c r="B3546" s="29" t="s">
        <v>5784</v>
      </c>
      <c r="C3546" s="29" t="s">
        <v>20436</v>
      </c>
      <c r="D3546" s="29" t="s">
        <v>33646</v>
      </c>
      <c r="E3546" s="29" t="s">
        <v>46783</v>
      </c>
      <c r="F3546" s="36" t="s">
        <v>54401</v>
      </c>
      <c r="G3546" s="39">
        <v>181906.6</v>
      </c>
      <c r="H3546" s="42">
        <v>211</v>
      </c>
    </row>
    <row r="3547" spans="1:8" ht="15" customHeight="1">
      <c r="A3547" s="26">
        <v>37322945</v>
      </c>
      <c r="B3547" s="29" t="s">
        <v>5785</v>
      </c>
      <c r="C3547" s="29" t="s">
        <v>20437</v>
      </c>
      <c r="D3547" s="29" t="s">
        <v>33647</v>
      </c>
      <c r="E3547" s="29" t="s">
        <v>46784</v>
      </c>
      <c r="F3547" s="36" t="s">
        <v>54401</v>
      </c>
      <c r="G3547" s="39">
        <v>332833.7</v>
      </c>
      <c r="H3547" s="42">
        <v>211</v>
      </c>
    </row>
    <row r="3548" spans="1:8" ht="15" customHeight="1">
      <c r="A3548" s="26">
        <v>37331198</v>
      </c>
      <c r="B3548" s="29" t="s">
        <v>5786</v>
      </c>
      <c r="C3548" s="29" t="s">
        <v>17204</v>
      </c>
      <c r="D3548" s="29" t="s">
        <v>30349</v>
      </c>
      <c r="E3548" s="29" t="s">
        <v>43926</v>
      </c>
      <c r="F3548" s="36" t="s">
        <v>54401</v>
      </c>
      <c r="G3548" s="39">
        <v>176652.55</v>
      </c>
      <c r="H3548" s="42">
        <v>211</v>
      </c>
    </row>
    <row r="3549" spans="1:8" ht="15" customHeight="1">
      <c r="A3549" s="26">
        <v>37390178</v>
      </c>
      <c r="B3549" s="29" t="s">
        <v>5787</v>
      </c>
      <c r="C3549" s="29" t="s">
        <v>20438</v>
      </c>
      <c r="D3549" s="29" t="s">
        <v>33648</v>
      </c>
      <c r="E3549" s="29" t="s">
        <v>46785</v>
      </c>
      <c r="F3549" s="36" t="s">
        <v>54401</v>
      </c>
      <c r="G3549" s="39">
        <v>289042.56</v>
      </c>
      <c r="H3549" s="42">
        <v>211</v>
      </c>
    </row>
    <row r="3550" spans="1:8" ht="15" customHeight="1">
      <c r="A3550" s="26">
        <v>37444496</v>
      </c>
      <c r="B3550" s="29" t="s">
        <v>5788</v>
      </c>
      <c r="C3550" s="29" t="s">
        <v>20439</v>
      </c>
      <c r="D3550" s="29" t="s">
        <v>33649</v>
      </c>
      <c r="E3550" s="29" t="s">
        <v>46786</v>
      </c>
      <c r="F3550" s="36" t="s">
        <v>54401</v>
      </c>
      <c r="G3550" s="39">
        <v>30314.87</v>
      </c>
      <c r="H3550" s="42">
        <v>211</v>
      </c>
    </row>
    <row r="3551" spans="1:8" ht="15" customHeight="1">
      <c r="A3551" s="26">
        <v>37530878</v>
      </c>
      <c r="B3551" s="29" t="s">
        <v>5789</v>
      </c>
      <c r="C3551" s="29" t="s">
        <v>20440</v>
      </c>
      <c r="D3551" s="29" t="s">
        <v>33650</v>
      </c>
      <c r="E3551" s="29" t="s">
        <v>46787</v>
      </c>
      <c r="F3551" s="36" t="s">
        <v>54401</v>
      </c>
      <c r="G3551" s="39">
        <v>236783.95</v>
      </c>
      <c r="H3551" s="42">
        <v>211</v>
      </c>
    </row>
    <row r="3552" spans="1:8" ht="15" customHeight="1">
      <c r="A3552" s="26">
        <v>37535274</v>
      </c>
      <c r="B3552" s="29" t="s">
        <v>5790</v>
      </c>
      <c r="C3552" s="29" t="s">
        <v>20441</v>
      </c>
      <c r="D3552" s="29" t="s">
        <v>33651</v>
      </c>
      <c r="E3552" s="29" t="s">
        <v>46788</v>
      </c>
      <c r="F3552" s="36" t="s">
        <v>54401</v>
      </c>
      <c r="G3552" s="39">
        <v>290831.94</v>
      </c>
      <c r="H3552" s="42">
        <v>211</v>
      </c>
    </row>
    <row r="3553" spans="1:8" ht="15" customHeight="1">
      <c r="A3553" s="26">
        <v>37541067</v>
      </c>
      <c r="B3553" s="29" t="s">
        <v>5791</v>
      </c>
      <c r="C3553" s="29" t="s">
        <v>20442</v>
      </c>
      <c r="D3553" s="29" t="s">
        <v>33652</v>
      </c>
      <c r="E3553" s="29" t="s">
        <v>46789</v>
      </c>
      <c r="F3553" s="36" t="s">
        <v>54401</v>
      </c>
      <c r="G3553" s="39">
        <v>6857471.4000000004</v>
      </c>
      <c r="H3553" s="42">
        <v>211</v>
      </c>
    </row>
    <row r="3554" spans="1:8" ht="15" customHeight="1">
      <c r="A3554" s="26">
        <v>37548995</v>
      </c>
      <c r="B3554" s="29" t="s">
        <v>5792</v>
      </c>
      <c r="C3554" s="29" t="s">
        <v>17204</v>
      </c>
      <c r="D3554" s="29" t="s">
        <v>30349</v>
      </c>
      <c r="E3554" s="29" t="s">
        <v>43926</v>
      </c>
      <c r="F3554" s="36" t="s">
        <v>54401</v>
      </c>
      <c r="G3554" s="39">
        <v>198481.35</v>
      </c>
      <c r="H3554" s="42">
        <v>211</v>
      </c>
    </row>
    <row r="3555" spans="1:8" ht="15" customHeight="1">
      <c r="A3555" s="26">
        <v>37555286</v>
      </c>
      <c r="B3555" s="29" t="s">
        <v>5793</v>
      </c>
      <c r="C3555" s="29" t="s">
        <v>20443</v>
      </c>
      <c r="D3555" s="29" t="s">
        <v>33653</v>
      </c>
      <c r="E3555" s="29" t="s">
        <v>46790</v>
      </c>
      <c r="F3555" s="36" t="s">
        <v>54401</v>
      </c>
      <c r="G3555" s="39">
        <f>1260587.17+367903</f>
        <v>1628490.17</v>
      </c>
      <c r="H3555" s="42">
        <v>211</v>
      </c>
    </row>
    <row r="3556" spans="1:8" ht="15" customHeight="1">
      <c r="A3556" s="26">
        <v>37555756</v>
      </c>
      <c r="B3556" s="29" t="s">
        <v>5794</v>
      </c>
      <c r="C3556" s="29" t="s">
        <v>20444</v>
      </c>
      <c r="D3556" s="29" t="s">
        <v>33654</v>
      </c>
      <c r="E3556" s="29" t="s">
        <v>46791</v>
      </c>
      <c r="F3556" s="36" t="s">
        <v>54401</v>
      </c>
      <c r="G3556" s="39">
        <v>84124.51</v>
      </c>
      <c r="H3556" s="42">
        <v>211</v>
      </c>
    </row>
    <row r="3557" spans="1:8" ht="15" customHeight="1">
      <c r="A3557" s="26">
        <v>37618289</v>
      </c>
      <c r="B3557" s="29" t="s">
        <v>5795</v>
      </c>
      <c r="C3557" s="29" t="s">
        <v>20445</v>
      </c>
      <c r="D3557" s="29" t="s">
        <v>33655</v>
      </c>
      <c r="E3557" s="29" t="s">
        <v>46792</v>
      </c>
      <c r="F3557" s="36" t="s">
        <v>54401</v>
      </c>
      <c r="G3557" s="39">
        <f>1523673.37+777301</f>
        <v>2300974.37</v>
      </c>
      <c r="H3557" s="42">
        <v>211</v>
      </c>
    </row>
    <row r="3558" spans="1:8" ht="15" customHeight="1">
      <c r="A3558" s="26">
        <v>37670045</v>
      </c>
      <c r="B3558" s="29" t="s">
        <v>5796</v>
      </c>
      <c r="C3558" s="29" t="s">
        <v>20446</v>
      </c>
      <c r="D3558" s="29" t="s">
        <v>33656</v>
      </c>
      <c r="E3558" s="29" t="s">
        <v>46793</v>
      </c>
      <c r="F3558" s="36" t="s">
        <v>54401</v>
      </c>
      <c r="G3558" s="39">
        <v>527973.93000000005</v>
      </c>
      <c r="H3558" s="42">
        <v>211</v>
      </c>
    </row>
    <row r="3559" spans="1:8" ht="15" customHeight="1">
      <c r="A3559" s="26">
        <v>37670722</v>
      </c>
      <c r="B3559" s="29" t="s">
        <v>5797</v>
      </c>
      <c r="C3559" s="29" t="s">
        <v>17204</v>
      </c>
      <c r="D3559" s="29" t="s">
        <v>30349</v>
      </c>
      <c r="E3559" s="29" t="s">
        <v>43926</v>
      </c>
      <c r="F3559" s="36" t="s">
        <v>54401</v>
      </c>
      <c r="G3559" s="39">
        <v>418951.01</v>
      </c>
      <c r="H3559" s="42">
        <v>211</v>
      </c>
    </row>
    <row r="3560" spans="1:8" ht="15" customHeight="1">
      <c r="A3560" s="26">
        <v>37706557</v>
      </c>
      <c r="B3560" s="29" t="s">
        <v>5798</v>
      </c>
      <c r="C3560" s="26" t="s">
        <v>20447</v>
      </c>
      <c r="D3560" s="26" t="s">
        <v>33657</v>
      </c>
      <c r="E3560" s="26" t="s">
        <v>46794</v>
      </c>
      <c r="F3560" s="37" t="s">
        <v>54401</v>
      </c>
      <c r="G3560" s="39">
        <v>6261757.4299999997</v>
      </c>
      <c r="H3560" s="42">
        <v>211</v>
      </c>
    </row>
    <row r="3561" spans="1:8" ht="15" customHeight="1">
      <c r="A3561" s="26">
        <v>37707193</v>
      </c>
      <c r="B3561" s="29" t="s">
        <v>5799</v>
      </c>
      <c r="C3561" s="29" t="s">
        <v>20448</v>
      </c>
      <c r="D3561" s="29" t="s">
        <v>33658</v>
      </c>
      <c r="E3561" s="29" t="s">
        <v>44121</v>
      </c>
      <c r="F3561" s="36" t="s">
        <v>54401</v>
      </c>
      <c r="G3561" s="39">
        <v>14588.24</v>
      </c>
      <c r="H3561" s="42">
        <v>211</v>
      </c>
    </row>
    <row r="3562" spans="1:8" ht="15" customHeight="1">
      <c r="A3562" s="26">
        <v>37707514</v>
      </c>
      <c r="B3562" s="29" t="s">
        <v>5800</v>
      </c>
      <c r="C3562" s="26" t="s">
        <v>17204</v>
      </c>
      <c r="D3562" s="26" t="s">
        <v>30349</v>
      </c>
      <c r="E3562" s="26" t="s">
        <v>43926</v>
      </c>
      <c r="F3562" s="37" t="s">
        <v>54401</v>
      </c>
      <c r="G3562" s="39">
        <f>807064.59+2978861</f>
        <v>3785925.59</v>
      </c>
      <c r="H3562" s="42">
        <v>211</v>
      </c>
    </row>
    <row r="3563" spans="1:8" ht="15" customHeight="1">
      <c r="A3563" s="26">
        <v>37707667</v>
      </c>
      <c r="B3563" s="29" t="s">
        <v>5801</v>
      </c>
      <c r="C3563" s="29" t="s">
        <v>20449</v>
      </c>
      <c r="D3563" s="29" t="s">
        <v>33659</v>
      </c>
      <c r="E3563" s="29" t="s">
        <v>45006</v>
      </c>
      <c r="F3563" s="36" t="s">
        <v>54401</v>
      </c>
      <c r="G3563" s="39">
        <v>497652.6</v>
      </c>
      <c r="H3563" s="42">
        <v>211</v>
      </c>
    </row>
    <row r="3564" spans="1:8" ht="15" customHeight="1">
      <c r="A3564" s="26">
        <v>37708174</v>
      </c>
      <c r="B3564" s="29" t="s">
        <v>5802</v>
      </c>
      <c r="C3564" s="29" t="s">
        <v>20450</v>
      </c>
      <c r="D3564" s="29" t="s">
        <v>33660</v>
      </c>
      <c r="E3564" s="29" t="s">
        <v>46795</v>
      </c>
      <c r="F3564" s="36" t="s">
        <v>54402</v>
      </c>
      <c r="G3564" s="39">
        <f>31427432.27-49667</f>
        <v>31377765.27</v>
      </c>
      <c r="H3564" s="42">
        <v>211</v>
      </c>
    </row>
    <row r="3565" spans="1:8" ht="15" customHeight="1">
      <c r="A3565" s="26">
        <v>37826136</v>
      </c>
      <c r="B3565" s="29" t="s">
        <v>5803</v>
      </c>
      <c r="C3565" s="29" t="s">
        <v>20451</v>
      </c>
      <c r="D3565" s="29" t="s">
        <v>33661</v>
      </c>
      <c r="E3565" s="29" t="s">
        <v>46796</v>
      </c>
      <c r="F3565" s="36" t="s">
        <v>54401</v>
      </c>
      <c r="G3565" s="39">
        <v>827335.99</v>
      </c>
      <c r="H3565" s="42">
        <v>211</v>
      </c>
    </row>
    <row r="3566" spans="1:8" ht="15" customHeight="1">
      <c r="A3566" s="26">
        <v>37826719</v>
      </c>
      <c r="B3566" s="29" t="s">
        <v>5804</v>
      </c>
      <c r="C3566" s="29" t="s">
        <v>20452</v>
      </c>
      <c r="D3566" s="29" t="s">
        <v>33662</v>
      </c>
      <c r="E3566" s="29" t="s">
        <v>46797</v>
      </c>
      <c r="F3566" s="36" t="s">
        <v>54401</v>
      </c>
      <c r="G3566" s="39">
        <v>16997.84</v>
      </c>
      <c r="H3566" s="42">
        <v>211</v>
      </c>
    </row>
    <row r="3567" spans="1:8" ht="15" customHeight="1">
      <c r="A3567" s="26">
        <v>37841795</v>
      </c>
      <c r="B3567" s="29" t="s">
        <v>5805</v>
      </c>
      <c r="C3567" s="29" t="s">
        <v>20453</v>
      </c>
      <c r="D3567" s="29" t="s">
        <v>33663</v>
      </c>
      <c r="E3567" s="29" t="s">
        <v>46798</v>
      </c>
      <c r="F3567" s="36" t="s">
        <v>54401</v>
      </c>
      <c r="G3567" s="39">
        <v>123340.56</v>
      </c>
      <c r="H3567" s="42">
        <v>211</v>
      </c>
    </row>
    <row r="3568" spans="1:8" ht="15" customHeight="1">
      <c r="A3568" s="26">
        <v>37842327</v>
      </c>
      <c r="B3568" s="29" t="s">
        <v>5806</v>
      </c>
      <c r="C3568" s="29" t="s">
        <v>20454</v>
      </c>
      <c r="D3568" s="29" t="s">
        <v>33664</v>
      </c>
      <c r="E3568" s="29" t="s">
        <v>46799</v>
      </c>
      <c r="F3568" s="36" t="s">
        <v>54401</v>
      </c>
      <c r="G3568" s="39">
        <f>10801682.47-219064</f>
        <v>10582618.470000001</v>
      </c>
      <c r="H3568" s="42">
        <v>211</v>
      </c>
    </row>
    <row r="3569" spans="1:8" ht="15" customHeight="1">
      <c r="A3569" s="26">
        <v>37842911</v>
      </c>
      <c r="B3569" s="29" t="s">
        <v>5807</v>
      </c>
      <c r="C3569" s="26" t="s">
        <v>17204</v>
      </c>
      <c r="D3569" s="26" t="s">
        <v>30349</v>
      </c>
      <c r="E3569" s="26" t="s">
        <v>43926</v>
      </c>
      <c r="F3569" s="37" t="s">
        <v>54401</v>
      </c>
      <c r="G3569" s="39">
        <v>211778.9</v>
      </c>
      <c r="H3569" s="42">
        <v>211</v>
      </c>
    </row>
    <row r="3570" spans="1:8" ht="15" customHeight="1">
      <c r="A3570" s="26">
        <v>37844891</v>
      </c>
      <c r="B3570" s="29" t="s">
        <v>5808</v>
      </c>
      <c r="C3570" s="29" t="s">
        <v>20455</v>
      </c>
      <c r="D3570" s="29" t="s">
        <v>33665</v>
      </c>
      <c r="E3570" s="29" t="s">
        <v>46800</v>
      </c>
      <c r="F3570" s="36" t="s">
        <v>54401</v>
      </c>
      <c r="G3570" s="39">
        <v>5619677.96</v>
      </c>
      <c r="H3570" s="42">
        <v>211</v>
      </c>
    </row>
    <row r="3571" spans="1:8" ht="15" customHeight="1">
      <c r="A3571" s="26">
        <v>37860733</v>
      </c>
      <c r="B3571" s="29" t="s">
        <v>5809</v>
      </c>
      <c r="C3571" s="29" t="s">
        <v>20456</v>
      </c>
      <c r="D3571" s="29" t="s">
        <v>33666</v>
      </c>
      <c r="E3571" s="29" t="s">
        <v>46801</v>
      </c>
      <c r="F3571" s="36" t="s">
        <v>54401</v>
      </c>
      <c r="G3571" s="39">
        <v>1266890.76</v>
      </c>
      <c r="H3571" s="42">
        <v>211</v>
      </c>
    </row>
    <row r="3572" spans="1:8" ht="15" customHeight="1">
      <c r="A3572" s="26">
        <v>37862767</v>
      </c>
      <c r="B3572" s="29" t="s">
        <v>5810</v>
      </c>
      <c r="C3572" s="29" t="s">
        <v>20457</v>
      </c>
      <c r="D3572" s="29" t="s">
        <v>33667</v>
      </c>
      <c r="E3572" s="29" t="s">
        <v>46802</v>
      </c>
      <c r="F3572" s="36" t="s">
        <v>54401</v>
      </c>
      <c r="G3572" s="39">
        <v>768668.46</v>
      </c>
      <c r="H3572" s="42">
        <v>211</v>
      </c>
    </row>
    <row r="3573" spans="1:8" ht="15" customHeight="1">
      <c r="A3573" s="26">
        <v>37893985</v>
      </c>
      <c r="B3573" s="29" t="s">
        <v>5811</v>
      </c>
      <c r="C3573" s="29" t="s">
        <v>20458</v>
      </c>
      <c r="D3573" s="29" t="s">
        <v>33668</v>
      </c>
      <c r="E3573" s="29" t="s">
        <v>45013</v>
      </c>
      <c r="F3573" s="36" t="s">
        <v>54401</v>
      </c>
      <c r="G3573" s="39">
        <v>90877.6</v>
      </c>
      <c r="H3573" s="42">
        <v>211</v>
      </c>
    </row>
    <row r="3574" spans="1:8" ht="15" customHeight="1">
      <c r="A3574" s="26">
        <v>37899402</v>
      </c>
      <c r="B3574" s="29" t="s">
        <v>3360</v>
      </c>
      <c r="C3574" s="29" t="s">
        <v>18219</v>
      </c>
      <c r="D3574" s="29" t="s">
        <v>31370</v>
      </c>
      <c r="E3574" s="29" t="s">
        <v>46803</v>
      </c>
      <c r="F3574" s="36" t="s">
        <v>54402</v>
      </c>
      <c r="G3574" s="39">
        <f>1088827.54+78231</f>
        <v>1167058.54</v>
      </c>
      <c r="H3574" s="42">
        <v>211</v>
      </c>
    </row>
    <row r="3575" spans="1:8" ht="15" customHeight="1">
      <c r="A3575" s="26">
        <v>37926941</v>
      </c>
      <c r="B3575" s="29" t="s">
        <v>5812</v>
      </c>
      <c r="C3575" s="29" t="s">
        <v>20459</v>
      </c>
      <c r="D3575" s="29" t="s">
        <v>33669</v>
      </c>
      <c r="E3575" s="29" t="s">
        <v>44616</v>
      </c>
      <c r="F3575" s="36" t="s">
        <v>54401</v>
      </c>
      <c r="G3575" s="39">
        <v>31949.5</v>
      </c>
      <c r="H3575" s="42">
        <v>211</v>
      </c>
    </row>
    <row r="3576" spans="1:8" ht="15" customHeight="1">
      <c r="A3576" s="26">
        <v>37937745</v>
      </c>
      <c r="B3576" s="29" t="s">
        <v>5813</v>
      </c>
      <c r="C3576" s="29" t="s">
        <v>20460</v>
      </c>
      <c r="D3576" s="29" t="s">
        <v>33670</v>
      </c>
      <c r="E3576" s="29" t="s">
        <v>46804</v>
      </c>
      <c r="F3576" s="36" t="s">
        <v>54401</v>
      </c>
      <c r="G3576" s="39">
        <v>346422.99</v>
      </c>
      <c r="H3576" s="42">
        <v>211</v>
      </c>
    </row>
    <row r="3577" spans="1:8" ht="15" customHeight="1">
      <c r="A3577" s="26">
        <v>37943663</v>
      </c>
      <c r="B3577" s="29" t="s">
        <v>5814</v>
      </c>
      <c r="C3577" s="29" t="s">
        <v>20461</v>
      </c>
      <c r="D3577" s="29" t="s">
        <v>33671</v>
      </c>
      <c r="E3577" s="29" t="s">
        <v>46805</v>
      </c>
      <c r="F3577" s="36" t="s">
        <v>54413</v>
      </c>
      <c r="G3577" s="39">
        <f>3341705.62-26371</f>
        <v>3315334.62</v>
      </c>
      <c r="H3577" s="42">
        <v>211</v>
      </c>
    </row>
    <row r="3578" spans="1:8" ht="15" customHeight="1">
      <c r="A3578" s="26">
        <v>37944931</v>
      </c>
      <c r="B3578" s="29" t="s">
        <v>5815</v>
      </c>
      <c r="C3578" s="29" t="s">
        <v>20462</v>
      </c>
      <c r="D3578" s="29" t="s">
        <v>33672</v>
      </c>
      <c r="E3578" s="29" t="s">
        <v>46806</v>
      </c>
      <c r="F3578" s="36" t="s">
        <v>54401</v>
      </c>
      <c r="G3578" s="39">
        <v>1364092.39</v>
      </c>
      <c r="H3578" s="42">
        <v>211</v>
      </c>
    </row>
    <row r="3579" spans="1:8" ht="15" customHeight="1">
      <c r="A3579" s="26">
        <v>37947933</v>
      </c>
      <c r="B3579" s="29" t="s">
        <v>5765</v>
      </c>
      <c r="C3579" s="29" t="s">
        <v>20463</v>
      </c>
      <c r="D3579" s="29" t="s">
        <v>33673</v>
      </c>
      <c r="E3579" s="29" t="s">
        <v>46807</v>
      </c>
      <c r="F3579" s="36" t="s">
        <v>54401</v>
      </c>
      <c r="G3579" s="39">
        <f>1736010.68+284329</f>
        <v>2020339.68</v>
      </c>
      <c r="H3579" s="42">
        <v>211</v>
      </c>
    </row>
    <row r="3580" spans="1:8" ht="15" customHeight="1">
      <c r="A3580" s="26">
        <v>37949229</v>
      </c>
      <c r="B3580" s="29" t="s">
        <v>5816</v>
      </c>
      <c r="C3580" s="29" t="s">
        <v>20464</v>
      </c>
      <c r="D3580" s="29" t="s">
        <v>33674</v>
      </c>
      <c r="E3580" s="29" t="s">
        <v>46808</v>
      </c>
      <c r="F3580" s="36" t="s">
        <v>54401</v>
      </c>
      <c r="G3580" s="39">
        <f>632832.99+1106102</f>
        <v>1738934.99</v>
      </c>
      <c r="H3580" s="42">
        <v>211</v>
      </c>
    </row>
    <row r="3581" spans="1:8" ht="15" customHeight="1">
      <c r="A3581" s="26">
        <v>38144332</v>
      </c>
      <c r="B3581" s="29" t="s">
        <v>5817</v>
      </c>
      <c r="C3581" s="29" t="s">
        <v>20465</v>
      </c>
      <c r="D3581" s="29" t="s">
        <v>33675</v>
      </c>
      <c r="E3581" s="29" t="s">
        <v>46809</v>
      </c>
      <c r="F3581" s="36" t="s">
        <v>54401</v>
      </c>
      <c r="G3581" s="39">
        <v>2320330.5299999998</v>
      </c>
      <c r="H3581" s="42">
        <v>211</v>
      </c>
    </row>
    <row r="3582" spans="1:8" ht="15" customHeight="1">
      <c r="A3582" s="26">
        <v>38212130</v>
      </c>
      <c r="B3582" s="29" t="s">
        <v>5818</v>
      </c>
      <c r="C3582" s="29" t="s">
        <v>20466</v>
      </c>
      <c r="D3582" s="29" t="s">
        <v>33676</v>
      </c>
      <c r="E3582" s="29" t="s">
        <v>46810</v>
      </c>
      <c r="F3582" s="36" t="s">
        <v>54401</v>
      </c>
      <c r="G3582" s="39">
        <v>438991.42</v>
      </c>
      <c r="H3582" s="42">
        <v>211</v>
      </c>
    </row>
    <row r="3583" spans="1:8" ht="15" customHeight="1">
      <c r="A3583" s="26">
        <v>38288647</v>
      </c>
      <c r="B3583" s="29" t="s">
        <v>5819</v>
      </c>
      <c r="C3583" s="29" t="s">
        <v>20467</v>
      </c>
      <c r="D3583" s="29" t="s">
        <v>33677</v>
      </c>
      <c r="E3583" s="29" t="s">
        <v>46811</v>
      </c>
      <c r="F3583" s="36" t="s">
        <v>54401</v>
      </c>
      <c r="G3583" s="39">
        <v>490547.96</v>
      </c>
      <c r="H3583" s="42">
        <v>211</v>
      </c>
    </row>
    <row r="3584" spans="1:8" ht="15" customHeight="1">
      <c r="A3584" s="26">
        <v>38552384</v>
      </c>
      <c r="B3584" s="29" t="s">
        <v>5820</v>
      </c>
      <c r="C3584" s="29" t="s">
        <v>20468</v>
      </c>
      <c r="D3584" s="29" t="s">
        <v>33678</v>
      </c>
      <c r="E3584" s="29" t="s">
        <v>46812</v>
      </c>
      <c r="F3584" s="36" t="s">
        <v>54401</v>
      </c>
      <c r="G3584" s="39">
        <v>2789535.94</v>
      </c>
      <c r="H3584" s="42">
        <v>211</v>
      </c>
    </row>
    <row r="3585" spans="1:8" ht="15" customHeight="1">
      <c r="A3585" s="26">
        <v>38797488</v>
      </c>
      <c r="B3585" s="29" t="s">
        <v>5821</v>
      </c>
      <c r="C3585" s="29" t="s">
        <v>20469</v>
      </c>
      <c r="D3585" s="29" t="s">
        <v>33679</v>
      </c>
      <c r="E3585" s="29" t="s">
        <v>45704</v>
      </c>
      <c r="F3585" s="36" t="s">
        <v>54401</v>
      </c>
      <c r="G3585" s="39">
        <f>1338184.26+271789</f>
        <v>1609973.26</v>
      </c>
      <c r="H3585" s="42">
        <v>211</v>
      </c>
    </row>
    <row r="3586" spans="1:8" ht="15" customHeight="1">
      <c r="A3586" s="26">
        <v>39010042</v>
      </c>
      <c r="B3586" s="29" t="s">
        <v>5822</v>
      </c>
      <c r="C3586" s="29" t="s">
        <v>20470</v>
      </c>
      <c r="D3586" s="29" t="s">
        <v>33680</v>
      </c>
      <c r="E3586" s="29" t="s">
        <v>46813</v>
      </c>
      <c r="F3586" s="36" t="s">
        <v>54401</v>
      </c>
      <c r="G3586" s="39">
        <v>4126.05</v>
      </c>
      <c r="H3586" s="42">
        <v>211</v>
      </c>
    </row>
    <row r="3587" spans="1:8" ht="15" customHeight="1">
      <c r="A3587" s="26">
        <v>39088529</v>
      </c>
      <c r="B3587" s="29" t="s">
        <v>5823</v>
      </c>
      <c r="C3587" s="29" t="s">
        <v>20471</v>
      </c>
      <c r="D3587" s="29" t="s">
        <v>33681</v>
      </c>
      <c r="E3587" s="29" t="s">
        <v>46814</v>
      </c>
      <c r="F3587" s="36" t="s">
        <v>54401</v>
      </c>
      <c r="G3587" s="39">
        <v>67257.86</v>
      </c>
      <c r="H3587" s="42">
        <v>211</v>
      </c>
    </row>
    <row r="3588" spans="1:8" ht="15" customHeight="1">
      <c r="A3588" s="26">
        <v>39520174</v>
      </c>
      <c r="B3588" s="29" t="s">
        <v>5824</v>
      </c>
      <c r="C3588" s="29" t="s">
        <v>20472</v>
      </c>
      <c r="D3588" s="29" t="s">
        <v>33682</v>
      </c>
      <c r="E3588" s="29" t="s">
        <v>46815</v>
      </c>
      <c r="F3588" s="36" t="s">
        <v>54401</v>
      </c>
      <c r="G3588" s="39">
        <v>628456.1</v>
      </c>
      <c r="H3588" s="42">
        <v>211</v>
      </c>
    </row>
    <row r="3589" spans="1:8" ht="15" customHeight="1">
      <c r="A3589" s="26">
        <v>39536564</v>
      </c>
      <c r="B3589" s="29" t="s">
        <v>5825</v>
      </c>
      <c r="C3589" s="29" t="s">
        <v>20473</v>
      </c>
      <c r="D3589" s="29" t="s">
        <v>33683</v>
      </c>
      <c r="E3589" s="29" t="s">
        <v>46816</v>
      </c>
      <c r="F3589" s="36" t="s">
        <v>54401</v>
      </c>
      <c r="G3589" s="39">
        <v>197864.45</v>
      </c>
      <c r="H3589" s="42">
        <v>211</v>
      </c>
    </row>
    <row r="3590" spans="1:8" ht="15" customHeight="1">
      <c r="A3590" s="26">
        <v>39546326</v>
      </c>
      <c r="B3590" s="29" t="s">
        <v>5826</v>
      </c>
      <c r="C3590" s="29" t="s">
        <v>20474</v>
      </c>
      <c r="D3590" s="29" t="s">
        <v>33684</v>
      </c>
      <c r="E3590" s="29" t="s">
        <v>46817</v>
      </c>
      <c r="F3590" s="36" t="s">
        <v>54407</v>
      </c>
      <c r="G3590" s="39">
        <v>1269600.76</v>
      </c>
      <c r="H3590" s="42">
        <v>211</v>
      </c>
    </row>
    <row r="3591" spans="1:8" ht="15" customHeight="1">
      <c r="A3591" s="26">
        <v>39546415</v>
      </c>
      <c r="B3591" s="29" t="s">
        <v>5827</v>
      </c>
      <c r="C3591" s="29" t="s">
        <v>20475</v>
      </c>
      <c r="D3591" s="29" t="s">
        <v>33685</v>
      </c>
      <c r="E3591" s="29" t="s">
        <v>46818</v>
      </c>
      <c r="F3591" s="36" t="s">
        <v>54401</v>
      </c>
      <c r="G3591" s="39">
        <v>4611480.1399999997</v>
      </c>
      <c r="H3591" s="42">
        <v>211</v>
      </c>
    </row>
    <row r="3592" spans="1:8" ht="15" customHeight="1">
      <c r="A3592" s="26">
        <v>39546929</v>
      </c>
      <c r="B3592" s="29" t="s">
        <v>5828</v>
      </c>
      <c r="C3592" s="29" t="s">
        <v>20476</v>
      </c>
      <c r="D3592" s="29" t="s">
        <v>33686</v>
      </c>
      <c r="E3592" s="29" t="s">
        <v>46819</v>
      </c>
      <c r="F3592" s="36" t="s">
        <v>54401</v>
      </c>
      <c r="G3592" s="39">
        <v>1114583.0900000001</v>
      </c>
      <c r="H3592" s="42">
        <v>211</v>
      </c>
    </row>
    <row r="3593" spans="1:8" ht="15" customHeight="1">
      <c r="A3593" s="26">
        <v>39547341</v>
      </c>
      <c r="B3593" s="29" t="s">
        <v>5829</v>
      </c>
      <c r="C3593" s="29" t="s">
        <v>20477</v>
      </c>
      <c r="D3593" s="29" t="s">
        <v>33687</v>
      </c>
      <c r="E3593" s="29" t="s">
        <v>46820</v>
      </c>
      <c r="F3593" s="36" t="s">
        <v>54401</v>
      </c>
      <c r="G3593" s="39">
        <v>118818.24000000001</v>
      </c>
      <c r="H3593" s="42">
        <v>211</v>
      </c>
    </row>
    <row r="3594" spans="1:8" ht="15" customHeight="1">
      <c r="A3594" s="26">
        <v>39565053</v>
      </c>
      <c r="B3594" s="29" t="s">
        <v>5830</v>
      </c>
      <c r="C3594" s="29" t="s">
        <v>20478</v>
      </c>
      <c r="D3594" s="29" t="s">
        <v>33688</v>
      </c>
      <c r="E3594" s="29" t="s">
        <v>46821</v>
      </c>
      <c r="F3594" s="36" t="s">
        <v>54401</v>
      </c>
      <c r="G3594" s="39">
        <v>19569.25</v>
      </c>
      <c r="H3594" s="42">
        <v>211</v>
      </c>
    </row>
    <row r="3595" spans="1:8" ht="15" customHeight="1">
      <c r="A3595" s="26">
        <v>39570228</v>
      </c>
      <c r="B3595" s="29" t="s">
        <v>5831</v>
      </c>
      <c r="C3595" s="29" t="s">
        <v>20479</v>
      </c>
      <c r="D3595" s="29" t="s">
        <v>33689</v>
      </c>
      <c r="E3595" s="29" t="s">
        <v>46822</v>
      </c>
      <c r="F3595" s="36" t="s">
        <v>54427</v>
      </c>
      <c r="G3595" s="39">
        <v>289202.02</v>
      </c>
      <c r="H3595" s="42">
        <v>211</v>
      </c>
    </row>
    <row r="3596" spans="1:8" ht="15" customHeight="1">
      <c r="A3596" s="26">
        <v>39582667</v>
      </c>
      <c r="B3596" s="29" t="s">
        <v>5832</v>
      </c>
      <c r="C3596" s="29" t="s">
        <v>17204</v>
      </c>
      <c r="D3596" s="29" t="s">
        <v>30349</v>
      </c>
      <c r="E3596" s="29" t="s">
        <v>43926</v>
      </c>
      <c r="F3596" s="36" t="s">
        <v>54401</v>
      </c>
      <c r="G3596" s="39">
        <v>243719.4</v>
      </c>
      <c r="H3596" s="42">
        <v>211</v>
      </c>
    </row>
    <row r="3597" spans="1:8" ht="15" customHeight="1">
      <c r="A3597" s="26">
        <v>39582740</v>
      </c>
      <c r="B3597" s="29" t="s">
        <v>5833</v>
      </c>
      <c r="C3597" s="29" t="s">
        <v>20480</v>
      </c>
      <c r="D3597" s="29" t="s">
        <v>33690</v>
      </c>
      <c r="E3597" s="29" t="s">
        <v>46823</v>
      </c>
      <c r="F3597" s="36" t="s">
        <v>54401</v>
      </c>
      <c r="G3597" s="39">
        <v>1787481.94</v>
      </c>
      <c r="H3597" s="42">
        <v>211</v>
      </c>
    </row>
    <row r="3598" spans="1:8" ht="15" customHeight="1">
      <c r="A3598" s="26">
        <v>39613603</v>
      </c>
      <c r="B3598" s="29" t="s">
        <v>5834</v>
      </c>
      <c r="C3598" s="29" t="s">
        <v>20481</v>
      </c>
      <c r="D3598" s="29" t="s">
        <v>33691</v>
      </c>
      <c r="E3598" s="29" t="s">
        <v>46824</v>
      </c>
      <c r="F3598" s="36" t="s">
        <v>54401</v>
      </c>
      <c r="G3598" s="39">
        <v>160887.34</v>
      </c>
      <c r="H3598" s="42">
        <v>211</v>
      </c>
    </row>
    <row r="3599" spans="1:8" ht="15" customHeight="1">
      <c r="A3599" s="26">
        <v>39650168</v>
      </c>
      <c r="B3599" s="29" t="s">
        <v>5835</v>
      </c>
      <c r="C3599" s="29" t="s">
        <v>17204</v>
      </c>
      <c r="D3599" s="29" t="s">
        <v>33692</v>
      </c>
      <c r="E3599" s="29" t="s">
        <v>43926</v>
      </c>
      <c r="F3599" s="36" t="s">
        <v>54401</v>
      </c>
      <c r="G3599" s="39">
        <v>36646.370000000003</v>
      </c>
      <c r="H3599" s="42">
        <v>211</v>
      </c>
    </row>
    <row r="3600" spans="1:8" ht="15" customHeight="1">
      <c r="A3600" s="26">
        <v>39659031</v>
      </c>
      <c r="B3600" s="29" t="s">
        <v>5836</v>
      </c>
      <c r="C3600" s="29" t="s">
        <v>20482</v>
      </c>
      <c r="D3600" s="29" t="s">
        <v>33693</v>
      </c>
      <c r="E3600" s="29" t="s">
        <v>46825</v>
      </c>
      <c r="F3600" s="36" t="s">
        <v>54401</v>
      </c>
      <c r="G3600" s="39">
        <v>128753.38</v>
      </c>
      <c r="H3600" s="42">
        <v>211</v>
      </c>
    </row>
    <row r="3601" spans="1:8" ht="15" customHeight="1">
      <c r="A3601" s="26">
        <v>39690146</v>
      </c>
      <c r="B3601" s="29" t="s">
        <v>5837</v>
      </c>
      <c r="C3601" s="29" t="s">
        <v>20483</v>
      </c>
      <c r="D3601" s="29" t="s">
        <v>33694</v>
      </c>
      <c r="E3601" s="29" t="s">
        <v>46826</v>
      </c>
      <c r="F3601" s="36" t="s">
        <v>54401</v>
      </c>
      <c r="G3601" s="39">
        <v>191160.94</v>
      </c>
      <c r="H3601" s="42">
        <v>211</v>
      </c>
    </row>
    <row r="3602" spans="1:8" ht="15" customHeight="1">
      <c r="A3602" s="26">
        <v>39698939</v>
      </c>
      <c r="B3602" s="29" t="s">
        <v>5838</v>
      </c>
      <c r="C3602" s="29" t="s">
        <v>20484</v>
      </c>
      <c r="D3602" s="29" t="s">
        <v>33695</v>
      </c>
      <c r="E3602" s="29" t="s">
        <v>46827</v>
      </c>
      <c r="F3602" s="36" t="s">
        <v>54401</v>
      </c>
      <c r="G3602" s="39">
        <v>9702.5</v>
      </c>
      <c r="H3602" s="42">
        <v>211</v>
      </c>
    </row>
    <row r="3603" spans="1:8" ht="15" customHeight="1">
      <c r="A3603" s="26">
        <v>39719928</v>
      </c>
      <c r="B3603" s="29" t="s">
        <v>5839</v>
      </c>
      <c r="C3603" s="29" t="s">
        <v>17204</v>
      </c>
      <c r="D3603" s="29" t="s">
        <v>33696</v>
      </c>
      <c r="E3603" s="29" t="s">
        <v>43926</v>
      </c>
      <c r="F3603" s="36" t="s">
        <v>54401</v>
      </c>
      <c r="G3603" s="39">
        <v>20084</v>
      </c>
      <c r="H3603" s="42">
        <v>211</v>
      </c>
    </row>
    <row r="3604" spans="1:8" ht="15" customHeight="1">
      <c r="A3604" s="26">
        <v>39738646</v>
      </c>
      <c r="B3604" s="29" t="s">
        <v>5840</v>
      </c>
      <c r="C3604" s="29" t="s">
        <v>20485</v>
      </c>
      <c r="D3604" s="29" t="s">
        <v>33697</v>
      </c>
      <c r="E3604" s="29" t="s">
        <v>43926</v>
      </c>
      <c r="F3604" s="36" t="s">
        <v>54401</v>
      </c>
      <c r="G3604" s="39">
        <v>2336781.41</v>
      </c>
      <c r="H3604" s="42">
        <v>211</v>
      </c>
    </row>
    <row r="3605" spans="1:8" ht="15" customHeight="1">
      <c r="A3605" s="26">
        <v>39748737</v>
      </c>
      <c r="B3605" s="29" t="s">
        <v>5841</v>
      </c>
      <c r="C3605" s="29" t="s">
        <v>20486</v>
      </c>
      <c r="D3605" s="29" t="s">
        <v>33698</v>
      </c>
      <c r="E3605" s="29" t="s">
        <v>46828</v>
      </c>
      <c r="F3605" s="36" t="s">
        <v>54402</v>
      </c>
      <c r="G3605" s="39">
        <v>91233.600000000006</v>
      </c>
      <c r="H3605" s="42">
        <v>211</v>
      </c>
    </row>
    <row r="3606" spans="1:8" ht="15" customHeight="1">
      <c r="A3606" s="26">
        <v>39759573</v>
      </c>
      <c r="B3606" s="29" t="s">
        <v>5842</v>
      </c>
      <c r="C3606" s="29" t="s">
        <v>17204</v>
      </c>
      <c r="D3606" s="29" t="s">
        <v>30349</v>
      </c>
      <c r="E3606" s="29" t="s">
        <v>43926</v>
      </c>
      <c r="F3606" s="36" t="s">
        <v>54401</v>
      </c>
      <c r="G3606" s="39">
        <v>191423</v>
      </c>
      <c r="H3606" s="42">
        <v>211</v>
      </c>
    </row>
    <row r="3607" spans="1:8" ht="15" customHeight="1">
      <c r="A3607" s="26">
        <v>39766196</v>
      </c>
      <c r="B3607" s="29" t="s">
        <v>5843</v>
      </c>
      <c r="C3607" s="29" t="s">
        <v>20487</v>
      </c>
      <c r="D3607" s="29" t="s">
        <v>33699</v>
      </c>
      <c r="E3607" s="29" t="s">
        <v>43926</v>
      </c>
      <c r="F3607" s="36" t="s">
        <v>54401</v>
      </c>
      <c r="G3607" s="39">
        <v>18957.32</v>
      </c>
      <c r="H3607" s="42">
        <v>211</v>
      </c>
    </row>
    <row r="3608" spans="1:8" ht="15" customHeight="1">
      <c r="A3608" s="26">
        <v>39773670</v>
      </c>
      <c r="B3608" s="29" t="s">
        <v>5844</v>
      </c>
      <c r="C3608" s="29" t="s">
        <v>20488</v>
      </c>
      <c r="D3608" s="29" t="s">
        <v>33700</v>
      </c>
      <c r="E3608" s="29" t="s">
        <v>46829</v>
      </c>
      <c r="F3608" s="36" t="s">
        <v>54401</v>
      </c>
      <c r="G3608" s="39">
        <v>1939804.81</v>
      </c>
      <c r="H3608" s="42">
        <v>211</v>
      </c>
    </row>
    <row r="3609" spans="1:8" ht="15" customHeight="1">
      <c r="A3609" s="26">
        <v>39775808</v>
      </c>
      <c r="B3609" s="29" t="s">
        <v>5845</v>
      </c>
      <c r="C3609" s="29" t="s">
        <v>17204</v>
      </c>
      <c r="D3609" s="29" t="s">
        <v>30349</v>
      </c>
      <c r="E3609" s="29" t="s">
        <v>43926</v>
      </c>
      <c r="F3609" s="36" t="s">
        <v>54401</v>
      </c>
      <c r="G3609" s="39">
        <v>192724.74</v>
      </c>
      <c r="H3609" s="42">
        <v>211</v>
      </c>
    </row>
    <row r="3610" spans="1:8" ht="15" customHeight="1">
      <c r="A3610" s="26">
        <v>39779932</v>
      </c>
      <c r="B3610" s="29" t="s">
        <v>5846</v>
      </c>
      <c r="C3610" s="29" t="s">
        <v>20489</v>
      </c>
      <c r="D3610" s="29" t="s">
        <v>33701</v>
      </c>
      <c r="E3610" s="29" t="s">
        <v>46830</v>
      </c>
      <c r="F3610" s="36" t="s">
        <v>54401</v>
      </c>
      <c r="G3610" s="39">
        <v>543231.78</v>
      </c>
      <c r="H3610" s="42">
        <v>211</v>
      </c>
    </row>
    <row r="3611" spans="1:8" ht="15" customHeight="1">
      <c r="A3611" s="26">
        <v>39783746</v>
      </c>
      <c r="B3611" s="29" t="s">
        <v>5847</v>
      </c>
      <c r="C3611" s="29" t="s">
        <v>20490</v>
      </c>
      <c r="D3611" s="29" t="s">
        <v>33702</v>
      </c>
      <c r="E3611" s="29" t="s">
        <v>43951</v>
      </c>
      <c r="F3611" s="36" t="s">
        <v>54401</v>
      </c>
      <c r="G3611" s="39">
        <v>711882.75</v>
      </c>
      <c r="H3611" s="42">
        <v>211</v>
      </c>
    </row>
    <row r="3612" spans="1:8" ht="15" customHeight="1">
      <c r="A3612" s="26">
        <v>39791627</v>
      </c>
      <c r="B3612" s="29" t="s">
        <v>5848</v>
      </c>
      <c r="C3612" s="29" t="s">
        <v>20491</v>
      </c>
      <c r="D3612" s="29" t="s">
        <v>33703</v>
      </c>
      <c r="E3612" s="29" t="s">
        <v>46831</v>
      </c>
      <c r="F3612" s="36" t="s">
        <v>54401</v>
      </c>
      <c r="G3612" s="39">
        <f>600167.1+1056497</f>
        <v>1656664.1</v>
      </c>
      <c r="H3612" s="42">
        <v>211</v>
      </c>
    </row>
    <row r="3613" spans="1:8" ht="15" customHeight="1">
      <c r="A3613" s="26">
        <v>39801379</v>
      </c>
      <c r="B3613" s="29" t="s">
        <v>5849</v>
      </c>
      <c r="C3613" s="29" t="s">
        <v>20492</v>
      </c>
      <c r="D3613" s="29" t="s">
        <v>33704</v>
      </c>
      <c r="E3613" s="29" t="s">
        <v>46832</v>
      </c>
      <c r="F3613" s="36" t="s">
        <v>54441</v>
      </c>
      <c r="G3613" s="39">
        <f>7832727.89-24600</f>
        <v>7808127.8899999997</v>
      </c>
      <c r="H3613" s="42">
        <v>211</v>
      </c>
    </row>
    <row r="3614" spans="1:8" ht="15" customHeight="1">
      <c r="A3614" s="26">
        <v>39900570</v>
      </c>
      <c r="B3614" s="29" t="s">
        <v>5850</v>
      </c>
      <c r="C3614" s="29" t="s">
        <v>20493</v>
      </c>
      <c r="D3614" s="29" t="s">
        <v>33705</v>
      </c>
      <c r="E3614" s="29" t="s">
        <v>46833</v>
      </c>
      <c r="F3614" s="36" t="s">
        <v>54412</v>
      </c>
      <c r="G3614" s="39">
        <f>394449.88+10500100</f>
        <v>10894549.880000001</v>
      </c>
      <c r="H3614" s="42">
        <v>211</v>
      </c>
    </row>
    <row r="3615" spans="1:8" ht="15" customHeight="1">
      <c r="A3615" s="26">
        <v>39900844</v>
      </c>
      <c r="B3615" s="29" t="s">
        <v>5851</v>
      </c>
      <c r="C3615" s="29" t="s">
        <v>20494</v>
      </c>
      <c r="D3615" s="29" t="s">
        <v>33706</v>
      </c>
      <c r="E3615" s="29" t="s">
        <v>46834</v>
      </c>
      <c r="F3615" s="36" t="s">
        <v>54401</v>
      </c>
      <c r="G3615" s="39">
        <v>407795.85</v>
      </c>
      <c r="H3615" s="42">
        <v>211</v>
      </c>
    </row>
    <row r="3616" spans="1:8" ht="15" customHeight="1">
      <c r="A3616" s="26">
        <v>40008424</v>
      </c>
      <c r="B3616" s="29" t="s">
        <v>5852</v>
      </c>
      <c r="C3616" s="29" t="s">
        <v>20495</v>
      </c>
      <c r="D3616" s="29" t="s">
        <v>33707</v>
      </c>
      <c r="E3616" s="29" t="s">
        <v>46835</v>
      </c>
      <c r="F3616" s="36" t="s">
        <v>54401</v>
      </c>
      <c r="G3616" s="39">
        <v>106057.97</v>
      </c>
      <c r="H3616" s="42">
        <v>211</v>
      </c>
    </row>
    <row r="3617" spans="1:8" ht="15" customHeight="1">
      <c r="A3617" s="26">
        <v>40008825</v>
      </c>
      <c r="B3617" s="29" t="s">
        <v>5853</v>
      </c>
      <c r="C3617" s="29" t="s">
        <v>20496</v>
      </c>
      <c r="D3617" s="29" t="s">
        <v>33708</v>
      </c>
      <c r="E3617" s="29" t="s">
        <v>43926</v>
      </c>
      <c r="F3617" s="36" t="s">
        <v>54401</v>
      </c>
      <c r="G3617" s="39">
        <v>147538.93</v>
      </c>
      <c r="H3617" s="42">
        <v>211</v>
      </c>
    </row>
    <row r="3618" spans="1:8" ht="15" customHeight="1">
      <c r="A3618" s="26">
        <v>40008869</v>
      </c>
      <c r="B3618" s="29" t="s">
        <v>5854</v>
      </c>
      <c r="C3618" s="29" t="s">
        <v>20497</v>
      </c>
      <c r="D3618" s="29" t="s">
        <v>33709</v>
      </c>
      <c r="E3618" s="29" t="s">
        <v>46836</v>
      </c>
      <c r="F3618" s="36" t="s">
        <v>54401</v>
      </c>
      <c r="G3618" s="39">
        <v>730290.34</v>
      </c>
      <c r="H3618" s="42">
        <v>211</v>
      </c>
    </row>
    <row r="3619" spans="1:8" ht="15" customHeight="1">
      <c r="A3619" s="26">
        <v>40010660</v>
      </c>
      <c r="B3619" s="29" t="s">
        <v>5855</v>
      </c>
      <c r="C3619" s="29" t="s">
        <v>20498</v>
      </c>
      <c r="D3619" s="29" t="s">
        <v>33710</v>
      </c>
      <c r="E3619" s="29" t="s">
        <v>46837</v>
      </c>
      <c r="F3619" s="36" t="s">
        <v>54401</v>
      </c>
      <c r="G3619" s="39">
        <v>676096.59</v>
      </c>
      <c r="H3619" s="42">
        <v>211</v>
      </c>
    </row>
    <row r="3620" spans="1:8" ht="15" customHeight="1">
      <c r="A3620" s="26">
        <v>40011030</v>
      </c>
      <c r="B3620" s="29" t="s">
        <v>5856</v>
      </c>
      <c r="C3620" s="29" t="s">
        <v>20499</v>
      </c>
      <c r="D3620" s="29" t="s">
        <v>33711</v>
      </c>
      <c r="E3620" s="29" t="s">
        <v>46838</v>
      </c>
      <c r="F3620" s="36" t="s">
        <v>54401</v>
      </c>
      <c r="G3620" s="39">
        <v>908309.6</v>
      </c>
      <c r="H3620" s="42">
        <v>211</v>
      </c>
    </row>
    <row r="3621" spans="1:8" ht="15" customHeight="1">
      <c r="A3621" s="26">
        <v>40011231</v>
      </c>
      <c r="B3621" s="29" t="s">
        <v>5857</v>
      </c>
      <c r="C3621" s="29" t="s">
        <v>20500</v>
      </c>
      <c r="D3621" s="29" t="s">
        <v>33712</v>
      </c>
      <c r="E3621" s="29" t="s">
        <v>46839</v>
      </c>
      <c r="F3621" s="36" t="s">
        <v>54409</v>
      </c>
      <c r="G3621" s="39">
        <v>1338174.23</v>
      </c>
      <c r="H3621" s="42">
        <v>211</v>
      </c>
    </row>
    <row r="3622" spans="1:8" ht="15" customHeight="1">
      <c r="A3622" s="26">
        <v>40011618</v>
      </c>
      <c r="B3622" s="29" t="s">
        <v>5858</v>
      </c>
      <c r="C3622" s="29" t="s">
        <v>20501</v>
      </c>
      <c r="D3622" s="29" t="s">
        <v>33713</v>
      </c>
      <c r="E3622" s="29" t="s">
        <v>46840</v>
      </c>
      <c r="F3622" s="36" t="s">
        <v>54401</v>
      </c>
      <c r="G3622" s="39">
        <v>1987645.98</v>
      </c>
      <c r="H3622" s="42">
        <v>211</v>
      </c>
    </row>
    <row r="3623" spans="1:8" ht="15" customHeight="1">
      <c r="A3623" s="26">
        <v>40013716</v>
      </c>
      <c r="B3623" s="29" t="s">
        <v>5859</v>
      </c>
      <c r="C3623" s="29" t="s">
        <v>20502</v>
      </c>
      <c r="D3623" s="29" t="s">
        <v>33714</v>
      </c>
      <c r="E3623" s="29" t="s">
        <v>46841</v>
      </c>
      <c r="F3623" s="36" t="s">
        <v>54401</v>
      </c>
      <c r="G3623" s="39">
        <v>47185.88</v>
      </c>
      <c r="H3623" s="42">
        <v>211</v>
      </c>
    </row>
    <row r="3624" spans="1:8" ht="15" customHeight="1">
      <c r="A3624" s="26">
        <v>40014421</v>
      </c>
      <c r="B3624" s="29" t="s">
        <v>5860</v>
      </c>
      <c r="C3624" s="29" t="s">
        <v>20503</v>
      </c>
      <c r="D3624" s="29" t="s">
        <v>33715</v>
      </c>
      <c r="E3624" s="29" t="s">
        <v>46842</v>
      </c>
      <c r="F3624" s="36" t="s">
        <v>54401</v>
      </c>
      <c r="G3624" s="39">
        <v>171230.88</v>
      </c>
      <c r="H3624" s="42">
        <v>211</v>
      </c>
    </row>
    <row r="3625" spans="1:8" ht="15" customHeight="1">
      <c r="A3625" s="26">
        <v>40015578</v>
      </c>
      <c r="B3625" s="29" t="s">
        <v>5861</v>
      </c>
      <c r="C3625" s="29" t="s">
        <v>20504</v>
      </c>
      <c r="D3625" s="29" t="s">
        <v>33716</v>
      </c>
      <c r="E3625" s="29" t="s">
        <v>46843</v>
      </c>
      <c r="F3625" s="36" t="s">
        <v>54401</v>
      </c>
      <c r="G3625" s="39">
        <v>1275041.45</v>
      </c>
      <c r="H3625" s="42">
        <v>211</v>
      </c>
    </row>
    <row r="3626" spans="1:8" ht="15" customHeight="1">
      <c r="A3626" s="26">
        <v>40015605</v>
      </c>
      <c r="B3626" s="29" t="s">
        <v>5862</v>
      </c>
      <c r="C3626" s="29" t="s">
        <v>17204</v>
      </c>
      <c r="D3626" s="29" t="s">
        <v>33717</v>
      </c>
      <c r="E3626" s="29" t="s">
        <v>43926</v>
      </c>
      <c r="F3626" s="36" t="s">
        <v>54401</v>
      </c>
      <c r="G3626" s="39">
        <v>39529.410000000003</v>
      </c>
      <c r="H3626" s="42">
        <v>211</v>
      </c>
    </row>
    <row r="3627" spans="1:8" ht="15" customHeight="1">
      <c r="A3627" s="26">
        <v>40015808</v>
      </c>
      <c r="B3627" s="29" t="s">
        <v>5863</v>
      </c>
      <c r="C3627" s="29" t="s">
        <v>20505</v>
      </c>
      <c r="D3627" s="29" t="s">
        <v>33718</v>
      </c>
      <c r="E3627" s="29" t="s">
        <v>46844</v>
      </c>
      <c r="F3627" s="36" t="s">
        <v>54401</v>
      </c>
      <c r="G3627" s="39">
        <v>381141.02</v>
      </c>
      <c r="H3627" s="42">
        <v>211</v>
      </c>
    </row>
    <row r="3628" spans="1:8" ht="15" customHeight="1">
      <c r="A3628" s="26">
        <v>40016840</v>
      </c>
      <c r="B3628" s="29" t="s">
        <v>5864</v>
      </c>
      <c r="C3628" s="29" t="s">
        <v>20506</v>
      </c>
      <c r="D3628" s="29" t="s">
        <v>33719</v>
      </c>
      <c r="E3628" s="29" t="s">
        <v>46845</v>
      </c>
      <c r="F3628" s="36" t="s">
        <v>54401</v>
      </c>
      <c r="G3628" s="39">
        <v>45060.21</v>
      </c>
      <c r="H3628" s="42">
        <v>211</v>
      </c>
    </row>
    <row r="3629" spans="1:8" ht="15" customHeight="1">
      <c r="A3629" s="26">
        <v>40017146</v>
      </c>
      <c r="B3629" s="29" t="s">
        <v>5865</v>
      </c>
      <c r="C3629" s="29" t="s">
        <v>20507</v>
      </c>
      <c r="D3629" s="29" t="s">
        <v>33720</v>
      </c>
      <c r="E3629" s="29" t="s">
        <v>44616</v>
      </c>
      <c r="F3629" s="36" t="s">
        <v>54409</v>
      </c>
      <c r="G3629" s="39">
        <v>42821.09</v>
      </c>
      <c r="H3629" s="42">
        <v>211</v>
      </c>
    </row>
    <row r="3630" spans="1:8" ht="15" customHeight="1">
      <c r="A3630" s="26">
        <v>40017919</v>
      </c>
      <c r="B3630" s="29" t="s">
        <v>5866</v>
      </c>
      <c r="C3630" s="29" t="s">
        <v>20508</v>
      </c>
      <c r="D3630" s="29" t="s">
        <v>33721</v>
      </c>
      <c r="E3630" s="29" t="s">
        <v>46846</v>
      </c>
      <c r="F3630" s="36" t="s">
        <v>54412</v>
      </c>
      <c r="G3630" s="39">
        <f>32892952.37-78193</f>
        <v>32814759.370000001</v>
      </c>
      <c r="H3630" s="42">
        <v>211</v>
      </c>
    </row>
    <row r="3631" spans="1:8" ht="15" customHeight="1">
      <c r="A3631" s="26">
        <v>40018001</v>
      </c>
      <c r="B3631" s="29" t="s">
        <v>5867</v>
      </c>
      <c r="C3631" s="29" t="s">
        <v>17204</v>
      </c>
      <c r="D3631" s="29" t="s">
        <v>33722</v>
      </c>
      <c r="E3631" s="29" t="s">
        <v>43926</v>
      </c>
      <c r="F3631" s="36" t="s">
        <v>54401</v>
      </c>
      <c r="G3631" s="39">
        <v>40754.61</v>
      </c>
      <c r="H3631" s="42">
        <v>211</v>
      </c>
    </row>
    <row r="3632" spans="1:8" ht="15" customHeight="1">
      <c r="A3632" s="26">
        <v>40018854</v>
      </c>
      <c r="B3632" s="29" t="s">
        <v>5868</v>
      </c>
      <c r="C3632" s="29" t="s">
        <v>20509</v>
      </c>
      <c r="D3632" s="29" t="s">
        <v>33723</v>
      </c>
      <c r="E3632" s="29" t="s">
        <v>46847</v>
      </c>
      <c r="F3632" s="36" t="s">
        <v>54423</v>
      </c>
      <c r="G3632" s="39">
        <v>1525021.48</v>
      </c>
      <c r="H3632" s="42">
        <v>211</v>
      </c>
    </row>
    <row r="3633" spans="1:8" ht="15" customHeight="1">
      <c r="A3633" s="26">
        <v>40018946</v>
      </c>
      <c r="B3633" s="29" t="s">
        <v>5869</v>
      </c>
      <c r="C3633" s="29" t="s">
        <v>20510</v>
      </c>
      <c r="D3633" s="29" t="s">
        <v>33724</v>
      </c>
      <c r="E3633" s="29" t="s">
        <v>46848</v>
      </c>
      <c r="F3633" s="36" t="s">
        <v>54401</v>
      </c>
      <c r="G3633" s="39">
        <v>55293.22</v>
      </c>
      <c r="H3633" s="42">
        <v>211</v>
      </c>
    </row>
    <row r="3634" spans="1:8" ht="15" customHeight="1">
      <c r="A3634" s="26">
        <v>40019117</v>
      </c>
      <c r="B3634" s="29" t="s">
        <v>5870</v>
      </c>
      <c r="C3634" s="29" t="s">
        <v>20511</v>
      </c>
      <c r="D3634" s="29" t="s">
        <v>33725</v>
      </c>
      <c r="E3634" s="29" t="s">
        <v>1643</v>
      </c>
      <c r="F3634" s="36" t="s">
        <v>54401</v>
      </c>
      <c r="G3634" s="39">
        <v>186007.11</v>
      </c>
      <c r="H3634" s="42">
        <v>211</v>
      </c>
    </row>
    <row r="3635" spans="1:8" ht="15" customHeight="1">
      <c r="A3635" s="26">
        <v>40019814</v>
      </c>
      <c r="B3635" s="29" t="s">
        <v>5871</v>
      </c>
      <c r="C3635" s="29" t="s">
        <v>20512</v>
      </c>
      <c r="D3635" s="29" t="s">
        <v>33726</v>
      </c>
      <c r="E3635" s="29" t="s">
        <v>46849</v>
      </c>
      <c r="F3635" s="36" t="s">
        <v>54401</v>
      </c>
      <c r="G3635" s="39">
        <v>135404.74</v>
      </c>
      <c r="H3635" s="42">
        <v>211</v>
      </c>
    </row>
    <row r="3636" spans="1:8" ht="15" customHeight="1">
      <c r="A3636" s="26">
        <v>40019887</v>
      </c>
      <c r="B3636" s="29" t="s">
        <v>5872</v>
      </c>
      <c r="C3636" s="29" t="s">
        <v>20513</v>
      </c>
      <c r="D3636" s="29" t="s">
        <v>33727</v>
      </c>
      <c r="E3636" s="29" t="s">
        <v>46850</v>
      </c>
      <c r="F3636" s="36" t="s">
        <v>54401</v>
      </c>
      <c r="G3636" s="39">
        <v>65609.5</v>
      </c>
      <c r="H3636" s="42">
        <v>211</v>
      </c>
    </row>
    <row r="3637" spans="1:8" ht="15" customHeight="1">
      <c r="A3637" s="26">
        <v>40020048</v>
      </c>
      <c r="B3637" s="29" t="s">
        <v>5873</v>
      </c>
      <c r="C3637" s="29" t="s">
        <v>20514</v>
      </c>
      <c r="D3637" s="29" t="s">
        <v>33728</v>
      </c>
      <c r="E3637" s="29" t="s">
        <v>46851</v>
      </c>
      <c r="F3637" s="36" t="s">
        <v>54401</v>
      </c>
      <c r="G3637" s="39">
        <f>2774178.56+52100</f>
        <v>2826278.56</v>
      </c>
      <c r="H3637" s="42">
        <v>211</v>
      </c>
    </row>
    <row r="3638" spans="1:8" ht="15" customHeight="1">
      <c r="A3638" s="26">
        <v>40020056</v>
      </c>
      <c r="B3638" s="29" t="s">
        <v>5874</v>
      </c>
      <c r="C3638" s="29" t="s">
        <v>20515</v>
      </c>
      <c r="D3638" s="29" t="s">
        <v>33729</v>
      </c>
      <c r="E3638" s="29" t="s">
        <v>46852</v>
      </c>
      <c r="F3638" s="36" t="s">
        <v>54412</v>
      </c>
      <c r="G3638" s="39">
        <f>3175293.69-120184</f>
        <v>3055109.69</v>
      </c>
      <c r="H3638" s="42">
        <v>211</v>
      </c>
    </row>
    <row r="3639" spans="1:8" ht="15" customHeight="1">
      <c r="A3639" s="26">
        <v>40020482</v>
      </c>
      <c r="B3639" s="29" t="s">
        <v>5875</v>
      </c>
      <c r="C3639" s="29" t="s">
        <v>20516</v>
      </c>
      <c r="D3639" s="29" t="s">
        <v>33730</v>
      </c>
      <c r="E3639" s="29" t="s">
        <v>46853</v>
      </c>
      <c r="F3639" s="36" t="s">
        <v>54401</v>
      </c>
      <c r="G3639" s="39">
        <v>1260558.81</v>
      </c>
      <c r="H3639" s="42">
        <v>211</v>
      </c>
    </row>
    <row r="3640" spans="1:8" ht="15" customHeight="1">
      <c r="A3640" s="26">
        <v>40020749</v>
      </c>
      <c r="B3640" s="29" t="s">
        <v>5876</v>
      </c>
      <c r="C3640" s="29" t="s">
        <v>17204</v>
      </c>
      <c r="D3640" s="29" t="s">
        <v>33731</v>
      </c>
      <c r="E3640" s="29" t="s">
        <v>46854</v>
      </c>
      <c r="F3640" s="36" t="s">
        <v>54401</v>
      </c>
      <c r="G3640" s="39">
        <v>1036170.8</v>
      </c>
      <c r="H3640" s="42">
        <v>211</v>
      </c>
    </row>
    <row r="3641" spans="1:8" ht="15" customHeight="1">
      <c r="A3641" s="26">
        <v>40021724</v>
      </c>
      <c r="B3641" s="29" t="s">
        <v>5877</v>
      </c>
      <c r="C3641" s="29" t="s">
        <v>20517</v>
      </c>
      <c r="D3641" s="29" t="s">
        <v>33732</v>
      </c>
      <c r="E3641" s="29" t="s">
        <v>46855</v>
      </c>
      <c r="F3641" s="36" t="s">
        <v>54401</v>
      </c>
      <c r="G3641" s="39">
        <v>484988.94</v>
      </c>
      <c r="H3641" s="42">
        <v>211</v>
      </c>
    </row>
    <row r="3642" spans="1:8" ht="15" customHeight="1">
      <c r="A3642" s="26">
        <v>40021744</v>
      </c>
      <c r="B3642" s="29" t="s">
        <v>5878</v>
      </c>
      <c r="C3642" s="29" t="s">
        <v>20518</v>
      </c>
      <c r="D3642" s="29" t="s">
        <v>33733</v>
      </c>
      <c r="E3642" s="29" t="s">
        <v>46015</v>
      </c>
      <c r="F3642" s="36" t="s">
        <v>54401</v>
      </c>
      <c r="G3642" s="39">
        <v>166767.67999999999</v>
      </c>
      <c r="H3642" s="42">
        <v>211</v>
      </c>
    </row>
    <row r="3643" spans="1:8" ht="15" customHeight="1">
      <c r="A3643" s="26">
        <v>40022654</v>
      </c>
      <c r="B3643" s="29" t="s">
        <v>5879</v>
      </c>
      <c r="C3643" s="29" t="s">
        <v>20519</v>
      </c>
      <c r="D3643" s="29" t="s">
        <v>33734</v>
      </c>
      <c r="E3643" s="29" t="s">
        <v>46856</v>
      </c>
      <c r="F3643" s="36" t="s">
        <v>54402</v>
      </c>
      <c r="G3643" s="39">
        <f>15722394.73-363438</f>
        <v>15358956.73</v>
      </c>
      <c r="H3643" s="42">
        <v>211</v>
      </c>
    </row>
    <row r="3644" spans="1:8" ht="15" customHeight="1">
      <c r="A3644" s="26">
        <v>40022758</v>
      </c>
      <c r="B3644" s="29" t="s">
        <v>5880</v>
      </c>
      <c r="C3644" s="29" t="s">
        <v>20520</v>
      </c>
      <c r="D3644" s="29" t="s">
        <v>33735</v>
      </c>
      <c r="E3644" s="29" t="s">
        <v>46857</v>
      </c>
      <c r="F3644" s="36" t="s">
        <v>54401</v>
      </c>
      <c r="G3644" s="39">
        <v>2166188.4900000002</v>
      </c>
      <c r="H3644" s="42">
        <v>211</v>
      </c>
    </row>
    <row r="3645" spans="1:8" ht="15" customHeight="1">
      <c r="A3645" s="26">
        <v>40022832</v>
      </c>
      <c r="B3645" s="29" t="s">
        <v>5881</v>
      </c>
      <c r="C3645" s="29" t="s">
        <v>20521</v>
      </c>
      <c r="D3645" s="29" t="s">
        <v>33736</v>
      </c>
      <c r="E3645" s="29" t="s">
        <v>44327</v>
      </c>
      <c r="F3645" s="36" t="s">
        <v>54401</v>
      </c>
      <c r="G3645" s="39">
        <v>409796.14</v>
      </c>
      <c r="H3645" s="42">
        <v>211</v>
      </c>
    </row>
    <row r="3646" spans="1:8" ht="15" customHeight="1">
      <c r="A3646" s="26">
        <v>40023720</v>
      </c>
      <c r="B3646" s="29" t="s">
        <v>5882</v>
      </c>
      <c r="C3646" s="29" t="s">
        <v>20522</v>
      </c>
      <c r="D3646" s="29" t="s">
        <v>33737</v>
      </c>
      <c r="E3646" s="29" t="s">
        <v>46858</v>
      </c>
      <c r="F3646" s="36" t="s">
        <v>54401</v>
      </c>
      <c r="G3646" s="39">
        <v>173332.23</v>
      </c>
      <c r="H3646" s="42">
        <v>211</v>
      </c>
    </row>
    <row r="3647" spans="1:8" ht="15" customHeight="1">
      <c r="A3647" s="26">
        <v>40023763</v>
      </c>
      <c r="B3647" s="29" t="s">
        <v>5883</v>
      </c>
      <c r="C3647" s="29" t="s">
        <v>20523</v>
      </c>
      <c r="D3647" s="29" t="s">
        <v>33738</v>
      </c>
      <c r="E3647" s="29" t="s">
        <v>46859</v>
      </c>
      <c r="F3647" s="36" t="s">
        <v>54412</v>
      </c>
      <c r="G3647" s="39">
        <v>553513.1</v>
      </c>
      <c r="H3647" s="42">
        <v>211</v>
      </c>
    </row>
    <row r="3648" spans="1:8" ht="15" customHeight="1">
      <c r="A3648" s="26">
        <v>40024245</v>
      </c>
      <c r="B3648" s="29" t="s">
        <v>5884</v>
      </c>
      <c r="C3648" s="29" t="s">
        <v>20524</v>
      </c>
      <c r="D3648" s="29" t="s">
        <v>33739</v>
      </c>
      <c r="E3648" s="29" t="s">
        <v>44960</v>
      </c>
      <c r="F3648" s="36" t="s">
        <v>54401</v>
      </c>
      <c r="G3648" s="39">
        <v>302299.11</v>
      </c>
      <c r="H3648" s="42">
        <v>211</v>
      </c>
    </row>
    <row r="3649" spans="1:8" ht="15" customHeight="1">
      <c r="A3649" s="26">
        <v>40024524</v>
      </c>
      <c r="B3649" s="29" t="s">
        <v>5885</v>
      </c>
      <c r="C3649" s="29" t="s">
        <v>20525</v>
      </c>
      <c r="D3649" s="29" t="s">
        <v>33740</v>
      </c>
      <c r="E3649" s="29" t="s">
        <v>44986</v>
      </c>
      <c r="F3649" s="36" t="s">
        <v>54401</v>
      </c>
      <c r="G3649" s="39">
        <v>13119760.33</v>
      </c>
      <c r="H3649" s="42">
        <v>211</v>
      </c>
    </row>
    <row r="3650" spans="1:8" ht="15" customHeight="1">
      <c r="A3650" s="26">
        <v>40024556</v>
      </c>
      <c r="B3650" s="29" t="s">
        <v>5886</v>
      </c>
      <c r="C3650" s="29" t="s">
        <v>20526</v>
      </c>
      <c r="D3650" s="29" t="s">
        <v>33741</v>
      </c>
      <c r="E3650" s="29" t="s">
        <v>46860</v>
      </c>
      <c r="F3650" s="36" t="s">
        <v>54401</v>
      </c>
      <c r="G3650" s="39">
        <v>1104351.5</v>
      </c>
      <c r="H3650" s="42">
        <v>211</v>
      </c>
    </row>
    <row r="3651" spans="1:8" ht="15" customHeight="1">
      <c r="A3651" s="26">
        <v>40024909</v>
      </c>
      <c r="B3651" s="29" t="s">
        <v>5887</v>
      </c>
      <c r="C3651" s="29" t="s">
        <v>20527</v>
      </c>
      <c r="D3651" s="29" t="s">
        <v>33742</v>
      </c>
      <c r="E3651" s="29" t="s">
        <v>46861</v>
      </c>
      <c r="F3651" s="36" t="s">
        <v>54406</v>
      </c>
      <c r="G3651" s="39">
        <f>6981179.01+30191+219656</f>
        <v>7231026.0099999998</v>
      </c>
      <c r="H3651" s="42">
        <v>211</v>
      </c>
    </row>
    <row r="3652" spans="1:8" ht="15" customHeight="1">
      <c r="A3652" s="26">
        <v>40025675</v>
      </c>
      <c r="B3652" s="29" t="s">
        <v>5888</v>
      </c>
      <c r="C3652" s="29" t="s">
        <v>20528</v>
      </c>
      <c r="D3652" s="29" t="s">
        <v>33743</v>
      </c>
      <c r="E3652" s="29" t="s">
        <v>46862</v>
      </c>
      <c r="F3652" s="36" t="s">
        <v>54401</v>
      </c>
      <c r="G3652" s="39">
        <v>490055.06</v>
      </c>
      <c r="H3652" s="42">
        <v>211</v>
      </c>
    </row>
    <row r="3653" spans="1:8" ht="15" customHeight="1">
      <c r="A3653" s="26">
        <v>40025677</v>
      </c>
      <c r="B3653" s="29" t="s">
        <v>5889</v>
      </c>
      <c r="C3653" s="29" t="s">
        <v>20529</v>
      </c>
      <c r="D3653" s="29" t="s">
        <v>33744</v>
      </c>
      <c r="E3653" s="29" t="s">
        <v>46863</v>
      </c>
      <c r="F3653" s="36" t="s">
        <v>54401</v>
      </c>
      <c r="G3653" s="39">
        <v>250511.42</v>
      </c>
      <c r="H3653" s="42">
        <v>211</v>
      </c>
    </row>
    <row r="3654" spans="1:8" ht="15" customHeight="1">
      <c r="A3654" s="26">
        <v>40027396</v>
      </c>
      <c r="B3654" s="29" t="s">
        <v>5890</v>
      </c>
      <c r="C3654" s="29" t="s">
        <v>17204</v>
      </c>
      <c r="D3654" s="29" t="s">
        <v>33745</v>
      </c>
      <c r="E3654" s="29" t="s">
        <v>43926</v>
      </c>
      <c r="F3654" s="36" t="s">
        <v>54401</v>
      </c>
      <c r="G3654" s="39">
        <v>114924.12</v>
      </c>
      <c r="H3654" s="42">
        <v>211</v>
      </c>
    </row>
    <row r="3655" spans="1:8" ht="15" customHeight="1">
      <c r="A3655" s="26">
        <v>40027570</v>
      </c>
      <c r="B3655" s="29" t="s">
        <v>5891</v>
      </c>
      <c r="C3655" s="29" t="s">
        <v>20530</v>
      </c>
      <c r="D3655" s="29" t="s">
        <v>33746</v>
      </c>
      <c r="E3655" s="29" t="s">
        <v>46864</v>
      </c>
      <c r="F3655" s="36" t="s">
        <v>54401</v>
      </c>
      <c r="G3655" s="39">
        <v>130764.17</v>
      </c>
      <c r="H3655" s="42">
        <v>211</v>
      </c>
    </row>
    <row r="3656" spans="1:8" ht="15" customHeight="1">
      <c r="A3656" s="26">
        <v>40027628</v>
      </c>
      <c r="B3656" s="29" t="s">
        <v>5892</v>
      </c>
      <c r="C3656" s="29" t="s">
        <v>20531</v>
      </c>
      <c r="D3656" s="29" t="s">
        <v>33747</v>
      </c>
      <c r="E3656" s="29" t="s">
        <v>46865</v>
      </c>
      <c r="F3656" s="36" t="s">
        <v>54401</v>
      </c>
      <c r="G3656" s="39">
        <v>245826</v>
      </c>
      <c r="H3656" s="42">
        <v>211</v>
      </c>
    </row>
    <row r="3657" spans="1:8" ht="15" customHeight="1">
      <c r="A3657" s="26">
        <v>40028719</v>
      </c>
      <c r="B3657" s="29" t="s">
        <v>5893</v>
      </c>
      <c r="C3657" s="29" t="s">
        <v>20532</v>
      </c>
      <c r="D3657" s="29" t="s">
        <v>33748</v>
      </c>
      <c r="E3657" s="29" t="s">
        <v>43926</v>
      </c>
      <c r="F3657" s="36" t="s">
        <v>54401</v>
      </c>
      <c r="G3657" s="39">
        <v>43736.800000000003</v>
      </c>
      <c r="H3657" s="42">
        <v>211</v>
      </c>
    </row>
    <row r="3658" spans="1:8" ht="15" customHeight="1">
      <c r="A3658" s="26">
        <v>40028842</v>
      </c>
      <c r="B3658" s="29" t="s">
        <v>5894</v>
      </c>
      <c r="C3658" s="29" t="s">
        <v>20533</v>
      </c>
      <c r="D3658" s="29" t="s">
        <v>33749</v>
      </c>
      <c r="E3658" s="29" t="s">
        <v>46866</v>
      </c>
      <c r="F3658" s="36" t="s">
        <v>54401</v>
      </c>
      <c r="G3658" s="39">
        <v>567312.61</v>
      </c>
      <c r="H3658" s="42">
        <v>211</v>
      </c>
    </row>
    <row r="3659" spans="1:8" ht="15" customHeight="1">
      <c r="A3659" s="26">
        <v>40028861</v>
      </c>
      <c r="B3659" s="29" t="s">
        <v>5895</v>
      </c>
      <c r="C3659" s="29" t="s">
        <v>20534</v>
      </c>
      <c r="D3659" s="29" t="s">
        <v>33750</v>
      </c>
      <c r="E3659" s="29" t="s">
        <v>46867</v>
      </c>
      <c r="F3659" s="36" t="s">
        <v>54401</v>
      </c>
      <c r="G3659" s="39">
        <f>1753461.74+315328</f>
        <v>2068789.74</v>
      </c>
      <c r="H3659" s="42">
        <v>211</v>
      </c>
    </row>
    <row r="3660" spans="1:8" ht="15" customHeight="1">
      <c r="A3660" s="26">
        <v>40028899</v>
      </c>
      <c r="B3660" s="29" t="s">
        <v>5896</v>
      </c>
      <c r="C3660" s="29" t="s">
        <v>20535</v>
      </c>
      <c r="D3660" s="29" t="s">
        <v>33751</v>
      </c>
      <c r="E3660" s="29" t="s">
        <v>46868</v>
      </c>
      <c r="F3660" s="36" t="s">
        <v>54401</v>
      </c>
      <c r="G3660" s="39">
        <v>588648.72</v>
      </c>
      <c r="H3660" s="42">
        <v>211</v>
      </c>
    </row>
    <row r="3661" spans="1:8" ht="15" customHeight="1">
      <c r="A3661" s="26">
        <v>40029271</v>
      </c>
      <c r="B3661" s="29" t="s">
        <v>5897</v>
      </c>
      <c r="C3661" s="29" t="s">
        <v>20536</v>
      </c>
      <c r="D3661" s="29" t="s">
        <v>33752</v>
      </c>
      <c r="E3661" s="29" t="s">
        <v>46869</v>
      </c>
      <c r="F3661" s="36" t="s">
        <v>54401</v>
      </c>
      <c r="G3661" s="39">
        <f>2865891.51+113758</f>
        <v>2979649.51</v>
      </c>
      <c r="H3661" s="42">
        <v>211</v>
      </c>
    </row>
    <row r="3662" spans="1:8" ht="15" customHeight="1">
      <c r="A3662" s="26">
        <v>40029461</v>
      </c>
      <c r="B3662" s="29" t="s">
        <v>5898</v>
      </c>
      <c r="C3662" s="26" t="s">
        <v>20537</v>
      </c>
      <c r="D3662" s="26" t="s">
        <v>33753</v>
      </c>
      <c r="E3662" s="26" t="s">
        <v>43926</v>
      </c>
      <c r="F3662" s="37" t="s">
        <v>54401</v>
      </c>
      <c r="G3662" s="39">
        <v>375381.94</v>
      </c>
      <c r="H3662" s="42">
        <v>211</v>
      </c>
    </row>
    <row r="3663" spans="1:8" ht="15" customHeight="1">
      <c r="A3663" s="26">
        <v>40031807</v>
      </c>
      <c r="B3663" s="29" t="s">
        <v>5899</v>
      </c>
      <c r="C3663" s="29" t="s">
        <v>20538</v>
      </c>
      <c r="D3663" s="29" t="s">
        <v>33754</v>
      </c>
      <c r="E3663" s="29" t="s">
        <v>45160</v>
      </c>
      <c r="F3663" s="36" t="s">
        <v>54401</v>
      </c>
      <c r="G3663" s="39">
        <f>1667590.71+771994</f>
        <v>2439584.71</v>
      </c>
      <c r="H3663" s="42">
        <v>211</v>
      </c>
    </row>
    <row r="3664" spans="1:8" ht="15" customHeight="1">
      <c r="A3664" s="26">
        <v>40032046</v>
      </c>
      <c r="B3664" s="29" t="s">
        <v>5900</v>
      </c>
      <c r="C3664" s="29" t="s">
        <v>20539</v>
      </c>
      <c r="D3664" s="29" t="s">
        <v>33755</v>
      </c>
      <c r="E3664" s="29" t="s">
        <v>46870</v>
      </c>
      <c r="F3664" s="36" t="s">
        <v>54401</v>
      </c>
      <c r="G3664" s="39">
        <f>1129327.86+28462</f>
        <v>1157789.8600000001</v>
      </c>
      <c r="H3664" s="42">
        <v>211</v>
      </c>
    </row>
    <row r="3665" spans="1:8" ht="15" customHeight="1">
      <c r="A3665" s="26">
        <v>40032854</v>
      </c>
      <c r="B3665" s="29" t="s">
        <v>5901</v>
      </c>
      <c r="C3665" s="29" t="s">
        <v>20540</v>
      </c>
      <c r="D3665" s="29" t="s">
        <v>33756</v>
      </c>
      <c r="E3665" s="29" t="s">
        <v>46871</v>
      </c>
      <c r="F3665" s="36" t="s">
        <v>54401</v>
      </c>
      <c r="G3665" s="39">
        <v>95645.31</v>
      </c>
      <c r="H3665" s="42">
        <v>211</v>
      </c>
    </row>
    <row r="3666" spans="1:8" ht="15" customHeight="1">
      <c r="A3666" s="26">
        <v>40033451</v>
      </c>
      <c r="B3666" s="29" t="s">
        <v>5902</v>
      </c>
      <c r="C3666" s="29" t="s">
        <v>20541</v>
      </c>
      <c r="D3666" s="29" t="s">
        <v>33757</v>
      </c>
      <c r="E3666" s="29" t="s">
        <v>44324</v>
      </c>
      <c r="F3666" s="36" t="s">
        <v>54401</v>
      </c>
      <c r="G3666" s="39">
        <v>493534.8</v>
      </c>
      <c r="H3666" s="42">
        <v>211</v>
      </c>
    </row>
    <row r="3667" spans="1:8" ht="15" customHeight="1">
      <c r="A3667" s="26">
        <v>40033847</v>
      </c>
      <c r="B3667" s="29" t="s">
        <v>5903</v>
      </c>
      <c r="C3667" s="26" t="s">
        <v>20542</v>
      </c>
      <c r="D3667" s="26" t="s">
        <v>32986</v>
      </c>
      <c r="E3667" s="26" t="s">
        <v>46872</v>
      </c>
      <c r="F3667" s="37" t="s">
        <v>54401</v>
      </c>
      <c r="G3667" s="39">
        <v>167872.27</v>
      </c>
      <c r="H3667" s="42">
        <v>211</v>
      </c>
    </row>
    <row r="3668" spans="1:8" ht="15" customHeight="1">
      <c r="A3668" s="26">
        <v>40033966</v>
      </c>
      <c r="B3668" s="29" t="s">
        <v>5904</v>
      </c>
      <c r="C3668" s="29" t="s">
        <v>20543</v>
      </c>
      <c r="D3668" s="29" t="s">
        <v>30349</v>
      </c>
      <c r="E3668" s="29" t="s">
        <v>46873</v>
      </c>
      <c r="F3668" s="36" t="s">
        <v>54401</v>
      </c>
      <c r="G3668" s="39">
        <v>442535.56</v>
      </c>
      <c r="H3668" s="42">
        <v>211</v>
      </c>
    </row>
    <row r="3669" spans="1:8" ht="15" customHeight="1">
      <c r="A3669" s="26">
        <v>40034427</v>
      </c>
      <c r="B3669" s="29" t="s">
        <v>5905</v>
      </c>
      <c r="C3669" s="29" t="s">
        <v>20544</v>
      </c>
      <c r="D3669" s="29" t="s">
        <v>33758</v>
      </c>
      <c r="E3669" s="29" t="s">
        <v>46874</v>
      </c>
      <c r="F3669" s="36" t="s">
        <v>54401</v>
      </c>
      <c r="G3669" s="39">
        <v>221796.08</v>
      </c>
      <c r="H3669" s="42">
        <v>211</v>
      </c>
    </row>
    <row r="3670" spans="1:8" ht="15" customHeight="1">
      <c r="A3670" s="26">
        <v>40034613</v>
      </c>
      <c r="B3670" s="29" t="s">
        <v>5906</v>
      </c>
      <c r="C3670" s="29" t="s">
        <v>20545</v>
      </c>
      <c r="D3670" s="29" t="s">
        <v>33759</v>
      </c>
      <c r="E3670" s="29" t="s">
        <v>46875</v>
      </c>
      <c r="F3670" s="36" t="s">
        <v>54401</v>
      </c>
      <c r="G3670" s="39">
        <v>3254927.02</v>
      </c>
      <c r="H3670" s="42">
        <v>211</v>
      </c>
    </row>
    <row r="3671" spans="1:8" ht="15" customHeight="1">
      <c r="A3671" s="26">
        <v>40034635</v>
      </c>
      <c r="B3671" s="29" t="s">
        <v>5907</v>
      </c>
      <c r="C3671" s="29" t="s">
        <v>20546</v>
      </c>
      <c r="D3671" s="29" t="s">
        <v>33760</v>
      </c>
      <c r="E3671" s="29" t="s">
        <v>46876</v>
      </c>
      <c r="F3671" s="36" t="s">
        <v>54423</v>
      </c>
      <c r="G3671" s="39">
        <f>3842451.62-2319</f>
        <v>3840132.62</v>
      </c>
      <c r="H3671" s="42">
        <v>211</v>
      </c>
    </row>
    <row r="3672" spans="1:8" ht="15" customHeight="1">
      <c r="A3672" s="26">
        <v>40034746</v>
      </c>
      <c r="B3672" s="29" t="s">
        <v>5908</v>
      </c>
      <c r="C3672" s="29" t="s">
        <v>20547</v>
      </c>
      <c r="D3672" s="29" t="s">
        <v>33761</v>
      </c>
      <c r="E3672" s="29" t="s">
        <v>46877</v>
      </c>
      <c r="F3672" s="36" t="s">
        <v>54401</v>
      </c>
      <c r="G3672" s="39">
        <f>484256.47+172503</f>
        <v>656759.47</v>
      </c>
      <c r="H3672" s="42">
        <v>211</v>
      </c>
    </row>
    <row r="3673" spans="1:8" ht="15" customHeight="1">
      <c r="A3673" s="26">
        <v>40035280</v>
      </c>
      <c r="B3673" s="29" t="s">
        <v>5909</v>
      </c>
      <c r="C3673" s="29" t="s">
        <v>20548</v>
      </c>
      <c r="D3673" s="29" t="s">
        <v>33762</v>
      </c>
      <c r="E3673" s="29" t="s">
        <v>46878</v>
      </c>
      <c r="F3673" s="36" t="s">
        <v>54401</v>
      </c>
      <c r="G3673" s="39">
        <f>1572849.98+211549</f>
        <v>1784398.98</v>
      </c>
      <c r="H3673" s="42">
        <v>211</v>
      </c>
    </row>
    <row r="3674" spans="1:8" ht="15" customHeight="1">
      <c r="A3674" s="26">
        <v>40035294</v>
      </c>
      <c r="B3674" s="29" t="s">
        <v>5910</v>
      </c>
      <c r="C3674" s="26" t="s">
        <v>20549</v>
      </c>
      <c r="D3674" s="26" t="s">
        <v>33763</v>
      </c>
      <c r="E3674" s="26" t="s">
        <v>46879</v>
      </c>
      <c r="F3674" s="37" t="s">
        <v>54401</v>
      </c>
      <c r="G3674" s="39">
        <v>1908350.86</v>
      </c>
      <c r="H3674" s="42">
        <v>211</v>
      </c>
    </row>
    <row r="3675" spans="1:8" ht="15" customHeight="1">
      <c r="A3675" s="26">
        <v>40035305</v>
      </c>
      <c r="B3675" s="29" t="s">
        <v>5911</v>
      </c>
      <c r="C3675" s="29" t="s">
        <v>17204</v>
      </c>
      <c r="D3675" s="29" t="s">
        <v>33764</v>
      </c>
      <c r="E3675" s="29" t="s">
        <v>43926</v>
      </c>
      <c r="F3675" s="36" t="s">
        <v>54401</v>
      </c>
      <c r="G3675" s="39">
        <v>185316.72</v>
      </c>
      <c r="H3675" s="42">
        <v>211</v>
      </c>
    </row>
    <row r="3676" spans="1:8" ht="15" customHeight="1">
      <c r="A3676" s="26">
        <v>40035475</v>
      </c>
      <c r="B3676" s="29" t="s">
        <v>5912</v>
      </c>
      <c r="C3676" s="29" t="s">
        <v>20550</v>
      </c>
      <c r="D3676" s="29" t="s">
        <v>33765</v>
      </c>
      <c r="E3676" s="29" t="s">
        <v>46880</v>
      </c>
      <c r="F3676" s="36" t="s">
        <v>54401</v>
      </c>
      <c r="G3676" s="39">
        <v>335127.87</v>
      </c>
      <c r="H3676" s="42">
        <v>211</v>
      </c>
    </row>
    <row r="3677" spans="1:8" ht="15" customHeight="1">
      <c r="A3677" s="26">
        <v>40035498</v>
      </c>
      <c r="B3677" s="29" t="s">
        <v>5913</v>
      </c>
      <c r="C3677" s="29" t="s">
        <v>20551</v>
      </c>
      <c r="D3677" s="29" t="s">
        <v>33766</v>
      </c>
      <c r="E3677" s="29" t="s">
        <v>46881</v>
      </c>
      <c r="F3677" s="36" t="s">
        <v>54401</v>
      </c>
      <c r="G3677" s="39">
        <v>101354.04</v>
      </c>
      <c r="H3677" s="42">
        <v>211</v>
      </c>
    </row>
    <row r="3678" spans="1:8" ht="15" customHeight="1">
      <c r="A3678" s="26">
        <v>40036120</v>
      </c>
      <c r="B3678" s="29" t="s">
        <v>5914</v>
      </c>
      <c r="C3678" s="29" t="s">
        <v>20552</v>
      </c>
      <c r="D3678" s="29" t="s">
        <v>33767</v>
      </c>
      <c r="E3678" s="29" t="s">
        <v>46882</v>
      </c>
      <c r="F3678" s="36" t="s">
        <v>54401</v>
      </c>
      <c r="G3678" s="39">
        <v>2314978.5</v>
      </c>
      <c r="H3678" s="42">
        <v>211</v>
      </c>
    </row>
    <row r="3679" spans="1:8" ht="15" customHeight="1">
      <c r="A3679" s="26">
        <v>40036861</v>
      </c>
      <c r="B3679" s="29" t="s">
        <v>5915</v>
      </c>
      <c r="C3679" s="29" t="s">
        <v>20553</v>
      </c>
      <c r="D3679" s="29" t="s">
        <v>33768</v>
      </c>
      <c r="E3679" s="29" t="s">
        <v>46883</v>
      </c>
      <c r="F3679" s="36" t="s">
        <v>54401</v>
      </c>
      <c r="G3679" s="39">
        <v>1377629.73</v>
      </c>
      <c r="H3679" s="42">
        <v>211</v>
      </c>
    </row>
    <row r="3680" spans="1:8" ht="15" customHeight="1">
      <c r="A3680" s="26">
        <v>40036870</v>
      </c>
      <c r="B3680" s="29" t="s">
        <v>5916</v>
      </c>
      <c r="C3680" s="29" t="s">
        <v>20554</v>
      </c>
      <c r="D3680" s="29" t="s">
        <v>33769</v>
      </c>
      <c r="E3680" s="29" t="s">
        <v>45375</v>
      </c>
      <c r="F3680" s="36" t="s">
        <v>54401</v>
      </c>
      <c r="G3680" s="39">
        <v>2126469.1</v>
      </c>
      <c r="H3680" s="42">
        <v>211</v>
      </c>
    </row>
    <row r="3681" spans="1:8" ht="15" customHeight="1">
      <c r="A3681" s="26">
        <v>40036871</v>
      </c>
      <c r="B3681" s="29" t="s">
        <v>5917</v>
      </c>
      <c r="C3681" s="29" t="s">
        <v>17204</v>
      </c>
      <c r="D3681" s="29" t="s">
        <v>30349</v>
      </c>
      <c r="E3681" s="29" t="s">
        <v>43926</v>
      </c>
      <c r="F3681" s="36" t="s">
        <v>54401</v>
      </c>
      <c r="G3681" s="39">
        <v>23696.29</v>
      </c>
      <c r="H3681" s="42">
        <v>211</v>
      </c>
    </row>
    <row r="3682" spans="1:8" ht="15" customHeight="1">
      <c r="A3682" s="26">
        <v>40037734</v>
      </c>
      <c r="B3682" s="29" t="s">
        <v>5918</v>
      </c>
      <c r="C3682" s="29" t="s">
        <v>20555</v>
      </c>
      <c r="D3682" s="29" t="s">
        <v>33770</v>
      </c>
      <c r="E3682" s="29" t="s">
        <v>46884</v>
      </c>
      <c r="F3682" s="36" t="s">
        <v>54401</v>
      </c>
      <c r="G3682" s="39">
        <v>236799.44</v>
      </c>
      <c r="H3682" s="42">
        <v>211</v>
      </c>
    </row>
    <row r="3683" spans="1:8" ht="15" customHeight="1">
      <c r="A3683" s="26">
        <v>40037804</v>
      </c>
      <c r="B3683" s="29" t="s">
        <v>5919</v>
      </c>
      <c r="C3683" s="29" t="s">
        <v>20556</v>
      </c>
      <c r="D3683" s="29" t="s">
        <v>33771</v>
      </c>
      <c r="E3683" s="29" t="s">
        <v>46885</v>
      </c>
      <c r="F3683" s="36" t="s">
        <v>54401</v>
      </c>
      <c r="G3683" s="39">
        <v>84026.84</v>
      </c>
      <c r="H3683" s="42">
        <v>211</v>
      </c>
    </row>
    <row r="3684" spans="1:8" ht="15" customHeight="1">
      <c r="A3684" s="26">
        <v>40038114</v>
      </c>
      <c r="B3684" s="29" t="s">
        <v>5920</v>
      </c>
      <c r="C3684" s="29" t="s">
        <v>20557</v>
      </c>
      <c r="D3684" s="29" t="s">
        <v>33772</v>
      </c>
      <c r="E3684" s="29" t="s">
        <v>46886</v>
      </c>
      <c r="F3684" s="36" t="s">
        <v>54401</v>
      </c>
      <c r="G3684" s="39">
        <v>118961.38</v>
      </c>
      <c r="H3684" s="42">
        <v>211</v>
      </c>
    </row>
    <row r="3685" spans="1:8" ht="15" customHeight="1">
      <c r="A3685" s="26">
        <v>40038232</v>
      </c>
      <c r="B3685" s="29" t="s">
        <v>5921</v>
      </c>
      <c r="C3685" s="29" t="s">
        <v>20558</v>
      </c>
      <c r="D3685" s="29" t="s">
        <v>33773</v>
      </c>
      <c r="E3685" s="29" t="s">
        <v>46887</v>
      </c>
      <c r="F3685" s="36" t="s">
        <v>54434</v>
      </c>
      <c r="G3685" s="39">
        <f>5095456.05-9495</f>
        <v>5085961.05</v>
      </c>
      <c r="H3685" s="42">
        <v>211</v>
      </c>
    </row>
    <row r="3686" spans="1:8" ht="15" customHeight="1">
      <c r="A3686" s="26">
        <v>40038277</v>
      </c>
      <c r="B3686" s="29" t="s">
        <v>5922</v>
      </c>
      <c r="C3686" s="29" t="s">
        <v>20559</v>
      </c>
      <c r="D3686" s="29" t="s">
        <v>33774</v>
      </c>
      <c r="E3686" s="29" t="s">
        <v>45254</v>
      </c>
      <c r="F3686" s="36" t="s">
        <v>54401</v>
      </c>
      <c r="G3686" s="39">
        <v>5113615.41</v>
      </c>
      <c r="H3686" s="42">
        <v>211</v>
      </c>
    </row>
    <row r="3687" spans="1:8" ht="15" customHeight="1">
      <c r="A3687" s="26">
        <v>40038382</v>
      </c>
      <c r="B3687" s="29" t="s">
        <v>5923</v>
      </c>
      <c r="C3687" s="29" t="s">
        <v>20560</v>
      </c>
      <c r="D3687" s="29" t="s">
        <v>33775</v>
      </c>
      <c r="E3687" s="29" t="s">
        <v>46888</v>
      </c>
      <c r="F3687" s="36" t="s">
        <v>54401</v>
      </c>
      <c r="G3687" s="39">
        <v>1307574.45</v>
      </c>
      <c r="H3687" s="42">
        <v>211</v>
      </c>
    </row>
    <row r="3688" spans="1:8" ht="15" customHeight="1">
      <c r="A3688" s="26">
        <v>40038507</v>
      </c>
      <c r="B3688" s="29" t="s">
        <v>5924</v>
      </c>
      <c r="C3688" s="29" t="s">
        <v>20561</v>
      </c>
      <c r="D3688" s="29" t="s">
        <v>33776</v>
      </c>
      <c r="E3688" s="29" t="s">
        <v>46889</v>
      </c>
      <c r="F3688" s="36" t="s">
        <v>54401</v>
      </c>
      <c r="G3688" s="39">
        <f>1882599.26+51284</f>
        <v>1933883.26</v>
      </c>
      <c r="H3688" s="42">
        <v>211</v>
      </c>
    </row>
    <row r="3689" spans="1:8" ht="15" customHeight="1">
      <c r="A3689" s="26">
        <v>40038731</v>
      </c>
      <c r="B3689" s="29" t="s">
        <v>5925</v>
      </c>
      <c r="C3689" s="29" t="s">
        <v>20562</v>
      </c>
      <c r="D3689" s="29" t="s">
        <v>33777</v>
      </c>
      <c r="E3689" s="29" t="s">
        <v>43969</v>
      </c>
      <c r="F3689" s="36" t="s">
        <v>54401</v>
      </c>
      <c r="G3689" s="39">
        <v>1181062.55</v>
      </c>
      <c r="H3689" s="42">
        <v>211</v>
      </c>
    </row>
    <row r="3690" spans="1:8" ht="15" customHeight="1">
      <c r="A3690" s="26">
        <v>40039284</v>
      </c>
      <c r="B3690" s="29" t="s">
        <v>5926</v>
      </c>
      <c r="C3690" s="29" t="s">
        <v>20563</v>
      </c>
      <c r="D3690" s="29" t="s">
        <v>33778</v>
      </c>
      <c r="E3690" s="29" t="s">
        <v>46890</v>
      </c>
      <c r="F3690" s="36" t="s">
        <v>54401</v>
      </c>
      <c r="G3690" s="39">
        <v>89189.23</v>
      </c>
      <c r="H3690" s="42">
        <v>211</v>
      </c>
    </row>
    <row r="3691" spans="1:8" ht="15" customHeight="1">
      <c r="A3691" s="26">
        <v>40039569</v>
      </c>
      <c r="B3691" s="29" t="s">
        <v>5927</v>
      </c>
      <c r="C3691" s="29" t="s">
        <v>20564</v>
      </c>
      <c r="D3691" s="29" t="s">
        <v>33779</v>
      </c>
      <c r="E3691" s="29" t="s">
        <v>44345</v>
      </c>
      <c r="F3691" s="36" t="s">
        <v>54401</v>
      </c>
      <c r="G3691" s="39">
        <v>976710.17</v>
      </c>
      <c r="H3691" s="42">
        <v>211</v>
      </c>
    </row>
    <row r="3692" spans="1:8" ht="15" customHeight="1">
      <c r="A3692" s="26">
        <v>40039919</v>
      </c>
      <c r="B3692" s="29" t="s">
        <v>5928</v>
      </c>
      <c r="C3692" s="29" t="s">
        <v>20565</v>
      </c>
      <c r="D3692" s="29" t="s">
        <v>33780</v>
      </c>
      <c r="E3692" s="29" t="s">
        <v>46891</v>
      </c>
      <c r="F3692" s="36" t="s">
        <v>54401</v>
      </c>
      <c r="G3692" s="39">
        <v>1753348.71</v>
      </c>
      <c r="H3692" s="42">
        <v>211</v>
      </c>
    </row>
    <row r="3693" spans="1:8" ht="15" customHeight="1">
      <c r="A3693" s="26">
        <v>40040558</v>
      </c>
      <c r="B3693" s="29" t="s">
        <v>5929</v>
      </c>
      <c r="C3693" s="29" t="s">
        <v>20566</v>
      </c>
      <c r="D3693" s="29" t="s">
        <v>33781</v>
      </c>
      <c r="E3693" s="29" t="s">
        <v>46892</v>
      </c>
      <c r="F3693" s="36" t="s">
        <v>54412</v>
      </c>
      <c r="G3693" s="39">
        <f>7322459.15-357917</f>
        <v>6964542.1500000004</v>
      </c>
      <c r="H3693" s="42">
        <v>211</v>
      </c>
    </row>
    <row r="3694" spans="1:8" ht="15" customHeight="1">
      <c r="A3694" s="26">
        <v>40040579</v>
      </c>
      <c r="B3694" s="29" t="s">
        <v>5930</v>
      </c>
      <c r="C3694" s="29" t="s">
        <v>20567</v>
      </c>
      <c r="D3694" s="29" t="s">
        <v>33782</v>
      </c>
      <c r="E3694" s="29" t="s">
        <v>46893</v>
      </c>
      <c r="F3694" s="36" t="s">
        <v>54406</v>
      </c>
      <c r="G3694" s="39">
        <v>2023804.98</v>
      </c>
      <c r="H3694" s="42">
        <v>211</v>
      </c>
    </row>
    <row r="3695" spans="1:8" ht="15" customHeight="1">
      <c r="A3695" s="26">
        <v>40040713</v>
      </c>
      <c r="B3695" s="29" t="s">
        <v>5931</v>
      </c>
      <c r="C3695" s="29" t="s">
        <v>20568</v>
      </c>
      <c r="D3695" s="29" t="s">
        <v>33783</v>
      </c>
      <c r="E3695" s="29" t="s">
        <v>43926</v>
      </c>
      <c r="F3695" s="36" t="s">
        <v>54401</v>
      </c>
      <c r="G3695" s="39">
        <v>8025.21</v>
      </c>
      <c r="H3695" s="42">
        <v>211</v>
      </c>
    </row>
    <row r="3696" spans="1:8" ht="15" customHeight="1">
      <c r="A3696" s="26">
        <v>40040738</v>
      </c>
      <c r="B3696" s="29" t="s">
        <v>5932</v>
      </c>
      <c r="C3696" s="29" t="s">
        <v>20569</v>
      </c>
      <c r="D3696" s="29" t="s">
        <v>33784</v>
      </c>
      <c r="E3696" s="29" t="s">
        <v>46894</v>
      </c>
      <c r="F3696" s="36" t="s">
        <v>54401</v>
      </c>
      <c r="G3696" s="39">
        <v>262598.51</v>
      </c>
      <c r="H3696" s="42">
        <v>211</v>
      </c>
    </row>
    <row r="3697" spans="1:8" ht="15" customHeight="1">
      <c r="A3697" s="26">
        <v>40040996</v>
      </c>
      <c r="B3697" s="29" t="s">
        <v>5933</v>
      </c>
      <c r="C3697" s="29" t="s">
        <v>20570</v>
      </c>
      <c r="D3697" s="29" t="s">
        <v>33785</v>
      </c>
      <c r="E3697" s="29" t="s">
        <v>46895</v>
      </c>
      <c r="F3697" s="36" t="s">
        <v>54401</v>
      </c>
      <c r="G3697" s="39">
        <v>171456.69</v>
      </c>
      <c r="H3697" s="42">
        <v>211</v>
      </c>
    </row>
    <row r="3698" spans="1:8" ht="15" customHeight="1">
      <c r="A3698" s="26">
        <v>40041062</v>
      </c>
      <c r="B3698" s="29" t="s">
        <v>5934</v>
      </c>
      <c r="C3698" s="29" t="s">
        <v>20571</v>
      </c>
      <c r="D3698" s="29" t="s">
        <v>33786</v>
      </c>
      <c r="E3698" s="29" t="s">
        <v>46896</v>
      </c>
      <c r="F3698" s="36" t="s">
        <v>54401</v>
      </c>
      <c r="G3698" s="39">
        <v>320677.99</v>
      </c>
      <c r="H3698" s="42">
        <v>211</v>
      </c>
    </row>
    <row r="3699" spans="1:8" ht="15" customHeight="1">
      <c r="A3699" s="26">
        <v>40041577</v>
      </c>
      <c r="B3699" s="29" t="s">
        <v>5935</v>
      </c>
      <c r="C3699" s="29" t="s">
        <v>20572</v>
      </c>
      <c r="D3699" s="29" t="s">
        <v>33787</v>
      </c>
      <c r="E3699" s="29" t="s">
        <v>44721</v>
      </c>
      <c r="F3699" s="36" t="s">
        <v>54401</v>
      </c>
      <c r="G3699" s="39">
        <v>395246.8</v>
      </c>
      <c r="H3699" s="42">
        <v>211</v>
      </c>
    </row>
    <row r="3700" spans="1:8" ht="15" customHeight="1">
      <c r="A3700" s="26">
        <v>40042092</v>
      </c>
      <c r="B3700" s="29" t="s">
        <v>5936</v>
      </c>
      <c r="C3700" s="29" t="s">
        <v>20573</v>
      </c>
      <c r="D3700" s="29" t="s">
        <v>33788</v>
      </c>
      <c r="E3700" s="29" t="s">
        <v>46897</v>
      </c>
      <c r="F3700" s="36" t="s">
        <v>54401</v>
      </c>
      <c r="G3700" s="39">
        <f>2257241.45+542452</f>
        <v>2799693.45</v>
      </c>
      <c r="H3700" s="42">
        <v>211</v>
      </c>
    </row>
    <row r="3701" spans="1:8" ht="15" customHeight="1">
      <c r="A3701" s="26">
        <v>40042205</v>
      </c>
      <c r="B3701" s="29" t="s">
        <v>5937</v>
      </c>
      <c r="C3701" s="26" t="s">
        <v>20574</v>
      </c>
      <c r="D3701" s="26" t="s">
        <v>33789</v>
      </c>
      <c r="E3701" s="26" t="s">
        <v>43926</v>
      </c>
      <c r="F3701" s="37" t="s">
        <v>54401</v>
      </c>
      <c r="G3701" s="39">
        <v>411031.79</v>
      </c>
      <c r="H3701" s="42">
        <v>211</v>
      </c>
    </row>
    <row r="3702" spans="1:8" ht="15" customHeight="1">
      <c r="A3702" s="26">
        <v>40042608</v>
      </c>
      <c r="B3702" s="29" t="s">
        <v>5938</v>
      </c>
      <c r="C3702" s="29" t="s">
        <v>20575</v>
      </c>
      <c r="D3702" s="29" t="s">
        <v>33790</v>
      </c>
      <c r="E3702" s="29" t="s">
        <v>46898</v>
      </c>
      <c r="F3702" s="36" t="s">
        <v>54401</v>
      </c>
      <c r="G3702" s="39">
        <v>149300.38</v>
      </c>
      <c r="H3702" s="42">
        <v>211</v>
      </c>
    </row>
    <row r="3703" spans="1:8" ht="15" customHeight="1">
      <c r="A3703" s="26">
        <v>40042947</v>
      </c>
      <c r="B3703" s="29" t="s">
        <v>5939</v>
      </c>
      <c r="C3703" s="26" t="s">
        <v>20576</v>
      </c>
      <c r="D3703" s="26" t="s">
        <v>33791</v>
      </c>
      <c r="E3703" s="26" t="s">
        <v>43926</v>
      </c>
      <c r="F3703" s="37" t="s">
        <v>54401</v>
      </c>
      <c r="G3703" s="39">
        <f>550633.26+1060813</f>
        <v>1611446.26</v>
      </c>
      <c r="H3703" s="42">
        <v>211</v>
      </c>
    </row>
    <row r="3704" spans="1:8" ht="15" customHeight="1">
      <c r="A3704" s="26">
        <v>40043018</v>
      </c>
      <c r="B3704" s="29" t="s">
        <v>5940</v>
      </c>
      <c r="C3704" s="29" t="s">
        <v>20577</v>
      </c>
      <c r="D3704" s="29" t="s">
        <v>33792</v>
      </c>
      <c r="E3704" s="29" t="s">
        <v>43926</v>
      </c>
      <c r="F3704" s="36" t="s">
        <v>54407</v>
      </c>
      <c r="G3704" s="39">
        <v>479497.04</v>
      </c>
      <c r="H3704" s="42">
        <v>211</v>
      </c>
    </row>
    <row r="3705" spans="1:8" ht="15" customHeight="1">
      <c r="A3705" s="26">
        <v>40043122</v>
      </c>
      <c r="B3705" s="29" t="s">
        <v>5941</v>
      </c>
      <c r="C3705" s="29" t="s">
        <v>20578</v>
      </c>
      <c r="D3705" s="29" t="s">
        <v>33793</v>
      </c>
      <c r="E3705" s="29" t="s">
        <v>46899</v>
      </c>
      <c r="F3705" s="36" t="s">
        <v>54401</v>
      </c>
      <c r="G3705" s="39">
        <f>1879374.25+611457+135130</f>
        <v>2625961.25</v>
      </c>
      <c r="H3705" s="42">
        <v>211</v>
      </c>
    </row>
    <row r="3706" spans="1:8" ht="15" customHeight="1">
      <c r="A3706" s="26">
        <v>40043209</v>
      </c>
      <c r="B3706" s="29" t="s">
        <v>5942</v>
      </c>
      <c r="C3706" s="29" t="s">
        <v>20579</v>
      </c>
      <c r="D3706" s="29" t="s">
        <v>33794</v>
      </c>
      <c r="E3706" s="29" t="s">
        <v>46900</v>
      </c>
      <c r="F3706" s="36" t="s">
        <v>54401</v>
      </c>
      <c r="G3706" s="39">
        <v>157828.57999999999</v>
      </c>
      <c r="H3706" s="42">
        <v>211</v>
      </c>
    </row>
    <row r="3707" spans="1:8" ht="15" customHeight="1">
      <c r="A3707" s="26">
        <v>40043265</v>
      </c>
      <c r="B3707" s="29" t="s">
        <v>5943</v>
      </c>
      <c r="C3707" s="29" t="s">
        <v>20580</v>
      </c>
      <c r="D3707" s="29" t="s">
        <v>33795</v>
      </c>
      <c r="E3707" s="29" t="s">
        <v>46901</v>
      </c>
      <c r="F3707" s="36" t="s">
        <v>54401</v>
      </c>
      <c r="G3707" s="39">
        <v>2394231.64</v>
      </c>
      <c r="H3707" s="42">
        <v>211</v>
      </c>
    </row>
    <row r="3708" spans="1:8" ht="15" customHeight="1">
      <c r="A3708" s="26">
        <v>40043406</v>
      </c>
      <c r="B3708" s="29" t="s">
        <v>5944</v>
      </c>
      <c r="C3708" s="29" t="s">
        <v>20581</v>
      </c>
      <c r="D3708" s="29" t="s">
        <v>33796</v>
      </c>
      <c r="E3708" s="29" t="s">
        <v>46902</v>
      </c>
      <c r="F3708" s="36" t="s">
        <v>54401</v>
      </c>
      <c r="G3708" s="39">
        <f>814880.15+411147</f>
        <v>1226027.1499999999</v>
      </c>
      <c r="H3708" s="42">
        <v>211</v>
      </c>
    </row>
    <row r="3709" spans="1:8" ht="15" customHeight="1">
      <c r="A3709" s="26">
        <v>40043421</v>
      </c>
      <c r="B3709" s="29" t="s">
        <v>5945</v>
      </c>
      <c r="C3709" s="29" t="s">
        <v>20582</v>
      </c>
      <c r="D3709" s="29" t="s">
        <v>33797</v>
      </c>
      <c r="E3709" s="29" t="s">
        <v>44251</v>
      </c>
      <c r="F3709" s="36" t="s">
        <v>54420</v>
      </c>
      <c r="G3709" s="39">
        <f>4317318.95+436254+5681649-13663</f>
        <v>10421558.949999999</v>
      </c>
      <c r="H3709" s="42">
        <v>211</v>
      </c>
    </row>
    <row r="3710" spans="1:8" ht="15" customHeight="1">
      <c r="A3710" s="26">
        <v>40044121</v>
      </c>
      <c r="B3710" s="29" t="s">
        <v>5946</v>
      </c>
      <c r="C3710" s="29" t="s">
        <v>17204</v>
      </c>
      <c r="D3710" s="29" t="s">
        <v>33798</v>
      </c>
      <c r="E3710" s="29" t="s">
        <v>43926</v>
      </c>
      <c r="F3710" s="36" t="s">
        <v>54401</v>
      </c>
      <c r="G3710" s="39">
        <v>117107.26</v>
      </c>
      <c r="H3710" s="42">
        <v>211</v>
      </c>
    </row>
    <row r="3711" spans="1:8" ht="15" customHeight="1">
      <c r="A3711" s="26">
        <v>40044131</v>
      </c>
      <c r="B3711" s="29" t="s">
        <v>5947</v>
      </c>
      <c r="C3711" s="29" t="s">
        <v>20583</v>
      </c>
      <c r="D3711" s="29" t="s">
        <v>33799</v>
      </c>
      <c r="E3711" s="29" t="s">
        <v>46903</v>
      </c>
      <c r="F3711" s="36" t="s">
        <v>54401</v>
      </c>
      <c r="G3711" s="39">
        <v>3342872.51</v>
      </c>
      <c r="H3711" s="42">
        <v>211</v>
      </c>
    </row>
    <row r="3712" spans="1:8" ht="15" customHeight="1">
      <c r="A3712" s="26">
        <v>40044617</v>
      </c>
      <c r="B3712" s="29" t="s">
        <v>5948</v>
      </c>
      <c r="C3712" s="26" t="s">
        <v>17204</v>
      </c>
      <c r="D3712" s="26" t="s">
        <v>30349</v>
      </c>
      <c r="E3712" s="26" t="s">
        <v>43926</v>
      </c>
      <c r="F3712" s="37" t="s">
        <v>54401</v>
      </c>
      <c r="G3712" s="39">
        <v>519152.13</v>
      </c>
      <c r="H3712" s="42">
        <v>211</v>
      </c>
    </row>
    <row r="3713" spans="1:8" ht="15" customHeight="1">
      <c r="A3713" s="26">
        <v>40045245</v>
      </c>
      <c r="B3713" s="29" t="s">
        <v>5949</v>
      </c>
      <c r="C3713" s="29" t="s">
        <v>20584</v>
      </c>
      <c r="D3713" s="29" t="s">
        <v>33800</v>
      </c>
      <c r="E3713" s="29" t="s">
        <v>46904</v>
      </c>
      <c r="F3713" s="36" t="s">
        <v>54401</v>
      </c>
      <c r="G3713" s="39">
        <v>35044.03</v>
      </c>
      <c r="H3713" s="42">
        <v>211</v>
      </c>
    </row>
    <row r="3714" spans="1:8" ht="15" customHeight="1">
      <c r="A3714" s="26">
        <v>40045282</v>
      </c>
      <c r="B3714" s="29" t="s">
        <v>5950</v>
      </c>
      <c r="C3714" s="29" t="s">
        <v>17204</v>
      </c>
      <c r="D3714" s="29" t="s">
        <v>30349</v>
      </c>
      <c r="E3714" s="29" t="s">
        <v>43926</v>
      </c>
      <c r="F3714" s="36" t="s">
        <v>54401</v>
      </c>
      <c r="G3714" s="39">
        <v>85275.18</v>
      </c>
      <c r="H3714" s="42">
        <v>211</v>
      </c>
    </row>
    <row r="3715" spans="1:8" ht="15" customHeight="1">
      <c r="A3715" s="26">
        <v>40045369</v>
      </c>
      <c r="B3715" s="29" t="s">
        <v>5951</v>
      </c>
      <c r="C3715" s="29" t="s">
        <v>20585</v>
      </c>
      <c r="D3715" s="29" t="s">
        <v>33801</v>
      </c>
      <c r="E3715" s="29" t="s">
        <v>46905</v>
      </c>
      <c r="F3715" s="36" t="s">
        <v>54401</v>
      </c>
      <c r="G3715" s="39">
        <f>3292339.82+96033+360746+15760780-499019</f>
        <v>19010879.82</v>
      </c>
      <c r="H3715" s="42">
        <v>211</v>
      </c>
    </row>
    <row r="3716" spans="1:8" ht="15" customHeight="1">
      <c r="A3716" s="26">
        <v>40045606</v>
      </c>
      <c r="B3716" s="29" t="s">
        <v>5952</v>
      </c>
      <c r="C3716" s="29" t="s">
        <v>20586</v>
      </c>
      <c r="D3716" s="29" t="s">
        <v>33802</v>
      </c>
      <c r="E3716" s="29" t="s">
        <v>46906</v>
      </c>
      <c r="F3716" s="36" t="s">
        <v>54401</v>
      </c>
      <c r="G3716" s="39">
        <v>42722.7</v>
      </c>
      <c r="H3716" s="42">
        <v>211</v>
      </c>
    </row>
    <row r="3717" spans="1:8" ht="15" customHeight="1">
      <c r="A3717" s="26">
        <v>40045913</v>
      </c>
      <c r="B3717" s="29" t="s">
        <v>5953</v>
      </c>
      <c r="C3717" s="29" t="s">
        <v>20587</v>
      </c>
      <c r="D3717" s="29" t="s">
        <v>33803</v>
      </c>
      <c r="E3717" s="29" t="s">
        <v>46907</v>
      </c>
      <c r="F3717" s="36" t="s">
        <v>54401</v>
      </c>
      <c r="G3717" s="39">
        <v>588850.32999999996</v>
      </c>
      <c r="H3717" s="42">
        <v>211</v>
      </c>
    </row>
    <row r="3718" spans="1:8" ht="15" customHeight="1">
      <c r="A3718" s="26">
        <v>40046065</v>
      </c>
      <c r="B3718" s="29" t="s">
        <v>5954</v>
      </c>
      <c r="C3718" s="29" t="s">
        <v>20588</v>
      </c>
      <c r="D3718" s="29" t="s">
        <v>33804</v>
      </c>
      <c r="E3718" s="29" t="s">
        <v>46908</v>
      </c>
      <c r="F3718" s="36" t="s">
        <v>54401</v>
      </c>
      <c r="G3718" s="39">
        <f>1957797.98+448720</f>
        <v>2406517.98</v>
      </c>
      <c r="H3718" s="42">
        <v>211</v>
      </c>
    </row>
    <row r="3719" spans="1:8" ht="15" customHeight="1">
      <c r="A3719" s="26">
        <v>40046337</v>
      </c>
      <c r="B3719" s="29" t="s">
        <v>5955</v>
      </c>
      <c r="C3719" s="26" t="s">
        <v>20589</v>
      </c>
      <c r="D3719" s="26" t="s">
        <v>33805</v>
      </c>
      <c r="E3719" s="26" t="s">
        <v>44459</v>
      </c>
      <c r="F3719" s="37" t="s">
        <v>54409</v>
      </c>
      <c r="G3719" s="39">
        <f>3524752.15+22000</f>
        <v>3546752.15</v>
      </c>
      <c r="H3719" s="42">
        <v>211</v>
      </c>
    </row>
    <row r="3720" spans="1:8" ht="15" customHeight="1">
      <c r="A3720" s="26">
        <v>40046745</v>
      </c>
      <c r="B3720" s="29" t="s">
        <v>5956</v>
      </c>
      <c r="C3720" s="29" t="s">
        <v>20590</v>
      </c>
      <c r="D3720" s="29" t="s">
        <v>33806</v>
      </c>
      <c r="E3720" s="29" t="s">
        <v>46909</v>
      </c>
      <c r="F3720" s="36" t="s">
        <v>54402</v>
      </c>
      <c r="G3720" s="39">
        <v>69389.8</v>
      </c>
      <c r="H3720" s="42">
        <v>211</v>
      </c>
    </row>
    <row r="3721" spans="1:8" ht="15" customHeight="1">
      <c r="A3721" s="26">
        <v>40047064</v>
      </c>
      <c r="B3721" s="29" t="s">
        <v>5957</v>
      </c>
      <c r="C3721" s="29" t="s">
        <v>20591</v>
      </c>
      <c r="D3721" s="29" t="s">
        <v>33807</v>
      </c>
      <c r="E3721" s="29" t="s">
        <v>43926</v>
      </c>
      <c r="F3721" s="36" t="s">
        <v>54401</v>
      </c>
      <c r="G3721" s="39">
        <v>2482357.35</v>
      </c>
      <c r="H3721" s="42">
        <v>211</v>
      </c>
    </row>
    <row r="3722" spans="1:8" ht="15" customHeight="1">
      <c r="A3722" s="26">
        <v>40047084</v>
      </c>
      <c r="B3722" s="29" t="s">
        <v>5958</v>
      </c>
      <c r="C3722" s="29" t="s">
        <v>20592</v>
      </c>
      <c r="D3722" s="29" t="s">
        <v>33808</v>
      </c>
      <c r="E3722" s="29" t="s">
        <v>46910</v>
      </c>
      <c r="F3722" s="36" t="s">
        <v>54401</v>
      </c>
      <c r="G3722" s="39">
        <v>406693.68</v>
      </c>
      <c r="H3722" s="42">
        <v>211</v>
      </c>
    </row>
    <row r="3723" spans="1:8" ht="15" customHeight="1">
      <c r="A3723" s="26">
        <v>40047258</v>
      </c>
      <c r="B3723" s="29" t="s">
        <v>5959</v>
      </c>
      <c r="C3723" s="29" t="s">
        <v>20593</v>
      </c>
      <c r="D3723" s="29" t="s">
        <v>33809</v>
      </c>
      <c r="E3723" s="29" t="s">
        <v>46911</v>
      </c>
      <c r="F3723" s="36" t="s">
        <v>54401</v>
      </c>
      <c r="G3723" s="39">
        <v>1193123.6599999999</v>
      </c>
      <c r="H3723" s="42">
        <v>211</v>
      </c>
    </row>
    <row r="3724" spans="1:8" ht="15" customHeight="1">
      <c r="A3724" s="26">
        <v>40047299</v>
      </c>
      <c r="B3724" s="29" t="s">
        <v>5960</v>
      </c>
      <c r="C3724" s="29" t="s">
        <v>20594</v>
      </c>
      <c r="D3724" s="29" t="s">
        <v>33810</v>
      </c>
      <c r="E3724" s="29" t="s">
        <v>46912</v>
      </c>
      <c r="F3724" s="36" t="s">
        <v>54401</v>
      </c>
      <c r="G3724" s="39">
        <v>1389307.86</v>
      </c>
      <c r="H3724" s="42">
        <v>211</v>
      </c>
    </row>
    <row r="3725" spans="1:8" ht="15" customHeight="1">
      <c r="A3725" s="26">
        <v>40047348</v>
      </c>
      <c r="B3725" s="29" t="s">
        <v>5961</v>
      </c>
      <c r="C3725" s="29" t="s">
        <v>20595</v>
      </c>
      <c r="D3725" s="29" t="s">
        <v>33811</v>
      </c>
      <c r="E3725" s="29" t="s">
        <v>46913</v>
      </c>
      <c r="F3725" s="36" t="s">
        <v>54401</v>
      </c>
      <c r="G3725" s="39">
        <v>305836.95</v>
      </c>
      <c r="H3725" s="42">
        <v>211</v>
      </c>
    </row>
    <row r="3726" spans="1:8" ht="15" customHeight="1">
      <c r="A3726" s="26">
        <v>40048525</v>
      </c>
      <c r="B3726" s="29" t="s">
        <v>5962</v>
      </c>
      <c r="C3726" s="26" t="s">
        <v>20596</v>
      </c>
      <c r="D3726" s="26" t="s">
        <v>33812</v>
      </c>
      <c r="E3726" s="26" t="s">
        <v>43926</v>
      </c>
      <c r="F3726" s="37" t="s">
        <v>54412</v>
      </c>
      <c r="G3726" s="39">
        <v>89286.27</v>
      </c>
      <c r="H3726" s="42">
        <v>211</v>
      </c>
    </row>
    <row r="3727" spans="1:8" ht="15" customHeight="1">
      <c r="A3727" s="26">
        <v>40048618</v>
      </c>
      <c r="B3727" s="29" t="s">
        <v>5963</v>
      </c>
      <c r="C3727" s="26" t="s">
        <v>20597</v>
      </c>
      <c r="D3727" s="26" t="s">
        <v>33813</v>
      </c>
      <c r="E3727" s="26" t="s">
        <v>43926</v>
      </c>
      <c r="F3727" s="37" t="s">
        <v>54401</v>
      </c>
      <c r="G3727" s="39">
        <v>45614.03</v>
      </c>
      <c r="H3727" s="42">
        <v>211</v>
      </c>
    </row>
    <row r="3728" spans="1:8" ht="15" customHeight="1">
      <c r="A3728" s="26">
        <v>40048632</v>
      </c>
      <c r="B3728" s="29" t="s">
        <v>5964</v>
      </c>
      <c r="C3728" s="29" t="s">
        <v>20598</v>
      </c>
      <c r="D3728" s="29" t="s">
        <v>33814</v>
      </c>
      <c r="E3728" s="29" t="s">
        <v>43926</v>
      </c>
      <c r="F3728" s="36" t="s">
        <v>54401</v>
      </c>
      <c r="G3728" s="39">
        <v>329097.90000000002</v>
      </c>
      <c r="H3728" s="42">
        <v>211</v>
      </c>
    </row>
    <row r="3729" spans="1:8" ht="15" customHeight="1">
      <c r="A3729" s="26">
        <v>40048736</v>
      </c>
      <c r="B3729" s="29" t="s">
        <v>5965</v>
      </c>
      <c r="C3729" s="29" t="s">
        <v>20599</v>
      </c>
      <c r="D3729" s="29" t="s">
        <v>33815</v>
      </c>
      <c r="E3729" s="29" t="s">
        <v>46914</v>
      </c>
      <c r="F3729" s="36" t="s">
        <v>54401</v>
      </c>
      <c r="G3729" s="39">
        <f>1781606.31+9377901-1041535</f>
        <v>10117972.310000001</v>
      </c>
      <c r="H3729" s="42">
        <v>211</v>
      </c>
    </row>
    <row r="3730" spans="1:8" ht="15" customHeight="1">
      <c r="A3730" s="26">
        <v>40048740</v>
      </c>
      <c r="B3730" s="29" t="s">
        <v>5966</v>
      </c>
      <c r="C3730" s="29" t="s">
        <v>20600</v>
      </c>
      <c r="D3730" s="29" t="s">
        <v>33816</v>
      </c>
      <c r="E3730" s="29" t="s">
        <v>46915</v>
      </c>
      <c r="F3730" s="36" t="s">
        <v>54401</v>
      </c>
      <c r="G3730" s="39">
        <v>1218473.5</v>
      </c>
      <c r="H3730" s="42">
        <v>211</v>
      </c>
    </row>
    <row r="3731" spans="1:8" ht="15" customHeight="1">
      <c r="A3731" s="26">
        <v>40048800</v>
      </c>
      <c r="B3731" s="29" t="s">
        <v>5967</v>
      </c>
      <c r="C3731" s="26" t="s">
        <v>17204</v>
      </c>
      <c r="D3731" s="26" t="s">
        <v>30349</v>
      </c>
      <c r="E3731" s="26" t="s">
        <v>43926</v>
      </c>
      <c r="F3731" s="37" t="s">
        <v>54401</v>
      </c>
      <c r="G3731" s="39">
        <v>131582.29</v>
      </c>
      <c r="H3731" s="42">
        <v>211</v>
      </c>
    </row>
    <row r="3732" spans="1:8" ht="15" customHeight="1">
      <c r="A3732" s="26">
        <v>40049005</v>
      </c>
      <c r="B3732" s="29" t="s">
        <v>5968</v>
      </c>
      <c r="C3732" s="29" t="s">
        <v>20601</v>
      </c>
      <c r="D3732" s="29" t="s">
        <v>33817</v>
      </c>
      <c r="E3732" s="29" t="s">
        <v>46916</v>
      </c>
      <c r="F3732" s="36" t="s">
        <v>54401</v>
      </c>
      <c r="G3732" s="39">
        <f>1060900.16+112891</f>
        <v>1173791.1599999999</v>
      </c>
      <c r="H3732" s="42">
        <v>211</v>
      </c>
    </row>
    <row r="3733" spans="1:8" ht="15" customHeight="1">
      <c r="A3733" s="26">
        <v>40049142</v>
      </c>
      <c r="B3733" s="29" t="s">
        <v>5969</v>
      </c>
      <c r="C3733" s="29" t="s">
        <v>20602</v>
      </c>
      <c r="D3733" s="29" t="s">
        <v>31169</v>
      </c>
      <c r="E3733" s="29" t="s">
        <v>46917</v>
      </c>
      <c r="F3733" s="36" t="s">
        <v>54401</v>
      </c>
      <c r="G3733" s="39">
        <f>1563937.22+525288</f>
        <v>2089225.22</v>
      </c>
      <c r="H3733" s="42">
        <v>211</v>
      </c>
    </row>
    <row r="3734" spans="1:8" ht="15" customHeight="1">
      <c r="A3734" s="26">
        <v>40049340</v>
      </c>
      <c r="B3734" s="29" t="s">
        <v>5970</v>
      </c>
      <c r="C3734" s="29" t="s">
        <v>20603</v>
      </c>
      <c r="D3734" s="29" t="s">
        <v>33818</v>
      </c>
      <c r="E3734" s="29" t="s">
        <v>46918</v>
      </c>
      <c r="F3734" s="36" t="s">
        <v>54401</v>
      </c>
      <c r="G3734" s="39">
        <f>946174.82+891352</f>
        <v>1837526.8199999998</v>
      </c>
      <c r="H3734" s="42">
        <v>211</v>
      </c>
    </row>
    <row r="3735" spans="1:8" ht="15" customHeight="1">
      <c r="A3735" s="26">
        <v>40049581</v>
      </c>
      <c r="B3735" s="29" t="s">
        <v>5971</v>
      </c>
      <c r="C3735" s="29" t="s">
        <v>17204</v>
      </c>
      <c r="D3735" s="29" t="s">
        <v>33819</v>
      </c>
      <c r="E3735" s="29" t="s">
        <v>43926</v>
      </c>
      <c r="F3735" s="36" t="s">
        <v>54401</v>
      </c>
      <c r="G3735" s="39">
        <v>14527.98</v>
      </c>
      <c r="H3735" s="42">
        <v>211</v>
      </c>
    </row>
    <row r="3736" spans="1:8" ht="15" customHeight="1">
      <c r="A3736" s="26">
        <v>40049589</v>
      </c>
      <c r="B3736" s="29" t="s">
        <v>5972</v>
      </c>
      <c r="C3736" s="29" t="s">
        <v>20604</v>
      </c>
      <c r="D3736" s="29" t="s">
        <v>33820</v>
      </c>
      <c r="E3736" s="29" t="s">
        <v>46919</v>
      </c>
      <c r="F3736" s="36" t="s">
        <v>54446</v>
      </c>
      <c r="G3736" s="39">
        <v>253121.7</v>
      </c>
      <c r="H3736" s="42">
        <v>211</v>
      </c>
    </row>
    <row r="3737" spans="1:8" ht="15" customHeight="1">
      <c r="A3737" s="26">
        <v>40049593</v>
      </c>
      <c r="B3737" s="29" t="s">
        <v>5973</v>
      </c>
      <c r="C3737" s="29" t="s">
        <v>20605</v>
      </c>
      <c r="D3737" s="29" t="s">
        <v>33821</v>
      </c>
      <c r="E3737" s="29" t="s">
        <v>44574</v>
      </c>
      <c r="F3737" s="36" t="s">
        <v>54401</v>
      </c>
      <c r="G3737" s="39">
        <f>1365667.68+260963</f>
        <v>1626630.68</v>
      </c>
      <c r="H3737" s="42">
        <v>211</v>
      </c>
    </row>
    <row r="3738" spans="1:8" ht="15" customHeight="1">
      <c r="A3738" s="26">
        <v>40049651</v>
      </c>
      <c r="B3738" s="29" t="s">
        <v>5974</v>
      </c>
      <c r="C3738" s="29" t="s">
        <v>20606</v>
      </c>
      <c r="D3738" s="29" t="s">
        <v>33822</v>
      </c>
      <c r="E3738" s="29" t="s">
        <v>46920</v>
      </c>
      <c r="F3738" s="36" t="s">
        <v>54401</v>
      </c>
      <c r="G3738" s="39">
        <v>945218.44</v>
      </c>
      <c r="H3738" s="42">
        <v>211</v>
      </c>
    </row>
    <row r="3739" spans="1:8" ht="15" customHeight="1">
      <c r="A3739" s="26">
        <v>40049995</v>
      </c>
      <c r="B3739" s="29" t="s">
        <v>5975</v>
      </c>
      <c r="C3739" s="26" t="s">
        <v>20607</v>
      </c>
      <c r="D3739" s="26" t="s">
        <v>33823</v>
      </c>
      <c r="E3739" s="26" t="s">
        <v>46921</v>
      </c>
      <c r="F3739" s="37" t="s">
        <v>54401</v>
      </c>
      <c r="G3739" s="39">
        <f>4673158.81+187913</f>
        <v>4861071.8099999996</v>
      </c>
      <c r="H3739" s="42">
        <v>211</v>
      </c>
    </row>
    <row r="3740" spans="1:8" ht="15" customHeight="1">
      <c r="A3740" s="26">
        <v>40050101</v>
      </c>
      <c r="B3740" s="29" t="s">
        <v>5976</v>
      </c>
      <c r="C3740" s="29" t="s">
        <v>20608</v>
      </c>
      <c r="D3740" s="29" t="s">
        <v>33824</v>
      </c>
      <c r="E3740" s="29" t="s">
        <v>46922</v>
      </c>
      <c r="F3740" s="36" t="s">
        <v>54401</v>
      </c>
      <c r="G3740" s="39">
        <v>229361.34</v>
      </c>
      <c r="H3740" s="42">
        <v>211</v>
      </c>
    </row>
    <row r="3741" spans="1:8" ht="15" customHeight="1">
      <c r="A3741" s="26">
        <v>40329684</v>
      </c>
      <c r="B3741" s="29" t="s">
        <v>5977</v>
      </c>
      <c r="C3741" s="29" t="s">
        <v>20609</v>
      </c>
      <c r="D3741" s="29" t="s">
        <v>33825</v>
      </c>
      <c r="E3741" s="29" t="s">
        <v>44313</v>
      </c>
      <c r="F3741" s="36" t="s">
        <v>54401</v>
      </c>
      <c r="G3741" s="39">
        <v>1998560.78</v>
      </c>
      <c r="H3741" s="42">
        <v>211</v>
      </c>
    </row>
    <row r="3742" spans="1:8" ht="15" customHeight="1">
      <c r="A3742" s="26">
        <v>40340119</v>
      </c>
      <c r="B3742" s="29" t="s">
        <v>5978</v>
      </c>
      <c r="C3742" s="29" t="s">
        <v>20610</v>
      </c>
      <c r="D3742" s="29" t="s">
        <v>33826</v>
      </c>
      <c r="E3742" s="29" t="s">
        <v>46923</v>
      </c>
      <c r="F3742" s="36" t="s">
        <v>54423</v>
      </c>
      <c r="G3742" s="39">
        <v>671668.48</v>
      </c>
      <c r="H3742" s="42">
        <v>211</v>
      </c>
    </row>
    <row r="3743" spans="1:8" ht="15" customHeight="1">
      <c r="A3743" s="26">
        <v>40340933</v>
      </c>
      <c r="B3743" s="29" t="s">
        <v>5979</v>
      </c>
      <c r="C3743" s="29" t="s">
        <v>17204</v>
      </c>
      <c r="D3743" s="29" t="s">
        <v>33827</v>
      </c>
      <c r="E3743" s="29" t="s">
        <v>43926</v>
      </c>
      <c r="F3743" s="36" t="s">
        <v>54401</v>
      </c>
      <c r="G3743" s="39">
        <v>363549.49</v>
      </c>
      <c r="H3743" s="42">
        <v>211</v>
      </c>
    </row>
    <row r="3744" spans="1:8" ht="15" customHeight="1">
      <c r="A3744" s="26">
        <v>40375202</v>
      </c>
      <c r="B3744" s="29" t="s">
        <v>5980</v>
      </c>
      <c r="C3744" s="29" t="s">
        <v>20611</v>
      </c>
      <c r="D3744" s="29" t="s">
        <v>33828</v>
      </c>
      <c r="E3744" s="29" t="s">
        <v>46924</v>
      </c>
      <c r="F3744" s="36" t="s">
        <v>54401</v>
      </c>
      <c r="G3744" s="39">
        <v>3885842.15</v>
      </c>
      <c r="H3744" s="42">
        <v>211</v>
      </c>
    </row>
    <row r="3745" spans="1:8" ht="15" customHeight="1">
      <c r="A3745" s="26">
        <v>40375890</v>
      </c>
      <c r="B3745" s="29" t="s">
        <v>5981</v>
      </c>
      <c r="C3745" s="29" t="s">
        <v>20612</v>
      </c>
      <c r="D3745" s="29" t="s">
        <v>33829</v>
      </c>
      <c r="E3745" s="29" t="s">
        <v>46925</v>
      </c>
      <c r="F3745" s="36" t="s">
        <v>54401</v>
      </c>
      <c r="G3745" s="39">
        <v>603609.52</v>
      </c>
      <c r="H3745" s="42">
        <v>211</v>
      </c>
    </row>
    <row r="3746" spans="1:8" ht="15" customHeight="1">
      <c r="A3746" s="26">
        <v>40389447</v>
      </c>
      <c r="B3746" s="29" t="s">
        <v>5982</v>
      </c>
      <c r="C3746" s="29" t="s">
        <v>20613</v>
      </c>
      <c r="D3746" s="29" t="s">
        <v>33830</v>
      </c>
      <c r="E3746" s="29" t="s">
        <v>46926</v>
      </c>
      <c r="F3746" s="36" t="s">
        <v>54447</v>
      </c>
      <c r="G3746" s="39">
        <v>297868.07</v>
      </c>
      <c r="H3746" s="42">
        <v>211</v>
      </c>
    </row>
    <row r="3747" spans="1:8" ht="15" customHeight="1">
      <c r="A3747" s="26">
        <v>40431899</v>
      </c>
      <c r="B3747" s="29" t="s">
        <v>5983</v>
      </c>
      <c r="C3747" s="29" t="s">
        <v>20614</v>
      </c>
      <c r="D3747" s="29" t="s">
        <v>33831</v>
      </c>
      <c r="E3747" s="29" t="s">
        <v>43926</v>
      </c>
      <c r="F3747" s="36" t="s">
        <v>54401</v>
      </c>
      <c r="G3747" s="39">
        <v>653190.88</v>
      </c>
      <c r="H3747" s="42">
        <v>211</v>
      </c>
    </row>
    <row r="3748" spans="1:8" ht="15" customHeight="1">
      <c r="A3748" s="26">
        <v>40758023</v>
      </c>
      <c r="B3748" s="29" t="s">
        <v>5984</v>
      </c>
      <c r="C3748" s="29" t="s">
        <v>20615</v>
      </c>
      <c r="D3748" s="29" t="s">
        <v>33832</v>
      </c>
      <c r="E3748" s="29" t="s">
        <v>45178</v>
      </c>
      <c r="F3748" s="36" t="s">
        <v>54401</v>
      </c>
      <c r="G3748" s="39">
        <v>991609.74</v>
      </c>
      <c r="H3748" s="42">
        <v>211</v>
      </c>
    </row>
    <row r="3749" spans="1:8" ht="15" customHeight="1">
      <c r="A3749" s="26">
        <v>40760164</v>
      </c>
      <c r="B3749" s="29" t="s">
        <v>5985</v>
      </c>
      <c r="C3749" s="29" t="s">
        <v>20616</v>
      </c>
      <c r="D3749" s="29" t="s">
        <v>33833</v>
      </c>
      <c r="E3749" s="29" t="s">
        <v>46927</v>
      </c>
      <c r="F3749" s="36" t="s">
        <v>54401</v>
      </c>
      <c r="G3749" s="39">
        <v>360869.44</v>
      </c>
      <c r="H3749" s="42">
        <v>211</v>
      </c>
    </row>
    <row r="3750" spans="1:8" ht="15" customHeight="1">
      <c r="A3750" s="26">
        <v>40839927</v>
      </c>
      <c r="B3750" s="29" t="s">
        <v>5986</v>
      </c>
      <c r="C3750" s="29" t="s">
        <v>20617</v>
      </c>
      <c r="D3750" s="29" t="s">
        <v>33834</v>
      </c>
      <c r="E3750" s="29" t="s">
        <v>46928</v>
      </c>
      <c r="F3750" s="36" t="s">
        <v>54401</v>
      </c>
      <c r="G3750" s="39">
        <v>43490.75</v>
      </c>
      <c r="H3750" s="42">
        <v>211</v>
      </c>
    </row>
    <row r="3751" spans="1:8" ht="15" customHeight="1">
      <c r="A3751" s="26">
        <v>41182013</v>
      </c>
      <c r="B3751" s="29" t="s">
        <v>5987</v>
      </c>
      <c r="C3751" s="29" t="s">
        <v>17204</v>
      </c>
      <c r="D3751" s="29" t="s">
        <v>30349</v>
      </c>
      <c r="E3751" s="29" t="s">
        <v>43926</v>
      </c>
      <c r="F3751" s="36" t="s">
        <v>54401</v>
      </c>
      <c r="G3751" s="39">
        <v>79168.759999999995</v>
      </c>
      <c r="H3751" s="42">
        <v>211</v>
      </c>
    </row>
    <row r="3752" spans="1:8" ht="15" customHeight="1">
      <c r="A3752" s="26">
        <v>41378950</v>
      </c>
      <c r="B3752" s="29" t="s">
        <v>5988</v>
      </c>
      <c r="C3752" s="29" t="s">
        <v>20618</v>
      </c>
      <c r="D3752" s="29" t="s">
        <v>33835</v>
      </c>
      <c r="E3752" s="29" t="s">
        <v>46929</v>
      </c>
      <c r="F3752" s="36" t="s">
        <v>54413</v>
      </c>
      <c r="G3752" s="39">
        <v>28435.759999999998</v>
      </c>
      <c r="H3752" s="42">
        <v>211</v>
      </c>
    </row>
    <row r="3753" spans="1:8" ht="15" customHeight="1">
      <c r="A3753" s="26">
        <v>41403437</v>
      </c>
      <c r="B3753" s="29" t="s">
        <v>5989</v>
      </c>
      <c r="C3753" s="29" t="s">
        <v>20619</v>
      </c>
      <c r="D3753" s="29" t="s">
        <v>33836</v>
      </c>
      <c r="E3753" s="29" t="s">
        <v>46930</v>
      </c>
      <c r="F3753" s="36" t="s">
        <v>54401</v>
      </c>
      <c r="G3753" s="39">
        <v>51159.24</v>
      </c>
      <c r="H3753" s="42">
        <v>211</v>
      </c>
    </row>
    <row r="3754" spans="1:8" ht="15" customHeight="1">
      <c r="A3754" s="26">
        <v>41438067</v>
      </c>
      <c r="B3754" s="29" t="s">
        <v>5990</v>
      </c>
      <c r="C3754" s="29" t="s">
        <v>20620</v>
      </c>
      <c r="D3754" s="29" t="s">
        <v>33837</v>
      </c>
      <c r="E3754" s="29" t="s">
        <v>46931</v>
      </c>
      <c r="F3754" s="36" t="s">
        <v>54401</v>
      </c>
      <c r="G3754" s="39">
        <v>395600.53</v>
      </c>
      <c r="H3754" s="42">
        <v>211</v>
      </c>
    </row>
    <row r="3755" spans="1:8" ht="15" customHeight="1">
      <c r="A3755" s="26">
        <v>41454229</v>
      </c>
      <c r="B3755" s="29" t="s">
        <v>5991</v>
      </c>
      <c r="C3755" s="29" t="s">
        <v>20621</v>
      </c>
      <c r="D3755" s="29" t="s">
        <v>33838</v>
      </c>
      <c r="E3755" s="29" t="s">
        <v>45564</v>
      </c>
      <c r="F3755" s="36" t="s">
        <v>54409</v>
      </c>
      <c r="G3755" s="39">
        <v>958003.39</v>
      </c>
      <c r="H3755" s="42">
        <v>211</v>
      </c>
    </row>
    <row r="3756" spans="1:8" ht="15" customHeight="1">
      <c r="A3756" s="26">
        <v>41499456</v>
      </c>
      <c r="B3756" s="29" t="s">
        <v>5992</v>
      </c>
      <c r="C3756" s="29" t="s">
        <v>20622</v>
      </c>
      <c r="D3756" s="29" t="s">
        <v>33839</v>
      </c>
      <c r="E3756" s="29" t="s">
        <v>46932</v>
      </c>
      <c r="F3756" s="36" t="s">
        <v>54401</v>
      </c>
      <c r="G3756" s="39">
        <v>5441320.9800000004</v>
      </c>
      <c r="H3756" s="42">
        <v>211</v>
      </c>
    </row>
    <row r="3757" spans="1:8" ht="15" customHeight="1">
      <c r="A3757" s="26">
        <v>41525250</v>
      </c>
      <c r="B3757" s="29" t="s">
        <v>5993</v>
      </c>
      <c r="C3757" s="29" t="s">
        <v>20623</v>
      </c>
      <c r="D3757" s="29" t="s">
        <v>33840</v>
      </c>
      <c r="E3757" s="29" t="s">
        <v>46933</v>
      </c>
      <c r="F3757" s="36" t="s">
        <v>54402</v>
      </c>
      <c r="G3757" s="39">
        <v>66359.67</v>
      </c>
      <c r="H3757" s="42">
        <v>211</v>
      </c>
    </row>
    <row r="3758" spans="1:8" ht="15" customHeight="1">
      <c r="A3758" s="26">
        <v>41537679</v>
      </c>
      <c r="B3758" s="29" t="s">
        <v>5994</v>
      </c>
      <c r="C3758" s="29" t="s">
        <v>20624</v>
      </c>
      <c r="D3758" s="29" t="s">
        <v>33841</v>
      </c>
      <c r="E3758" s="29" t="s">
        <v>45564</v>
      </c>
      <c r="F3758" s="36" t="s">
        <v>54409</v>
      </c>
      <c r="G3758" s="39">
        <v>101504.79</v>
      </c>
      <c r="H3758" s="42">
        <v>211</v>
      </c>
    </row>
    <row r="3759" spans="1:8" ht="15" customHeight="1">
      <c r="A3759" s="26">
        <v>41547953</v>
      </c>
      <c r="B3759" s="29" t="s">
        <v>5995</v>
      </c>
      <c r="C3759" s="29" t="s">
        <v>20625</v>
      </c>
      <c r="D3759" s="29" t="s">
        <v>33842</v>
      </c>
      <c r="E3759" s="29" t="s">
        <v>46934</v>
      </c>
      <c r="F3759" s="36" t="s">
        <v>54401</v>
      </c>
      <c r="G3759" s="39">
        <v>73843.05</v>
      </c>
      <c r="H3759" s="42">
        <v>211</v>
      </c>
    </row>
    <row r="3760" spans="1:8" ht="15" customHeight="1">
      <c r="A3760" s="26">
        <v>41555949</v>
      </c>
      <c r="B3760" s="29" t="s">
        <v>5996</v>
      </c>
      <c r="C3760" s="29" t="s">
        <v>20626</v>
      </c>
      <c r="D3760" s="29" t="s">
        <v>33843</v>
      </c>
      <c r="E3760" s="29" t="s">
        <v>46935</v>
      </c>
      <c r="F3760" s="36" t="s">
        <v>54401</v>
      </c>
      <c r="G3760" s="39">
        <v>81032.350000000006</v>
      </c>
      <c r="H3760" s="42">
        <v>211</v>
      </c>
    </row>
    <row r="3761" spans="1:8" ht="15" customHeight="1">
      <c r="A3761" s="26">
        <v>41566653</v>
      </c>
      <c r="B3761" s="29" t="s">
        <v>5997</v>
      </c>
      <c r="C3761" s="29" t="s">
        <v>20627</v>
      </c>
      <c r="D3761" s="29" t="s">
        <v>30376</v>
      </c>
      <c r="E3761" s="29" t="s">
        <v>46936</v>
      </c>
      <c r="F3761" s="36" t="s">
        <v>54401</v>
      </c>
      <c r="G3761" s="39">
        <v>123971.6</v>
      </c>
      <c r="H3761" s="42">
        <v>211</v>
      </c>
    </row>
    <row r="3762" spans="1:8" ht="15" customHeight="1">
      <c r="A3762" s="26">
        <v>41595859</v>
      </c>
      <c r="B3762" s="29" t="s">
        <v>5998</v>
      </c>
      <c r="C3762" s="29" t="s">
        <v>17204</v>
      </c>
      <c r="D3762" s="29" t="s">
        <v>33844</v>
      </c>
      <c r="E3762" s="29" t="s">
        <v>43926</v>
      </c>
      <c r="F3762" s="36" t="s">
        <v>54401</v>
      </c>
      <c r="G3762" s="39">
        <v>158732.85999999999</v>
      </c>
      <c r="H3762" s="42">
        <v>211</v>
      </c>
    </row>
    <row r="3763" spans="1:8" ht="15" customHeight="1">
      <c r="A3763" s="26">
        <v>41605862</v>
      </c>
      <c r="B3763" s="29" t="s">
        <v>5999</v>
      </c>
      <c r="C3763" s="29" t="s">
        <v>20628</v>
      </c>
      <c r="D3763" s="29" t="s">
        <v>33845</v>
      </c>
      <c r="E3763" s="29" t="s">
        <v>46937</v>
      </c>
      <c r="F3763" s="36" t="s">
        <v>54409</v>
      </c>
      <c r="G3763" s="39">
        <v>141099.17000000001</v>
      </c>
      <c r="H3763" s="42">
        <v>211</v>
      </c>
    </row>
    <row r="3764" spans="1:8" ht="15" customHeight="1">
      <c r="A3764" s="26">
        <v>41611063</v>
      </c>
      <c r="B3764" s="29" t="s">
        <v>6000</v>
      </c>
      <c r="C3764" s="29" t="s">
        <v>20629</v>
      </c>
      <c r="D3764" s="29" t="s">
        <v>33846</v>
      </c>
      <c r="E3764" s="29" t="s">
        <v>46938</v>
      </c>
      <c r="F3764" s="36" t="s">
        <v>54402</v>
      </c>
      <c r="G3764" s="39">
        <v>15403.36</v>
      </c>
      <c r="H3764" s="42">
        <v>211</v>
      </c>
    </row>
    <row r="3765" spans="1:8" ht="15" customHeight="1">
      <c r="A3765" s="26">
        <v>41614944</v>
      </c>
      <c r="B3765" s="29" t="s">
        <v>6001</v>
      </c>
      <c r="C3765" s="29" t="s">
        <v>20630</v>
      </c>
      <c r="D3765" s="29" t="s">
        <v>33847</v>
      </c>
      <c r="E3765" s="29" t="s">
        <v>46939</v>
      </c>
      <c r="F3765" s="36" t="s">
        <v>54401</v>
      </c>
      <c r="G3765" s="39">
        <f>364020.74+5906702-38621</f>
        <v>6232101.7400000002</v>
      </c>
      <c r="H3765" s="42">
        <v>211</v>
      </c>
    </row>
    <row r="3766" spans="1:8" ht="15" customHeight="1">
      <c r="A3766" s="26">
        <v>41618581</v>
      </c>
      <c r="B3766" s="29" t="s">
        <v>6002</v>
      </c>
      <c r="C3766" s="29" t="s">
        <v>20631</v>
      </c>
      <c r="D3766" s="29" t="s">
        <v>33848</v>
      </c>
      <c r="E3766" s="29" t="s">
        <v>46338</v>
      </c>
      <c r="F3766" s="36" t="s">
        <v>54401</v>
      </c>
      <c r="G3766" s="39">
        <v>63934.26</v>
      </c>
      <c r="H3766" s="42">
        <v>211</v>
      </c>
    </row>
    <row r="3767" spans="1:8" ht="15" customHeight="1">
      <c r="A3767" s="26">
        <v>41634544</v>
      </c>
      <c r="B3767" s="29" t="s">
        <v>6003</v>
      </c>
      <c r="C3767" s="29" t="s">
        <v>20632</v>
      </c>
      <c r="D3767" s="29" t="s">
        <v>33849</v>
      </c>
      <c r="E3767" s="29" t="s">
        <v>46940</v>
      </c>
      <c r="F3767" s="36" t="s">
        <v>54401</v>
      </c>
      <c r="G3767" s="39">
        <v>48680.68</v>
      </c>
      <c r="H3767" s="42">
        <v>211</v>
      </c>
    </row>
    <row r="3768" spans="1:8" ht="15" customHeight="1">
      <c r="A3768" s="26">
        <v>41635663</v>
      </c>
      <c r="B3768" s="29" t="s">
        <v>6004</v>
      </c>
      <c r="C3768" s="29" t="s">
        <v>20633</v>
      </c>
      <c r="D3768" s="29" t="s">
        <v>33850</v>
      </c>
      <c r="E3768" s="29" t="s">
        <v>46941</v>
      </c>
      <c r="F3768" s="36" t="s">
        <v>54401</v>
      </c>
      <c r="G3768" s="39">
        <v>82111.53</v>
      </c>
      <c r="H3768" s="42">
        <v>211</v>
      </c>
    </row>
    <row r="3769" spans="1:8" ht="15" customHeight="1">
      <c r="A3769" s="26">
        <v>41636468</v>
      </c>
      <c r="B3769" s="29" t="s">
        <v>6005</v>
      </c>
      <c r="C3769" s="29" t="s">
        <v>17204</v>
      </c>
      <c r="D3769" s="29" t="s">
        <v>33851</v>
      </c>
      <c r="E3769" s="29" t="s">
        <v>43926</v>
      </c>
      <c r="F3769" s="36" t="s">
        <v>54401</v>
      </c>
      <c r="G3769" s="39">
        <v>156333.79999999999</v>
      </c>
      <c r="H3769" s="42">
        <v>211</v>
      </c>
    </row>
    <row r="3770" spans="1:8" ht="15" customHeight="1">
      <c r="A3770" s="26">
        <v>41657384</v>
      </c>
      <c r="B3770" s="29" t="s">
        <v>6006</v>
      </c>
      <c r="C3770" s="29" t="s">
        <v>20634</v>
      </c>
      <c r="D3770" s="29" t="s">
        <v>33852</v>
      </c>
      <c r="E3770" s="29" t="s">
        <v>46942</v>
      </c>
      <c r="F3770" s="36" t="s">
        <v>54431</v>
      </c>
      <c r="G3770" s="39">
        <v>104331.3</v>
      </c>
      <c r="H3770" s="42">
        <v>211</v>
      </c>
    </row>
    <row r="3771" spans="1:8" ht="15" customHeight="1">
      <c r="A3771" s="26">
        <v>41677022</v>
      </c>
      <c r="B3771" s="29" t="s">
        <v>6007</v>
      </c>
      <c r="C3771" s="29" t="s">
        <v>17204</v>
      </c>
      <c r="D3771" s="29" t="s">
        <v>33853</v>
      </c>
      <c r="E3771" s="29" t="s">
        <v>43926</v>
      </c>
      <c r="F3771" s="36" t="s">
        <v>54401</v>
      </c>
      <c r="G3771" s="39">
        <v>61548.19</v>
      </c>
      <c r="H3771" s="42">
        <v>211</v>
      </c>
    </row>
    <row r="3772" spans="1:8" ht="15" customHeight="1">
      <c r="A3772" s="26">
        <v>41690397</v>
      </c>
      <c r="B3772" s="29" t="s">
        <v>6008</v>
      </c>
      <c r="C3772" s="29" t="s">
        <v>20635</v>
      </c>
      <c r="D3772" s="29" t="s">
        <v>33854</v>
      </c>
      <c r="E3772" s="29" t="s">
        <v>46943</v>
      </c>
      <c r="F3772" s="36" t="s">
        <v>54401</v>
      </c>
      <c r="G3772" s="39">
        <v>692683.84</v>
      </c>
      <c r="H3772" s="42">
        <v>211</v>
      </c>
    </row>
    <row r="3773" spans="1:8" ht="15" customHeight="1">
      <c r="A3773" s="26">
        <v>41693176</v>
      </c>
      <c r="B3773" s="29" t="s">
        <v>6009</v>
      </c>
      <c r="C3773" s="29" t="s">
        <v>17204</v>
      </c>
      <c r="D3773" s="29" t="s">
        <v>33855</v>
      </c>
      <c r="E3773" s="29" t="s">
        <v>43926</v>
      </c>
      <c r="F3773" s="36" t="s">
        <v>54401</v>
      </c>
      <c r="G3773" s="39">
        <v>89344.38</v>
      </c>
      <c r="H3773" s="42">
        <v>211</v>
      </c>
    </row>
    <row r="3774" spans="1:8" ht="15" customHeight="1">
      <c r="A3774" s="26">
        <v>41698384</v>
      </c>
      <c r="B3774" s="29" t="s">
        <v>6010</v>
      </c>
      <c r="C3774" s="26" t="s">
        <v>20636</v>
      </c>
      <c r="D3774" s="26" t="s">
        <v>33856</v>
      </c>
      <c r="E3774" s="26" t="s">
        <v>43926</v>
      </c>
      <c r="F3774" s="37" t="s">
        <v>54401</v>
      </c>
      <c r="G3774" s="39">
        <v>92087.52</v>
      </c>
      <c r="H3774" s="42">
        <v>211</v>
      </c>
    </row>
    <row r="3775" spans="1:8" ht="15" customHeight="1">
      <c r="A3775" s="26">
        <v>41704748</v>
      </c>
      <c r="B3775" s="29" t="s">
        <v>6011</v>
      </c>
      <c r="C3775" s="29" t="s">
        <v>20637</v>
      </c>
      <c r="D3775" s="29" t="s">
        <v>33857</v>
      </c>
      <c r="E3775" s="29" t="s">
        <v>43926</v>
      </c>
      <c r="F3775" s="36" t="s">
        <v>54401</v>
      </c>
      <c r="G3775" s="39">
        <v>135753.04</v>
      </c>
      <c r="H3775" s="42">
        <v>211</v>
      </c>
    </row>
    <row r="3776" spans="1:8" ht="15" customHeight="1">
      <c r="A3776" s="26">
        <v>41709301</v>
      </c>
      <c r="B3776" s="29" t="s">
        <v>6012</v>
      </c>
      <c r="C3776" s="29" t="s">
        <v>20638</v>
      </c>
      <c r="D3776" s="29" t="s">
        <v>33858</v>
      </c>
      <c r="E3776" s="29" t="s">
        <v>46944</v>
      </c>
      <c r="F3776" s="36" t="s">
        <v>54401</v>
      </c>
      <c r="G3776" s="39">
        <v>924568.87</v>
      </c>
      <c r="H3776" s="42">
        <v>211</v>
      </c>
    </row>
    <row r="3777" spans="1:8" ht="15" customHeight="1">
      <c r="A3777" s="26">
        <v>41710809</v>
      </c>
      <c r="B3777" s="29" t="s">
        <v>6013</v>
      </c>
      <c r="C3777" s="29" t="s">
        <v>20639</v>
      </c>
      <c r="D3777" s="29" t="s">
        <v>33859</v>
      </c>
      <c r="E3777" s="29" t="s">
        <v>46945</v>
      </c>
      <c r="F3777" s="36" t="s">
        <v>54401</v>
      </c>
      <c r="G3777" s="39">
        <v>198739.87</v>
      </c>
      <c r="H3777" s="42">
        <v>211</v>
      </c>
    </row>
    <row r="3778" spans="1:8" ht="15" customHeight="1">
      <c r="A3778" s="26">
        <v>41725334</v>
      </c>
      <c r="B3778" s="29" t="s">
        <v>6014</v>
      </c>
      <c r="C3778" s="29" t="s">
        <v>20640</v>
      </c>
      <c r="D3778" s="29" t="s">
        <v>33860</v>
      </c>
      <c r="E3778" s="29" t="s">
        <v>46946</v>
      </c>
      <c r="F3778" s="36" t="s">
        <v>54401</v>
      </c>
      <c r="G3778" s="39">
        <v>1968722.43</v>
      </c>
      <c r="H3778" s="42">
        <v>211</v>
      </c>
    </row>
    <row r="3779" spans="1:8" ht="15" customHeight="1">
      <c r="A3779" s="26">
        <v>41746406</v>
      </c>
      <c r="B3779" s="29" t="s">
        <v>6015</v>
      </c>
      <c r="C3779" s="29" t="s">
        <v>20641</v>
      </c>
      <c r="D3779" s="29" t="s">
        <v>33861</v>
      </c>
      <c r="E3779" s="29" t="s">
        <v>46947</v>
      </c>
      <c r="F3779" s="36" t="s">
        <v>54401</v>
      </c>
      <c r="G3779" s="39">
        <v>79096.539999999994</v>
      </c>
      <c r="H3779" s="42">
        <v>211</v>
      </c>
    </row>
    <row r="3780" spans="1:8" ht="15" customHeight="1">
      <c r="A3780" s="26">
        <v>41750692</v>
      </c>
      <c r="B3780" s="29" t="s">
        <v>6016</v>
      </c>
      <c r="C3780" s="29" t="s">
        <v>17204</v>
      </c>
      <c r="D3780" s="29" t="s">
        <v>33862</v>
      </c>
      <c r="E3780" s="29" t="s">
        <v>43926</v>
      </c>
      <c r="F3780" s="36" t="s">
        <v>54401</v>
      </c>
      <c r="G3780" s="39">
        <v>549326.34</v>
      </c>
      <c r="H3780" s="42">
        <v>211</v>
      </c>
    </row>
    <row r="3781" spans="1:8" ht="15" customHeight="1">
      <c r="A3781" s="26">
        <v>41754295</v>
      </c>
      <c r="B3781" s="29" t="s">
        <v>6017</v>
      </c>
      <c r="C3781" s="29" t="s">
        <v>20642</v>
      </c>
      <c r="D3781" s="29" t="s">
        <v>33863</v>
      </c>
      <c r="E3781" s="29" t="s">
        <v>46948</v>
      </c>
      <c r="F3781" s="36" t="s">
        <v>54401</v>
      </c>
      <c r="G3781" s="39">
        <v>1510291.31</v>
      </c>
      <c r="H3781" s="42">
        <v>211</v>
      </c>
    </row>
    <row r="3782" spans="1:8" ht="15" customHeight="1">
      <c r="A3782" s="26">
        <v>41755651</v>
      </c>
      <c r="B3782" s="29" t="s">
        <v>6018</v>
      </c>
      <c r="C3782" s="29" t="s">
        <v>20643</v>
      </c>
      <c r="D3782" s="29" t="s">
        <v>33864</v>
      </c>
      <c r="E3782" s="29" t="s">
        <v>46949</v>
      </c>
      <c r="F3782" s="36" t="s">
        <v>54401</v>
      </c>
      <c r="G3782" s="39">
        <v>1998346.18</v>
      </c>
      <c r="H3782" s="42">
        <v>211</v>
      </c>
    </row>
    <row r="3783" spans="1:8" ht="15" customHeight="1">
      <c r="A3783" s="26">
        <v>41775165</v>
      </c>
      <c r="B3783" s="29" t="s">
        <v>6019</v>
      </c>
      <c r="C3783" s="29" t="s">
        <v>20644</v>
      </c>
      <c r="D3783" s="29" t="s">
        <v>33865</v>
      </c>
      <c r="E3783" s="29" t="s">
        <v>46950</v>
      </c>
      <c r="F3783" s="36" t="s">
        <v>54401</v>
      </c>
      <c r="G3783" s="39">
        <f>5019639.69+348082</f>
        <v>5367721.6900000004</v>
      </c>
      <c r="H3783" s="42">
        <v>211</v>
      </c>
    </row>
    <row r="3784" spans="1:8" ht="15" customHeight="1">
      <c r="A3784" s="26">
        <v>41783363</v>
      </c>
      <c r="B3784" s="29" t="s">
        <v>6020</v>
      </c>
      <c r="C3784" s="29" t="s">
        <v>20645</v>
      </c>
      <c r="D3784" s="29" t="s">
        <v>33866</v>
      </c>
      <c r="E3784" s="29" t="s">
        <v>46951</v>
      </c>
      <c r="F3784" s="36" t="s">
        <v>54401</v>
      </c>
      <c r="G3784" s="39">
        <v>20899.16</v>
      </c>
      <c r="H3784" s="42">
        <v>211</v>
      </c>
    </row>
    <row r="3785" spans="1:8" ht="15" customHeight="1">
      <c r="A3785" s="26">
        <v>41886688</v>
      </c>
      <c r="B3785" s="29" t="s">
        <v>6021</v>
      </c>
      <c r="C3785" s="29" t="s">
        <v>20646</v>
      </c>
      <c r="D3785" s="29" t="s">
        <v>33867</v>
      </c>
      <c r="E3785" s="29" t="s">
        <v>46385</v>
      </c>
      <c r="F3785" s="36" t="s">
        <v>54401</v>
      </c>
      <c r="G3785" s="39">
        <f>6622049.28-316097</f>
        <v>6305952.2800000003</v>
      </c>
      <c r="H3785" s="42">
        <v>211</v>
      </c>
    </row>
    <row r="3786" spans="1:8" ht="15" customHeight="1">
      <c r="A3786" s="26">
        <v>42056550</v>
      </c>
      <c r="B3786" s="29" t="s">
        <v>6022</v>
      </c>
      <c r="C3786" s="29" t="s">
        <v>20647</v>
      </c>
      <c r="D3786" s="29" t="s">
        <v>33868</v>
      </c>
      <c r="E3786" s="29" t="s">
        <v>717</v>
      </c>
      <c r="F3786" s="36" t="s">
        <v>54401</v>
      </c>
      <c r="G3786" s="39">
        <f>1586418.89+89365</f>
        <v>1675783.89</v>
      </c>
      <c r="H3786" s="42">
        <v>211</v>
      </c>
    </row>
    <row r="3787" spans="1:8" ht="15" customHeight="1">
      <c r="A3787" s="26">
        <v>42090189</v>
      </c>
      <c r="B3787" s="29" t="s">
        <v>6023</v>
      </c>
      <c r="C3787" s="29" t="s">
        <v>20648</v>
      </c>
      <c r="D3787" s="29" t="s">
        <v>33869</v>
      </c>
      <c r="E3787" s="29" t="s">
        <v>46952</v>
      </c>
      <c r="F3787" s="36" t="s">
        <v>54401</v>
      </c>
      <c r="G3787" s="39">
        <f>2746701.54+1176732</f>
        <v>3923433.54</v>
      </c>
      <c r="H3787" s="42">
        <v>211</v>
      </c>
    </row>
    <row r="3788" spans="1:8" ht="15" customHeight="1">
      <c r="A3788" s="26">
        <v>42161785</v>
      </c>
      <c r="B3788" s="29" t="s">
        <v>6024</v>
      </c>
      <c r="C3788" s="29" t="s">
        <v>20649</v>
      </c>
      <c r="D3788" s="29" t="s">
        <v>33870</v>
      </c>
      <c r="E3788" s="29" t="s">
        <v>46953</v>
      </c>
      <c r="F3788" s="36" t="s">
        <v>54414</v>
      </c>
      <c r="G3788" s="39">
        <v>79273.86</v>
      </c>
      <c r="H3788" s="42">
        <v>211</v>
      </c>
    </row>
    <row r="3789" spans="1:8" ht="15" customHeight="1">
      <c r="A3789" s="26">
        <v>43542741</v>
      </c>
      <c r="B3789" s="29" t="s">
        <v>6025</v>
      </c>
      <c r="C3789" s="29" t="s">
        <v>20650</v>
      </c>
      <c r="D3789" s="29" t="s">
        <v>33871</v>
      </c>
      <c r="E3789" s="29" t="s">
        <v>46954</v>
      </c>
      <c r="F3789" s="36" t="s">
        <v>54401</v>
      </c>
      <c r="G3789" s="39">
        <v>2469607.38</v>
      </c>
      <c r="H3789" s="42">
        <v>211</v>
      </c>
    </row>
    <row r="3790" spans="1:8" ht="15" customHeight="1">
      <c r="A3790" s="26">
        <v>43864638</v>
      </c>
      <c r="B3790" s="29" t="s">
        <v>6026</v>
      </c>
      <c r="C3790" s="29" t="s">
        <v>17204</v>
      </c>
      <c r="D3790" s="29" t="s">
        <v>33872</v>
      </c>
      <c r="E3790" s="29" t="s">
        <v>46955</v>
      </c>
      <c r="F3790" s="36" t="s">
        <v>54412</v>
      </c>
      <c r="G3790" s="39">
        <v>160119.19</v>
      </c>
      <c r="H3790" s="42">
        <v>211</v>
      </c>
    </row>
    <row r="3791" spans="1:8" ht="15" customHeight="1">
      <c r="A3791" s="26">
        <v>44150980</v>
      </c>
      <c r="B3791" s="29" t="s">
        <v>6027</v>
      </c>
      <c r="C3791" s="29" t="s">
        <v>20651</v>
      </c>
      <c r="D3791" s="29" t="s">
        <v>33873</v>
      </c>
      <c r="E3791" s="29" t="s">
        <v>46956</v>
      </c>
      <c r="F3791" s="36" t="s">
        <v>54401</v>
      </c>
      <c r="G3791" s="39">
        <v>736874.31</v>
      </c>
      <c r="H3791" s="42">
        <v>211</v>
      </c>
    </row>
    <row r="3792" spans="1:8" ht="15" customHeight="1">
      <c r="A3792" s="26">
        <v>44159719</v>
      </c>
      <c r="B3792" s="29" t="s">
        <v>6028</v>
      </c>
      <c r="C3792" s="29" t="s">
        <v>20652</v>
      </c>
      <c r="D3792" s="29" t="s">
        <v>33874</v>
      </c>
      <c r="E3792" s="29" t="s">
        <v>46957</v>
      </c>
      <c r="F3792" s="36" t="s">
        <v>54401</v>
      </c>
      <c r="G3792" s="39">
        <v>152115.1</v>
      </c>
      <c r="H3792" s="42">
        <v>211</v>
      </c>
    </row>
    <row r="3793" spans="1:8" ht="15" customHeight="1">
      <c r="A3793" s="26">
        <v>45444627</v>
      </c>
      <c r="B3793" s="29" t="s">
        <v>6029</v>
      </c>
      <c r="C3793" s="29" t="s">
        <v>20653</v>
      </c>
      <c r="D3793" s="29" t="s">
        <v>33875</v>
      </c>
      <c r="E3793" s="29" t="s">
        <v>46958</v>
      </c>
      <c r="F3793" s="36" t="s">
        <v>54401</v>
      </c>
      <c r="G3793" s="39">
        <f>3337994.47-60000</f>
        <v>3277994.47</v>
      </c>
      <c r="H3793" s="42">
        <v>211</v>
      </c>
    </row>
    <row r="3794" spans="1:8" ht="15" customHeight="1">
      <c r="A3794" s="26">
        <v>45524150</v>
      </c>
      <c r="B3794" s="29" t="s">
        <v>6030</v>
      </c>
      <c r="C3794" s="29" t="s">
        <v>20654</v>
      </c>
      <c r="D3794" s="29" t="s">
        <v>33876</v>
      </c>
      <c r="E3794" s="29" t="s">
        <v>46959</v>
      </c>
      <c r="F3794" s="36" t="s">
        <v>54401</v>
      </c>
      <c r="G3794" s="39">
        <v>324387.94</v>
      </c>
      <c r="H3794" s="42">
        <v>211</v>
      </c>
    </row>
    <row r="3795" spans="1:8" ht="15" customHeight="1">
      <c r="A3795" s="26">
        <v>45766115</v>
      </c>
      <c r="B3795" s="29" t="s">
        <v>6031</v>
      </c>
      <c r="C3795" s="29" t="s">
        <v>20655</v>
      </c>
      <c r="D3795" s="29" t="s">
        <v>33877</v>
      </c>
      <c r="E3795" s="29" t="s">
        <v>46960</v>
      </c>
      <c r="F3795" s="36" t="s">
        <v>54401</v>
      </c>
      <c r="G3795" s="39">
        <v>27407.34</v>
      </c>
      <c r="H3795" s="42">
        <v>211</v>
      </c>
    </row>
    <row r="3796" spans="1:8" ht="15" customHeight="1">
      <c r="A3796" s="26">
        <v>46350427</v>
      </c>
      <c r="B3796" s="29" t="s">
        <v>6032</v>
      </c>
      <c r="C3796" s="29" t="s">
        <v>20656</v>
      </c>
      <c r="D3796" s="29" t="s">
        <v>33878</v>
      </c>
      <c r="E3796" s="29" t="s">
        <v>46961</v>
      </c>
      <c r="F3796" s="36" t="s">
        <v>54402</v>
      </c>
      <c r="G3796" s="39">
        <v>3706824.25</v>
      </c>
      <c r="H3796" s="42">
        <v>211</v>
      </c>
    </row>
    <row r="3797" spans="1:8" ht="15" customHeight="1">
      <c r="A3797" s="26">
        <v>46351767</v>
      </c>
      <c r="B3797" s="29" t="s">
        <v>6033</v>
      </c>
      <c r="C3797" s="29" t="s">
        <v>20657</v>
      </c>
      <c r="D3797" s="29" t="s">
        <v>33879</v>
      </c>
      <c r="E3797" s="29" t="s">
        <v>46962</v>
      </c>
      <c r="F3797" s="36" t="s">
        <v>54401</v>
      </c>
      <c r="G3797" s="39">
        <f>907328.03+186759+259648</f>
        <v>1353735.03</v>
      </c>
      <c r="H3797" s="42">
        <v>211</v>
      </c>
    </row>
    <row r="3798" spans="1:8" ht="15" customHeight="1">
      <c r="A3798" s="26">
        <v>46352430</v>
      </c>
      <c r="B3798" s="29" t="s">
        <v>6034</v>
      </c>
      <c r="C3798" s="29" t="s">
        <v>20658</v>
      </c>
      <c r="D3798" s="29" t="s">
        <v>33880</v>
      </c>
      <c r="E3798" s="29" t="s">
        <v>46963</v>
      </c>
      <c r="F3798" s="36" t="s">
        <v>54406</v>
      </c>
      <c r="G3798" s="39">
        <f>2150740.85-151394</f>
        <v>1999346.85</v>
      </c>
      <c r="H3798" s="42">
        <v>211</v>
      </c>
    </row>
    <row r="3799" spans="1:8" ht="15" customHeight="1">
      <c r="A3799" s="26">
        <v>46352431</v>
      </c>
      <c r="B3799" s="29" t="s">
        <v>6035</v>
      </c>
      <c r="C3799" s="29" t="s">
        <v>20659</v>
      </c>
      <c r="D3799" s="29" t="s">
        <v>33881</v>
      </c>
      <c r="E3799" s="29" t="s">
        <v>46964</v>
      </c>
      <c r="F3799" s="36" t="s">
        <v>54401</v>
      </c>
      <c r="G3799" s="39">
        <v>693622.48</v>
      </c>
      <c r="H3799" s="42">
        <v>211</v>
      </c>
    </row>
    <row r="3800" spans="1:8" ht="15" customHeight="1">
      <c r="A3800" s="26">
        <v>46352689</v>
      </c>
      <c r="B3800" s="29" t="s">
        <v>6036</v>
      </c>
      <c r="C3800" s="29" t="s">
        <v>20660</v>
      </c>
      <c r="D3800" s="29" t="s">
        <v>33882</v>
      </c>
      <c r="E3800" s="29" t="s">
        <v>46965</v>
      </c>
      <c r="F3800" s="36" t="s">
        <v>54401</v>
      </c>
      <c r="G3800" s="39">
        <v>461160.68</v>
      </c>
      <c r="H3800" s="42">
        <v>211</v>
      </c>
    </row>
    <row r="3801" spans="1:8" ht="15" customHeight="1">
      <c r="A3801" s="26">
        <v>46352724</v>
      </c>
      <c r="B3801" s="29" t="s">
        <v>6037</v>
      </c>
      <c r="C3801" s="29" t="s">
        <v>20661</v>
      </c>
      <c r="D3801" s="29" t="s">
        <v>33883</v>
      </c>
      <c r="E3801" s="29" t="s">
        <v>46966</v>
      </c>
      <c r="F3801" s="36" t="s">
        <v>54401</v>
      </c>
      <c r="G3801" s="39">
        <f>876928.25+104746</f>
        <v>981674.25</v>
      </c>
      <c r="H3801" s="42">
        <v>211</v>
      </c>
    </row>
    <row r="3802" spans="1:8" ht="15" customHeight="1">
      <c r="A3802" s="26">
        <v>46352849</v>
      </c>
      <c r="B3802" s="29" t="s">
        <v>6038</v>
      </c>
      <c r="C3802" s="29" t="s">
        <v>20662</v>
      </c>
      <c r="D3802" s="29" t="s">
        <v>33884</v>
      </c>
      <c r="E3802" s="29" t="s">
        <v>46967</v>
      </c>
      <c r="F3802" s="36" t="s">
        <v>54401</v>
      </c>
      <c r="G3802" s="39">
        <v>38264.949999999997</v>
      </c>
      <c r="H3802" s="42">
        <v>211</v>
      </c>
    </row>
    <row r="3803" spans="1:8" ht="15" customHeight="1">
      <c r="A3803" s="26">
        <v>46353231</v>
      </c>
      <c r="B3803" s="29" t="s">
        <v>6039</v>
      </c>
      <c r="C3803" s="29" t="s">
        <v>20663</v>
      </c>
      <c r="D3803" s="29" t="s">
        <v>33885</v>
      </c>
      <c r="E3803" s="29" t="s">
        <v>46968</v>
      </c>
      <c r="F3803" s="36" t="s">
        <v>54402</v>
      </c>
      <c r="G3803" s="39">
        <v>15400</v>
      </c>
      <c r="H3803" s="42">
        <v>211</v>
      </c>
    </row>
    <row r="3804" spans="1:8" ht="15" customHeight="1">
      <c r="A3804" s="26">
        <v>46353265</v>
      </c>
      <c r="B3804" s="29" t="s">
        <v>6040</v>
      </c>
      <c r="C3804" s="29" t="s">
        <v>20664</v>
      </c>
      <c r="D3804" s="29" t="s">
        <v>33886</v>
      </c>
      <c r="E3804" s="29" t="s">
        <v>46969</v>
      </c>
      <c r="F3804" s="36" t="s">
        <v>54409</v>
      </c>
      <c r="G3804" s="39">
        <v>1424882.89</v>
      </c>
      <c r="H3804" s="42">
        <v>211</v>
      </c>
    </row>
    <row r="3805" spans="1:8" ht="15" customHeight="1">
      <c r="A3805" s="26">
        <v>46353457</v>
      </c>
      <c r="B3805" s="29" t="s">
        <v>6041</v>
      </c>
      <c r="C3805" s="29" t="s">
        <v>20665</v>
      </c>
      <c r="D3805" s="29" t="s">
        <v>33887</v>
      </c>
      <c r="E3805" s="29" t="s">
        <v>46970</v>
      </c>
      <c r="F3805" s="36" t="s">
        <v>54401</v>
      </c>
      <c r="G3805" s="39">
        <v>429334.81</v>
      </c>
      <c r="H3805" s="42">
        <v>211</v>
      </c>
    </row>
    <row r="3806" spans="1:8" ht="15" customHeight="1">
      <c r="A3806" s="26">
        <v>46354316</v>
      </c>
      <c r="B3806" s="29" t="s">
        <v>6042</v>
      </c>
      <c r="C3806" s="29" t="s">
        <v>20666</v>
      </c>
      <c r="D3806" s="29" t="s">
        <v>33888</v>
      </c>
      <c r="E3806" s="29" t="s">
        <v>46036</v>
      </c>
      <c r="F3806" s="36" t="s">
        <v>54401</v>
      </c>
      <c r="G3806" s="39">
        <v>831133.71</v>
      </c>
      <c r="H3806" s="42">
        <v>211</v>
      </c>
    </row>
    <row r="3807" spans="1:8" ht="15" customHeight="1">
      <c r="A3807" s="26">
        <v>46354551</v>
      </c>
      <c r="B3807" s="29" t="s">
        <v>6043</v>
      </c>
      <c r="C3807" s="29" t="s">
        <v>20667</v>
      </c>
      <c r="D3807" s="29" t="s">
        <v>33889</v>
      </c>
      <c r="E3807" s="29" t="s">
        <v>46971</v>
      </c>
      <c r="F3807" s="36" t="s">
        <v>54401</v>
      </c>
      <c r="G3807" s="39">
        <f>4489519.87-115809</f>
        <v>4373710.87</v>
      </c>
      <c r="H3807" s="42">
        <v>211</v>
      </c>
    </row>
    <row r="3808" spans="1:8" ht="15" customHeight="1">
      <c r="A3808" s="26">
        <v>46354845</v>
      </c>
      <c r="B3808" s="29" t="s">
        <v>6044</v>
      </c>
      <c r="C3808" s="29" t="s">
        <v>20668</v>
      </c>
      <c r="D3808" s="29" t="s">
        <v>33890</v>
      </c>
      <c r="E3808" s="29" t="s">
        <v>46972</v>
      </c>
      <c r="F3808" s="36" t="s">
        <v>54404</v>
      </c>
      <c r="G3808" s="39">
        <v>631299.54</v>
      </c>
      <c r="H3808" s="42">
        <v>211</v>
      </c>
    </row>
    <row r="3809" spans="1:8" ht="15" customHeight="1">
      <c r="A3809" s="26">
        <v>46354869</v>
      </c>
      <c r="B3809" s="29" t="s">
        <v>6045</v>
      </c>
      <c r="C3809" s="29" t="s">
        <v>20669</v>
      </c>
      <c r="D3809" s="29" t="s">
        <v>33891</v>
      </c>
      <c r="E3809" s="29" t="s">
        <v>46973</v>
      </c>
      <c r="F3809" s="36" t="s">
        <v>54401</v>
      </c>
      <c r="G3809" s="39">
        <v>71045.95</v>
      </c>
      <c r="H3809" s="42">
        <v>211</v>
      </c>
    </row>
    <row r="3810" spans="1:8" ht="15" customHeight="1">
      <c r="A3810" s="26">
        <v>46355000</v>
      </c>
      <c r="B3810" s="29" t="s">
        <v>6046</v>
      </c>
      <c r="C3810" s="29" t="s">
        <v>20670</v>
      </c>
      <c r="D3810" s="29" t="s">
        <v>33892</v>
      </c>
      <c r="E3810" s="29" t="s">
        <v>46974</v>
      </c>
      <c r="F3810" s="36" t="s">
        <v>54401</v>
      </c>
      <c r="G3810" s="39">
        <f>915015.69+37956+58929</f>
        <v>1011900.69</v>
      </c>
      <c r="H3810" s="42">
        <v>211</v>
      </c>
    </row>
    <row r="3811" spans="1:8" ht="15" customHeight="1">
      <c r="A3811" s="26">
        <v>46355061</v>
      </c>
      <c r="B3811" s="29" t="s">
        <v>6047</v>
      </c>
      <c r="C3811" s="29" t="s">
        <v>20671</v>
      </c>
      <c r="D3811" s="29" t="s">
        <v>33893</v>
      </c>
      <c r="E3811" s="29" t="s">
        <v>44736</v>
      </c>
      <c r="F3811" s="36" t="s">
        <v>54401</v>
      </c>
      <c r="G3811" s="39">
        <f>1489705.42+110917</f>
        <v>1600622.42</v>
      </c>
      <c r="H3811" s="42">
        <v>211</v>
      </c>
    </row>
    <row r="3812" spans="1:8" ht="15" customHeight="1">
      <c r="A3812" s="26">
        <v>46355184</v>
      </c>
      <c r="B3812" s="29" t="s">
        <v>6048</v>
      </c>
      <c r="C3812" s="29" t="s">
        <v>20672</v>
      </c>
      <c r="D3812" s="29" t="s">
        <v>33894</v>
      </c>
      <c r="E3812" s="29" t="s">
        <v>46975</v>
      </c>
      <c r="F3812" s="36" t="s">
        <v>54401</v>
      </c>
      <c r="G3812" s="39">
        <v>239480.54</v>
      </c>
      <c r="H3812" s="42">
        <v>211</v>
      </c>
    </row>
    <row r="3813" spans="1:8" ht="15" customHeight="1">
      <c r="A3813" s="26">
        <v>46355248</v>
      </c>
      <c r="B3813" s="29" t="s">
        <v>6049</v>
      </c>
      <c r="C3813" s="29" t="s">
        <v>20673</v>
      </c>
      <c r="D3813" s="29" t="s">
        <v>30623</v>
      </c>
      <c r="E3813" s="29" t="s">
        <v>46976</v>
      </c>
      <c r="F3813" s="36" t="s">
        <v>54402</v>
      </c>
      <c r="G3813" s="39">
        <f>8961331.17-435463</f>
        <v>8525868.1699999999</v>
      </c>
      <c r="H3813" s="42">
        <v>211</v>
      </c>
    </row>
    <row r="3814" spans="1:8" ht="15" customHeight="1">
      <c r="A3814" s="26">
        <v>46357197</v>
      </c>
      <c r="B3814" s="29" t="s">
        <v>6050</v>
      </c>
      <c r="C3814" s="29" t="s">
        <v>20674</v>
      </c>
      <c r="D3814" s="29" t="s">
        <v>33895</v>
      </c>
      <c r="E3814" s="29" t="s">
        <v>46977</v>
      </c>
      <c r="F3814" s="36" t="s">
        <v>54401</v>
      </c>
      <c r="G3814" s="39">
        <f>302570.16+7901561+122341</f>
        <v>8326472.1600000001</v>
      </c>
      <c r="H3814" s="42">
        <v>211</v>
      </c>
    </row>
    <row r="3815" spans="1:8" ht="15" customHeight="1">
      <c r="A3815" s="26">
        <v>46357428</v>
      </c>
      <c r="B3815" s="29" t="s">
        <v>6051</v>
      </c>
      <c r="C3815" s="29" t="s">
        <v>20675</v>
      </c>
      <c r="D3815" s="29" t="s">
        <v>33896</v>
      </c>
      <c r="E3815" s="29" t="s">
        <v>46978</v>
      </c>
      <c r="F3815" s="36" t="s">
        <v>54401</v>
      </c>
      <c r="G3815" s="39">
        <v>833547.34</v>
      </c>
      <c r="H3815" s="42">
        <v>211</v>
      </c>
    </row>
    <row r="3816" spans="1:8" ht="15" customHeight="1">
      <c r="A3816" s="26">
        <v>46357699</v>
      </c>
      <c r="B3816" s="29" t="s">
        <v>6052</v>
      </c>
      <c r="C3816" s="29" t="s">
        <v>20676</v>
      </c>
      <c r="D3816" s="29" t="s">
        <v>33897</v>
      </c>
      <c r="E3816" s="29" t="s">
        <v>46979</v>
      </c>
      <c r="F3816" s="36" t="s">
        <v>54402</v>
      </c>
      <c r="G3816" s="39">
        <v>1682167.48</v>
      </c>
      <c r="H3816" s="42">
        <v>211</v>
      </c>
    </row>
    <row r="3817" spans="1:8" ht="15" customHeight="1">
      <c r="A3817" s="26">
        <v>46357870</v>
      </c>
      <c r="B3817" s="29" t="s">
        <v>6053</v>
      </c>
      <c r="C3817" s="29" t="s">
        <v>20677</v>
      </c>
      <c r="D3817" s="29" t="s">
        <v>33898</v>
      </c>
      <c r="E3817" s="29" t="s">
        <v>46980</v>
      </c>
      <c r="F3817" s="36" t="s">
        <v>54402</v>
      </c>
      <c r="G3817" s="39">
        <f>25459463.09-127737</f>
        <v>25331726.09</v>
      </c>
      <c r="H3817" s="42">
        <v>211</v>
      </c>
    </row>
    <row r="3818" spans="1:8" ht="15" customHeight="1">
      <c r="A3818" s="26">
        <v>46357994</v>
      </c>
      <c r="B3818" s="29" t="s">
        <v>6054</v>
      </c>
      <c r="C3818" s="29" t="s">
        <v>20678</v>
      </c>
      <c r="D3818" s="29" t="s">
        <v>33899</v>
      </c>
      <c r="E3818" s="29" t="s">
        <v>44023</v>
      </c>
      <c r="F3818" s="36" t="s">
        <v>54401</v>
      </c>
      <c r="G3818" s="39">
        <f>3540816.81+87821+978930+102933</f>
        <v>4710500.8100000005</v>
      </c>
      <c r="H3818" s="42">
        <v>211</v>
      </c>
    </row>
    <row r="3819" spans="1:8" ht="15" customHeight="1">
      <c r="A3819" s="26">
        <v>46358345</v>
      </c>
      <c r="B3819" s="29" t="s">
        <v>6055</v>
      </c>
      <c r="C3819" s="29" t="s">
        <v>20679</v>
      </c>
      <c r="D3819" s="29" t="s">
        <v>33900</v>
      </c>
      <c r="E3819" s="29" t="s">
        <v>46981</v>
      </c>
      <c r="F3819" s="36" t="s">
        <v>54401</v>
      </c>
      <c r="G3819" s="39">
        <f>1137209.08+823908</f>
        <v>1961117.08</v>
      </c>
      <c r="H3819" s="42">
        <v>211</v>
      </c>
    </row>
    <row r="3820" spans="1:8" ht="15" customHeight="1">
      <c r="A3820" s="26">
        <v>46358441</v>
      </c>
      <c r="B3820" s="29" t="s">
        <v>6056</v>
      </c>
      <c r="C3820" s="29" t="s">
        <v>20680</v>
      </c>
      <c r="D3820" s="29" t="s">
        <v>33901</v>
      </c>
      <c r="E3820" s="29" t="s">
        <v>46982</v>
      </c>
      <c r="F3820" s="36" t="s">
        <v>54401</v>
      </c>
      <c r="G3820" s="39">
        <v>256334.66</v>
      </c>
      <c r="H3820" s="42">
        <v>211</v>
      </c>
    </row>
    <row r="3821" spans="1:8" ht="15" customHeight="1">
      <c r="A3821" s="26">
        <v>46359255</v>
      </c>
      <c r="B3821" s="29" t="s">
        <v>6057</v>
      </c>
      <c r="C3821" s="29" t="s">
        <v>20681</v>
      </c>
      <c r="D3821" s="29" t="s">
        <v>33902</v>
      </c>
      <c r="E3821" s="29" t="s">
        <v>46983</v>
      </c>
      <c r="F3821" s="36" t="s">
        <v>54402</v>
      </c>
      <c r="G3821" s="39">
        <f>9332273.81-92436</f>
        <v>9239837.8100000005</v>
      </c>
      <c r="H3821" s="42">
        <v>211</v>
      </c>
    </row>
    <row r="3822" spans="1:8" ht="15" customHeight="1">
      <c r="A3822" s="26">
        <v>46359339</v>
      </c>
      <c r="B3822" s="29" t="s">
        <v>6058</v>
      </c>
      <c r="C3822" s="29" t="s">
        <v>20682</v>
      </c>
      <c r="D3822" s="29" t="s">
        <v>33903</v>
      </c>
      <c r="E3822" s="29" t="s">
        <v>46984</v>
      </c>
      <c r="F3822" s="36" t="s">
        <v>54401</v>
      </c>
      <c r="G3822" s="39">
        <v>625696.38</v>
      </c>
      <c r="H3822" s="42">
        <v>211</v>
      </c>
    </row>
    <row r="3823" spans="1:8" ht="15" customHeight="1">
      <c r="A3823" s="26">
        <v>46359387</v>
      </c>
      <c r="B3823" s="29" t="s">
        <v>6059</v>
      </c>
      <c r="C3823" s="29" t="s">
        <v>20683</v>
      </c>
      <c r="D3823" s="29" t="s">
        <v>33904</v>
      </c>
      <c r="E3823" s="29" t="s">
        <v>46985</v>
      </c>
      <c r="F3823" s="36" t="s">
        <v>54401</v>
      </c>
      <c r="G3823" s="39">
        <v>150114.81</v>
      </c>
      <c r="H3823" s="42">
        <v>211</v>
      </c>
    </row>
    <row r="3824" spans="1:8" ht="15" customHeight="1">
      <c r="A3824" s="26">
        <v>46359663</v>
      </c>
      <c r="B3824" s="29" t="s">
        <v>6060</v>
      </c>
      <c r="C3824" s="29" t="s">
        <v>20684</v>
      </c>
      <c r="D3824" s="29" t="s">
        <v>33905</v>
      </c>
      <c r="E3824" s="29" t="s">
        <v>46986</v>
      </c>
      <c r="F3824" s="36" t="s">
        <v>54402</v>
      </c>
      <c r="G3824" s="39">
        <f>2976755.82-183906</f>
        <v>2792849.82</v>
      </c>
      <c r="H3824" s="42">
        <v>211</v>
      </c>
    </row>
    <row r="3825" spans="1:8" ht="15" customHeight="1">
      <c r="A3825" s="26">
        <v>46359731</v>
      </c>
      <c r="B3825" s="29" t="s">
        <v>6061</v>
      </c>
      <c r="C3825" s="29" t="s">
        <v>20685</v>
      </c>
      <c r="D3825" s="29" t="s">
        <v>33906</v>
      </c>
      <c r="E3825" s="29" t="s">
        <v>46987</v>
      </c>
      <c r="F3825" s="36" t="s">
        <v>54401</v>
      </c>
      <c r="G3825" s="39">
        <v>365626.33</v>
      </c>
      <c r="H3825" s="42">
        <v>211</v>
      </c>
    </row>
    <row r="3826" spans="1:8" ht="15" customHeight="1">
      <c r="A3826" s="26">
        <v>46359806</v>
      </c>
      <c r="B3826" s="29" t="s">
        <v>6062</v>
      </c>
      <c r="C3826" s="29" t="s">
        <v>20686</v>
      </c>
      <c r="D3826" s="29" t="s">
        <v>33907</v>
      </c>
      <c r="E3826" s="29" t="s">
        <v>46988</v>
      </c>
      <c r="F3826" s="36" t="s">
        <v>54413</v>
      </c>
      <c r="G3826" s="39">
        <v>686362.17</v>
      </c>
      <c r="H3826" s="42">
        <v>211</v>
      </c>
    </row>
    <row r="3827" spans="1:8" ht="15" customHeight="1">
      <c r="A3827" s="26">
        <v>46360112</v>
      </c>
      <c r="B3827" s="29" t="s">
        <v>6063</v>
      </c>
      <c r="C3827" s="29" t="s">
        <v>20687</v>
      </c>
      <c r="D3827" s="29" t="s">
        <v>33908</v>
      </c>
      <c r="E3827" s="29" t="s">
        <v>46989</v>
      </c>
      <c r="F3827" s="36" t="s">
        <v>54402</v>
      </c>
      <c r="G3827" s="39">
        <f>7680068.13-2219</f>
        <v>7677849.1299999999</v>
      </c>
      <c r="H3827" s="42">
        <v>211</v>
      </c>
    </row>
    <row r="3828" spans="1:8" ht="15" customHeight="1">
      <c r="A3828" s="26">
        <v>46360188</v>
      </c>
      <c r="B3828" s="29" t="s">
        <v>6064</v>
      </c>
      <c r="C3828" s="29" t="s">
        <v>20688</v>
      </c>
      <c r="D3828" s="29" t="s">
        <v>33909</v>
      </c>
      <c r="E3828" s="29" t="s">
        <v>46990</v>
      </c>
      <c r="F3828" s="36" t="s">
        <v>54401</v>
      </c>
      <c r="G3828" s="39">
        <v>661079.52</v>
      </c>
      <c r="H3828" s="42">
        <v>211</v>
      </c>
    </row>
    <row r="3829" spans="1:8" ht="15" customHeight="1">
      <c r="A3829" s="26">
        <v>46360211</v>
      </c>
      <c r="B3829" s="29" t="s">
        <v>6065</v>
      </c>
      <c r="C3829" s="29" t="s">
        <v>20689</v>
      </c>
      <c r="D3829" s="29" t="s">
        <v>33910</v>
      </c>
      <c r="E3829" s="29" t="s">
        <v>44941</v>
      </c>
      <c r="F3829" s="36" t="s">
        <v>54401</v>
      </c>
      <c r="G3829" s="39">
        <f>3079382.86+87975</f>
        <v>3167357.86</v>
      </c>
      <c r="H3829" s="42">
        <v>211</v>
      </c>
    </row>
    <row r="3830" spans="1:8" ht="15" customHeight="1">
      <c r="A3830" s="26">
        <v>46360315</v>
      </c>
      <c r="B3830" s="29" t="s">
        <v>6066</v>
      </c>
      <c r="C3830" s="29" t="s">
        <v>20690</v>
      </c>
      <c r="D3830" s="29" t="s">
        <v>33911</v>
      </c>
      <c r="E3830" s="29" t="s">
        <v>46991</v>
      </c>
      <c r="F3830" s="36" t="s">
        <v>54401</v>
      </c>
      <c r="G3830" s="39">
        <v>96870.5</v>
      </c>
      <c r="H3830" s="42">
        <v>211</v>
      </c>
    </row>
    <row r="3831" spans="1:8" ht="15" customHeight="1">
      <c r="A3831" s="26">
        <v>46360606</v>
      </c>
      <c r="B3831" s="29" t="s">
        <v>6067</v>
      </c>
      <c r="C3831" s="29" t="s">
        <v>20691</v>
      </c>
      <c r="D3831" s="29" t="s">
        <v>30349</v>
      </c>
      <c r="E3831" s="29" t="s">
        <v>43926</v>
      </c>
      <c r="F3831" s="36" t="s">
        <v>54401</v>
      </c>
      <c r="G3831" s="39">
        <v>575513.03</v>
      </c>
      <c r="H3831" s="42">
        <v>211</v>
      </c>
    </row>
    <row r="3832" spans="1:8" ht="15" customHeight="1">
      <c r="A3832" s="26">
        <v>46360635</v>
      </c>
      <c r="B3832" s="29" t="s">
        <v>6068</v>
      </c>
      <c r="C3832" s="29" t="s">
        <v>20692</v>
      </c>
      <c r="D3832" s="29" t="s">
        <v>33912</v>
      </c>
      <c r="E3832" s="29" t="s">
        <v>46992</v>
      </c>
      <c r="F3832" s="36" t="s">
        <v>54406</v>
      </c>
      <c r="G3832" s="39">
        <f>6656594.01-328570</f>
        <v>6328024.0099999998</v>
      </c>
      <c r="H3832" s="42">
        <v>211</v>
      </c>
    </row>
    <row r="3833" spans="1:8" ht="15" customHeight="1">
      <c r="A3833" s="26">
        <v>46360864</v>
      </c>
      <c r="B3833" s="29" t="s">
        <v>6069</v>
      </c>
      <c r="C3833" s="29" t="s">
        <v>20693</v>
      </c>
      <c r="D3833" s="29" t="s">
        <v>33913</v>
      </c>
      <c r="E3833" s="29" t="s">
        <v>46993</v>
      </c>
      <c r="F3833" s="36" t="s">
        <v>54447</v>
      </c>
      <c r="G3833" s="39">
        <f>2008789.37+37286</f>
        <v>2046075.37</v>
      </c>
      <c r="H3833" s="42">
        <v>211</v>
      </c>
    </row>
    <row r="3834" spans="1:8" ht="15" customHeight="1">
      <c r="A3834" s="26">
        <v>46360918</v>
      </c>
      <c r="B3834" s="29" t="s">
        <v>6070</v>
      </c>
      <c r="C3834" s="29" t="s">
        <v>20694</v>
      </c>
      <c r="D3834" s="29" t="s">
        <v>33914</v>
      </c>
      <c r="E3834" s="29" t="s">
        <v>46994</v>
      </c>
      <c r="F3834" s="36" t="s">
        <v>54402</v>
      </c>
      <c r="G3834" s="39">
        <f>1702100.69-192964</f>
        <v>1509136.69</v>
      </c>
      <c r="H3834" s="42">
        <v>211</v>
      </c>
    </row>
    <row r="3835" spans="1:8" ht="15" customHeight="1">
      <c r="A3835" s="26">
        <v>46360983</v>
      </c>
      <c r="B3835" s="29" t="s">
        <v>6071</v>
      </c>
      <c r="C3835" s="29" t="s">
        <v>20695</v>
      </c>
      <c r="D3835" s="29" t="s">
        <v>33915</v>
      </c>
      <c r="E3835" s="29" t="s">
        <v>46995</v>
      </c>
      <c r="F3835" s="36" t="s">
        <v>54402</v>
      </c>
      <c r="G3835" s="39">
        <v>3722200.02</v>
      </c>
      <c r="H3835" s="42">
        <v>211</v>
      </c>
    </row>
    <row r="3836" spans="1:8" ht="15" customHeight="1">
      <c r="A3836" s="26">
        <v>46361639</v>
      </c>
      <c r="B3836" s="29" t="s">
        <v>6072</v>
      </c>
      <c r="C3836" s="29" t="s">
        <v>20696</v>
      </c>
      <c r="D3836" s="29" t="s">
        <v>33916</v>
      </c>
      <c r="E3836" s="29" t="s">
        <v>43926</v>
      </c>
      <c r="F3836" s="36" t="s">
        <v>54401</v>
      </c>
      <c r="G3836" s="39">
        <v>4151425.9</v>
      </c>
      <c r="H3836" s="42">
        <v>211</v>
      </c>
    </row>
    <row r="3837" spans="1:8" ht="15" customHeight="1">
      <c r="A3837" s="26">
        <v>46361830</v>
      </c>
      <c r="B3837" s="29" t="s">
        <v>6073</v>
      </c>
      <c r="C3837" s="29" t="s">
        <v>17204</v>
      </c>
      <c r="D3837" s="29" t="s">
        <v>30349</v>
      </c>
      <c r="E3837" s="29" t="s">
        <v>43926</v>
      </c>
      <c r="F3837" s="36" t="s">
        <v>54401</v>
      </c>
      <c r="G3837" s="39">
        <v>310886.57</v>
      </c>
      <c r="H3837" s="42">
        <v>211</v>
      </c>
    </row>
    <row r="3838" spans="1:8" ht="15" customHeight="1">
      <c r="A3838" s="26">
        <v>46362279</v>
      </c>
      <c r="B3838" s="29" t="s">
        <v>6074</v>
      </c>
      <c r="C3838" s="29" t="s">
        <v>20697</v>
      </c>
      <c r="D3838" s="29" t="s">
        <v>33917</v>
      </c>
      <c r="E3838" s="29" t="s">
        <v>46996</v>
      </c>
      <c r="F3838" s="36" t="s">
        <v>54401</v>
      </c>
      <c r="G3838" s="39">
        <v>40235.699999999997</v>
      </c>
      <c r="H3838" s="42">
        <v>211</v>
      </c>
    </row>
    <row r="3839" spans="1:8" ht="15" customHeight="1">
      <c r="A3839" s="26">
        <v>46362903</v>
      </c>
      <c r="B3839" s="29" t="s">
        <v>6075</v>
      </c>
      <c r="C3839" s="29" t="s">
        <v>17204</v>
      </c>
      <c r="D3839" s="29" t="s">
        <v>30349</v>
      </c>
      <c r="E3839" s="29" t="s">
        <v>43926</v>
      </c>
      <c r="F3839" s="36" t="s">
        <v>54401</v>
      </c>
      <c r="G3839" s="39">
        <v>44897.43</v>
      </c>
      <c r="H3839" s="42">
        <v>211</v>
      </c>
    </row>
    <row r="3840" spans="1:8" ht="15" customHeight="1">
      <c r="A3840" s="26">
        <v>46362929</v>
      </c>
      <c r="B3840" s="29" t="s">
        <v>6076</v>
      </c>
      <c r="C3840" s="29" t="s">
        <v>17204</v>
      </c>
      <c r="D3840" s="29" t="s">
        <v>33918</v>
      </c>
      <c r="E3840" s="29" t="s">
        <v>46997</v>
      </c>
      <c r="F3840" s="36" t="s">
        <v>54409</v>
      </c>
      <c r="G3840" s="39">
        <f>2520696.81-50714</f>
        <v>2469982.81</v>
      </c>
      <c r="H3840" s="42">
        <v>211</v>
      </c>
    </row>
    <row r="3841" spans="1:8" ht="15" customHeight="1">
      <c r="A3841" s="26">
        <v>46363037</v>
      </c>
      <c r="B3841" s="29" t="s">
        <v>6077</v>
      </c>
      <c r="C3841" s="29" t="s">
        <v>20698</v>
      </c>
      <c r="D3841" s="29" t="s">
        <v>33919</v>
      </c>
      <c r="E3841" s="29" t="s">
        <v>46998</v>
      </c>
      <c r="F3841" s="36" t="s">
        <v>54402</v>
      </c>
      <c r="G3841" s="39">
        <f>6968197.97-88000</f>
        <v>6880197.9699999997</v>
      </c>
      <c r="H3841" s="42">
        <v>211</v>
      </c>
    </row>
    <row r="3842" spans="1:8" ht="15" customHeight="1">
      <c r="A3842" s="26">
        <v>46363290</v>
      </c>
      <c r="B3842" s="29" t="s">
        <v>6078</v>
      </c>
      <c r="C3842" s="29" t="s">
        <v>20699</v>
      </c>
      <c r="D3842" s="29" t="s">
        <v>33920</v>
      </c>
      <c r="E3842" s="29" t="s">
        <v>46999</v>
      </c>
      <c r="F3842" s="36" t="s">
        <v>54430</v>
      </c>
      <c r="G3842" s="39">
        <f>22054015.25-40000</f>
        <v>22014015.25</v>
      </c>
      <c r="H3842" s="42">
        <v>211</v>
      </c>
    </row>
    <row r="3843" spans="1:8" ht="15" customHeight="1">
      <c r="A3843" s="26">
        <v>46363335</v>
      </c>
      <c r="B3843" s="29" t="s">
        <v>6079</v>
      </c>
      <c r="C3843" s="29" t="s">
        <v>20700</v>
      </c>
      <c r="D3843" s="29" t="s">
        <v>33921</v>
      </c>
      <c r="E3843" s="29" t="s">
        <v>47000</v>
      </c>
      <c r="F3843" s="36" t="s">
        <v>54407</v>
      </c>
      <c r="G3843" s="39">
        <f>721048.92+607714</f>
        <v>1328762.92</v>
      </c>
      <c r="H3843" s="42">
        <v>211</v>
      </c>
    </row>
    <row r="3844" spans="1:8" ht="15" customHeight="1">
      <c r="A3844" s="26">
        <v>46363851</v>
      </c>
      <c r="B3844" s="29" t="s">
        <v>6080</v>
      </c>
      <c r="C3844" s="29" t="s">
        <v>20701</v>
      </c>
      <c r="D3844" s="29" t="s">
        <v>33922</v>
      </c>
      <c r="E3844" s="29" t="s">
        <v>47001</v>
      </c>
      <c r="F3844" s="36" t="s">
        <v>54402</v>
      </c>
      <c r="G3844" s="39">
        <f>14096639.63-802274</f>
        <v>13294365.630000001</v>
      </c>
      <c r="H3844" s="42">
        <v>211</v>
      </c>
    </row>
    <row r="3845" spans="1:8" ht="15" customHeight="1">
      <c r="A3845" s="26">
        <v>46363854</v>
      </c>
      <c r="B3845" s="29" t="s">
        <v>6081</v>
      </c>
      <c r="C3845" s="29" t="s">
        <v>20702</v>
      </c>
      <c r="D3845" s="29" t="s">
        <v>33923</v>
      </c>
      <c r="E3845" s="29" t="s">
        <v>47002</v>
      </c>
      <c r="F3845" s="36" t="s">
        <v>54402</v>
      </c>
      <c r="G3845" s="39">
        <v>382070.12</v>
      </c>
      <c r="H3845" s="42">
        <v>211</v>
      </c>
    </row>
    <row r="3846" spans="1:8" ht="15" customHeight="1">
      <c r="A3846" s="26">
        <v>46363969</v>
      </c>
      <c r="B3846" s="29" t="s">
        <v>6082</v>
      </c>
      <c r="C3846" s="29" t="s">
        <v>20703</v>
      </c>
      <c r="D3846" s="29" t="s">
        <v>33924</v>
      </c>
      <c r="E3846" s="29" t="s">
        <v>47003</v>
      </c>
      <c r="F3846" s="36" t="s">
        <v>54401</v>
      </c>
      <c r="G3846" s="39">
        <v>616554.22</v>
      </c>
      <c r="H3846" s="42">
        <v>211</v>
      </c>
    </row>
    <row r="3847" spans="1:8" ht="15" customHeight="1">
      <c r="A3847" s="26">
        <v>46364104</v>
      </c>
      <c r="B3847" s="29" t="s">
        <v>6083</v>
      </c>
      <c r="C3847" s="29" t="s">
        <v>20704</v>
      </c>
      <c r="D3847" s="29" t="s">
        <v>33925</v>
      </c>
      <c r="E3847" s="29" t="s">
        <v>47004</v>
      </c>
      <c r="F3847" s="36" t="s">
        <v>54401</v>
      </c>
      <c r="G3847" s="39">
        <v>4243.7</v>
      </c>
      <c r="H3847" s="42">
        <v>211</v>
      </c>
    </row>
    <row r="3848" spans="1:8" ht="15" customHeight="1">
      <c r="A3848" s="26">
        <v>46364112</v>
      </c>
      <c r="B3848" s="29" t="s">
        <v>6084</v>
      </c>
      <c r="C3848" s="29" t="s">
        <v>20705</v>
      </c>
      <c r="D3848" s="29" t="s">
        <v>33926</v>
      </c>
      <c r="E3848" s="29" t="s">
        <v>47005</v>
      </c>
      <c r="F3848" s="36" t="s">
        <v>54409</v>
      </c>
      <c r="G3848" s="39">
        <v>868524.77</v>
      </c>
      <c r="H3848" s="42">
        <v>211</v>
      </c>
    </row>
    <row r="3849" spans="1:8" ht="15" customHeight="1">
      <c r="A3849" s="26">
        <v>46364309</v>
      </c>
      <c r="B3849" s="29" t="s">
        <v>6085</v>
      </c>
      <c r="C3849" s="29" t="s">
        <v>20706</v>
      </c>
      <c r="D3849" s="29" t="s">
        <v>33927</v>
      </c>
      <c r="E3849" s="29" t="s">
        <v>47006</v>
      </c>
      <c r="F3849" s="36" t="s">
        <v>54406</v>
      </c>
      <c r="G3849" s="39">
        <v>5054350.25</v>
      </c>
      <c r="H3849" s="42">
        <v>211</v>
      </c>
    </row>
    <row r="3850" spans="1:8" ht="15" customHeight="1">
      <c r="A3850" s="26">
        <v>46364919</v>
      </c>
      <c r="B3850" s="29" t="s">
        <v>6086</v>
      </c>
      <c r="C3850" s="29" t="s">
        <v>20707</v>
      </c>
      <c r="D3850" s="29" t="s">
        <v>33928</v>
      </c>
      <c r="E3850" s="29" t="s">
        <v>47007</v>
      </c>
      <c r="F3850" s="36" t="s">
        <v>54402</v>
      </c>
      <c r="G3850" s="39">
        <f>11198161.95-365657</f>
        <v>10832504.949999999</v>
      </c>
      <c r="H3850" s="42">
        <v>211</v>
      </c>
    </row>
    <row r="3851" spans="1:8" ht="15" customHeight="1">
      <c r="A3851" s="26">
        <v>46365049</v>
      </c>
      <c r="B3851" s="29" t="s">
        <v>6087</v>
      </c>
      <c r="C3851" s="26" t="s">
        <v>20708</v>
      </c>
      <c r="D3851" s="26" t="s">
        <v>33929</v>
      </c>
      <c r="E3851" s="26" t="s">
        <v>47008</v>
      </c>
      <c r="F3851" s="37" t="s">
        <v>54401</v>
      </c>
      <c r="G3851" s="39">
        <v>1374662.36</v>
      </c>
      <c r="H3851" s="42">
        <v>211</v>
      </c>
    </row>
    <row r="3852" spans="1:8" ht="15" customHeight="1">
      <c r="A3852" s="26">
        <v>46365052</v>
      </c>
      <c r="B3852" s="29" t="s">
        <v>6088</v>
      </c>
      <c r="C3852" s="29" t="s">
        <v>20709</v>
      </c>
      <c r="D3852" s="29" t="s">
        <v>33930</v>
      </c>
      <c r="E3852" s="29" t="s">
        <v>47009</v>
      </c>
      <c r="F3852" s="36" t="s">
        <v>54402</v>
      </c>
      <c r="G3852" s="39">
        <f>28046858.4-95541</f>
        <v>27951317.399999999</v>
      </c>
      <c r="H3852" s="42">
        <v>211</v>
      </c>
    </row>
    <row r="3853" spans="1:8" ht="15" customHeight="1">
      <c r="A3853" s="26">
        <v>46365198</v>
      </c>
      <c r="B3853" s="29" t="s">
        <v>6089</v>
      </c>
      <c r="C3853" s="29" t="s">
        <v>20710</v>
      </c>
      <c r="D3853" s="29" t="s">
        <v>33931</v>
      </c>
      <c r="E3853" s="29" t="s">
        <v>47010</v>
      </c>
      <c r="F3853" s="36" t="s">
        <v>54401</v>
      </c>
      <c r="G3853" s="39">
        <v>416374.62</v>
      </c>
      <c r="H3853" s="42">
        <v>211</v>
      </c>
    </row>
    <row r="3854" spans="1:8" ht="15" customHeight="1">
      <c r="A3854" s="26">
        <v>46365475</v>
      </c>
      <c r="B3854" s="29" t="s">
        <v>6090</v>
      </c>
      <c r="C3854" s="29" t="s">
        <v>20711</v>
      </c>
      <c r="D3854" s="29" t="s">
        <v>33932</v>
      </c>
      <c r="E3854" s="29" t="s">
        <v>47011</v>
      </c>
      <c r="F3854" s="36" t="s">
        <v>54401</v>
      </c>
      <c r="G3854" s="39">
        <v>400000</v>
      </c>
      <c r="H3854" s="42">
        <v>211</v>
      </c>
    </row>
    <row r="3855" spans="1:8" ht="15" customHeight="1">
      <c r="A3855" s="26">
        <v>46365652</v>
      </c>
      <c r="B3855" s="29" t="s">
        <v>6091</v>
      </c>
      <c r="C3855" s="29" t="s">
        <v>20712</v>
      </c>
      <c r="D3855" s="29" t="s">
        <v>33933</v>
      </c>
      <c r="E3855" s="29" t="s">
        <v>47012</v>
      </c>
      <c r="F3855" s="36" t="s">
        <v>54402</v>
      </c>
      <c r="G3855" s="39">
        <v>28191.03</v>
      </c>
      <c r="H3855" s="42">
        <v>211</v>
      </c>
    </row>
    <row r="3856" spans="1:8" ht="15" customHeight="1">
      <c r="A3856" s="26">
        <v>46365758</v>
      </c>
      <c r="B3856" s="29" t="s">
        <v>6092</v>
      </c>
      <c r="C3856" s="29" t="s">
        <v>20713</v>
      </c>
      <c r="D3856" s="29" t="s">
        <v>33934</v>
      </c>
      <c r="E3856" s="29" t="s">
        <v>47013</v>
      </c>
      <c r="F3856" s="36" t="s">
        <v>54402</v>
      </c>
      <c r="G3856" s="39">
        <f>4202741.36-95104</f>
        <v>4107637.3600000003</v>
      </c>
      <c r="H3856" s="42">
        <v>211</v>
      </c>
    </row>
    <row r="3857" spans="1:8" ht="15" customHeight="1">
      <c r="A3857" s="26">
        <v>46365779</v>
      </c>
      <c r="B3857" s="29" t="s">
        <v>6093</v>
      </c>
      <c r="C3857" s="29" t="s">
        <v>20714</v>
      </c>
      <c r="D3857" s="29" t="s">
        <v>33935</v>
      </c>
      <c r="E3857" s="29" t="s">
        <v>47014</v>
      </c>
      <c r="F3857" s="36" t="s">
        <v>54406</v>
      </c>
      <c r="G3857" s="39">
        <f>1439232.53-145436</f>
        <v>1293796.53</v>
      </c>
      <c r="H3857" s="42">
        <v>211</v>
      </c>
    </row>
    <row r="3858" spans="1:8" ht="15" customHeight="1">
      <c r="A3858" s="26">
        <v>46365788</v>
      </c>
      <c r="B3858" s="29" t="s">
        <v>6094</v>
      </c>
      <c r="C3858" s="29" t="s">
        <v>20715</v>
      </c>
      <c r="D3858" s="29" t="s">
        <v>33936</v>
      </c>
      <c r="E3858" s="29" t="s">
        <v>47015</v>
      </c>
      <c r="F3858" s="36" t="s">
        <v>54401</v>
      </c>
      <c r="G3858" s="39">
        <f>744995.94+624301</f>
        <v>1369296.94</v>
      </c>
      <c r="H3858" s="42">
        <v>211</v>
      </c>
    </row>
    <row r="3859" spans="1:8" ht="15" customHeight="1">
      <c r="A3859" s="26">
        <v>46365914</v>
      </c>
      <c r="B3859" s="29" t="s">
        <v>6095</v>
      </c>
      <c r="C3859" s="29" t="s">
        <v>20716</v>
      </c>
      <c r="D3859" s="29" t="s">
        <v>33937</v>
      </c>
      <c r="E3859" s="29" t="s">
        <v>47016</v>
      </c>
      <c r="F3859" s="36" t="s">
        <v>54401</v>
      </c>
      <c r="G3859" s="39">
        <v>108030.32</v>
      </c>
      <c r="H3859" s="42">
        <v>211</v>
      </c>
    </row>
    <row r="3860" spans="1:8" ht="15" customHeight="1">
      <c r="A3860" s="26">
        <v>46365917</v>
      </c>
      <c r="B3860" s="29" t="s">
        <v>6096</v>
      </c>
      <c r="C3860" s="29" t="s">
        <v>20717</v>
      </c>
      <c r="D3860" s="29" t="s">
        <v>33938</v>
      </c>
      <c r="E3860" s="29" t="s">
        <v>47017</v>
      </c>
      <c r="F3860" s="36" t="s">
        <v>54401</v>
      </c>
      <c r="G3860" s="39">
        <v>178443.35</v>
      </c>
      <c r="H3860" s="42">
        <v>211</v>
      </c>
    </row>
    <row r="3861" spans="1:8" ht="15" customHeight="1">
      <c r="A3861" s="26">
        <v>46366023</v>
      </c>
      <c r="B3861" s="29" t="s">
        <v>6097</v>
      </c>
      <c r="C3861" s="29" t="s">
        <v>20718</v>
      </c>
      <c r="D3861" s="29" t="s">
        <v>33939</v>
      </c>
      <c r="E3861" s="29" t="s">
        <v>47018</v>
      </c>
      <c r="F3861" s="36" t="s">
        <v>54402</v>
      </c>
      <c r="G3861" s="39">
        <v>855296.85</v>
      </c>
      <c r="H3861" s="42">
        <v>211</v>
      </c>
    </row>
    <row r="3862" spans="1:8" ht="15" customHeight="1">
      <c r="A3862" s="26">
        <v>46366083</v>
      </c>
      <c r="B3862" s="29" t="s">
        <v>6098</v>
      </c>
      <c r="C3862" s="29" t="s">
        <v>20719</v>
      </c>
      <c r="D3862" s="29" t="s">
        <v>33940</v>
      </c>
      <c r="E3862" s="29" t="s">
        <v>47019</v>
      </c>
      <c r="F3862" s="36" t="s">
        <v>54401</v>
      </c>
      <c r="G3862" s="39">
        <f>738217.59+584101</f>
        <v>1322318.5899999999</v>
      </c>
      <c r="H3862" s="42">
        <v>211</v>
      </c>
    </row>
    <row r="3863" spans="1:8" ht="15" customHeight="1">
      <c r="A3863" s="26">
        <v>46366202</v>
      </c>
      <c r="B3863" s="29" t="s">
        <v>6099</v>
      </c>
      <c r="C3863" s="29" t="s">
        <v>17204</v>
      </c>
      <c r="D3863" s="29" t="s">
        <v>30349</v>
      </c>
      <c r="E3863" s="29" t="s">
        <v>43926</v>
      </c>
      <c r="F3863" s="36" t="s">
        <v>54401</v>
      </c>
      <c r="G3863" s="39">
        <v>14666</v>
      </c>
      <c r="H3863" s="42">
        <v>211</v>
      </c>
    </row>
    <row r="3864" spans="1:8" ht="15" customHeight="1">
      <c r="A3864" s="26">
        <v>46366399</v>
      </c>
      <c r="B3864" s="26" t="s">
        <v>6100</v>
      </c>
      <c r="C3864" s="32"/>
      <c r="D3864" s="32"/>
      <c r="E3864" s="26" t="s">
        <v>47020</v>
      </c>
      <c r="F3864" s="26" t="s">
        <v>54402</v>
      </c>
      <c r="G3864" s="41">
        <v>1599726.0899999999</v>
      </c>
      <c r="H3864" s="26">
        <v>4729</v>
      </c>
    </row>
    <row r="3865" spans="1:8" ht="15" customHeight="1">
      <c r="A3865" s="26">
        <v>46366969</v>
      </c>
      <c r="B3865" s="29" t="s">
        <v>6101</v>
      </c>
      <c r="C3865" s="29" t="s">
        <v>20720</v>
      </c>
      <c r="D3865" s="29" t="s">
        <v>33941</v>
      </c>
      <c r="E3865" s="29" t="s">
        <v>47021</v>
      </c>
      <c r="F3865" s="36" t="s">
        <v>54413</v>
      </c>
      <c r="G3865" s="39">
        <v>45298.5</v>
      </c>
      <c r="H3865" s="42">
        <v>211</v>
      </c>
    </row>
    <row r="3866" spans="1:8" ht="15" customHeight="1">
      <c r="A3866" s="26">
        <v>46367243</v>
      </c>
      <c r="B3866" s="29" t="s">
        <v>6102</v>
      </c>
      <c r="C3866" s="29" t="s">
        <v>20721</v>
      </c>
      <c r="D3866" s="29" t="s">
        <v>33942</v>
      </c>
      <c r="E3866" s="29" t="s">
        <v>43926</v>
      </c>
      <c r="F3866" s="36" t="s">
        <v>54401</v>
      </c>
      <c r="G3866" s="39">
        <v>55342.6</v>
      </c>
      <c r="H3866" s="42">
        <v>211</v>
      </c>
    </row>
    <row r="3867" spans="1:8" ht="15" customHeight="1">
      <c r="A3867" s="26">
        <v>46367264</v>
      </c>
      <c r="B3867" s="29" t="s">
        <v>6103</v>
      </c>
      <c r="C3867" s="29" t="s">
        <v>20722</v>
      </c>
      <c r="D3867" s="29" t="s">
        <v>33943</v>
      </c>
      <c r="E3867" s="29" t="s">
        <v>47022</v>
      </c>
      <c r="F3867" s="36" t="s">
        <v>54401</v>
      </c>
      <c r="G3867" s="39">
        <v>122441.18</v>
      </c>
      <c r="H3867" s="42">
        <v>211</v>
      </c>
    </row>
    <row r="3868" spans="1:8" ht="15" customHeight="1">
      <c r="A3868" s="26">
        <v>46368000</v>
      </c>
      <c r="B3868" s="29" t="s">
        <v>6104</v>
      </c>
      <c r="C3868" s="29" t="s">
        <v>17204</v>
      </c>
      <c r="D3868" s="29" t="s">
        <v>30376</v>
      </c>
      <c r="E3868" s="29" t="s">
        <v>43926</v>
      </c>
      <c r="F3868" s="36" t="s">
        <v>54401</v>
      </c>
      <c r="G3868" s="39">
        <v>71914.27</v>
      </c>
      <c r="H3868" s="42">
        <v>211</v>
      </c>
    </row>
    <row r="3869" spans="1:8" ht="15" customHeight="1">
      <c r="A3869" s="26">
        <v>46368073</v>
      </c>
      <c r="B3869" s="29" t="s">
        <v>6105</v>
      </c>
      <c r="C3869" s="26" t="s">
        <v>20723</v>
      </c>
      <c r="D3869" s="26" t="s">
        <v>33944</v>
      </c>
      <c r="E3869" s="26" t="s">
        <v>47023</v>
      </c>
      <c r="F3869" s="37" t="s">
        <v>54401</v>
      </c>
      <c r="G3869" s="39">
        <v>144823.51</v>
      </c>
      <c r="H3869" s="42">
        <v>211</v>
      </c>
    </row>
    <row r="3870" spans="1:8" ht="15" customHeight="1">
      <c r="A3870" s="26">
        <v>46368097</v>
      </c>
      <c r="B3870" s="29" t="s">
        <v>6106</v>
      </c>
      <c r="C3870" s="26" t="s">
        <v>20724</v>
      </c>
      <c r="D3870" s="26" t="s">
        <v>30376</v>
      </c>
      <c r="E3870" s="26" t="s">
        <v>47024</v>
      </c>
      <c r="F3870" s="37" t="s">
        <v>54401</v>
      </c>
      <c r="G3870" s="39">
        <v>368507.74</v>
      </c>
      <c r="H3870" s="42">
        <v>211</v>
      </c>
    </row>
    <row r="3871" spans="1:8" ht="15" customHeight="1">
      <c r="A3871" s="26">
        <v>46368393</v>
      </c>
      <c r="B3871" s="29" t="s">
        <v>6107</v>
      </c>
      <c r="C3871" s="29" t="s">
        <v>20725</v>
      </c>
      <c r="D3871" s="29" t="s">
        <v>33945</v>
      </c>
      <c r="E3871" s="29" t="s">
        <v>47025</v>
      </c>
      <c r="F3871" s="36" t="s">
        <v>54401</v>
      </c>
      <c r="G3871" s="39">
        <v>6050420.1600000001</v>
      </c>
      <c r="H3871" s="42">
        <v>211</v>
      </c>
    </row>
    <row r="3872" spans="1:8" ht="15" customHeight="1">
      <c r="A3872" s="26">
        <v>46369085</v>
      </c>
      <c r="B3872" s="29" t="s">
        <v>6108</v>
      </c>
      <c r="C3872" s="26" t="s">
        <v>20726</v>
      </c>
      <c r="D3872" s="26" t="s">
        <v>33946</v>
      </c>
      <c r="E3872" s="26" t="s">
        <v>47026</v>
      </c>
      <c r="F3872" s="37" t="s">
        <v>54402</v>
      </c>
      <c r="G3872" s="39">
        <v>96975.21</v>
      </c>
      <c r="H3872" s="42">
        <v>211</v>
      </c>
    </row>
    <row r="3873" spans="1:8" ht="15" customHeight="1">
      <c r="A3873" s="26">
        <v>46369181</v>
      </c>
      <c r="B3873" s="29" t="s">
        <v>6109</v>
      </c>
      <c r="C3873" s="29" t="s">
        <v>20727</v>
      </c>
      <c r="D3873" s="29" t="s">
        <v>33947</v>
      </c>
      <c r="E3873" s="29" t="s">
        <v>44254</v>
      </c>
      <c r="F3873" s="36" t="s">
        <v>54401</v>
      </c>
      <c r="G3873" s="39">
        <v>2722418.87</v>
      </c>
      <c r="H3873" s="42">
        <v>211</v>
      </c>
    </row>
    <row r="3874" spans="1:8" ht="15" customHeight="1">
      <c r="A3874" s="26">
        <v>46369241</v>
      </c>
      <c r="B3874" s="29" t="s">
        <v>6110</v>
      </c>
      <c r="C3874" s="29" t="s">
        <v>20728</v>
      </c>
      <c r="D3874" s="29" t="s">
        <v>33948</v>
      </c>
      <c r="E3874" s="29" t="s">
        <v>47027</v>
      </c>
      <c r="F3874" s="36" t="s">
        <v>54406</v>
      </c>
      <c r="G3874" s="39">
        <f>7863818.24-181388</f>
        <v>7682430.2400000002</v>
      </c>
      <c r="H3874" s="42">
        <v>211</v>
      </c>
    </row>
    <row r="3875" spans="1:8" ht="15" customHeight="1">
      <c r="A3875" s="26">
        <v>46369271</v>
      </c>
      <c r="B3875" s="29" t="s">
        <v>6111</v>
      </c>
      <c r="C3875" s="29" t="s">
        <v>20729</v>
      </c>
      <c r="D3875" s="29" t="s">
        <v>33949</v>
      </c>
      <c r="E3875" s="29" t="s">
        <v>47028</v>
      </c>
      <c r="F3875" s="36" t="s">
        <v>54401</v>
      </c>
      <c r="G3875" s="39">
        <v>88099.09</v>
      </c>
      <c r="H3875" s="42">
        <v>211</v>
      </c>
    </row>
    <row r="3876" spans="1:8" ht="15" customHeight="1">
      <c r="A3876" s="26">
        <v>46369289</v>
      </c>
      <c r="B3876" s="29" t="s">
        <v>6112</v>
      </c>
      <c r="C3876" s="29" t="s">
        <v>20730</v>
      </c>
      <c r="D3876" s="29" t="s">
        <v>33950</v>
      </c>
      <c r="E3876" s="29" t="s">
        <v>47029</v>
      </c>
      <c r="F3876" s="36" t="s">
        <v>54401</v>
      </c>
      <c r="G3876" s="39">
        <v>199206.67</v>
      </c>
      <c r="H3876" s="42">
        <v>211</v>
      </c>
    </row>
    <row r="3877" spans="1:8" ht="15" customHeight="1">
      <c r="A3877" s="26">
        <v>46369436</v>
      </c>
      <c r="B3877" s="29" t="s">
        <v>6113</v>
      </c>
      <c r="C3877" s="29" t="s">
        <v>20731</v>
      </c>
      <c r="D3877" s="29" t="s">
        <v>33951</v>
      </c>
      <c r="E3877" s="29" t="s">
        <v>44868</v>
      </c>
      <c r="F3877" s="36" t="s">
        <v>54401</v>
      </c>
      <c r="G3877" s="39">
        <v>39478.99</v>
      </c>
      <c r="H3877" s="42">
        <v>211</v>
      </c>
    </row>
    <row r="3878" spans="1:8" ht="15" customHeight="1">
      <c r="A3878" s="26">
        <v>46369468</v>
      </c>
      <c r="B3878" s="29" t="s">
        <v>6114</v>
      </c>
      <c r="C3878" s="29" t="s">
        <v>20732</v>
      </c>
      <c r="D3878" s="29" t="s">
        <v>33952</v>
      </c>
      <c r="E3878" s="29" t="s">
        <v>47030</v>
      </c>
      <c r="F3878" s="36" t="s">
        <v>54402</v>
      </c>
      <c r="G3878" s="39">
        <v>1412873.81</v>
      </c>
      <c r="H3878" s="42">
        <v>211</v>
      </c>
    </row>
    <row r="3879" spans="1:8" ht="15" customHeight="1">
      <c r="A3879" s="26">
        <v>46369747</v>
      </c>
      <c r="B3879" s="29" t="s">
        <v>6115</v>
      </c>
      <c r="C3879" s="29" t="s">
        <v>20733</v>
      </c>
      <c r="D3879" s="29" t="s">
        <v>33953</v>
      </c>
      <c r="E3879" s="29" t="s">
        <v>47031</v>
      </c>
      <c r="F3879" s="36" t="s">
        <v>54402</v>
      </c>
      <c r="G3879" s="39">
        <v>6751341.0099999998</v>
      </c>
      <c r="H3879" s="42">
        <v>211</v>
      </c>
    </row>
    <row r="3880" spans="1:8" ht="15" customHeight="1">
      <c r="A3880" s="26">
        <v>46370550</v>
      </c>
      <c r="B3880" s="29" t="s">
        <v>6116</v>
      </c>
      <c r="C3880" s="29" t="s">
        <v>20734</v>
      </c>
      <c r="D3880" s="29" t="s">
        <v>33954</v>
      </c>
      <c r="E3880" s="29" t="s">
        <v>47032</v>
      </c>
      <c r="F3880" s="36" t="s">
        <v>54401</v>
      </c>
      <c r="G3880" s="39">
        <f>1761097.37-148347</f>
        <v>1612750.37</v>
      </c>
      <c r="H3880" s="42">
        <v>211</v>
      </c>
    </row>
    <row r="3881" spans="1:8" ht="15" customHeight="1">
      <c r="A3881" s="26">
        <v>46370598</v>
      </c>
      <c r="B3881" s="29" t="s">
        <v>6117</v>
      </c>
      <c r="C3881" s="29" t="s">
        <v>20735</v>
      </c>
      <c r="D3881" s="29" t="s">
        <v>33955</v>
      </c>
      <c r="E3881" s="29" t="s">
        <v>47033</v>
      </c>
      <c r="F3881" s="36" t="s">
        <v>54401</v>
      </c>
      <c r="G3881" s="39">
        <v>461991.93</v>
      </c>
      <c r="H3881" s="42">
        <v>211</v>
      </c>
    </row>
    <row r="3882" spans="1:8" ht="15" customHeight="1">
      <c r="A3882" s="26">
        <v>46370677</v>
      </c>
      <c r="B3882" s="29" t="s">
        <v>6118</v>
      </c>
      <c r="C3882" s="29" t="s">
        <v>20736</v>
      </c>
      <c r="D3882" s="29" t="s">
        <v>33956</v>
      </c>
      <c r="E3882" s="29" t="s">
        <v>47034</v>
      </c>
      <c r="F3882" s="36" t="s">
        <v>54401</v>
      </c>
      <c r="G3882" s="39">
        <v>604981.14</v>
      </c>
      <c r="H3882" s="42">
        <v>211</v>
      </c>
    </row>
    <row r="3883" spans="1:8" ht="15" customHeight="1">
      <c r="A3883" s="26">
        <v>46370714</v>
      </c>
      <c r="B3883" s="29" t="s">
        <v>6119</v>
      </c>
      <c r="C3883" s="26" t="s">
        <v>20737</v>
      </c>
      <c r="D3883" s="26" t="s">
        <v>33957</v>
      </c>
      <c r="E3883" s="26" t="s">
        <v>47035</v>
      </c>
      <c r="F3883" s="37" t="s">
        <v>54401</v>
      </c>
      <c r="G3883" s="39">
        <v>191520.89</v>
      </c>
      <c r="H3883" s="42">
        <v>211</v>
      </c>
    </row>
    <row r="3884" spans="1:8" ht="15" customHeight="1">
      <c r="A3884" s="26">
        <v>46371467</v>
      </c>
      <c r="B3884" s="29" t="s">
        <v>6120</v>
      </c>
      <c r="C3884" s="29" t="s">
        <v>20738</v>
      </c>
      <c r="D3884" s="29" t="s">
        <v>33958</v>
      </c>
      <c r="E3884" s="29" t="s">
        <v>47036</v>
      </c>
      <c r="F3884" s="36" t="s">
        <v>54406</v>
      </c>
      <c r="G3884" s="39">
        <v>960818.44</v>
      </c>
      <c r="H3884" s="42">
        <v>211</v>
      </c>
    </row>
    <row r="3885" spans="1:8" ht="15" customHeight="1">
      <c r="A3885" s="26">
        <v>46371683</v>
      </c>
      <c r="B3885" s="29" t="s">
        <v>6121</v>
      </c>
      <c r="C3885" s="29" t="s">
        <v>20739</v>
      </c>
      <c r="D3885" s="29" t="s">
        <v>33959</v>
      </c>
      <c r="E3885" s="29" t="s">
        <v>47037</v>
      </c>
      <c r="F3885" s="36" t="s">
        <v>54409</v>
      </c>
      <c r="G3885" s="39">
        <f>12161233.65-343179</f>
        <v>11818054.65</v>
      </c>
      <c r="H3885" s="42">
        <v>211</v>
      </c>
    </row>
    <row r="3886" spans="1:8" ht="15" customHeight="1">
      <c r="A3886" s="26">
        <v>46372159</v>
      </c>
      <c r="B3886" s="29" t="s">
        <v>6122</v>
      </c>
      <c r="C3886" s="29" t="s">
        <v>20740</v>
      </c>
      <c r="D3886" s="29" t="s">
        <v>33960</v>
      </c>
      <c r="E3886" s="29" t="s">
        <v>44586</v>
      </c>
      <c r="F3886" s="36" t="s">
        <v>54401</v>
      </c>
      <c r="G3886" s="39">
        <v>325431.34000000003</v>
      </c>
      <c r="H3886" s="42">
        <v>211</v>
      </c>
    </row>
    <row r="3887" spans="1:8" ht="15" customHeight="1">
      <c r="A3887" s="26">
        <v>46372163</v>
      </c>
      <c r="B3887" s="29" t="s">
        <v>6123</v>
      </c>
      <c r="C3887" s="29" t="s">
        <v>17204</v>
      </c>
      <c r="D3887" s="29" t="s">
        <v>30349</v>
      </c>
      <c r="E3887" s="29" t="s">
        <v>43926</v>
      </c>
      <c r="F3887" s="36" t="s">
        <v>54401</v>
      </c>
      <c r="G3887" s="39">
        <v>11222.06</v>
      </c>
      <c r="H3887" s="42">
        <v>211</v>
      </c>
    </row>
    <row r="3888" spans="1:8" ht="15" customHeight="1">
      <c r="A3888" s="26">
        <v>46372326</v>
      </c>
      <c r="B3888" s="29" t="s">
        <v>6124</v>
      </c>
      <c r="C3888" s="29" t="s">
        <v>20741</v>
      </c>
      <c r="D3888" s="29" t="s">
        <v>33961</v>
      </c>
      <c r="E3888" s="29" t="s">
        <v>47038</v>
      </c>
      <c r="F3888" s="36" t="s">
        <v>54401</v>
      </c>
      <c r="G3888" s="39">
        <v>8873.9500000000007</v>
      </c>
      <c r="H3888" s="42">
        <v>211</v>
      </c>
    </row>
    <row r="3889" spans="1:8" ht="15" customHeight="1">
      <c r="A3889" s="26">
        <v>46372625</v>
      </c>
      <c r="B3889" s="29" t="s">
        <v>6125</v>
      </c>
      <c r="C3889" s="29" t="s">
        <v>20742</v>
      </c>
      <c r="D3889" s="29" t="s">
        <v>33962</v>
      </c>
      <c r="E3889" s="29" t="s">
        <v>47039</v>
      </c>
      <c r="F3889" s="36" t="s">
        <v>54401</v>
      </c>
      <c r="G3889" s="39">
        <v>14525.4</v>
      </c>
      <c r="H3889" s="42">
        <v>211</v>
      </c>
    </row>
    <row r="3890" spans="1:8" ht="15" customHeight="1">
      <c r="A3890" s="26">
        <v>46372891</v>
      </c>
      <c r="B3890" s="29" t="s">
        <v>6126</v>
      </c>
      <c r="C3890" s="29" t="s">
        <v>20743</v>
      </c>
      <c r="D3890" s="29" t="s">
        <v>33963</v>
      </c>
      <c r="E3890" s="29" t="s">
        <v>47040</v>
      </c>
      <c r="F3890" s="36" t="s">
        <v>54401</v>
      </c>
      <c r="G3890" s="39">
        <v>404475.56</v>
      </c>
      <c r="H3890" s="42">
        <v>211</v>
      </c>
    </row>
    <row r="3891" spans="1:8" ht="15" customHeight="1">
      <c r="A3891" s="26">
        <v>46373226</v>
      </c>
      <c r="B3891" s="29" t="s">
        <v>6127</v>
      </c>
      <c r="C3891" s="29" t="s">
        <v>20744</v>
      </c>
      <c r="D3891" s="29" t="s">
        <v>33964</v>
      </c>
      <c r="E3891" s="29" t="s">
        <v>47041</v>
      </c>
      <c r="F3891" s="36" t="s">
        <v>54401</v>
      </c>
      <c r="G3891" s="39">
        <v>5176533.76</v>
      </c>
      <c r="H3891" s="42">
        <v>211</v>
      </c>
    </row>
    <row r="3892" spans="1:8" ht="15" customHeight="1">
      <c r="A3892" s="26">
        <v>46373458</v>
      </c>
      <c r="B3892" s="29" t="s">
        <v>6128</v>
      </c>
      <c r="C3892" s="29" t="s">
        <v>20745</v>
      </c>
      <c r="D3892" s="29" t="s">
        <v>33965</v>
      </c>
      <c r="E3892" s="29" t="s">
        <v>47042</v>
      </c>
      <c r="F3892" s="36" t="s">
        <v>54404</v>
      </c>
      <c r="G3892" s="39">
        <f>1638967.24+15453997-126184</f>
        <v>16966780.239999998</v>
      </c>
      <c r="H3892" s="42">
        <v>211</v>
      </c>
    </row>
    <row r="3893" spans="1:8" ht="15" customHeight="1">
      <c r="A3893" s="26">
        <v>46373493</v>
      </c>
      <c r="B3893" s="29" t="s">
        <v>6129</v>
      </c>
      <c r="C3893" s="29" t="s">
        <v>20746</v>
      </c>
      <c r="D3893" s="29" t="s">
        <v>33966</v>
      </c>
      <c r="E3893" s="29" t="s">
        <v>47043</v>
      </c>
      <c r="F3893" s="36" t="s">
        <v>54401</v>
      </c>
      <c r="G3893" s="39">
        <f>3951785.53+489348</f>
        <v>4441133.5299999993</v>
      </c>
      <c r="H3893" s="42">
        <v>211</v>
      </c>
    </row>
    <row r="3894" spans="1:8" ht="15" customHeight="1">
      <c r="A3894" s="26">
        <v>46373709</v>
      </c>
      <c r="B3894" s="29" t="s">
        <v>6130</v>
      </c>
      <c r="C3894" s="26" t="s">
        <v>17204</v>
      </c>
      <c r="D3894" s="26" t="s">
        <v>30349</v>
      </c>
      <c r="E3894" s="26" t="s">
        <v>43926</v>
      </c>
      <c r="F3894" s="37" t="s">
        <v>54401</v>
      </c>
      <c r="G3894" s="39">
        <v>47205.04</v>
      </c>
      <c r="H3894" s="42">
        <v>211</v>
      </c>
    </row>
    <row r="3895" spans="1:8" ht="15" customHeight="1">
      <c r="A3895" s="26">
        <v>46373733</v>
      </c>
      <c r="B3895" s="29" t="s">
        <v>6131</v>
      </c>
      <c r="C3895" s="29" t="s">
        <v>20747</v>
      </c>
      <c r="D3895" s="29" t="s">
        <v>33967</v>
      </c>
      <c r="E3895" s="29" t="s">
        <v>47044</v>
      </c>
      <c r="F3895" s="36" t="s">
        <v>54401</v>
      </c>
      <c r="G3895" s="39">
        <v>1683412.19</v>
      </c>
      <c r="H3895" s="42">
        <v>211</v>
      </c>
    </row>
    <row r="3896" spans="1:8" ht="15" customHeight="1">
      <c r="A3896" s="26">
        <v>46373901</v>
      </c>
      <c r="B3896" s="29" t="s">
        <v>6132</v>
      </c>
      <c r="C3896" s="26" t="s">
        <v>20748</v>
      </c>
      <c r="D3896" s="26" t="s">
        <v>33968</v>
      </c>
      <c r="E3896" s="26" t="s">
        <v>47045</v>
      </c>
      <c r="F3896" s="37" t="s">
        <v>54401</v>
      </c>
      <c r="G3896" s="39">
        <v>4934315.5599999996</v>
      </c>
      <c r="H3896" s="42">
        <v>211</v>
      </c>
    </row>
    <row r="3897" spans="1:8" ht="15" customHeight="1">
      <c r="A3897" s="26">
        <v>46374024</v>
      </c>
      <c r="B3897" s="29" t="s">
        <v>6133</v>
      </c>
      <c r="C3897" s="29" t="s">
        <v>20749</v>
      </c>
      <c r="D3897" s="29" t="s">
        <v>33969</v>
      </c>
      <c r="E3897" s="29" t="s">
        <v>47046</v>
      </c>
      <c r="F3897" s="36" t="s">
        <v>54401</v>
      </c>
      <c r="G3897" s="39">
        <v>2219197.48</v>
      </c>
      <c r="H3897" s="42">
        <v>211</v>
      </c>
    </row>
    <row r="3898" spans="1:8" ht="15" customHeight="1">
      <c r="A3898" s="26">
        <v>46374394</v>
      </c>
      <c r="B3898" s="29" t="s">
        <v>6134</v>
      </c>
      <c r="C3898" s="29" t="s">
        <v>20750</v>
      </c>
      <c r="D3898" s="29" t="s">
        <v>33970</v>
      </c>
      <c r="E3898" s="29" t="s">
        <v>45075</v>
      </c>
      <c r="F3898" s="36" t="s">
        <v>54401</v>
      </c>
      <c r="G3898" s="39">
        <v>2447327.02</v>
      </c>
      <c r="H3898" s="42">
        <v>211</v>
      </c>
    </row>
    <row r="3899" spans="1:8" ht="15" customHeight="1">
      <c r="A3899" s="26">
        <v>46374757</v>
      </c>
      <c r="B3899" s="29" t="s">
        <v>6135</v>
      </c>
      <c r="C3899" s="26" t="s">
        <v>17204</v>
      </c>
      <c r="D3899" s="26" t="s">
        <v>30349</v>
      </c>
      <c r="E3899" s="26" t="s">
        <v>43926</v>
      </c>
      <c r="F3899" s="37" t="s">
        <v>54401</v>
      </c>
      <c r="G3899" s="39">
        <v>56501.17</v>
      </c>
      <c r="H3899" s="42">
        <v>211</v>
      </c>
    </row>
    <row r="3900" spans="1:8" ht="15" customHeight="1">
      <c r="A3900" s="26">
        <v>46374766</v>
      </c>
      <c r="B3900" s="29" t="s">
        <v>6136</v>
      </c>
      <c r="C3900" s="29" t="s">
        <v>17204</v>
      </c>
      <c r="D3900" s="29" t="s">
        <v>30349</v>
      </c>
      <c r="E3900" s="29" t="s">
        <v>43926</v>
      </c>
      <c r="F3900" s="36" t="s">
        <v>54401</v>
      </c>
      <c r="G3900" s="39">
        <v>170983.77</v>
      </c>
      <c r="H3900" s="42">
        <v>211</v>
      </c>
    </row>
    <row r="3901" spans="1:8" ht="15" customHeight="1">
      <c r="A3901" s="26">
        <v>46374967</v>
      </c>
      <c r="B3901" s="29" t="s">
        <v>6137</v>
      </c>
      <c r="C3901" s="29" t="s">
        <v>20751</v>
      </c>
      <c r="D3901" s="29" t="s">
        <v>33971</v>
      </c>
      <c r="E3901" s="29" t="s">
        <v>43926</v>
      </c>
      <c r="F3901" s="36" t="s">
        <v>54401</v>
      </c>
      <c r="G3901" s="39">
        <v>792829.87</v>
      </c>
      <c r="H3901" s="42">
        <v>211</v>
      </c>
    </row>
    <row r="3902" spans="1:8" ht="15" customHeight="1">
      <c r="A3902" s="26">
        <v>46375043</v>
      </c>
      <c r="B3902" s="29" t="s">
        <v>6138</v>
      </c>
      <c r="C3902" s="29" t="s">
        <v>20752</v>
      </c>
      <c r="D3902" s="29" t="s">
        <v>33972</v>
      </c>
      <c r="E3902" s="29" t="s">
        <v>47047</v>
      </c>
      <c r="F3902" s="36" t="s">
        <v>54402</v>
      </c>
      <c r="G3902" s="39">
        <v>4446480.49</v>
      </c>
      <c r="H3902" s="42">
        <v>211</v>
      </c>
    </row>
    <row r="3903" spans="1:8" ht="15" customHeight="1">
      <c r="A3903" s="26">
        <v>46375211</v>
      </c>
      <c r="B3903" s="29" t="s">
        <v>6139</v>
      </c>
      <c r="C3903" s="29" t="s">
        <v>20753</v>
      </c>
      <c r="D3903" s="29" t="s">
        <v>33973</v>
      </c>
      <c r="E3903" s="29" t="s">
        <v>47048</v>
      </c>
      <c r="F3903" s="36" t="s">
        <v>54401</v>
      </c>
      <c r="G3903" s="39">
        <v>4201.68</v>
      </c>
      <c r="H3903" s="42">
        <v>211</v>
      </c>
    </row>
    <row r="3904" spans="1:8" ht="15" customHeight="1">
      <c r="A3904" s="26">
        <v>46375253</v>
      </c>
      <c r="B3904" s="29" t="s">
        <v>6140</v>
      </c>
      <c r="C3904" s="29" t="s">
        <v>20754</v>
      </c>
      <c r="D3904" s="29" t="s">
        <v>33974</v>
      </c>
      <c r="E3904" s="29" t="s">
        <v>47049</v>
      </c>
      <c r="F3904" s="36" t="s">
        <v>54402</v>
      </c>
      <c r="G3904" s="39">
        <f>4743251.09-666019</f>
        <v>4077232.09</v>
      </c>
      <c r="H3904" s="42">
        <v>211</v>
      </c>
    </row>
    <row r="3905" spans="1:8" ht="15" customHeight="1">
      <c r="A3905" s="26">
        <v>46375262</v>
      </c>
      <c r="B3905" s="29" t="s">
        <v>6141</v>
      </c>
      <c r="C3905" s="29" t="s">
        <v>20755</v>
      </c>
      <c r="D3905" s="29" t="s">
        <v>33975</v>
      </c>
      <c r="E3905" s="29" t="s">
        <v>47050</v>
      </c>
      <c r="F3905" s="36" t="s">
        <v>54401</v>
      </c>
      <c r="G3905" s="39">
        <v>978189.36</v>
      </c>
      <c r="H3905" s="42">
        <v>211</v>
      </c>
    </row>
    <row r="3906" spans="1:8" ht="15" customHeight="1">
      <c r="A3906" s="26">
        <v>46375480</v>
      </c>
      <c r="B3906" s="29" t="s">
        <v>6142</v>
      </c>
      <c r="C3906" s="29" t="s">
        <v>20756</v>
      </c>
      <c r="D3906" s="29" t="s">
        <v>33976</v>
      </c>
      <c r="E3906" s="29" t="s">
        <v>47051</v>
      </c>
      <c r="F3906" s="36" t="s">
        <v>54401</v>
      </c>
      <c r="G3906" s="39">
        <v>1204195.02</v>
      </c>
      <c r="H3906" s="42">
        <v>211</v>
      </c>
    </row>
    <row r="3907" spans="1:8" ht="15" customHeight="1">
      <c r="A3907" s="26">
        <v>46375634</v>
      </c>
      <c r="B3907" s="29" t="s">
        <v>6143</v>
      </c>
      <c r="C3907" s="29" t="s">
        <v>17204</v>
      </c>
      <c r="D3907" s="29" t="s">
        <v>33977</v>
      </c>
      <c r="E3907" s="29" t="s">
        <v>43926</v>
      </c>
      <c r="F3907" s="36" t="s">
        <v>54401</v>
      </c>
      <c r="G3907" s="39">
        <v>582255.5</v>
      </c>
      <c r="H3907" s="42">
        <v>211</v>
      </c>
    </row>
    <row r="3908" spans="1:8" ht="15" customHeight="1">
      <c r="A3908" s="26">
        <v>46375640</v>
      </c>
      <c r="B3908" s="29" t="s">
        <v>6144</v>
      </c>
      <c r="C3908" s="29" t="s">
        <v>20757</v>
      </c>
      <c r="D3908" s="29" t="s">
        <v>33978</v>
      </c>
      <c r="E3908" s="29" t="s">
        <v>47052</v>
      </c>
      <c r="F3908" s="36" t="s">
        <v>54401</v>
      </c>
      <c r="G3908" s="39">
        <v>559677.09</v>
      </c>
      <c r="H3908" s="42">
        <v>211</v>
      </c>
    </row>
    <row r="3909" spans="1:8" ht="15" customHeight="1">
      <c r="A3909" s="26">
        <v>46375789</v>
      </c>
      <c r="B3909" s="29" t="s">
        <v>6145</v>
      </c>
      <c r="C3909" s="26" t="s">
        <v>20758</v>
      </c>
      <c r="D3909" s="26" t="s">
        <v>33979</v>
      </c>
      <c r="E3909" s="26" t="s">
        <v>47053</v>
      </c>
      <c r="F3909" s="37" t="s">
        <v>54448</v>
      </c>
      <c r="G3909" s="39">
        <v>94311.59</v>
      </c>
      <c r="H3909" s="42">
        <v>211</v>
      </c>
    </row>
    <row r="3910" spans="1:8" ht="15" customHeight="1">
      <c r="A3910" s="26">
        <v>46375826</v>
      </c>
      <c r="B3910" s="29" t="s">
        <v>6146</v>
      </c>
      <c r="C3910" s="29" t="s">
        <v>20759</v>
      </c>
      <c r="D3910" s="29" t="s">
        <v>33980</v>
      </c>
      <c r="E3910" s="29" t="s">
        <v>47054</v>
      </c>
      <c r="F3910" s="36" t="s">
        <v>54401</v>
      </c>
      <c r="G3910" s="39">
        <f>7536100.68+75406+72470</f>
        <v>7683976.6799999997</v>
      </c>
      <c r="H3910" s="42">
        <v>211</v>
      </c>
    </row>
    <row r="3911" spans="1:8" ht="15" customHeight="1">
      <c r="A3911" s="26">
        <v>46375847</v>
      </c>
      <c r="B3911" s="29" t="s">
        <v>6147</v>
      </c>
      <c r="C3911" s="29" t="s">
        <v>20760</v>
      </c>
      <c r="D3911" s="29" t="s">
        <v>33981</v>
      </c>
      <c r="E3911" s="29" t="s">
        <v>47055</v>
      </c>
      <c r="F3911" s="36" t="s">
        <v>54401</v>
      </c>
      <c r="G3911" s="39">
        <v>914529.22</v>
      </c>
      <c r="H3911" s="42">
        <v>211</v>
      </c>
    </row>
    <row r="3912" spans="1:8" ht="15" customHeight="1">
      <c r="A3912" s="26">
        <v>46376184</v>
      </c>
      <c r="B3912" s="29" t="s">
        <v>6148</v>
      </c>
      <c r="C3912" s="29" t="s">
        <v>20761</v>
      </c>
      <c r="D3912" s="29" t="s">
        <v>33982</v>
      </c>
      <c r="E3912" s="29" t="s">
        <v>47056</v>
      </c>
      <c r="F3912" s="36" t="s">
        <v>54402</v>
      </c>
      <c r="G3912" s="39">
        <v>59042.02</v>
      </c>
      <c r="H3912" s="42">
        <v>211</v>
      </c>
    </row>
    <row r="3913" spans="1:8" ht="15" customHeight="1">
      <c r="A3913" s="26">
        <v>46376232</v>
      </c>
      <c r="B3913" s="29" t="s">
        <v>6149</v>
      </c>
      <c r="C3913" s="29" t="s">
        <v>20762</v>
      </c>
      <c r="D3913" s="29" t="s">
        <v>33983</v>
      </c>
      <c r="E3913" s="29" t="s">
        <v>47057</v>
      </c>
      <c r="F3913" s="36" t="s">
        <v>54438</v>
      </c>
      <c r="G3913" s="39">
        <f>6131763.65-340636</f>
        <v>5791127.6500000004</v>
      </c>
      <c r="H3913" s="42">
        <v>211</v>
      </c>
    </row>
    <row r="3914" spans="1:8" ht="15" customHeight="1">
      <c r="A3914" s="26">
        <v>46376441</v>
      </c>
      <c r="B3914" s="29" t="s">
        <v>6150</v>
      </c>
      <c r="C3914" s="29" t="s">
        <v>20763</v>
      </c>
      <c r="D3914" s="29" t="s">
        <v>33984</v>
      </c>
      <c r="E3914" s="29" t="s">
        <v>47058</v>
      </c>
      <c r="F3914" s="36" t="s">
        <v>54401</v>
      </c>
      <c r="G3914" s="39">
        <v>8579.83</v>
      </c>
      <c r="H3914" s="42">
        <v>211</v>
      </c>
    </row>
    <row r="3915" spans="1:8" ht="15" customHeight="1">
      <c r="A3915" s="26">
        <v>46376931</v>
      </c>
      <c r="B3915" s="29" t="s">
        <v>6151</v>
      </c>
      <c r="C3915" s="29" t="s">
        <v>20764</v>
      </c>
      <c r="D3915" s="29" t="s">
        <v>33985</v>
      </c>
      <c r="E3915" s="29" t="s">
        <v>47059</v>
      </c>
      <c r="F3915" s="36" t="s">
        <v>54401</v>
      </c>
      <c r="G3915" s="39">
        <v>122893.9</v>
      </c>
      <c r="H3915" s="42">
        <v>211</v>
      </c>
    </row>
    <row r="3916" spans="1:8" ht="15" customHeight="1">
      <c r="A3916" s="26">
        <v>46376996</v>
      </c>
      <c r="B3916" s="29" t="s">
        <v>6152</v>
      </c>
      <c r="C3916" s="29" t="s">
        <v>20667</v>
      </c>
      <c r="D3916" s="29" t="s">
        <v>33889</v>
      </c>
      <c r="E3916" s="29" t="s">
        <v>47060</v>
      </c>
      <c r="F3916" s="36" t="s">
        <v>54401</v>
      </c>
      <c r="G3916" s="39">
        <v>1206822.44</v>
      </c>
      <c r="H3916" s="42">
        <v>211</v>
      </c>
    </row>
    <row r="3917" spans="1:8" ht="15" customHeight="1">
      <c r="A3917" s="26">
        <v>46377059</v>
      </c>
      <c r="B3917" s="29" t="s">
        <v>6153</v>
      </c>
      <c r="C3917" s="29" t="s">
        <v>20765</v>
      </c>
      <c r="D3917" s="29" t="s">
        <v>33986</v>
      </c>
      <c r="E3917" s="29" t="s">
        <v>47061</v>
      </c>
      <c r="F3917" s="36" t="s">
        <v>54402</v>
      </c>
      <c r="G3917" s="39">
        <f>15748648.36-68584</f>
        <v>15680064.359999999</v>
      </c>
      <c r="H3917" s="42">
        <v>211</v>
      </c>
    </row>
    <row r="3918" spans="1:8" ht="15" customHeight="1">
      <c r="A3918" s="26">
        <v>46377146</v>
      </c>
      <c r="B3918" s="29" t="s">
        <v>6154</v>
      </c>
      <c r="C3918" s="29" t="s">
        <v>20766</v>
      </c>
      <c r="D3918" s="29" t="s">
        <v>33987</v>
      </c>
      <c r="E3918" s="29" t="s">
        <v>47062</v>
      </c>
      <c r="F3918" s="36" t="s">
        <v>54449</v>
      </c>
      <c r="G3918" s="39">
        <v>98920.42</v>
      </c>
      <c r="H3918" s="42">
        <v>211</v>
      </c>
    </row>
    <row r="3919" spans="1:8" ht="15" customHeight="1">
      <c r="A3919" s="26">
        <v>46377396</v>
      </c>
      <c r="B3919" s="29" t="s">
        <v>6155</v>
      </c>
      <c r="C3919" s="29" t="s">
        <v>20767</v>
      </c>
      <c r="D3919" s="29" t="s">
        <v>33988</v>
      </c>
      <c r="E3919" s="29" t="s">
        <v>44536</v>
      </c>
      <c r="F3919" s="36" t="s">
        <v>54401</v>
      </c>
      <c r="G3919" s="39">
        <v>7033.61</v>
      </c>
      <c r="H3919" s="42">
        <v>211</v>
      </c>
    </row>
    <row r="3920" spans="1:8" ht="15" customHeight="1">
      <c r="A3920" s="26">
        <v>46377474</v>
      </c>
      <c r="B3920" s="29" t="s">
        <v>6156</v>
      </c>
      <c r="C3920" s="29" t="s">
        <v>17204</v>
      </c>
      <c r="D3920" s="29" t="s">
        <v>33989</v>
      </c>
      <c r="E3920" s="29" t="s">
        <v>43926</v>
      </c>
      <c r="F3920" s="36" t="s">
        <v>54401</v>
      </c>
      <c r="G3920" s="39">
        <v>80032.88</v>
      </c>
      <c r="H3920" s="42">
        <v>211</v>
      </c>
    </row>
    <row r="3921" spans="1:8" ht="15" customHeight="1">
      <c r="A3921" s="26">
        <v>46377684</v>
      </c>
      <c r="B3921" s="29" t="s">
        <v>6157</v>
      </c>
      <c r="C3921" s="29" t="s">
        <v>20768</v>
      </c>
      <c r="D3921" s="29" t="s">
        <v>33990</v>
      </c>
      <c r="E3921" s="29" t="s">
        <v>47063</v>
      </c>
      <c r="F3921" s="36" t="s">
        <v>54402</v>
      </c>
      <c r="G3921" s="39">
        <f>6025845.63-206000</f>
        <v>5819845.6299999999</v>
      </c>
      <c r="H3921" s="42">
        <v>211</v>
      </c>
    </row>
    <row r="3922" spans="1:8" ht="15" customHeight="1">
      <c r="A3922" s="26">
        <v>46377968</v>
      </c>
      <c r="B3922" s="29" t="s">
        <v>6158</v>
      </c>
      <c r="C3922" s="29" t="s">
        <v>17204</v>
      </c>
      <c r="D3922" s="29" t="s">
        <v>30349</v>
      </c>
      <c r="E3922" s="29" t="s">
        <v>43926</v>
      </c>
      <c r="F3922" s="36" t="s">
        <v>54401</v>
      </c>
      <c r="G3922" s="39">
        <v>342436.48</v>
      </c>
      <c r="H3922" s="42">
        <v>211</v>
      </c>
    </row>
    <row r="3923" spans="1:8" ht="15" customHeight="1">
      <c r="A3923" s="26">
        <v>46378124</v>
      </c>
      <c r="B3923" s="29" t="s">
        <v>6159</v>
      </c>
      <c r="C3923" s="29" t="s">
        <v>20769</v>
      </c>
      <c r="D3923" s="29" t="s">
        <v>33991</v>
      </c>
      <c r="E3923" s="29" t="s">
        <v>47064</v>
      </c>
      <c r="F3923" s="36" t="s">
        <v>54401</v>
      </c>
      <c r="G3923" s="39">
        <v>471320.23</v>
      </c>
      <c r="H3923" s="42">
        <v>211</v>
      </c>
    </row>
    <row r="3924" spans="1:8" ht="15" customHeight="1">
      <c r="A3924" s="26">
        <v>46378325</v>
      </c>
      <c r="B3924" s="29" t="s">
        <v>6160</v>
      </c>
      <c r="C3924" s="26" t="s">
        <v>17204</v>
      </c>
      <c r="D3924" s="26" t="s">
        <v>30349</v>
      </c>
      <c r="E3924" s="26" t="s">
        <v>43926</v>
      </c>
      <c r="F3924" s="37" t="s">
        <v>54401</v>
      </c>
      <c r="G3924" s="39">
        <v>170739.62</v>
      </c>
      <c r="H3924" s="42">
        <v>211</v>
      </c>
    </row>
    <row r="3925" spans="1:8" ht="15" customHeight="1">
      <c r="A3925" s="26">
        <v>46378385</v>
      </c>
      <c r="B3925" s="29" t="s">
        <v>6161</v>
      </c>
      <c r="C3925" s="29" t="s">
        <v>20770</v>
      </c>
      <c r="D3925" s="29" t="s">
        <v>33992</v>
      </c>
      <c r="E3925" s="29" t="s">
        <v>47065</v>
      </c>
      <c r="F3925" s="36" t="s">
        <v>54401</v>
      </c>
      <c r="G3925" s="39">
        <v>9663.8700000000008</v>
      </c>
      <c r="H3925" s="42">
        <v>211</v>
      </c>
    </row>
    <row r="3926" spans="1:8" ht="15" customHeight="1">
      <c r="A3926" s="26">
        <v>46378474</v>
      </c>
      <c r="B3926" s="29" t="s">
        <v>6162</v>
      </c>
      <c r="C3926" s="29" t="s">
        <v>20771</v>
      </c>
      <c r="D3926" s="29" t="s">
        <v>33993</v>
      </c>
      <c r="E3926" s="29" t="s">
        <v>47066</v>
      </c>
      <c r="F3926" s="36" t="s">
        <v>54401</v>
      </c>
      <c r="G3926" s="39">
        <v>201074.03</v>
      </c>
      <c r="H3926" s="42">
        <v>211</v>
      </c>
    </row>
    <row r="3927" spans="1:8" ht="15" customHeight="1">
      <c r="A3927" s="26">
        <v>46378480</v>
      </c>
      <c r="B3927" s="29" t="s">
        <v>6163</v>
      </c>
      <c r="C3927" s="29" t="s">
        <v>20772</v>
      </c>
      <c r="D3927" s="29" t="s">
        <v>33994</v>
      </c>
      <c r="E3927" s="29" t="s">
        <v>47067</v>
      </c>
      <c r="F3927" s="36" t="s">
        <v>54401</v>
      </c>
      <c r="G3927" s="39">
        <v>3000586.93</v>
      </c>
      <c r="H3927" s="42">
        <v>211</v>
      </c>
    </row>
    <row r="3928" spans="1:8" ht="15" customHeight="1">
      <c r="A3928" s="26">
        <v>46378510</v>
      </c>
      <c r="B3928" s="29" t="s">
        <v>6164</v>
      </c>
      <c r="C3928" s="29" t="s">
        <v>20773</v>
      </c>
      <c r="D3928" s="29" t="s">
        <v>33995</v>
      </c>
      <c r="E3928" s="29" t="s">
        <v>43926</v>
      </c>
      <c r="F3928" s="36" t="s">
        <v>54401</v>
      </c>
      <c r="G3928" s="39">
        <v>972694.25</v>
      </c>
      <c r="H3928" s="42">
        <v>211</v>
      </c>
    </row>
    <row r="3929" spans="1:8" ht="15" customHeight="1">
      <c r="A3929" s="26">
        <v>46378571</v>
      </c>
      <c r="B3929" s="29" t="s">
        <v>6165</v>
      </c>
      <c r="C3929" s="29" t="s">
        <v>20774</v>
      </c>
      <c r="D3929" s="29" t="s">
        <v>33996</v>
      </c>
      <c r="E3929" s="29" t="s">
        <v>47006</v>
      </c>
      <c r="F3929" s="36" t="s">
        <v>54401</v>
      </c>
      <c r="G3929" s="39">
        <v>6261024.7300000004</v>
      </c>
      <c r="H3929" s="42">
        <v>211</v>
      </c>
    </row>
    <row r="3930" spans="1:8" ht="15" customHeight="1">
      <c r="A3930" s="26">
        <v>46378883</v>
      </c>
      <c r="B3930" s="29" t="s">
        <v>6166</v>
      </c>
      <c r="C3930" s="29" t="s">
        <v>20775</v>
      </c>
      <c r="D3930" s="29" t="s">
        <v>33997</v>
      </c>
      <c r="E3930" s="29" t="s">
        <v>47068</v>
      </c>
      <c r="F3930" s="36" t="s">
        <v>54401</v>
      </c>
      <c r="G3930" s="39">
        <v>2245294.1</v>
      </c>
      <c r="H3930" s="42">
        <v>211</v>
      </c>
    </row>
    <row r="3931" spans="1:8" ht="15" customHeight="1">
      <c r="A3931" s="26">
        <v>46379193</v>
      </c>
      <c r="B3931" s="29" t="s">
        <v>6167</v>
      </c>
      <c r="C3931" s="29" t="s">
        <v>20776</v>
      </c>
      <c r="D3931" s="29" t="s">
        <v>33998</v>
      </c>
      <c r="E3931" s="29" t="s">
        <v>47069</v>
      </c>
      <c r="F3931" s="36" t="s">
        <v>54402</v>
      </c>
      <c r="G3931" s="39">
        <f>16863122.52-4333333</f>
        <v>12529789.52</v>
      </c>
      <c r="H3931" s="42">
        <v>211</v>
      </c>
    </row>
    <row r="3932" spans="1:8" ht="15" customHeight="1">
      <c r="A3932" s="26">
        <v>46379204</v>
      </c>
      <c r="B3932" s="29" t="s">
        <v>6168</v>
      </c>
      <c r="C3932" s="29" t="s">
        <v>20777</v>
      </c>
      <c r="D3932" s="29" t="s">
        <v>33999</v>
      </c>
      <c r="E3932" s="29" t="s">
        <v>47070</v>
      </c>
      <c r="F3932" s="36" t="s">
        <v>54402</v>
      </c>
      <c r="G3932" s="39">
        <v>388654.54</v>
      </c>
      <c r="H3932" s="42">
        <v>211</v>
      </c>
    </row>
    <row r="3933" spans="1:8" ht="15" customHeight="1">
      <c r="A3933" s="26">
        <v>46379239</v>
      </c>
      <c r="B3933" s="29" t="s">
        <v>6169</v>
      </c>
      <c r="C3933" s="29" t="s">
        <v>20778</v>
      </c>
      <c r="D3933" s="29" t="s">
        <v>34000</v>
      </c>
      <c r="E3933" s="29" t="s">
        <v>47071</v>
      </c>
      <c r="F3933" s="36" t="s">
        <v>54401</v>
      </c>
      <c r="G3933" s="39">
        <v>2916461.42</v>
      </c>
      <c r="H3933" s="42">
        <v>211</v>
      </c>
    </row>
    <row r="3934" spans="1:8" ht="15" customHeight="1">
      <c r="A3934" s="26">
        <v>46379243</v>
      </c>
      <c r="B3934" s="29" t="s">
        <v>6170</v>
      </c>
      <c r="C3934" s="29" t="s">
        <v>17204</v>
      </c>
      <c r="D3934" s="29" t="s">
        <v>30349</v>
      </c>
      <c r="E3934" s="29" t="s">
        <v>43926</v>
      </c>
      <c r="F3934" s="36" t="s">
        <v>54401</v>
      </c>
      <c r="G3934" s="39">
        <v>377437.38</v>
      </c>
      <c r="H3934" s="42">
        <v>211</v>
      </c>
    </row>
    <row r="3935" spans="1:8" ht="15" customHeight="1">
      <c r="A3935" s="26">
        <v>46379252</v>
      </c>
      <c r="B3935" s="29" t="s">
        <v>6171</v>
      </c>
      <c r="C3935" s="29" t="s">
        <v>20779</v>
      </c>
      <c r="D3935" s="29" t="s">
        <v>34001</v>
      </c>
      <c r="E3935" s="29" t="s">
        <v>47072</v>
      </c>
      <c r="F3935" s="36" t="s">
        <v>54401</v>
      </c>
      <c r="G3935" s="39">
        <f>688504.91+2791954</f>
        <v>3480458.91</v>
      </c>
      <c r="H3935" s="42">
        <v>211</v>
      </c>
    </row>
    <row r="3936" spans="1:8" ht="15" customHeight="1">
      <c r="A3936" s="26">
        <v>46379302</v>
      </c>
      <c r="B3936" s="29" t="s">
        <v>6172</v>
      </c>
      <c r="C3936" s="29" t="s">
        <v>20780</v>
      </c>
      <c r="D3936" s="29" t="s">
        <v>34002</v>
      </c>
      <c r="E3936" s="29" t="s">
        <v>717</v>
      </c>
      <c r="F3936" s="36" t="s">
        <v>54401</v>
      </c>
      <c r="G3936" s="39">
        <v>116181.19</v>
      </c>
      <c r="H3936" s="42">
        <v>211</v>
      </c>
    </row>
    <row r="3937" spans="1:8" ht="15" customHeight="1">
      <c r="A3937" s="26">
        <v>46379406</v>
      </c>
      <c r="B3937" s="29" t="s">
        <v>6173</v>
      </c>
      <c r="C3937" s="29" t="s">
        <v>20781</v>
      </c>
      <c r="D3937" s="29" t="s">
        <v>34003</v>
      </c>
      <c r="E3937" s="29" t="s">
        <v>47073</v>
      </c>
      <c r="F3937" s="36" t="s">
        <v>54401</v>
      </c>
      <c r="G3937" s="39">
        <v>2966565.06</v>
      </c>
      <c r="H3937" s="42">
        <v>211</v>
      </c>
    </row>
    <row r="3938" spans="1:8" ht="15" customHeight="1">
      <c r="A3938" s="26">
        <v>46379892</v>
      </c>
      <c r="B3938" s="29" t="s">
        <v>6174</v>
      </c>
      <c r="C3938" s="29" t="s">
        <v>20782</v>
      </c>
      <c r="D3938" s="29" t="s">
        <v>34004</v>
      </c>
      <c r="E3938" s="29" t="s">
        <v>47074</v>
      </c>
      <c r="F3938" s="36" t="s">
        <v>54401</v>
      </c>
      <c r="G3938" s="39">
        <v>28431.52</v>
      </c>
      <c r="H3938" s="42">
        <v>211</v>
      </c>
    </row>
    <row r="3939" spans="1:8" ht="15" customHeight="1">
      <c r="A3939" s="26">
        <v>46379990</v>
      </c>
      <c r="B3939" s="29" t="s">
        <v>6175</v>
      </c>
      <c r="C3939" s="29" t="s">
        <v>20783</v>
      </c>
      <c r="D3939" s="29" t="s">
        <v>34005</v>
      </c>
      <c r="E3939" s="29" t="s">
        <v>47075</v>
      </c>
      <c r="F3939" s="36" t="s">
        <v>54401</v>
      </c>
      <c r="G3939" s="39">
        <v>728352.94</v>
      </c>
      <c r="H3939" s="42">
        <v>211</v>
      </c>
    </row>
    <row r="3940" spans="1:8" ht="15" customHeight="1">
      <c r="A3940" s="26">
        <v>46380121</v>
      </c>
      <c r="B3940" s="29" t="s">
        <v>6176</v>
      </c>
      <c r="C3940" s="29" t="s">
        <v>20784</v>
      </c>
      <c r="D3940" s="29" t="s">
        <v>34006</v>
      </c>
      <c r="E3940" s="29" t="s">
        <v>43926</v>
      </c>
      <c r="F3940" s="36" t="s">
        <v>54401</v>
      </c>
      <c r="G3940" s="39">
        <v>1770658.99</v>
      </c>
      <c r="H3940" s="42">
        <v>211</v>
      </c>
    </row>
    <row r="3941" spans="1:8" ht="15" customHeight="1">
      <c r="A3941" s="26">
        <v>46380300</v>
      </c>
      <c r="B3941" s="29" t="s">
        <v>6177</v>
      </c>
      <c r="C3941" s="29" t="s">
        <v>20785</v>
      </c>
      <c r="D3941" s="29" t="s">
        <v>34007</v>
      </c>
      <c r="E3941" s="29" t="s">
        <v>47076</v>
      </c>
      <c r="F3941" s="36" t="s">
        <v>54401</v>
      </c>
      <c r="G3941" s="39">
        <v>334926.17</v>
      </c>
      <c r="H3941" s="42">
        <v>211</v>
      </c>
    </row>
    <row r="3942" spans="1:8" ht="15" customHeight="1">
      <c r="A3942" s="26">
        <v>46380399</v>
      </c>
      <c r="B3942" s="29" t="s">
        <v>6178</v>
      </c>
      <c r="C3942" s="29" t="s">
        <v>20786</v>
      </c>
      <c r="D3942" s="29" t="s">
        <v>34008</v>
      </c>
      <c r="E3942" s="29" t="s">
        <v>47077</v>
      </c>
      <c r="F3942" s="36" t="s">
        <v>54401</v>
      </c>
      <c r="G3942" s="39">
        <v>29953.75</v>
      </c>
      <c r="H3942" s="42">
        <v>211</v>
      </c>
    </row>
    <row r="3943" spans="1:8" ht="15" customHeight="1">
      <c r="A3943" s="26">
        <v>46380558</v>
      </c>
      <c r="B3943" s="29" t="s">
        <v>6179</v>
      </c>
      <c r="C3943" s="29" t="s">
        <v>20787</v>
      </c>
      <c r="D3943" s="29" t="s">
        <v>32207</v>
      </c>
      <c r="E3943" s="29" t="s">
        <v>47078</v>
      </c>
      <c r="F3943" s="36" t="s">
        <v>54417</v>
      </c>
      <c r="G3943" s="39">
        <v>8911264.8900000006</v>
      </c>
      <c r="H3943" s="42">
        <v>211</v>
      </c>
    </row>
    <row r="3944" spans="1:8" ht="15" customHeight="1">
      <c r="A3944" s="26">
        <v>46380840</v>
      </c>
      <c r="B3944" s="29" t="s">
        <v>6180</v>
      </c>
      <c r="C3944" s="29" t="s">
        <v>20788</v>
      </c>
      <c r="D3944" s="29" t="s">
        <v>34009</v>
      </c>
      <c r="E3944" s="29" t="s">
        <v>43926</v>
      </c>
      <c r="F3944" s="36" t="s">
        <v>54401</v>
      </c>
      <c r="G3944" s="39">
        <v>454693.82</v>
      </c>
      <c r="H3944" s="42">
        <v>211</v>
      </c>
    </row>
    <row r="3945" spans="1:8" ht="15" customHeight="1">
      <c r="A3945" s="26">
        <v>46380861</v>
      </c>
      <c r="B3945" s="29" t="s">
        <v>6181</v>
      </c>
      <c r="C3945" s="29" t="s">
        <v>20789</v>
      </c>
      <c r="D3945" s="29" t="s">
        <v>34010</v>
      </c>
      <c r="E3945" s="29" t="s">
        <v>47079</v>
      </c>
      <c r="F3945" s="36" t="s">
        <v>54401</v>
      </c>
      <c r="G3945" s="39">
        <v>943816.75</v>
      </c>
      <c r="H3945" s="42">
        <v>211</v>
      </c>
    </row>
    <row r="3946" spans="1:8" ht="15" customHeight="1">
      <c r="A3946" s="26">
        <v>46380909</v>
      </c>
      <c r="B3946" s="29" t="s">
        <v>6182</v>
      </c>
      <c r="C3946" s="29" t="s">
        <v>20790</v>
      </c>
      <c r="D3946" s="29" t="s">
        <v>34011</v>
      </c>
      <c r="E3946" s="29" t="s">
        <v>47080</v>
      </c>
      <c r="F3946" s="36" t="s">
        <v>54406</v>
      </c>
      <c r="G3946" s="39">
        <v>2534214.71</v>
      </c>
      <c r="H3946" s="42">
        <v>211</v>
      </c>
    </row>
    <row r="3947" spans="1:8" ht="15" customHeight="1">
      <c r="A3947" s="26">
        <v>46381151</v>
      </c>
      <c r="B3947" s="29" t="s">
        <v>6183</v>
      </c>
      <c r="C3947" s="29" t="s">
        <v>17204</v>
      </c>
      <c r="D3947" s="29" t="s">
        <v>30349</v>
      </c>
      <c r="E3947" s="29" t="s">
        <v>43926</v>
      </c>
      <c r="F3947" s="36" t="s">
        <v>54401</v>
      </c>
      <c r="G3947" s="39">
        <v>162220.32999999999</v>
      </c>
      <c r="H3947" s="42">
        <v>211</v>
      </c>
    </row>
    <row r="3948" spans="1:8" ht="15" customHeight="1">
      <c r="A3948" s="26">
        <v>46381460</v>
      </c>
      <c r="B3948" s="29" t="s">
        <v>6184</v>
      </c>
      <c r="C3948" s="29" t="s">
        <v>20791</v>
      </c>
      <c r="D3948" s="29" t="s">
        <v>34012</v>
      </c>
      <c r="E3948" s="29" t="s">
        <v>47081</v>
      </c>
      <c r="F3948" s="36" t="s">
        <v>54402</v>
      </c>
      <c r="G3948" s="39">
        <v>295187.11</v>
      </c>
      <c r="H3948" s="42">
        <v>211</v>
      </c>
    </row>
    <row r="3949" spans="1:8" ht="15" customHeight="1">
      <c r="A3949" s="26">
        <v>46381485</v>
      </c>
      <c r="B3949" s="29" t="s">
        <v>6185</v>
      </c>
      <c r="C3949" s="29" t="s">
        <v>20792</v>
      </c>
      <c r="D3949" s="29" t="s">
        <v>34013</v>
      </c>
      <c r="E3949" s="29" t="s">
        <v>47082</v>
      </c>
      <c r="F3949" s="36" t="s">
        <v>54401</v>
      </c>
      <c r="G3949" s="39">
        <v>2849878.22</v>
      </c>
      <c r="H3949" s="42">
        <v>211</v>
      </c>
    </row>
    <row r="3950" spans="1:8" ht="15" customHeight="1">
      <c r="A3950" s="26">
        <v>46381572</v>
      </c>
      <c r="B3950" s="29" t="s">
        <v>6186</v>
      </c>
      <c r="C3950" s="29" t="s">
        <v>20793</v>
      </c>
      <c r="D3950" s="29" t="s">
        <v>34014</v>
      </c>
      <c r="E3950" s="29" t="s">
        <v>47083</v>
      </c>
      <c r="F3950" s="36" t="s">
        <v>54401</v>
      </c>
      <c r="G3950" s="39">
        <v>2035398.06</v>
      </c>
      <c r="H3950" s="42">
        <v>211</v>
      </c>
    </row>
    <row r="3951" spans="1:8" ht="15" customHeight="1">
      <c r="A3951" s="26">
        <v>46381646</v>
      </c>
      <c r="B3951" s="29" t="s">
        <v>6187</v>
      </c>
      <c r="C3951" s="29" t="s">
        <v>20794</v>
      </c>
      <c r="D3951" s="29" t="s">
        <v>34015</v>
      </c>
      <c r="E3951" s="29" t="s">
        <v>47084</v>
      </c>
      <c r="F3951" s="36" t="s">
        <v>54402</v>
      </c>
      <c r="G3951" s="39">
        <v>188089.07</v>
      </c>
      <c r="H3951" s="42">
        <v>211</v>
      </c>
    </row>
    <row r="3952" spans="1:8" ht="15" customHeight="1">
      <c r="A3952" s="26">
        <v>46381840</v>
      </c>
      <c r="B3952" s="29" t="s">
        <v>6188</v>
      </c>
      <c r="C3952" s="26" t="s">
        <v>17204</v>
      </c>
      <c r="D3952" s="26" t="s">
        <v>30349</v>
      </c>
      <c r="E3952" s="26" t="s">
        <v>43926</v>
      </c>
      <c r="F3952" s="37" t="s">
        <v>54401</v>
      </c>
      <c r="G3952" s="39">
        <v>74393.070000000007</v>
      </c>
      <c r="H3952" s="42">
        <v>211</v>
      </c>
    </row>
    <row r="3953" spans="1:8" ht="15" customHeight="1">
      <c r="A3953" s="26">
        <v>46381862</v>
      </c>
      <c r="B3953" s="29" t="s">
        <v>6189</v>
      </c>
      <c r="C3953" s="29" t="s">
        <v>20795</v>
      </c>
      <c r="D3953" s="29" t="s">
        <v>34016</v>
      </c>
      <c r="E3953" s="29" t="s">
        <v>47085</v>
      </c>
      <c r="F3953" s="36" t="s">
        <v>54443</v>
      </c>
      <c r="G3953" s="39">
        <f>5413190.3-53400</f>
        <v>5359790.3</v>
      </c>
      <c r="H3953" s="42">
        <v>211</v>
      </c>
    </row>
    <row r="3954" spans="1:8" ht="15" customHeight="1">
      <c r="A3954" s="26">
        <v>46382076</v>
      </c>
      <c r="B3954" s="29" t="s">
        <v>6190</v>
      </c>
      <c r="C3954" s="29" t="s">
        <v>20796</v>
      </c>
      <c r="D3954" s="29" t="s">
        <v>34017</v>
      </c>
      <c r="E3954" s="29" t="s">
        <v>47086</v>
      </c>
      <c r="F3954" s="36" t="s">
        <v>54401</v>
      </c>
      <c r="G3954" s="39">
        <v>194277.3</v>
      </c>
      <c r="H3954" s="42">
        <v>211</v>
      </c>
    </row>
    <row r="3955" spans="1:8" ht="15" customHeight="1">
      <c r="A3955" s="26">
        <v>46382329</v>
      </c>
      <c r="B3955" s="29" t="s">
        <v>6191</v>
      </c>
      <c r="C3955" s="29" t="s">
        <v>20797</v>
      </c>
      <c r="D3955" s="29" t="s">
        <v>34018</v>
      </c>
      <c r="E3955" s="29" t="s">
        <v>47087</v>
      </c>
      <c r="F3955" s="36" t="s">
        <v>54401</v>
      </c>
      <c r="G3955" s="39">
        <v>57494.79</v>
      </c>
      <c r="H3955" s="42">
        <v>211</v>
      </c>
    </row>
    <row r="3956" spans="1:8" ht="15" customHeight="1">
      <c r="A3956" s="26">
        <v>46382365</v>
      </c>
      <c r="B3956" s="29" t="s">
        <v>6192</v>
      </c>
      <c r="C3956" s="29" t="s">
        <v>17204</v>
      </c>
      <c r="D3956" s="29" t="s">
        <v>30349</v>
      </c>
      <c r="E3956" s="29" t="s">
        <v>43926</v>
      </c>
      <c r="F3956" s="36" t="s">
        <v>54401</v>
      </c>
      <c r="G3956" s="39">
        <v>215379.77</v>
      </c>
      <c r="H3956" s="42">
        <v>211</v>
      </c>
    </row>
    <row r="3957" spans="1:8" ht="15" customHeight="1">
      <c r="A3957" s="26">
        <v>46382585</v>
      </c>
      <c r="B3957" s="29" t="s">
        <v>6193</v>
      </c>
      <c r="C3957" s="29" t="s">
        <v>17204</v>
      </c>
      <c r="D3957" s="29" t="s">
        <v>30349</v>
      </c>
      <c r="E3957" s="29" t="s">
        <v>43926</v>
      </c>
      <c r="F3957" s="36" t="s">
        <v>54401</v>
      </c>
      <c r="G3957" s="39">
        <v>258780.32</v>
      </c>
      <c r="H3957" s="42">
        <v>211</v>
      </c>
    </row>
    <row r="3958" spans="1:8" ht="15" customHeight="1">
      <c r="A3958" s="26">
        <v>46382703</v>
      </c>
      <c r="B3958" s="29" t="s">
        <v>6194</v>
      </c>
      <c r="C3958" s="29" t="s">
        <v>20798</v>
      </c>
      <c r="D3958" s="29" t="s">
        <v>34019</v>
      </c>
      <c r="E3958" s="29" t="s">
        <v>47088</v>
      </c>
      <c r="F3958" s="36" t="s">
        <v>54401</v>
      </c>
      <c r="G3958" s="39">
        <v>502452</v>
      </c>
      <c r="H3958" s="42">
        <v>211</v>
      </c>
    </row>
    <row r="3959" spans="1:8" ht="15" customHeight="1">
      <c r="A3959" s="26">
        <v>46382788</v>
      </c>
      <c r="B3959" s="29" t="s">
        <v>6195</v>
      </c>
      <c r="C3959" s="29" t="s">
        <v>20799</v>
      </c>
      <c r="D3959" s="29" t="s">
        <v>34020</v>
      </c>
      <c r="E3959" s="29" t="s">
        <v>47089</v>
      </c>
      <c r="F3959" s="36" t="s">
        <v>54401</v>
      </c>
      <c r="G3959" s="39">
        <v>2347746.37</v>
      </c>
      <c r="H3959" s="42">
        <v>211</v>
      </c>
    </row>
    <row r="3960" spans="1:8" ht="15" customHeight="1">
      <c r="A3960" s="26">
        <v>46382931</v>
      </c>
      <c r="B3960" s="29" t="s">
        <v>6196</v>
      </c>
      <c r="C3960" s="29" t="s">
        <v>20800</v>
      </c>
      <c r="D3960" s="29" t="s">
        <v>34021</v>
      </c>
      <c r="E3960" s="29" t="s">
        <v>47090</v>
      </c>
      <c r="F3960" s="36" t="s">
        <v>54402</v>
      </c>
      <c r="G3960" s="39">
        <v>790870.21</v>
      </c>
      <c r="H3960" s="42">
        <v>211</v>
      </c>
    </row>
    <row r="3961" spans="1:8" ht="15" customHeight="1">
      <c r="A3961" s="26">
        <v>46382935</v>
      </c>
      <c r="B3961" s="29" t="s">
        <v>6197</v>
      </c>
      <c r="C3961" s="29" t="s">
        <v>20801</v>
      </c>
      <c r="D3961" s="29" t="s">
        <v>34022</v>
      </c>
      <c r="E3961" s="29" t="s">
        <v>46409</v>
      </c>
      <c r="F3961" s="36" t="s">
        <v>54401</v>
      </c>
      <c r="G3961" s="39">
        <v>192241.89</v>
      </c>
      <c r="H3961" s="42">
        <v>211</v>
      </c>
    </row>
    <row r="3962" spans="1:8" ht="15" customHeight="1">
      <c r="A3962" s="26">
        <v>46383227</v>
      </c>
      <c r="B3962" s="29" t="s">
        <v>6198</v>
      </c>
      <c r="C3962" s="29" t="s">
        <v>20802</v>
      </c>
      <c r="D3962" s="29" t="s">
        <v>34023</v>
      </c>
      <c r="E3962" s="29" t="s">
        <v>47091</v>
      </c>
      <c r="F3962" s="36" t="s">
        <v>54401</v>
      </c>
      <c r="G3962" s="39">
        <v>220340.11</v>
      </c>
      <c r="H3962" s="42">
        <v>211</v>
      </c>
    </row>
    <row r="3963" spans="1:8" ht="15" customHeight="1">
      <c r="A3963" s="26">
        <v>46383403</v>
      </c>
      <c r="B3963" s="29" t="s">
        <v>6199</v>
      </c>
      <c r="C3963" s="29" t="s">
        <v>20803</v>
      </c>
      <c r="D3963" s="29" t="s">
        <v>34024</v>
      </c>
      <c r="E3963" s="29" t="s">
        <v>47092</v>
      </c>
      <c r="F3963" s="36" t="s">
        <v>54401</v>
      </c>
      <c r="G3963" s="39">
        <v>3428153.17</v>
      </c>
      <c r="H3963" s="42">
        <v>211</v>
      </c>
    </row>
    <row r="3964" spans="1:8" ht="15" customHeight="1">
      <c r="A3964" s="26">
        <v>46383503</v>
      </c>
      <c r="B3964" s="29" t="s">
        <v>6200</v>
      </c>
      <c r="C3964" s="29" t="s">
        <v>20804</v>
      </c>
      <c r="D3964" s="29" t="s">
        <v>34025</v>
      </c>
      <c r="E3964" s="29" t="s">
        <v>47093</v>
      </c>
      <c r="F3964" s="36" t="s">
        <v>54401</v>
      </c>
      <c r="G3964" s="39">
        <v>38264.699999999997</v>
      </c>
      <c r="H3964" s="42">
        <v>211</v>
      </c>
    </row>
    <row r="3965" spans="1:8" ht="15" customHeight="1">
      <c r="A3965" s="26">
        <v>46383627</v>
      </c>
      <c r="B3965" s="29" t="s">
        <v>6201</v>
      </c>
      <c r="C3965" s="29" t="s">
        <v>20805</v>
      </c>
      <c r="D3965" s="29" t="s">
        <v>34026</v>
      </c>
      <c r="E3965" s="29" t="s">
        <v>44407</v>
      </c>
      <c r="F3965" s="36" t="s">
        <v>54401</v>
      </c>
      <c r="G3965" s="39">
        <v>21260.5</v>
      </c>
      <c r="H3965" s="42">
        <v>211</v>
      </c>
    </row>
    <row r="3966" spans="1:8" ht="15" customHeight="1">
      <c r="A3966" s="26">
        <v>46383677</v>
      </c>
      <c r="B3966" s="29" t="s">
        <v>6202</v>
      </c>
      <c r="C3966" s="29" t="s">
        <v>20806</v>
      </c>
      <c r="D3966" s="29" t="s">
        <v>34027</v>
      </c>
      <c r="E3966" s="29" t="s">
        <v>47094</v>
      </c>
      <c r="F3966" s="36" t="s">
        <v>54402</v>
      </c>
      <c r="G3966" s="39">
        <v>343242.63</v>
      </c>
      <c r="H3966" s="42">
        <v>211</v>
      </c>
    </row>
    <row r="3967" spans="1:8" ht="15" customHeight="1">
      <c r="A3967" s="26">
        <v>46383693</v>
      </c>
      <c r="B3967" s="29" t="s">
        <v>6203</v>
      </c>
      <c r="C3967" s="29" t="s">
        <v>20807</v>
      </c>
      <c r="D3967" s="29" t="s">
        <v>34028</v>
      </c>
      <c r="E3967" s="29" t="s">
        <v>47095</v>
      </c>
      <c r="F3967" s="36" t="s">
        <v>54401</v>
      </c>
      <c r="G3967" s="39">
        <v>277920.38</v>
      </c>
      <c r="H3967" s="42">
        <v>211</v>
      </c>
    </row>
    <row r="3968" spans="1:8" ht="15" customHeight="1">
      <c r="A3968" s="26">
        <v>46383824</v>
      </c>
      <c r="B3968" s="29" t="s">
        <v>6204</v>
      </c>
      <c r="C3968" s="29" t="s">
        <v>20808</v>
      </c>
      <c r="D3968" s="29" t="s">
        <v>34029</v>
      </c>
      <c r="E3968" s="29" t="s">
        <v>715</v>
      </c>
      <c r="F3968" s="36" t="s">
        <v>54401</v>
      </c>
      <c r="G3968" s="39">
        <v>823946.17</v>
      </c>
      <c r="H3968" s="42">
        <v>211</v>
      </c>
    </row>
    <row r="3969" spans="1:8" ht="15" customHeight="1">
      <c r="A3969" s="26">
        <v>46384049</v>
      </c>
      <c r="B3969" s="29" t="s">
        <v>6205</v>
      </c>
      <c r="C3969" s="29" t="s">
        <v>20809</v>
      </c>
      <c r="D3969" s="29" t="s">
        <v>34030</v>
      </c>
      <c r="E3969" s="29" t="s">
        <v>47096</v>
      </c>
      <c r="F3969" s="36" t="s">
        <v>54406</v>
      </c>
      <c r="G3969" s="39">
        <f>4473290.86-85110</f>
        <v>4388180.8600000003</v>
      </c>
      <c r="H3969" s="42">
        <v>211</v>
      </c>
    </row>
    <row r="3970" spans="1:8" ht="15" customHeight="1">
      <c r="A3970" s="26">
        <v>46384089</v>
      </c>
      <c r="B3970" s="29" t="s">
        <v>6206</v>
      </c>
      <c r="C3970" s="29" t="s">
        <v>20810</v>
      </c>
      <c r="D3970" s="29" t="s">
        <v>34031</v>
      </c>
      <c r="E3970" s="29" t="s">
        <v>47097</v>
      </c>
      <c r="F3970" s="36" t="s">
        <v>54401</v>
      </c>
      <c r="G3970" s="39">
        <v>97033.600000000006</v>
      </c>
      <c r="H3970" s="42">
        <v>211</v>
      </c>
    </row>
    <row r="3971" spans="1:8" ht="15" customHeight="1">
      <c r="A3971" s="26">
        <v>46384167</v>
      </c>
      <c r="B3971" s="29" t="s">
        <v>6207</v>
      </c>
      <c r="C3971" s="29" t="s">
        <v>20811</v>
      </c>
      <c r="D3971" s="29" t="s">
        <v>34032</v>
      </c>
      <c r="E3971" s="29" t="s">
        <v>47098</v>
      </c>
      <c r="F3971" s="36" t="s">
        <v>54401</v>
      </c>
      <c r="G3971" s="39">
        <v>410868.26</v>
      </c>
      <c r="H3971" s="42">
        <v>211</v>
      </c>
    </row>
    <row r="3972" spans="1:8" ht="15" customHeight="1">
      <c r="A3972" s="26">
        <v>46384347</v>
      </c>
      <c r="B3972" s="29" t="s">
        <v>6208</v>
      </c>
      <c r="C3972" s="29" t="s">
        <v>20812</v>
      </c>
      <c r="D3972" s="29" t="s">
        <v>34033</v>
      </c>
      <c r="E3972" s="29" t="s">
        <v>47099</v>
      </c>
      <c r="F3972" s="36" t="s">
        <v>54401</v>
      </c>
      <c r="G3972" s="39">
        <v>402135.24</v>
      </c>
      <c r="H3972" s="42">
        <v>211</v>
      </c>
    </row>
    <row r="3973" spans="1:8" ht="15" customHeight="1">
      <c r="A3973" s="26">
        <v>46384532</v>
      </c>
      <c r="B3973" s="29" t="s">
        <v>6209</v>
      </c>
      <c r="C3973" s="29" t="s">
        <v>20813</v>
      </c>
      <c r="D3973" s="29" t="s">
        <v>34034</v>
      </c>
      <c r="E3973" s="29" t="s">
        <v>47100</v>
      </c>
      <c r="F3973" s="36" t="s">
        <v>54401</v>
      </c>
      <c r="G3973" s="39">
        <v>4131129.36</v>
      </c>
      <c r="H3973" s="42">
        <v>211</v>
      </c>
    </row>
    <row r="3974" spans="1:8" ht="15" customHeight="1">
      <c r="A3974" s="26">
        <v>46384576</v>
      </c>
      <c r="B3974" s="29" t="s">
        <v>6210</v>
      </c>
      <c r="C3974" s="29" t="s">
        <v>20814</v>
      </c>
      <c r="D3974" s="29" t="s">
        <v>34035</v>
      </c>
      <c r="E3974" s="29" t="s">
        <v>47101</v>
      </c>
      <c r="F3974" s="36" t="s">
        <v>54401</v>
      </c>
      <c r="G3974" s="39">
        <v>643906.66</v>
      </c>
      <c r="H3974" s="42">
        <v>211</v>
      </c>
    </row>
    <row r="3975" spans="1:8" ht="15" customHeight="1">
      <c r="A3975" s="26">
        <v>46384678</v>
      </c>
      <c r="B3975" s="29" t="s">
        <v>6211</v>
      </c>
      <c r="C3975" s="26" t="s">
        <v>20815</v>
      </c>
      <c r="D3975" s="26" t="s">
        <v>34036</v>
      </c>
      <c r="E3975" s="26" t="s">
        <v>47102</v>
      </c>
      <c r="F3975" s="37" t="s">
        <v>54401</v>
      </c>
      <c r="G3975" s="39">
        <f>2158415.01+499367</f>
        <v>2657782.0099999998</v>
      </c>
      <c r="H3975" s="42">
        <v>211</v>
      </c>
    </row>
    <row r="3976" spans="1:8" ht="15" customHeight="1">
      <c r="A3976" s="26">
        <v>46384789</v>
      </c>
      <c r="B3976" s="29" t="s">
        <v>6212</v>
      </c>
      <c r="C3976" s="29" t="s">
        <v>20816</v>
      </c>
      <c r="D3976" s="29" t="s">
        <v>34037</v>
      </c>
      <c r="E3976" s="29" t="s">
        <v>47103</v>
      </c>
      <c r="F3976" s="36" t="s">
        <v>54406</v>
      </c>
      <c r="G3976" s="39">
        <v>295107.21000000002</v>
      </c>
      <c r="H3976" s="42">
        <v>211</v>
      </c>
    </row>
    <row r="3977" spans="1:8" ht="15" customHeight="1">
      <c r="A3977" s="26">
        <v>46384838</v>
      </c>
      <c r="B3977" s="29" t="s">
        <v>6213</v>
      </c>
      <c r="C3977" s="29" t="s">
        <v>20817</v>
      </c>
      <c r="D3977" s="29" t="s">
        <v>34038</v>
      </c>
      <c r="E3977" s="29" t="s">
        <v>47104</v>
      </c>
      <c r="F3977" s="36" t="s">
        <v>54401</v>
      </c>
      <c r="G3977" s="39">
        <v>134424.42000000001</v>
      </c>
      <c r="H3977" s="42">
        <v>211</v>
      </c>
    </row>
    <row r="3978" spans="1:8" ht="15" customHeight="1">
      <c r="A3978" s="26">
        <v>46385104</v>
      </c>
      <c r="B3978" s="29" t="s">
        <v>6214</v>
      </c>
      <c r="C3978" s="29" t="s">
        <v>20818</v>
      </c>
      <c r="D3978" s="29" t="s">
        <v>34039</v>
      </c>
      <c r="E3978" s="29" t="s">
        <v>47105</v>
      </c>
      <c r="F3978" s="36" t="s">
        <v>54443</v>
      </c>
      <c r="G3978" s="39">
        <f>21190738.13-371671</f>
        <v>20819067.129999999</v>
      </c>
      <c r="H3978" s="42">
        <v>211</v>
      </c>
    </row>
    <row r="3979" spans="1:8" ht="15" customHeight="1">
      <c r="A3979" s="26">
        <v>46385423</v>
      </c>
      <c r="B3979" s="29" t="s">
        <v>6215</v>
      </c>
      <c r="C3979" s="29" t="s">
        <v>20819</v>
      </c>
      <c r="D3979" s="29" t="s">
        <v>30376</v>
      </c>
      <c r="E3979" s="29" t="s">
        <v>47106</v>
      </c>
      <c r="F3979" s="36" t="s">
        <v>54401</v>
      </c>
      <c r="G3979" s="39">
        <v>279247.87</v>
      </c>
      <c r="H3979" s="42">
        <v>211</v>
      </c>
    </row>
    <row r="3980" spans="1:8" ht="15" customHeight="1">
      <c r="A3980" s="26">
        <v>46385510</v>
      </c>
      <c r="B3980" s="29" t="s">
        <v>6216</v>
      </c>
      <c r="C3980" s="29" t="s">
        <v>20820</v>
      </c>
      <c r="D3980" s="29" t="s">
        <v>34040</v>
      </c>
      <c r="E3980" s="29" t="s">
        <v>47107</v>
      </c>
      <c r="F3980" s="36" t="s">
        <v>54401</v>
      </c>
      <c r="G3980" s="39">
        <v>25549.16</v>
      </c>
      <c r="H3980" s="42">
        <v>211</v>
      </c>
    </row>
    <row r="3981" spans="1:8" ht="15" customHeight="1">
      <c r="A3981" s="26">
        <v>46385532</v>
      </c>
      <c r="B3981" s="29" t="s">
        <v>6217</v>
      </c>
      <c r="C3981" s="29" t="s">
        <v>20821</v>
      </c>
      <c r="D3981" s="29" t="s">
        <v>34041</v>
      </c>
      <c r="E3981" s="29" t="s">
        <v>47108</v>
      </c>
      <c r="F3981" s="36" t="s">
        <v>54402</v>
      </c>
      <c r="G3981" s="39">
        <v>1756171.59</v>
      </c>
      <c r="H3981" s="42">
        <v>211</v>
      </c>
    </row>
    <row r="3982" spans="1:8" ht="15" customHeight="1">
      <c r="A3982" s="26">
        <v>46385544</v>
      </c>
      <c r="B3982" s="29" t="s">
        <v>6218</v>
      </c>
      <c r="C3982" s="29" t="s">
        <v>20822</v>
      </c>
      <c r="D3982" s="29" t="s">
        <v>34042</v>
      </c>
      <c r="E3982" s="29" t="s">
        <v>47109</v>
      </c>
      <c r="F3982" s="36" t="s">
        <v>54401</v>
      </c>
      <c r="G3982" s="39">
        <v>1107638</v>
      </c>
      <c r="H3982" s="42">
        <v>211</v>
      </c>
    </row>
    <row r="3983" spans="1:8" ht="15" customHeight="1">
      <c r="A3983" s="26">
        <v>46385643</v>
      </c>
      <c r="B3983" s="29" t="s">
        <v>6219</v>
      </c>
      <c r="C3983" s="29" t="s">
        <v>20823</v>
      </c>
      <c r="D3983" s="29" t="s">
        <v>34043</v>
      </c>
      <c r="E3983" s="29" t="s">
        <v>47110</v>
      </c>
      <c r="F3983" s="36" t="s">
        <v>54401</v>
      </c>
      <c r="G3983" s="39">
        <f>1075200.75+327876</f>
        <v>1403076.75</v>
      </c>
      <c r="H3983" s="42">
        <v>211</v>
      </c>
    </row>
    <row r="3984" spans="1:8" ht="15" customHeight="1">
      <c r="A3984" s="26">
        <v>46385908</v>
      </c>
      <c r="B3984" s="29" t="s">
        <v>6220</v>
      </c>
      <c r="C3984" s="29" t="s">
        <v>20824</v>
      </c>
      <c r="D3984" s="29" t="s">
        <v>34044</v>
      </c>
      <c r="E3984" s="29" t="s">
        <v>47111</v>
      </c>
      <c r="F3984" s="36" t="s">
        <v>54430</v>
      </c>
      <c r="G3984" s="39">
        <v>4876885.5199999996</v>
      </c>
      <c r="H3984" s="42">
        <v>211</v>
      </c>
    </row>
    <row r="3985" spans="1:8" ht="15" customHeight="1">
      <c r="A3985" s="26">
        <v>46386042</v>
      </c>
      <c r="B3985" s="29" t="s">
        <v>6221</v>
      </c>
      <c r="C3985" s="29" t="s">
        <v>20825</v>
      </c>
      <c r="D3985" s="29" t="s">
        <v>34045</v>
      </c>
      <c r="E3985" s="29" t="s">
        <v>47112</v>
      </c>
      <c r="F3985" s="36" t="s">
        <v>54402</v>
      </c>
      <c r="G3985" s="39">
        <f>10137324.66-110579</f>
        <v>10026745.66</v>
      </c>
      <c r="H3985" s="42">
        <v>211</v>
      </c>
    </row>
    <row r="3986" spans="1:8" ht="15" customHeight="1">
      <c r="A3986" s="26">
        <v>46386090</v>
      </c>
      <c r="B3986" s="29" t="s">
        <v>6222</v>
      </c>
      <c r="C3986" s="29" t="s">
        <v>20826</v>
      </c>
      <c r="D3986" s="29" t="s">
        <v>34046</v>
      </c>
      <c r="E3986" s="29" t="s">
        <v>47110</v>
      </c>
      <c r="F3986" s="36" t="s">
        <v>54401</v>
      </c>
      <c r="G3986" s="39">
        <f>753010.85+504725</f>
        <v>1257735.8500000001</v>
      </c>
      <c r="H3986" s="42">
        <v>211</v>
      </c>
    </row>
    <row r="3987" spans="1:8" ht="15" customHeight="1">
      <c r="A3987" s="26">
        <v>46386131</v>
      </c>
      <c r="B3987" s="29" t="s">
        <v>6223</v>
      </c>
      <c r="C3987" s="29" t="s">
        <v>20827</v>
      </c>
      <c r="D3987" s="29" t="s">
        <v>34047</v>
      </c>
      <c r="E3987" s="29" t="s">
        <v>47113</v>
      </c>
      <c r="F3987" s="36" t="s">
        <v>54402</v>
      </c>
      <c r="G3987" s="39">
        <v>162458.99</v>
      </c>
      <c r="H3987" s="42">
        <v>211</v>
      </c>
    </row>
    <row r="3988" spans="1:8" ht="15" customHeight="1">
      <c r="A3988" s="26">
        <v>46386156</v>
      </c>
      <c r="B3988" s="29" t="s">
        <v>6224</v>
      </c>
      <c r="C3988" s="29" t="s">
        <v>17204</v>
      </c>
      <c r="D3988" s="29" t="s">
        <v>34048</v>
      </c>
      <c r="E3988" s="29" t="s">
        <v>43926</v>
      </c>
      <c r="F3988" s="36" t="s">
        <v>54401</v>
      </c>
      <c r="G3988" s="39">
        <v>41558.99</v>
      </c>
      <c r="H3988" s="42">
        <v>211</v>
      </c>
    </row>
    <row r="3989" spans="1:8" ht="15" customHeight="1">
      <c r="A3989" s="26">
        <v>46386255</v>
      </c>
      <c r="B3989" s="29" t="s">
        <v>6225</v>
      </c>
      <c r="C3989" s="29" t="s">
        <v>20828</v>
      </c>
      <c r="D3989" s="29" t="s">
        <v>34049</v>
      </c>
      <c r="E3989" s="29" t="s">
        <v>47114</v>
      </c>
      <c r="F3989" s="36" t="s">
        <v>54423</v>
      </c>
      <c r="G3989" s="39">
        <v>1167770.8799999999</v>
      </c>
      <c r="H3989" s="42">
        <v>211</v>
      </c>
    </row>
    <row r="3990" spans="1:8" ht="15" customHeight="1">
      <c r="A3990" s="26">
        <v>46386312</v>
      </c>
      <c r="B3990" s="29" t="s">
        <v>6226</v>
      </c>
      <c r="C3990" s="29" t="s">
        <v>20829</v>
      </c>
      <c r="D3990" s="29" t="s">
        <v>34050</v>
      </c>
      <c r="E3990" s="29" t="s">
        <v>45647</v>
      </c>
      <c r="F3990" s="36" t="s">
        <v>54401</v>
      </c>
      <c r="G3990" s="39">
        <v>293870.21999999997</v>
      </c>
      <c r="H3990" s="42">
        <v>211</v>
      </c>
    </row>
    <row r="3991" spans="1:8" ht="15" customHeight="1">
      <c r="A3991" s="26">
        <v>46386488</v>
      </c>
      <c r="B3991" s="29" t="s">
        <v>6227</v>
      </c>
      <c r="C3991" s="29" t="s">
        <v>20830</v>
      </c>
      <c r="D3991" s="29" t="s">
        <v>34051</v>
      </c>
      <c r="E3991" s="29" t="s">
        <v>47115</v>
      </c>
      <c r="F3991" s="36" t="s">
        <v>54402</v>
      </c>
      <c r="G3991" s="39">
        <f>11180818.21-225240</f>
        <v>10955578.210000001</v>
      </c>
      <c r="H3991" s="42">
        <v>211</v>
      </c>
    </row>
    <row r="3992" spans="1:8" ht="15" customHeight="1">
      <c r="A3992" s="26">
        <v>46386501</v>
      </c>
      <c r="B3992" s="29" t="s">
        <v>6228</v>
      </c>
      <c r="C3992" s="29" t="s">
        <v>20831</v>
      </c>
      <c r="D3992" s="29" t="s">
        <v>34052</v>
      </c>
      <c r="E3992" s="29" t="s">
        <v>47116</v>
      </c>
      <c r="F3992" s="36" t="s">
        <v>54401</v>
      </c>
      <c r="G3992" s="39">
        <v>657136.06999999995</v>
      </c>
      <c r="H3992" s="42">
        <v>211</v>
      </c>
    </row>
    <row r="3993" spans="1:8" ht="15" customHeight="1">
      <c r="A3993" s="26">
        <v>46386545</v>
      </c>
      <c r="B3993" s="29" t="s">
        <v>6229</v>
      </c>
      <c r="C3993" s="29" t="s">
        <v>20832</v>
      </c>
      <c r="D3993" s="29" t="s">
        <v>34053</v>
      </c>
      <c r="E3993" s="29" t="s">
        <v>47117</v>
      </c>
      <c r="F3993" s="36" t="s">
        <v>54401</v>
      </c>
      <c r="G3993" s="39">
        <v>45361.35</v>
      </c>
      <c r="H3993" s="42">
        <v>211</v>
      </c>
    </row>
    <row r="3994" spans="1:8" ht="15" customHeight="1">
      <c r="A3994" s="26">
        <v>46386572</v>
      </c>
      <c r="B3994" s="29" t="s">
        <v>6230</v>
      </c>
      <c r="C3994" s="29" t="s">
        <v>20833</v>
      </c>
      <c r="D3994" s="29" t="s">
        <v>34054</v>
      </c>
      <c r="E3994" s="29" t="s">
        <v>44360</v>
      </c>
      <c r="F3994" s="36" t="s">
        <v>54401</v>
      </c>
      <c r="G3994" s="39">
        <v>492223.25</v>
      </c>
      <c r="H3994" s="42">
        <v>211</v>
      </c>
    </row>
    <row r="3995" spans="1:8" ht="15" customHeight="1">
      <c r="A3995" s="26">
        <v>46386973</v>
      </c>
      <c r="B3995" s="29" t="s">
        <v>6231</v>
      </c>
      <c r="C3995" s="29" t="s">
        <v>17204</v>
      </c>
      <c r="D3995" s="29" t="s">
        <v>30349</v>
      </c>
      <c r="E3995" s="29" t="s">
        <v>43926</v>
      </c>
      <c r="F3995" s="36" t="s">
        <v>54401</v>
      </c>
      <c r="G3995" s="39">
        <v>547896.38</v>
      </c>
      <c r="H3995" s="42">
        <v>211</v>
      </c>
    </row>
    <row r="3996" spans="1:8" ht="15" customHeight="1">
      <c r="A3996" s="26">
        <v>46386985</v>
      </c>
      <c r="B3996" s="29" t="s">
        <v>6232</v>
      </c>
      <c r="C3996" s="29" t="s">
        <v>20834</v>
      </c>
      <c r="D3996" s="29" t="s">
        <v>34055</v>
      </c>
      <c r="E3996" s="29" t="s">
        <v>47118</v>
      </c>
      <c r="F3996" s="36" t="s">
        <v>54401</v>
      </c>
      <c r="G3996" s="39">
        <v>241948.67</v>
      </c>
      <c r="H3996" s="42">
        <v>211</v>
      </c>
    </row>
    <row r="3997" spans="1:8" ht="15" customHeight="1">
      <c r="A3997" s="26">
        <v>46387081</v>
      </c>
      <c r="B3997" s="29" t="s">
        <v>6233</v>
      </c>
      <c r="C3997" s="29" t="s">
        <v>20835</v>
      </c>
      <c r="D3997" s="29" t="s">
        <v>34056</v>
      </c>
      <c r="E3997" s="29" t="s">
        <v>47119</v>
      </c>
      <c r="F3997" s="36" t="s">
        <v>54401</v>
      </c>
      <c r="G3997" s="39">
        <v>81040.34</v>
      </c>
      <c r="H3997" s="42">
        <v>211</v>
      </c>
    </row>
    <row r="3998" spans="1:8" ht="15" customHeight="1">
      <c r="A3998" s="26">
        <v>46387138</v>
      </c>
      <c r="B3998" s="29" t="s">
        <v>6234</v>
      </c>
      <c r="C3998" s="29" t="s">
        <v>20836</v>
      </c>
      <c r="D3998" s="29" t="s">
        <v>30349</v>
      </c>
      <c r="E3998" s="29" t="s">
        <v>43926</v>
      </c>
      <c r="F3998" s="36" t="s">
        <v>54401</v>
      </c>
      <c r="G3998" s="39">
        <v>20912.86</v>
      </c>
      <c r="H3998" s="42">
        <v>211</v>
      </c>
    </row>
    <row r="3999" spans="1:8" ht="15" customHeight="1">
      <c r="A3999" s="26">
        <v>46387215</v>
      </c>
      <c r="B3999" s="29" t="s">
        <v>6235</v>
      </c>
      <c r="C3999" s="26" t="s">
        <v>17204</v>
      </c>
      <c r="D3999" s="26" t="s">
        <v>30349</v>
      </c>
      <c r="E3999" s="26" t="s">
        <v>43926</v>
      </c>
      <c r="F3999" s="37" t="s">
        <v>54401</v>
      </c>
      <c r="G3999" s="39">
        <v>346147.29</v>
      </c>
      <c r="H3999" s="42">
        <v>211</v>
      </c>
    </row>
    <row r="4000" spans="1:8" ht="15" customHeight="1">
      <c r="A4000" s="26">
        <v>46387358</v>
      </c>
      <c r="B4000" s="29" t="s">
        <v>6236</v>
      </c>
      <c r="C4000" s="29" t="s">
        <v>20837</v>
      </c>
      <c r="D4000" s="29" t="s">
        <v>34057</v>
      </c>
      <c r="E4000" s="29" t="s">
        <v>47120</v>
      </c>
      <c r="F4000" s="36" t="s">
        <v>54401</v>
      </c>
      <c r="G4000" s="39">
        <v>567494.75</v>
      </c>
      <c r="H4000" s="42">
        <v>211</v>
      </c>
    </row>
    <row r="4001" spans="1:8" ht="15" customHeight="1">
      <c r="A4001" s="26">
        <v>46387576</v>
      </c>
      <c r="B4001" s="29" t="s">
        <v>6237</v>
      </c>
      <c r="C4001" s="29" t="s">
        <v>20838</v>
      </c>
      <c r="D4001" s="29" t="s">
        <v>34058</v>
      </c>
      <c r="E4001" s="29" t="s">
        <v>47121</v>
      </c>
      <c r="F4001" s="36" t="s">
        <v>54413</v>
      </c>
      <c r="G4001" s="39">
        <v>2425882.36</v>
      </c>
      <c r="H4001" s="42">
        <v>211</v>
      </c>
    </row>
    <row r="4002" spans="1:8" ht="15" customHeight="1">
      <c r="A4002" s="26">
        <v>46387742</v>
      </c>
      <c r="B4002" s="29" t="s">
        <v>6238</v>
      </c>
      <c r="C4002" s="29" t="s">
        <v>20839</v>
      </c>
      <c r="D4002" s="29" t="s">
        <v>34059</v>
      </c>
      <c r="E4002" s="29" t="s">
        <v>47122</v>
      </c>
      <c r="F4002" s="36" t="s">
        <v>54401</v>
      </c>
      <c r="G4002" s="39">
        <v>14678.96</v>
      </c>
      <c r="H4002" s="42">
        <v>211</v>
      </c>
    </row>
    <row r="4003" spans="1:8" ht="15" customHeight="1">
      <c r="A4003" s="26">
        <v>46450032</v>
      </c>
      <c r="B4003" s="29" t="s">
        <v>6239</v>
      </c>
      <c r="C4003" s="26" t="s">
        <v>20840</v>
      </c>
      <c r="D4003" s="26" t="s">
        <v>34060</v>
      </c>
      <c r="E4003" s="26" t="s">
        <v>47123</v>
      </c>
      <c r="F4003" s="37" t="s">
        <v>54401</v>
      </c>
      <c r="G4003" s="39">
        <v>3232101.7</v>
      </c>
      <c r="H4003" s="42">
        <v>211</v>
      </c>
    </row>
    <row r="4004" spans="1:8" ht="15" customHeight="1">
      <c r="A4004" s="26">
        <v>46450046</v>
      </c>
      <c r="B4004" s="29" t="s">
        <v>6240</v>
      </c>
      <c r="C4004" s="29" t="s">
        <v>20841</v>
      </c>
      <c r="D4004" s="29" t="s">
        <v>34061</v>
      </c>
      <c r="E4004" s="29" t="s">
        <v>47124</v>
      </c>
      <c r="F4004" s="36" t="s">
        <v>54401</v>
      </c>
      <c r="G4004" s="39">
        <v>2191797.75</v>
      </c>
      <c r="H4004" s="42">
        <v>211</v>
      </c>
    </row>
    <row r="4005" spans="1:8" ht="15" customHeight="1">
      <c r="A4005" s="26">
        <v>46450061</v>
      </c>
      <c r="B4005" s="29" t="s">
        <v>6241</v>
      </c>
      <c r="C4005" s="29" t="s">
        <v>20842</v>
      </c>
      <c r="D4005" s="29" t="s">
        <v>34062</v>
      </c>
      <c r="E4005" s="29" t="s">
        <v>47125</v>
      </c>
      <c r="F4005" s="36" t="s">
        <v>54401</v>
      </c>
      <c r="G4005" s="39">
        <v>67029.759999999995</v>
      </c>
      <c r="H4005" s="42">
        <v>211</v>
      </c>
    </row>
    <row r="4006" spans="1:8" ht="15" customHeight="1">
      <c r="A4006" s="26">
        <v>46450077</v>
      </c>
      <c r="B4006" s="29" t="s">
        <v>6242</v>
      </c>
      <c r="C4006" s="29" t="s">
        <v>20843</v>
      </c>
      <c r="D4006" s="29" t="s">
        <v>34063</v>
      </c>
      <c r="E4006" s="29" t="s">
        <v>47126</v>
      </c>
      <c r="F4006" s="36" t="s">
        <v>54401</v>
      </c>
      <c r="G4006" s="39">
        <v>267179.68</v>
      </c>
      <c r="H4006" s="42">
        <v>211</v>
      </c>
    </row>
    <row r="4007" spans="1:8" ht="15" customHeight="1">
      <c r="A4007" s="26">
        <v>46450093</v>
      </c>
      <c r="B4007" s="29" t="s">
        <v>6243</v>
      </c>
      <c r="C4007" s="29" t="s">
        <v>20844</v>
      </c>
      <c r="D4007" s="29" t="s">
        <v>34064</v>
      </c>
      <c r="E4007" s="29" t="s">
        <v>47127</v>
      </c>
      <c r="F4007" s="36" t="s">
        <v>54401</v>
      </c>
      <c r="G4007" s="39">
        <v>890099.76</v>
      </c>
      <c r="H4007" s="42">
        <v>211</v>
      </c>
    </row>
    <row r="4008" spans="1:8" ht="15" customHeight="1">
      <c r="A4008" s="26">
        <v>46450099</v>
      </c>
      <c r="B4008" s="29" t="s">
        <v>6244</v>
      </c>
      <c r="C4008" s="29" t="s">
        <v>17204</v>
      </c>
      <c r="D4008" s="29" t="s">
        <v>34065</v>
      </c>
      <c r="E4008" s="29" t="s">
        <v>47128</v>
      </c>
      <c r="F4008" s="36" t="s">
        <v>54401</v>
      </c>
      <c r="G4008" s="39">
        <v>10537.82</v>
      </c>
      <c r="H4008" s="42">
        <v>211</v>
      </c>
    </row>
    <row r="4009" spans="1:8" ht="15" customHeight="1">
      <c r="A4009" s="26">
        <v>46450103</v>
      </c>
      <c r="B4009" s="29" t="s">
        <v>6245</v>
      </c>
      <c r="C4009" s="29" t="s">
        <v>20845</v>
      </c>
      <c r="D4009" s="29" t="s">
        <v>34066</v>
      </c>
      <c r="E4009" s="29" t="s">
        <v>47129</v>
      </c>
      <c r="F4009" s="36" t="s">
        <v>54401</v>
      </c>
      <c r="G4009" s="39">
        <f>1789359.49+1001067</f>
        <v>2790426.49</v>
      </c>
      <c r="H4009" s="42">
        <v>211</v>
      </c>
    </row>
    <row r="4010" spans="1:8" ht="15" customHeight="1">
      <c r="A4010" s="26">
        <v>46450111</v>
      </c>
      <c r="B4010" s="29" t="s">
        <v>6246</v>
      </c>
      <c r="C4010" s="29" t="s">
        <v>17204</v>
      </c>
      <c r="D4010" s="29" t="s">
        <v>34067</v>
      </c>
      <c r="E4010" s="29" t="s">
        <v>43926</v>
      </c>
      <c r="F4010" s="36" t="s">
        <v>54401</v>
      </c>
      <c r="G4010" s="39">
        <v>151793.72</v>
      </c>
      <c r="H4010" s="42">
        <v>211</v>
      </c>
    </row>
    <row r="4011" spans="1:8" ht="15" customHeight="1">
      <c r="A4011" s="26">
        <v>46450150</v>
      </c>
      <c r="B4011" s="29" t="s">
        <v>6247</v>
      </c>
      <c r="C4011" s="26" t="s">
        <v>17204</v>
      </c>
      <c r="D4011" s="26" t="s">
        <v>30349</v>
      </c>
      <c r="E4011" s="26" t="s">
        <v>43926</v>
      </c>
      <c r="F4011" s="37" t="s">
        <v>54401</v>
      </c>
      <c r="G4011" s="39">
        <v>254559.16</v>
      </c>
      <c r="H4011" s="42">
        <v>211</v>
      </c>
    </row>
    <row r="4012" spans="1:8" ht="15" customHeight="1">
      <c r="A4012" s="26">
        <v>46450170</v>
      </c>
      <c r="B4012" s="29" t="s">
        <v>6248</v>
      </c>
      <c r="C4012" s="29" t="s">
        <v>20846</v>
      </c>
      <c r="D4012" s="29" t="s">
        <v>34068</v>
      </c>
      <c r="E4012" s="29" t="s">
        <v>47130</v>
      </c>
      <c r="F4012" s="36" t="s">
        <v>54401</v>
      </c>
      <c r="G4012" s="39">
        <v>2842725.23</v>
      </c>
      <c r="H4012" s="42">
        <v>211</v>
      </c>
    </row>
    <row r="4013" spans="1:8" ht="15" customHeight="1">
      <c r="A4013" s="26">
        <v>46450220</v>
      </c>
      <c r="B4013" s="29" t="s">
        <v>6249</v>
      </c>
      <c r="C4013" s="29" t="s">
        <v>20847</v>
      </c>
      <c r="D4013" s="29" t="s">
        <v>34069</v>
      </c>
      <c r="E4013" s="29" t="s">
        <v>47131</v>
      </c>
      <c r="F4013" s="36" t="s">
        <v>54401</v>
      </c>
      <c r="G4013" s="39">
        <v>125626.97</v>
      </c>
      <c r="H4013" s="42">
        <v>211</v>
      </c>
    </row>
    <row r="4014" spans="1:8" ht="15" customHeight="1">
      <c r="A4014" s="26">
        <v>46450237</v>
      </c>
      <c r="B4014" s="29" t="s">
        <v>6250</v>
      </c>
      <c r="C4014" s="29" t="s">
        <v>20848</v>
      </c>
      <c r="D4014" s="29" t="s">
        <v>34070</v>
      </c>
      <c r="E4014" s="29" t="s">
        <v>43926</v>
      </c>
      <c r="F4014" s="36" t="s">
        <v>54401</v>
      </c>
      <c r="G4014" s="39">
        <f>1463033.38+243985</f>
        <v>1707018.38</v>
      </c>
      <c r="H4014" s="42">
        <v>211</v>
      </c>
    </row>
    <row r="4015" spans="1:8" ht="15" customHeight="1">
      <c r="A4015" s="26">
        <v>46450244</v>
      </c>
      <c r="B4015" s="29" t="s">
        <v>6251</v>
      </c>
      <c r="C4015" s="29" t="s">
        <v>20849</v>
      </c>
      <c r="D4015" s="29" t="s">
        <v>34071</v>
      </c>
      <c r="E4015" s="29" t="s">
        <v>47132</v>
      </c>
      <c r="F4015" s="36" t="s">
        <v>54401</v>
      </c>
      <c r="G4015" s="39">
        <v>1101991.55</v>
      </c>
      <c r="H4015" s="42">
        <v>211</v>
      </c>
    </row>
    <row r="4016" spans="1:8" ht="15" customHeight="1">
      <c r="A4016" s="26">
        <v>46450247</v>
      </c>
      <c r="B4016" s="29" t="s">
        <v>6252</v>
      </c>
      <c r="C4016" s="29" t="s">
        <v>20850</v>
      </c>
      <c r="D4016" s="29" t="s">
        <v>34072</v>
      </c>
      <c r="E4016" s="29" t="s">
        <v>47133</v>
      </c>
      <c r="F4016" s="36" t="s">
        <v>54401</v>
      </c>
      <c r="G4016" s="39">
        <v>1844714.15</v>
      </c>
      <c r="H4016" s="42">
        <v>211</v>
      </c>
    </row>
    <row r="4017" spans="1:8" ht="15" customHeight="1">
      <c r="A4017" s="26">
        <v>46450269</v>
      </c>
      <c r="B4017" s="29" t="s">
        <v>6253</v>
      </c>
      <c r="C4017" s="29" t="s">
        <v>20851</v>
      </c>
      <c r="D4017" s="29" t="s">
        <v>34073</v>
      </c>
      <c r="E4017" s="29" t="s">
        <v>46045</v>
      </c>
      <c r="F4017" s="36" t="s">
        <v>54401</v>
      </c>
      <c r="G4017" s="39">
        <f>1295466.99+2501998</f>
        <v>3797464.99</v>
      </c>
      <c r="H4017" s="42">
        <v>211</v>
      </c>
    </row>
    <row r="4018" spans="1:8" ht="15" customHeight="1">
      <c r="A4018" s="26">
        <v>46450283</v>
      </c>
      <c r="B4018" s="29" t="s">
        <v>6254</v>
      </c>
      <c r="C4018" s="29" t="s">
        <v>20852</v>
      </c>
      <c r="D4018" s="29" t="s">
        <v>34074</v>
      </c>
      <c r="E4018" s="29" t="s">
        <v>47134</v>
      </c>
      <c r="F4018" s="36" t="s">
        <v>54401</v>
      </c>
      <c r="G4018" s="39">
        <v>223621.99</v>
      </c>
      <c r="H4018" s="42">
        <v>211</v>
      </c>
    </row>
    <row r="4019" spans="1:8" ht="15" customHeight="1">
      <c r="A4019" s="26">
        <v>46450286</v>
      </c>
      <c r="B4019" s="29" t="s">
        <v>6255</v>
      </c>
      <c r="C4019" s="29" t="s">
        <v>20853</v>
      </c>
      <c r="D4019" s="29" t="s">
        <v>34075</v>
      </c>
      <c r="E4019" s="29" t="s">
        <v>45174</v>
      </c>
      <c r="F4019" s="36" t="s">
        <v>54401</v>
      </c>
      <c r="G4019" s="39">
        <v>1918490.95</v>
      </c>
      <c r="H4019" s="42">
        <v>211</v>
      </c>
    </row>
    <row r="4020" spans="1:8" ht="15" customHeight="1">
      <c r="A4020" s="26">
        <v>46450287</v>
      </c>
      <c r="B4020" s="29" t="s">
        <v>6256</v>
      </c>
      <c r="C4020" s="29" t="s">
        <v>20854</v>
      </c>
      <c r="D4020" s="29" t="s">
        <v>34076</v>
      </c>
      <c r="E4020" s="29" t="s">
        <v>47135</v>
      </c>
      <c r="F4020" s="36" t="s">
        <v>54401</v>
      </c>
      <c r="G4020" s="39">
        <v>486963.87</v>
      </c>
      <c r="H4020" s="42">
        <v>211</v>
      </c>
    </row>
    <row r="4021" spans="1:8" ht="15" customHeight="1">
      <c r="A4021" s="26">
        <v>46450299</v>
      </c>
      <c r="B4021" s="29" t="s">
        <v>6257</v>
      </c>
      <c r="C4021" s="26" t="s">
        <v>20855</v>
      </c>
      <c r="D4021" s="26" t="s">
        <v>34077</v>
      </c>
      <c r="E4021" s="26" t="s">
        <v>47136</v>
      </c>
      <c r="F4021" s="37" t="s">
        <v>54401</v>
      </c>
      <c r="G4021" s="39">
        <v>1839653.64</v>
      </c>
      <c r="H4021" s="42">
        <v>211</v>
      </c>
    </row>
    <row r="4022" spans="1:8" ht="15" customHeight="1">
      <c r="A4022" s="26">
        <v>46450309</v>
      </c>
      <c r="B4022" s="29" t="s">
        <v>6258</v>
      </c>
      <c r="C4022" s="29" t="s">
        <v>20856</v>
      </c>
      <c r="D4022" s="29" t="s">
        <v>31943</v>
      </c>
      <c r="E4022" s="29" t="s">
        <v>43926</v>
      </c>
      <c r="F4022" s="36" t="s">
        <v>54401</v>
      </c>
      <c r="G4022" s="39">
        <v>1147598.1499999999</v>
      </c>
      <c r="H4022" s="42">
        <v>211</v>
      </c>
    </row>
    <row r="4023" spans="1:8" ht="15" customHeight="1">
      <c r="A4023" s="26">
        <v>46450313</v>
      </c>
      <c r="B4023" s="29" t="s">
        <v>6259</v>
      </c>
      <c r="C4023" s="29" t="s">
        <v>20857</v>
      </c>
      <c r="D4023" s="29" t="s">
        <v>34078</v>
      </c>
      <c r="E4023" s="29" t="s">
        <v>47137</v>
      </c>
      <c r="F4023" s="36" t="s">
        <v>54401</v>
      </c>
      <c r="G4023" s="39">
        <v>832143.54</v>
      </c>
      <c r="H4023" s="42">
        <v>211</v>
      </c>
    </row>
    <row r="4024" spans="1:8" ht="15" customHeight="1">
      <c r="A4024" s="26">
        <v>46450317</v>
      </c>
      <c r="B4024" s="29" t="s">
        <v>6260</v>
      </c>
      <c r="C4024" s="29" t="s">
        <v>20858</v>
      </c>
      <c r="D4024" s="29" t="s">
        <v>34079</v>
      </c>
      <c r="E4024" s="29" t="s">
        <v>47138</v>
      </c>
      <c r="F4024" s="36" t="s">
        <v>54401</v>
      </c>
      <c r="G4024" s="39">
        <v>322086.96000000002</v>
      </c>
      <c r="H4024" s="42">
        <v>211</v>
      </c>
    </row>
    <row r="4025" spans="1:8" ht="15" customHeight="1">
      <c r="A4025" s="26">
        <v>46450354</v>
      </c>
      <c r="B4025" s="29" t="s">
        <v>6261</v>
      </c>
      <c r="C4025" s="29" t="s">
        <v>20859</v>
      </c>
      <c r="D4025" s="29" t="s">
        <v>34080</v>
      </c>
      <c r="E4025" s="29" t="s">
        <v>47139</v>
      </c>
      <c r="F4025" s="36" t="s">
        <v>54401</v>
      </c>
      <c r="G4025" s="39">
        <v>388989.26</v>
      </c>
      <c r="H4025" s="42">
        <v>211</v>
      </c>
    </row>
    <row r="4026" spans="1:8" ht="15" customHeight="1">
      <c r="A4026" s="26">
        <v>46450360</v>
      </c>
      <c r="B4026" s="29" t="s">
        <v>6262</v>
      </c>
      <c r="C4026" s="29" t="s">
        <v>17204</v>
      </c>
      <c r="D4026" s="29" t="s">
        <v>30349</v>
      </c>
      <c r="E4026" s="29" t="s">
        <v>43926</v>
      </c>
      <c r="F4026" s="36" t="s">
        <v>54401</v>
      </c>
      <c r="G4026" s="39">
        <v>373579.66</v>
      </c>
      <c r="H4026" s="42">
        <v>211</v>
      </c>
    </row>
    <row r="4027" spans="1:8" ht="15" customHeight="1">
      <c r="A4027" s="26">
        <v>46450374</v>
      </c>
      <c r="B4027" s="29" t="s">
        <v>6263</v>
      </c>
      <c r="C4027" s="29" t="s">
        <v>20860</v>
      </c>
      <c r="D4027" s="29" t="s">
        <v>34081</v>
      </c>
      <c r="E4027" s="29" t="s">
        <v>47140</v>
      </c>
      <c r="F4027" s="36" t="s">
        <v>54401</v>
      </c>
      <c r="G4027" s="39">
        <v>2381342.81</v>
      </c>
      <c r="H4027" s="42">
        <v>211</v>
      </c>
    </row>
    <row r="4028" spans="1:8" ht="15" customHeight="1">
      <c r="A4028" s="26">
        <v>46450383</v>
      </c>
      <c r="B4028" s="29" t="s">
        <v>6264</v>
      </c>
      <c r="C4028" s="26" t="s">
        <v>20861</v>
      </c>
      <c r="D4028" s="26" t="s">
        <v>34082</v>
      </c>
      <c r="E4028" s="26" t="s">
        <v>43926</v>
      </c>
      <c r="F4028" s="37" t="s">
        <v>54401</v>
      </c>
      <c r="G4028" s="39">
        <v>28908.5</v>
      </c>
      <c r="H4028" s="42">
        <v>211</v>
      </c>
    </row>
    <row r="4029" spans="1:8" ht="15" customHeight="1">
      <c r="A4029" s="26">
        <v>46450386</v>
      </c>
      <c r="B4029" s="29" t="s">
        <v>6265</v>
      </c>
      <c r="C4029" s="29" t="s">
        <v>20862</v>
      </c>
      <c r="D4029" s="29" t="s">
        <v>34083</v>
      </c>
      <c r="E4029" s="29" t="s">
        <v>44470</v>
      </c>
      <c r="F4029" s="36" t="s">
        <v>54401</v>
      </c>
      <c r="G4029" s="39">
        <v>279500.82</v>
      </c>
      <c r="H4029" s="42">
        <v>211</v>
      </c>
    </row>
    <row r="4030" spans="1:8" ht="15" customHeight="1">
      <c r="A4030" s="26">
        <v>46450396</v>
      </c>
      <c r="B4030" s="29" t="s">
        <v>6266</v>
      </c>
      <c r="C4030" s="29" t="s">
        <v>20863</v>
      </c>
      <c r="D4030" s="29" t="s">
        <v>34084</v>
      </c>
      <c r="E4030" s="29" t="s">
        <v>46335</v>
      </c>
      <c r="F4030" s="36" t="s">
        <v>54401</v>
      </c>
      <c r="G4030" s="39">
        <v>1269666.82</v>
      </c>
      <c r="H4030" s="42">
        <v>211</v>
      </c>
    </row>
    <row r="4031" spans="1:8" ht="15" customHeight="1">
      <c r="A4031" s="26">
        <v>46450409</v>
      </c>
      <c r="B4031" s="29" t="s">
        <v>6267</v>
      </c>
      <c r="C4031" s="29" t="s">
        <v>20864</v>
      </c>
      <c r="D4031" s="29" t="s">
        <v>34085</v>
      </c>
      <c r="E4031" s="29" t="s">
        <v>47141</v>
      </c>
      <c r="F4031" s="36" t="s">
        <v>54401</v>
      </c>
      <c r="G4031" s="39">
        <v>1927989.04</v>
      </c>
      <c r="H4031" s="42">
        <v>211</v>
      </c>
    </row>
    <row r="4032" spans="1:8" ht="15" customHeight="1">
      <c r="A4032" s="26">
        <v>46450413</v>
      </c>
      <c r="B4032" s="29" t="s">
        <v>6268</v>
      </c>
      <c r="C4032" s="29" t="s">
        <v>20865</v>
      </c>
      <c r="D4032" s="29" t="s">
        <v>34086</v>
      </c>
      <c r="E4032" s="29" t="s">
        <v>47142</v>
      </c>
      <c r="F4032" s="36" t="s">
        <v>54401</v>
      </c>
      <c r="G4032" s="39">
        <v>233940.75</v>
      </c>
      <c r="H4032" s="42">
        <v>211</v>
      </c>
    </row>
    <row r="4033" spans="1:8" ht="15" customHeight="1">
      <c r="A4033" s="26">
        <v>46450421</v>
      </c>
      <c r="B4033" s="29" t="s">
        <v>6269</v>
      </c>
      <c r="C4033" s="29" t="s">
        <v>20866</v>
      </c>
      <c r="D4033" s="29" t="s">
        <v>34087</v>
      </c>
      <c r="E4033" s="29" t="s">
        <v>47143</v>
      </c>
      <c r="F4033" s="36" t="s">
        <v>54401</v>
      </c>
      <c r="G4033" s="39">
        <v>323124.96000000002</v>
      </c>
      <c r="H4033" s="42">
        <v>211</v>
      </c>
    </row>
    <row r="4034" spans="1:8" ht="15" customHeight="1">
      <c r="A4034" s="26">
        <v>46450431</v>
      </c>
      <c r="B4034" s="29" t="s">
        <v>6270</v>
      </c>
      <c r="C4034" s="29" t="s">
        <v>19908</v>
      </c>
      <c r="D4034" s="29" t="s">
        <v>34088</v>
      </c>
      <c r="E4034" s="29" t="s">
        <v>47144</v>
      </c>
      <c r="F4034" s="36" t="s">
        <v>54401</v>
      </c>
      <c r="G4034" s="39">
        <v>2872719.66</v>
      </c>
      <c r="H4034" s="42">
        <v>211</v>
      </c>
    </row>
    <row r="4035" spans="1:8" ht="15" customHeight="1">
      <c r="A4035" s="26">
        <v>46450446</v>
      </c>
      <c r="B4035" s="29" t="s">
        <v>6271</v>
      </c>
      <c r="C4035" s="26" t="s">
        <v>20867</v>
      </c>
      <c r="D4035" s="26" t="s">
        <v>34089</v>
      </c>
      <c r="E4035" s="26" t="s">
        <v>47145</v>
      </c>
      <c r="F4035" s="37" t="s">
        <v>54401</v>
      </c>
      <c r="G4035" s="39">
        <v>37260.92</v>
      </c>
      <c r="H4035" s="42">
        <v>211</v>
      </c>
    </row>
    <row r="4036" spans="1:8" ht="15" customHeight="1">
      <c r="A4036" s="26">
        <v>46450449</v>
      </c>
      <c r="B4036" s="29" t="s">
        <v>6272</v>
      </c>
      <c r="C4036" s="29" t="s">
        <v>20868</v>
      </c>
      <c r="D4036" s="29" t="s">
        <v>34090</v>
      </c>
      <c r="E4036" s="29" t="s">
        <v>47146</v>
      </c>
      <c r="F4036" s="36" t="s">
        <v>54401</v>
      </c>
      <c r="G4036" s="39">
        <v>210701.75</v>
      </c>
      <c r="H4036" s="42">
        <v>211</v>
      </c>
    </row>
    <row r="4037" spans="1:8" ht="15" customHeight="1">
      <c r="A4037" s="26">
        <v>46450456</v>
      </c>
      <c r="B4037" s="29" t="s">
        <v>6273</v>
      </c>
      <c r="C4037" s="29" t="s">
        <v>17204</v>
      </c>
      <c r="D4037" s="29" t="s">
        <v>30349</v>
      </c>
      <c r="E4037" s="29" t="s">
        <v>43926</v>
      </c>
      <c r="F4037" s="36" t="s">
        <v>54401</v>
      </c>
      <c r="G4037" s="39">
        <v>28957.97</v>
      </c>
      <c r="H4037" s="42">
        <v>211</v>
      </c>
    </row>
    <row r="4038" spans="1:8" ht="15" customHeight="1">
      <c r="A4038" s="26">
        <v>46450461</v>
      </c>
      <c r="B4038" s="29" t="s">
        <v>6274</v>
      </c>
      <c r="C4038" s="29" t="s">
        <v>20869</v>
      </c>
      <c r="D4038" s="29" t="s">
        <v>34091</v>
      </c>
      <c r="E4038" s="29" t="s">
        <v>47147</v>
      </c>
      <c r="F4038" s="36" t="s">
        <v>54423</v>
      </c>
      <c r="G4038" s="39">
        <v>458556.32</v>
      </c>
      <c r="H4038" s="42">
        <v>211</v>
      </c>
    </row>
    <row r="4039" spans="1:8" ht="15" customHeight="1">
      <c r="A4039" s="26">
        <v>46450474</v>
      </c>
      <c r="B4039" s="29" t="s">
        <v>6275</v>
      </c>
      <c r="C4039" s="29" t="s">
        <v>20870</v>
      </c>
      <c r="D4039" s="29" t="s">
        <v>34092</v>
      </c>
      <c r="E4039" s="29" t="s">
        <v>47148</v>
      </c>
      <c r="F4039" s="36" t="s">
        <v>54401</v>
      </c>
      <c r="G4039" s="39">
        <v>361721.37</v>
      </c>
      <c r="H4039" s="42">
        <v>211</v>
      </c>
    </row>
    <row r="4040" spans="1:8" ht="15" customHeight="1">
      <c r="A4040" s="26">
        <v>46450488</v>
      </c>
      <c r="B4040" s="29" t="s">
        <v>6276</v>
      </c>
      <c r="C4040" s="29" t="s">
        <v>20871</v>
      </c>
      <c r="D4040" s="29" t="s">
        <v>34093</v>
      </c>
      <c r="E4040" s="29" t="s">
        <v>47149</v>
      </c>
      <c r="F4040" s="36" t="s">
        <v>54401</v>
      </c>
      <c r="G4040" s="39">
        <v>365176.82</v>
      </c>
      <c r="H4040" s="42">
        <v>211</v>
      </c>
    </row>
    <row r="4041" spans="1:8" ht="15" customHeight="1">
      <c r="A4041" s="26">
        <v>46450558</v>
      </c>
      <c r="B4041" s="29" t="s">
        <v>6277</v>
      </c>
      <c r="C4041" s="29" t="s">
        <v>20872</v>
      </c>
      <c r="D4041" s="29" t="s">
        <v>33000</v>
      </c>
      <c r="E4041" s="29" t="s">
        <v>47150</v>
      </c>
      <c r="F4041" s="36" t="s">
        <v>54401</v>
      </c>
      <c r="G4041" s="39">
        <v>7602885.4900000002</v>
      </c>
      <c r="H4041" s="42">
        <v>211</v>
      </c>
    </row>
    <row r="4042" spans="1:8" ht="15" customHeight="1">
      <c r="A4042" s="26">
        <v>46450568</v>
      </c>
      <c r="B4042" s="29" t="s">
        <v>6278</v>
      </c>
      <c r="C4042" s="29" t="s">
        <v>20873</v>
      </c>
      <c r="D4042" s="29" t="s">
        <v>34094</v>
      </c>
      <c r="E4042" s="29" t="s">
        <v>47151</v>
      </c>
      <c r="F4042" s="36" t="s">
        <v>54401</v>
      </c>
      <c r="G4042" s="39">
        <v>3417247.14</v>
      </c>
      <c r="H4042" s="42">
        <v>211</v>
      </c>
    </row>
    <row r="4043" spans="1:8" ht="15" customHeight="1">
      <c r="A4043" s="26">
        <v>46450601</v>
      </c>
      <c r="B4043" s="29" t="s">
        <v>6279</v>
      </c>
      <c r="C4043" s="29" t="s">
        <v>17204</v>
      </c>
      <c r="D4043" s="29" t="s">
        <v>34095</v>
      </c>
      <c r="E4043" s="29" t="s">
        <v>43926</v>
      </c>
      <c r="F4043" s="36" t="s">
        <v>54401</v>
      </c>
      <c r="G4043" s="39">
        <v>38265.879999999997</v>
      </c>
      <c r="H4043" s="42">
        <v>211</v>
      </c>
    </row>
    <row r="4044" spans="1:8" ht="15" customHeight="1">
      <c r="A4044" s="26">
        <v>46450615</v>
      </c>
      <c r="B4044" s="29" t="s">
        <v>6280</v>
      </c>
      <c r="C4044" s="29" t="s">
        <v>20874</v>
      </c>
      <c r="D4044" s="29" t="s">
        <v>34096</v>
      </c>
      <c r="E4044" s="29" t="s">
        <v>45314</v>
      </c>
      <c r="F4044" s="36" t="s">
        <v>54401</v>
      </c>
      <c r="G4044" s="39">
        <v>3020494.76</v>
      </c>
      <c r="H4044" s="42">
        <v>211</v>
      </c>
    </row>
    <row r="4045" spans="1:8" ht="15" customHeight="1">
      <c r="A4045" s="26">
        <v>46450622</v>
      </c>
      <c r="B4045" s="29" t="s">
        <v>6281</v>
      </c>
      <c r="C4045" s="29" t="s">
        <v>20875</v>
      </c>
      <c r="D4045" s="29" t="s">
        <v>34097</v>
      </c>
      <c r="E4045" s="29" t="s">
        <v>47152</v>
      </c>
      <c r="F4045" s="36" t="s">
        <v>54401</v>
      </c>
      <c r="G4045" s="39">
        <v>167615.49</v>
      </c>
      <c r="H4045" s="42">
        <v>211</v>
      </c>
    </row>
    <row r="4046" spans="1:8" ht="15" customHeight="1">
      <c r="A4046" s="26">
        <v>46450677</v>
      </c>
      <c r="B4046" s="29" t="s">
        <v>6282</v>
      </c>
      <c r="C4046" s="29" t="s">
        <v>20876</v>
      </c>
      <c r="D4046" s="29" t="s">
        <v>34098</v>
      </c>
      <c r="E4046" s="29" t="s">
        <v>47153</v>
      </c>
      <c r="F4046" s="36" t="s">
        <v>54401</v>
      </c>
      <c r="G4046" s="39">
        <v>256810.45</v>
      </c>
      <c r="H4046" s="42">
        <v>211</v>
      </c>
    </row>
    <row r="4047" spans="1:8" ht="15" customHeight="1">
      <c r="A4047" s="26">
        <v>46450680</v>
      </c>
      <c r="B4047" s="29" t="s">
        <v>6283</v>
      </c>
      <c r="C4047" s="29" t="s">
        <v>20877</v>
      </c>
      <c r="D4047" s="29" t="s">
        <v>34099</v>
      </c>
      <c r="E4047" s="29" t="s">
        <v>47154</v>
      </c>
      <c r="F4047" s="36" t="s">
        <v>54406</v>
      </c>
      <c r="G4047" s="39">
        <v>10604769.41</v>
      </c>
      <c r="H4047" s="42">
        <v>211</v>
      </c>
    </row>
    <row r="4048" spans="1:8" ht="15" customHeight="1">
      <c r="A4048" s="26">
        <v>46450686</v>
      </c>
      <c r="B4048" s="29" t="s">
        <v>6284</v>
      </c>
      <c r="C4048" s="29" t="s">
        <v>20878</v>
      </c>
      <c r="D4048" s="29" t="s">
        <v>32335</v>
      </c>
      <c r="E4048" s="29" t="s">
        <v>47155</v>
      </c>
      <c r="F4048" s="36" t="s">
        <v>54401</v>
      </c>
      <c r="G4048" s="39">
        <v>615937.17000000004</v>
      </c>
      <c r="H4048" s="42">
        <v>211</v>
      </c>
    </row>
    <row r="4049" spans="1:8" ht="15" customHeight="1">
      <c r="A4049" s="26">
        <v>46450701</v>
      </c>
      <c r="B4049" s="29" t="s">
        <v>6285</v>
      </c>
      <c r="C4049" s="29" t="s">
        <v>20879</v>
      </c>
      <c r="D4049" s="29" t="s">
        <v>34100</v>
      </c>
      <c r="E4049" s="29" t="s">
        <v>47156</v>
      </c>
      <c r="F4049" s="36" t="s">
        <v>54401</v>
      </c>
      <c r="G4049" s="39">
        <v>1804814.42</v>
      </c>
      <c r="H4049" s="42">
        <v>211</v>
      </c>
    </row>
    <row r="4050" spans="1:8" ht="15" customHeight="1">
      <c r="A4050" s="26">
        <v>46450712</v>
      </c>
      <c r="B4050" s="29" t="s">
        <v>6286</v>
      </c>
      <c r="C4050" s="29" t="s">
        <v>17204</v>
      </c>
      <c r="D4050" s="29" t="s">
        <v>30349</v>
      </c>
      <c r="E4050" s="29" t="s">
        <v>43926</v>
      </c>
      <c r="F4050" s="36" t="s">
        <v>54401</v>
      </c>
      <c r="G4050" s="39">
        <v>212522.18</v>
      </c>
      <c r="H4050" s="42">
        <v>211</v>
      </c>
    </row>
    <row r="4051" spans="1:8" ht="15" customHeight="1">
      <c r="A4051" s="26">
        <v>46450737</v>
      </c>
      <c r="B4051" s="29" t="s">
        <v>6287</v>
      </c>
      <c r="C4051" s="29" t="s">
        <v>17204</v>
      </c>
      <c r="D4051" s="29" t="s">
        <v>34101</v>
      </c>
      <c r="E4051" s="29" t="s">
        <v>43926</v>
      </c>
      <c r="F4051" s="36" t="s">
        <v>54401</v>
      </c>
      <c r="G4051" s="39">
        <v>1882300</v>
      </c>
      <c r="H4051" s="42">
        <v>211</v>
      </c>
    </row>
    <row r="4052" spans="1:8" ht="15" customHeight="1">
      <c r="A4052" s="26">
        <v>46450740</v>
      </c>
      <c r="B4052" s="29" t="s">
        <v>6288</v>
      </c>
      <c r="C4052" s="29" t="s">
        <v>20880</v>
      </c>
      <c r="D4052" s="29" t="s">
        <v>34102</v>
      </c>
      <c r="E4052" s="29" t="s">
        <v>47157</v>
      </c>
      <c r="F4052" s="36" t="s">
        <v>54401</v>
      </c>
      <c r="G4052" s="39">
        <v>232155.96</v>
      </c>
      <c r="H4052" s="42">
        <v>211</v>
      </c>
    </row>
    <row r="4053" spans="1:8" ht="15" customHeight="1">
      <c r="A4053" s="26">
        <v>46450763</v>
      </c>
      <c r="B4053" s="29" t="s">
        <v>6289</v>
      </c>
      <c r="C4053" s="29" t="s">
        <v>20881</v>
      </c>
      <c r="D4053" s="29" t="s">
        <v>34103</v>
      </c>
      <c r="E4053" s="29" t="s">
        <v>47158</v>
      </c>
      <c r="F4053" s="36" t="s">
        <v>54401</v>
      </c>
      <c r="G4053" s="39">
        <v>4469485.6900000004</v>
      </c>
      <c r="H4053" s="42">
        <v>211</v>
      </c>
    </row>
    <row r="4054" spans="1:8" ht="15" customHeight="1">
      <c r="A4054" s="26">
        <v>46450764</v>
      </c>
      <c r="B4054" s="29" t="s">
        <v>6290</v>
      </c>
      <c r="C4054" s="29" t="s">
        <v>20882</v>
      </c>
      <c r="D4054" s="29" t="s">
        <v>34104</v>
      </c>
      <c r="E4054" s="29" t="s">
        <v>47159</v>
      </c>
      <c r="F4054" s="36" t="s">
        <v>54401</v>
      </c>
      <c r="G4054" s="39">
        <v>1261725.19</v>
      </c>
      <c r="H4054" s="42">
        <v>211</v>
      </c>
    </row>
    <row r="4055" spans="1:8" ht="15" customHeight="1">
      <c r="A4055" s="26">
        <v>46450778</v>
      </c>
      <c r="B4055" s="29" t="s">
        <v>6291</v>
      </c>
      <c r="C4055" s="29" t="s">
        <v>18840</v>
      </c>
      <c r="D4055" s="29" t="s">
        <v>34105</v>
      </c>
      <c r="E4055" s="29" t="s">
        <v>47160</v>
      </c>
      <c r="F4055" s="36" t="s">
        <v>54401</v>
      </c>
      <c r="G4055" s="39">
        <v>4030143</v>
      </c>
      <c r="H4055" s="42">
        <v>211</v>
      </c>
    </row>
    <row r="4056" spans="1:8" ht="15" customHeight="1">
      <c r="A4056" s="26">
        <v>46450840</v>
      </c>
      <c r="B4056" s="29" t="s">
        <v>6292</v>
      </c>
      <c r="C4056" s="29" t="s">
        <v>20883</v>
      </c>
      <c r="D4056" s="29" t="s">
        <v>34106</v>
      </c>
      <c r="E4056" s="29" t="s">
        <v>47161</v>
      </c>
      <c r="F4056" s="36" t="s">
        <v>54401</v>
      </c>
      <c r="G4056" s="39">
        <v>3960595.99</v>
      </c>
      <c r="H4056" s="42">
        <v>211</v>
      </c>
    </row>
    <row r="4057" spans="1:8" ht="15" customHeight="1">
      <c r="A4057" s="26">
        <v>46450850</v>
      </c>
      <c r="B4057" s="29" t="s">
        <v>6293</v>
      </c>
      <c r="C4057" s="26" t="s">
        <v>20884</v>
      </c>
      <c r="D4057" s="26" t="s">
        <v>34107</v>
      </c>
      <c r="E4057" s="26" t="s">
        <v>47162</v>
      </c>
      <c r="F4057" s="37" t="s">
        <v>54401</v>
      </c>
      <c r="G4057" s="39">
        <v>374716.72</v>
      </c>
      <c r="H4057" s="42">
        <v>211</v>
      </c>
    </row>
    <row r="4058" spans="1:8" ht="15" customHeight="1">
      <c r="A4058" s="26">
        <v>46450851</v>
      </c>
      <c r="B4058" s="29" t="s">
        <v>6294</v>
      </c>
      <c r="C4058" s="29" t="s">
        <v>20885</v>
      </c>
      <c r="D4058" s="29" t="s">
        <v>34108</v>
      </c>
      <c r="E4058" s="29" t="s">
        <v>47163</v>
      </c>
      <c r="F4058" s="36" t="s">
        <v>54401</v>
      </c>
      <c r="G4058" s="39">
        <v>772478.86</v>
      </c>
      <c r="H4058" s="42">
        <v>211</v>
      </c>
    </row>
    <row r="4059" spans="1:8" ht="15" customHeight="1">
      <c r="A4059" s="26">
        <v>46450859</v>
      </c>
      <c r="B4059" s="29" t="s">
        <v>6295</v>
      </c>
      <c r="C4059" s="29" t="s">
        <v>20886</v>
      </c>
      <c r="D4059" s="29" t="s">
        <v>34109</v>
      </c>
      <c r="E4059" s="29" t="s">
        <v>47164</v>
      </c>
      <c r="F4059" s="36" t="s">
        <v>54401</v>
      </c>
      <c r="G4059" s="39">
        <v>49299.33</v>
      </c>
      <c r="H4059" s="42">
        <v>211</v>
      </c>
    </row>
    <row r="4060" spans="1:8" ht="15" customHeight="1">
      <c r="A4060" s="26">
        <v>46450863</v>
      </c>
      <c r="B4060" s="29" t="s">
        <v>6296</v>
      </c>
      <c r="C4060" s="29" t="s">
        <v>20887</v>
      </c>
      <c r="D4060" s="29" t="s">
        <v>34110</v>
      </c>
      <c r="E4060" s="29" t="s">
        <v>46487</v>
      </c>
      <c r="F4060" s="36" t="s">
        <v>54401</v>
      </c>
      <c r="G4060" s="39">
        <v>223979.55</v>
      </c>
      <c r="H4060" s="42">
        <v>211</v>
      </c>
    </row>
    <row r="4061" spans="1:8" ht="15" customHeight="1">
      <c r="A4061" s="26">
        <v>46450867</v>
      </c>
      <c r="B4061" s="29" t="s">
        <v>6297</v>
      </c>
      <c r="C4061" s="26" t="s">
        <v>20888</v>
      </c>
      <c r="D4061" s="26" t="s">
        <v>34111</v>
      </c>
      <c r="E4061" s="26" t="s">
        <v>47165</v>
      </c>
      <c r="F4061" s="37" t="s">
        <v>54401</v>
      </c>
      <c r="G4061" s="39">
        <v>4644646.58</v>
      </c>
      <c r="H4061" s="42">
        <v>211</v>
      </c>
    </row>
    <row r="4062" spans="1:8" ht="15" customHeight="1">
      <c r="A4062" s="26">
        <v>46450873</v>
      </c>
      <c r="B4062" s="29" t="s">
        <v>6298</v>
      </c>
      <c r="C4062" s="29" t="s">
        <v>17204</v>
      </c>
      <c r="D4062" s="29" t="s">
        <v>30349</v>
      </c>
      <c r="E4062" s="29" t="s">
        <v>43926</v>
      </c>
      <c r="F4062" s="36" t="s">
        <v>54401</v>
      </c>
      <c r="G4062" s="39">
        <v>568120.09</v>
      </c>
      <c r="H4062" s="42">
        <v>211</v>
      </c>
    </row>
    <row r="4063" spans="1:8" ht="15" customHeight="1">
      <c r="A4063" s="26">
        <v>46450887</v>
      </c>
      <c r="B4063" s="29" t="s">
        <v>6299</v>
      </c>
      <c r="C4063" s="29" t="s">
        <v>20889</v>
      </c>
      <c r="D4063" s="29" t="s">
        <v>34112</v>
      </c>
      <c r="E4063" s="29" t="s">
        <v>43926</v>
      </c>
      <c r="F4063" s="36" t="s">
        <v>54401</v>
      </c>
      <c r="G4063" s="39">
        <v>276583.3</v>
      </c>
      <c r="H4063" s="42">
        <v>211</v>
      </c>
    </row>
    <row r="4064" spans="1:8" ht="15" customHeight="1">
      <c r="A4064" s="26">
        <v>46450943</v>
      </c>
      <c r="B4064" s="29" t="s">
        <v>6300</v>
      </c>
      <c r="C4064" s="29" t="s">
        <v>20890</v>
      </c>
      <c r="D4064" s="29" t="s">
        <v>34113</v>
      </c>
      <c r="E4064" s="29" t="s">
        <v>47166</v>
      </c>
      <c r="F4064" s="36" t="s">
        <v>54401</v>
      </c>
      <c r="G4064" s="39">
        <v>254750.87</v>
      </c>
      <c r="H4064" s="42">
        <v>211</v>
      </c>
    </row>
    <row r="4065" spans="1:8" ht="15" customHeight="1">
      <c r="A4065" s="26">
        <v>46450959</v>
      </c>
      <c r="B4065" s="29" t="s">
        <v>6301</v>
      </c>
      <c r="C4065" s="29" t="s">
        <v>20891</v>
      </c>
      <c r="D4065" s="29" t="s">
        <v>34114</v>
      </c>
      <c r="E4065" s="29" t="s">
        <v>47167</v>
      </c>
      <c r="F4065" s="36" t="s">
        <v>54401</v>
      </c>
      <c r="G4065" s="39">
        <v>443881.14</v>
      </c>
      <c r="H4065" s="42">
        <v>211</v>
      </c>
    </row>
    <row r="4066" spans="1:8" ht="15" customHeight="1">
      <c r="A4066" s="26">
        <v>46450975</v>
      </c>
      <c r="B4066" s="29" t="s">
        <v>6302</v>
      </c>
      <c r="C4066" s="29" t="s">
        <v>20892</v>
      </c>
      <c r="D4066" s="29" t="s">
        <v>34115</v>
      </c>
      <c r="E4066" s="29" t="s">
        <v>47168</v>
      </c>
      <c r="F4066" s="36" t="s">
        <v>54401</v>
      </c>
      <c r="G4066" s="39">
        <v>74445.119999999995</v>
      </c>
      <c r="H4066" s="42">
        <v>211</v>
      </c>
    </row>
    <row r="4067" spans="1:8" ht="15" customHeight="1">
      <c r="A4067" s="26">
        <v>46450997</v>
      </c>
      <c r="B4067" s="29" t="s">
        <v>6303</v>
      </c>
      <c r="C4067" s="29" t="s">
        <v>17204</v>
      </c>
      <c r="D4067" s="29" t="s">
        <v>34116</v>
      </c>
      <c r="E4067" s="29" t="s">
        <v>47169</v>
      </c>
      <c r="F4067" s="36" t="s">
        <v>54401</v>
      </c>
      <c r="G4067" s="39">
        <v>178663.97</v>
      </c>
      <c r="H4067" s="42">
        <v>211</v>
      </c>
    </row>
    <row r="4068" spans="1:8" ht="15" customHeight="1">
      <c r="A4068" s="26">
        <v>46451046</v>
      </c>
      <c r="B4068" s="29" t="s">
        <v>6304</v>
      </c>
      <c r="C4068" s="29" t="s">
        <v>20893</v>
      </c>
      <c r="D4068" s="29" t="s">
        <v>34117</v>
      </c>
      <c r="E4068" s="29" t="s">
        <v>43926</v>
      </c>
      <c r="F4068" s="36" t="s">
        <v>54401</v>
      </c>
      <c r="G4068" s="39">
        <v>264644.3</v>
      </c>
      <c r="H4068" s="42">
        <v>211</v>
      </c>
    </row>
    <row r="4069" spans="1:8" ht="15" customHeight="1">
      <c r="A4069" s="26">
        <v>46451068</v>
      </c>
      <c r="B4069" s="29" t="s">
        <v>6305</v>
      </c>
      <c r="C4069" s="29" t="s">
        <v>20894</v>
      </c>
      <c r="D4069" s="29" t="s">
        <v>34118</v>
      </c>
      <c r="E4069" s="29" t="s">
        <v>47170</v>
      </c>
      <c r="F4069" s="36" t="s">
        <v>54401</v>
      </c>
      <c r="G4069" s="39">
        <v>656982.31999999995</v>
      </c>
      <c r="H4069" s="42">
        <v>211</v>
      </c>
    </row>
    <row r="4070" spans="1:8" ht="15" customHeight="1">
      <c r="A4070" s="26">
        <v>46451070</v>
      </c>
      <c r="B4070" s="29" t="s">
        <v>6306</v>
      </c>
      <c r="C4070" s="29" t="s">
        <v>20895</v>
      </c>
      <c r="D4070" s="29" t="s">
        <v>34119</v>
      </c>
      <c r="E4070" s="29" t="s">
        <v>47171</v>
      </c>
      <c r="F4070" s="36" t="s">
        <v>54401</v>
      </c>
      <c r="G4070" s="39">
        <v>2285818.36</v>
      </c>
      <c r="H4070" s="42">
        <v>211</v>
      </c>
    </row>
    <row r="4071" spans="1:8" ht="15" customHeight="1">
      <c r="A4071" s="26">
        <v>46451081</v>
      </c>
      <c r="B4071" s="29" t="s">
        <v>6307</v>
      </c>
      <c r="C4071" s="29" t="s">
        <v>20896</v>
      </c>
      <c r="D4071" s="29" t="s">
        <v>34120</v>
      </c>
      <c r="E4071" s="29" t="s">
        <v>47172</v>
      </c>
      <c r="F4071" s="36" t="s">
        <v>54401</v>
      </c>
      <c r="G4071" s="39">
        <v>943455.43</v>
      </c>
      <c r="H4071" s="42">
        <v>211</v>
      </c>
    </row>
    <row r="4072" spans="1:8" ht="15" customHeight="1">
      <c r="A4072" s="26">
        <v>46451083</v>
      </c>
      <c r="B4072" s="29" t="s">
        <v>6308</v>
      </c>
      <c r="C4072" s="29" t="s">
        <v>17204</v>
      </c>
      <c r="D4072" s="29" t="s">
        <v>34121</v>
      </c>
      <c r="E4072" s="29" t="s">
        <v>43926</v>
      </c>
      <c r="F4072" s="36" t="s">
        <v>54401</v>
      </c>
      <c r="G4072" s="39">
        <v>29252.1</v>
      </c>
      <c r="H4072" s="42">
        <v>211</v>
      </c>
    </row>
    <row r="4073" spans="1:8" ht="15" customHeight="1">
      <c r="A4073" s="26">
        <v>46451093</v>
      </c>
      <c r="B4073" s="29" t="s">
        <v>6309</v>
      </c>
      <c r="C4073" s="29" t="s">
        <v>20897</v>
      </c>
      <c r="D4073" s="29" t="s">
        <v>34122</v>
      </c>
      <c r="E4073" s="29" t="s">
        <v>43926</v>
      </c>
      <c r="F4073" s="36" t="s">
        <v>54401</v>
      </c>
      <c r="G4073" s="39">
        <v>739497.83</v>
      </c>
      <c r="H4073" s="42">
        <v>211</v>
      </c>
    </row>
    <row r="4074" spans="1:8" ht="15" customHeight="1">
      <c r="A4074" s="26">
        <v>46451118</v>
      </c>
      <c r="B4074" s="29" t="s">
        <v>6310</v>
      </c>
      <c r="C4074" s="29" t="s">
        <v>20898</v>
      </c>
      <c r="D4074" s="29" t="s">
        <v>34123</v>
      </c>
      <c r="E4074" s="29" t="s">
        <v>47173</v>
      </c>
      <c r="F4074" s="36" t="s">
        <v>54401</v>
      </c>
      <c r="G4074" s="39">
        <v>724263.98</v>
      </c>
      <c r="H4074" s="42">
        <v>211</v>
      </c>
    </row>
    <row r="4075" spans="1:8" ht="15" customHeight="1">
      <c r="A4075" s="26">
        <v>46451127</v>
      </c>
      <c r="B4075" s="29" t="s">
        <v>6311</v>
      </c>
      <c r="C4075" s="29" t="s">
        <v>20899</v>
      </c>
      <c r="D4075" s="29" t="s">
        <v>34124</v>
      </c>
      <c r="E4075" s="29" t="s">
        <v>47174</v>
      </c>
      <c r="F4075" s="36" t="s">
        <v>54409</v>
      </c>
      <c r="G4075" s="39">
        <v>1897650.03</v>
      </c>
      <c r="H4075" s="42">
        <v>211</v>
      </c>
    </row>
    <row r="4076" spans="1:8" ht="15" customHeight="1">
      <c r="A4076" s="26">
        <v>46451128</v>
      </c>
      <c r="B4076" s="29" t="s">
        <v>6312</v>
      </c>
      <c r="C4076" s="29" t="s">
        <v>20900</v>
      </c>
      <c r="D4076" s="29" t="s">
        <v>34125</v>
      </c>
      <c r="E4076" s="29" t="s">
        <v>47175</v>
      </c>
      <c r="F4076" s="36" t="s">
        <v>54401</v>
      </c>
      <c r="G4076" s="39">
        <v>224633.36</v>
      </c>
      <c r="H4076" s="42">
        <v>211</v>
      </c>
    </row>
    <row r="4077" spans="1:8" ht="15" customHeight="1">
      <c r="A4077" s="26">
        <v>46451150</v>
      </c>
      <c r="B4077" s="29" t="s">
        <v>6313</v>
      </c>
      <c r="C4077" s="29" t="s">
        <v>20901</v>
      </c>
      <c r="D4077" s="29" t="s">
        <v>34126</v>
      </c>
      <c r="E4077" s="29" t="s">
        <v>47176</v>
      </c>
      <c r="F4077" s="36" t="s">
        <v>54412</v>
      </c>
      <c r="G4077" s="39">
        <v>377547.54</v>
      </c>
      <c r="H4077" s="42">
        <v>211</v>
      </c>
    </row>
    <row r="4078" spans="1:8" ht="15" customHeight="1">
      <c r="A4078" s="26">
        <v>46451159</v>
      </c>
      <c r="B4078" s="29" t="s">
        <v>6314</v>
      </c>
      <c r="C4078" s="29" t="s">
        <v>20902</v>
      </c>
      <c r="D4078" s="29" t="s">
        <v>34127</v>
      </c>
      <c r="E4078" s="29" t="s">
        <v>44802</v>
      </c>
      <c r="F4078" s="36" t="s">
        <v>54401</v>
      </c>
      <c r="G4078" s="39">
        <v>245359.78</v>
      </c>
      <c r="H4078" s="42">
        <v>211</v>
      </c>
    </row>
    <row r="4079" spans="1:8" ht="15" customHeight="1">
      <c r="A4079" s="26">
        <v>46451170</v>
      </c>
      <c r="B4079" s="29" t="s">
        <v>6248</v>
      </c>
      <c r="C4079" s="29" t="s">
        <v>20903</v>
      </c>
      <c r="D4079" s="29" t="s">
        <v>34068</v>
      </c>
      <c r="E4079" s="29" t="s">
        <v>47177</v>
      </c>
      <c r="F4079" s="36" t="s">
        <v>54401</v>
      </c>
      <c r="G4079" s="39">
        <v>267933.21000000002</v>
      </c>
      <c r="H4079" s="42">
        <v>211</v>
      </c>
    </row>
    <row r="4080" spans="1:8" ht="15" customHeight="1">
      <c r="A4080" s="26">
        <v>46451202</v>
      </c>
      <c r="B4080" s="29" t="s">
        <v>6315</v>
      </c>
      <c r="C4080" s="29" t="s">
        <v>20904</v>
      </c>
      <c r="D4080" s="29" t="s">
        <v>34128</v>
      </c>
      <c r="E4080" s="29" t="s">
        <v>47178</v>
      </c>
      <c r="F4080" s="36" t="s">
        <v>54401</v>
      </c>
      <c r="G4080" s="39">
        <v>2957599</v>
      </c>
      <c r="H4080" s="42">
        <v>211</v>
      </c>
    </row>
    <row r="4081" spans="1:8" ht="15" customHeight="1">
      <c r="A4081" s="26">
        <v>46451213</v>
      </c>
      <c r="B4081" s="29" t="s">
        <v>6316</v>
      </c>
      <c r="C4081" s="29" t="s">
        <v>20905</v>
      </c>
      <c r="D4081" s="29" t="s">
        <v>34129</v>
      </c>
      <c r="E4081" s="29" t="s">
        <v>47179</v>
      </c>
      <c r="F4081" s="36" t="s">
        <v>54401</v>
      </c>
      <c r="G4081" s="39">
        <v>84415.71</v>
      </c>
      <c r="H4081" s="42">
        <v>211</v>
      </c>
    </row>
    <row r="4082" spans="1:8" ht="15" customHeight="1">
      <c r="A4082" s="26">
        <v>46451249</v>
      </c>
      <c r="B4082" s="29" t="s">
        <v>6317</v>
      </c>
      <c r="C4082" s="29" t="s">
        <v>20906</v>
      </c>
      <c r="D4082" s="29" t="s">
        <v>34130</v>
      </c>
      <c r="E4082" s="29" t="s">
        <v>47180</v>
      </c>
      <c r="F4082" s="36" t="s">
        <v>54401</v>
      </c>
      <c r="G4082" s="39">
        <v>2858124.47</v>
      </c>
      <c r="H4082" s="42">
        <v>211</v>
      </c>
    </row>
    <row r="4083" spans="1:8" ht="15" customHeight="1">
      <c r="A4083" s="26">
        <v>46451254</v>
      </c>
      <c r="B4083" s="29" t="s">
        <v>6318</v>
      </c>
      <c r="C4083" s="29" t="s">
        <v>20907</v>
      </c>
      <c r="D4083" s="29" t="s">
        <v>34131</v>
      </c>
      <c r="E4083" s="29" t="s">
        <v>47181</v>
      </c>
      <c r="F4083" s="36" t="s">
        <v>54401</v>
      </c>
      <c r="G4083" s="39">
        <v>1406087.72</v>
      </c>
      <c r="H4083" s="42">
        <v>211</v>
      </c>
    </row>
    <row r="4084" spans="1:8" ht="15" customHeight="1">
      <c r="A4084" s="26">
        <v>46451275</v>
      </c>
      <c r="B4084" s="29" t="s">
        <v>6319</v>
      </c>
      <c r="C4084" s="29" t="s">
        <v>20908</v>
      </c>
      <c r="D4084" s="29" t="s">
        <v>34132</v>
      </c>
      <c r="E4084" s="29" t="s">
        <v>44327</v>
      </c>
      <c r="F4084" s="36" t="s">
        <v>54401</v>
      </c>
      <c r="G4084" s="39">
        <v>7078228</v>
      </c>
      <c r="H4084" s="42">
        <v>211</v>
      </c>
    </row>
    <row r="4085" spans="1:8" ht="15" customHeight="1">
      <c r="A4085" s="26">
        <v>46451290</v>
      </c>
      <c r="B4085" s="29" t="s">
        <v>6320</v>
      </c>
      <c r="C4085" s="26" t="s">
        <v>20909</v>
      </c>
      <c r="D4085" s="26" t="s">
        <v>34133</v>
      </c>
      <c r="E4085" s="26" t="s">
        <v>47182</v>
      </c>
      <c r="F4085" s="37" t="s">
        <v>54401</v>
      </c>
      <c r="G4085" s="39">
        <v>223551.86</v>
      </c>
      <c r="H4085" s="42">
        <v>211</v>
      </c>
    </row>
    <row r="4086" spans="1:8" ht="15" customHeight="1">
      <c r="A4086" s="26">
        <v>46451291</v>
      </c>
      <c r="B4086" s="29" t="s">
        <v>6321</v>
      </c>
      <c r="C4086" s="29" t="s">
        <v>20910</v>
      </c>
      <c r="D4086" s="29" t="s">
        <v>34134</v>
      </c>
      <c r="E4086" s="29" t="s">
        <v>44084</v>
      </c>
      <c r="F4086" s="36" t="s">
        <v>54401</v>
      </c>
      <c r="G4086" s="39">
        <v>774318.44</v>
      </c>
      <c r="H4086" s="42">
        <v>211</v>
      </c>
    </row>
    <row r="4087" spans="1:8" ht="15" customHeight="1">
      <c r="A4087" s="26">
        <v>46451292</v>
      </c>
      <c r="B4087" s="29" t="s">
        <v>6322</v>
      </c>
      <c r="C4087" s="26" t="s">
        <v>20911</v>
      </c>
      <c r="D4087" s="26" t="s">
        <v>34135</v>
      </c>
      <c r="E4087" s="26" t="s">
        <v>47183</v>
      </c>
      <c r="F4087" s="37" t="s">
        <v>54409</v>
      </c>
      <c r="G4087" s="39">
        <v>3477138</v>
      </c>
      <c r="H4087" s="42">
        <v>211</v>
      </c>
    </row>
    <row r="4088" spans="1:8" ht="15" customHeight="1">
      <c r="A4088" s="26">
        <v>46451306</v>
      </c>
      <c r="B4088" s="29" t="s">
        <v>6323</v>
      </c>
      <c r="C4088" s="29" t="s">
        <v>20912</v>
      </c>
      <c r="D4088" s="29" t="s">
        <v>34136</v>
      </c>
      <c r="E4088" s="29" t="s">
        <v>45502</v>
      </c>
      <c r="F4088" s="36" t="s">
        <v>54401</v>
      </c>
      <c r="G4088" s="39">
        <v>1811622</v>
      </c>
      <c r="H4088" s="42">
        <v>211</v>
      </c>
    </row>
    <row r="4089" spans="1:8" ht="15" customHeight="1">
      <c r="A4089" s="26">
        <v>46451322</v>
      </c>
      <c r="B4089" s="29" t="s">
        <v>6324</v>
      </c>
      <c r="C4089" s="29" t="s">
        <v>20913</v>
      </c>
      <c r="D4089" s="29" t="s">
        <v>34137</v>
      </c>
      <c r="E4089" s="29" t="s">
        <v>47184</v>
      </c>
      <c r="F4089" s="36" t="s">
        <v>54401</v>
      </c>
      <c r="G4089" s="39">
        <v>2973175.49</v>
      </c>
      <c r="H4089" s="42">
        <v>211</v>
      </c>
    </row>
    <row r="4090" spans="1:8" ht="15" customHeight="1">
      <c r="A4090" s="26">
        <v>46451323</v>
      </c>
      <c r="B4090" s="29" t="s">
        <v>6325</v>
      </c>
      <c r="C4090" s="29" t="s">
        <v>20914</v>
      </c>
      <c r="D4090" s="29" t="s">
        <v>34138</v>
      </c>
      <c r="E4090" s="29" t="s">
        <v>43926</v>
      </c>
      <c r="F4090" s="36" t="s">
        <v>54401</v>
      </c>
      <c r="G4090" s="39">
        <v>290170.59000000003</v>
      </c>
      <c r="H4090" s="42">
        <v>211</v>
      </c>
    </row>
    <row r="4091" spans="1:8" ht="15" customHeight="1">
      <c r="A4091" s="26">
        <v>46451349</v>
      </c>
      <c r="B4091" s="29" t="s">
        <v>6326</v>
      </c>
      <c r="C4091" s="29" t="s">
        <v>20915</v>
      </c>
      <c r="D4091" s="29" t="s">
        <v>34139</v>
      </c>
      <c r="E4091" s="29" t="s">
        <v>47185</v>
      </c>
      <c r="F4091" s="36" t="s">
        <v>54401</v>
      </c>
      <c r="G4091" s="39">
        <v>2035849</v>
      </c>
      <c r="H4091" s="42">
        <v>211</v>
      </c>
    </row>
    <row r="4092" spans="1:8" ht="15" customHeight="1">
      <c r="A4092" s="26">
        <v>46451350</v>
      </c>
      <c r="B4092" s="29" t="s">
        <v>6327</v>
      </c>
      <c r="C4092" s="29" t="s">
        <v>20916</v>
      </c>
      <c r="D4092" s="29" t="s">
        <v>34140</v>
      </c>
      <c r="E4092" s="29" t="s">
        <v>47186</v>
      </c>
      <c r="F4092" s="36" t="s">
        <v>54401</v>
      </c>
      <c r="G4092" s="39">
        <v>881757.57</v>
      </c>
      <c r="H4092" s="42">
        <v>211</v>
      </c>
    </row>
    <row r="4093" spans="1:8" ht="15" customHeight="1">
      <c r="A4093" s="26">
        <v>46451352</v>
      </c>
      <c r="B4093" s="29" t="s">
        <v>6328</v>
      </c>
      <c r="C4093" s="29" t="s">
        <v>20917</v>
      </c>
      <c r="D4093" s="29" t="s">
        <v>34141</v>
      </c>
      <c r="E4093" s="29" t="s">
        <v>47187</v>
      </c>
      <c r="F4093" s="36" t="s">
        <v>54401</v>
      </c>
      <c r="G4093" s="39">
        <v>454714.43</v>
      </c>
      <c r="H4093" s="42">
        <v>211</v>
      </c>
    </row>
    <row r="4094" spans="1:8" ht="15" customHeight="1">
      <c r="A4094" s="26">
        <v>46451355</v>
      </c>
      <c r="B4094" s="29" t="s">
        <v>6329</v>
      </c>
      <c r="C4094" s="29" t="s">
        <v>20918</v>
      </c>
      <c r="D4094" s="29" t="s">
        <v>34142</v>
      </c>
      <c r="E4094" s="29" t="s">
        <v>47188</v>
      </c>
      <c r="F4094" s="36" t="s">
        <v>54401</v>
      </c>
      <c r="G4094" s="39">
        <v>2418008</v>
      </c>
      <c r="H4094" s="42">
        <v>211</v>
      </c>
    </row>
    <row r="4095" spans="1:8" ht="15" customHeight="1">
      <c r="A4095" s="26">
        <v>46451374</v>
      </c>
      <c r="B4095" s="29" t="s">
        <v>6330</v>
      </c>
      <c r="C4095" s="29" t="s">
        <v>20919</v>
      </c>
      <c r="D4095" s="29" t="s">
        <v>34143</v>
      </c>
      <c r="E4095" s="29" t="s">
        <v>47189</v>
      </c>
      <c r="F4095" s="36" t="s">
        <v>54401</v>
      </c>
      <c r="G4095" s="39">
        <v>468786.28</v>
      </c>
      <c r="H4095" s="42">
        <v>211</v>
      </c>
    </row>
    <row r="4096" spans="1:8" ht="15" customHeight="1">
      <c r="A4096" s="26">
        <v>46451395</v>
      </c>
      <c r="B4096" s="29" t="s">
        <v>6331</v>
      </c>
      <c r="C4096" s="29" t="s">
        <v>20920</v>
      </c>
      <c r="D4096" s="29" t="s">
        <v>34144</v>
      </c>
      <c r="E4096" s="29" t="s">
        <v>47190</v>
      </c>
      <c r="F4096" s="36" t="s">
        <v>54401</v>
      </c>
      <c r="G4096" s="39">
        <v>1003180.12</v>
      </c>
      <c r="H4096" s="42">
        <v>211</v>
      </c>
    </row>
    <row r="4097" spans="1:8" ht="15" customHeight="1">
      <c r="A4097" s="26">
        <v>46451400</v>
      </c>
      <c r="B4097" s="29" t="s">
        <v>6332</v>
      </c>
      <c r="C4097" s="29" t="s">
        <v>20921</v>
      </c>
      <c r="D4097" s="29" t="s">
        <v>34145</v>
      </c>
      <c r="E4097" s="29" t="s">
        <v>47191</v>
      </c>
      <c r="F4097" s="36" t="s">
        <v>54401</v>
      </c>
      <c r="G4097" s="39">
        <v>1534484.53</v>
      </c>
      <c r="H4097" s="42">
        <v>211</v>
      </c>
    </row>
    <row r="4098" spans="1:8" ht="15" customHeight="1">
      <c r="A4098" s="26">
        <v>46451410</v>
      </c>
      <c r="B4098" s="29" t="s">
        <v>6333</v>
      </c>
      <c r="C4098" s="26" t="s">
        <v>17204</v>
      </c>
      <c r="D4098" s="26" t="s">
        <v>34146</v>
      </c>
      <c r="E4098" s="26" t="s">
        <v>47192</v>
      </c>
      <c r="F4098" s="37" t="s">
        <v>54401</v>
      </c>
      <c r="G4098" s="39">
        <v>73833.47</v>
      </c>
      <c r="H4098" s="42">
        <v>211</v>
      </c>
    </row>
    <row r="4099" spans="1:8" ht="15" customHeight="1">
      <c r="A4099" s="26">
        <v>46451424</v>
      </c>
      <c r="B4099" s="29" t="s">
        <v>6334</v>
      </c>
      <c r="C4099" s="29" t="s">
        <v>20922</v>
      </c>
      <c r="D4099" s="29" t="s">
        <v>34147</v>
      </c>
      <c r="E4099" s="29" t="s">
        <v>47193</v>
      </c>
      <c r="F4099" s="36" t="s">
        <v>54401</v>
      </c>
      <c r="G4099" s="39">
        <v>1323509.99</v>
      </c>
      <c r="H4099" s="42">
        <v>211</v>
      </c>
    </row>
    <row r="4100" spans="1:8" ht="15" customHeight="1">
      <c r="A4100" s="26">
        <v>46451427</v>
      </c>
      <c r="B4100" s="29" t="s">
        <v>6335</v>
      </c>
      <c r="C4100" s="29" t="s">
        <v>20923</v>
      </c>
      <c r="D4100" s="29" t="s">
        <v>34148</v>
      </c>
      <c r="E4100" s="29" t="s">
        <v>47194</v>
      </c>
      <c r="F4100" s="36" t="s">
        <v>54401</v>
      </c>
      <c r="G4100" s="39">
        <v>369544.23</v>
      </c>
      <c r="H4100" s="42">
        <v>211</v>
      </c>
    </row>
    <row r="4101" spans="1:8" ht="15" customHeight="1">
      <c r="A4101" s="26">
        <v>46451437</v>
      </c>
      <c r="B4101" s="29" t="s">
        <v>6336</v>
      </c>
      <c r="C4101" s="26" t="s">
        <v>20924</v>
      </c>
      <c r="D4101" s="26" t="s">
        <v>34149</v>
      </c>
      <c r="E4101" s="26" t="s">
        <v>43926</v>
      </c>
      <c r="F4101" s="37" t="s">
        <v>54401</v>
      </c>
      <c r="G4101" s="39">
        <v>895680.54</v>
      </c>
      <c r="H4101" s="42">
        <v>211</v>
      </c>
    </row>
    <row r="4102" spans="1:8" ht="15" customHeight="1">
      <c r="A4102" s="26">
        <v>46451455</v>
      </c>
      <c r="B4102" s="29" t="s">
        <v>6337</v>
      </c>
      <c r="C4102" s="29" t="s">
        <v>20925</v>
      </c>
      <c r="D4102" s="29" t="s">
        <v>34150</v>
      </c>
      <c r="E4102" s="29" t="s">
        <v>47195</v>
      </c>
      <c r="F4102" s="36" t="s">
        <v>54401</v>
      </c>
      <c r="G4102" s="39">
        <v>67410</v>
      </c>
      <c r="H4102" s="42">
        <v>211</v>
      </c>
    </row>
    <row r="4103" spans="1:8" ht="15" customHeight="1">
      <c r="A4103" s="26">
        <v>46451457</v>
      </c>
      <c r="B4103" s="29" t="s">
        <v>6338</v>
      </c>
      <c r="C4103" s="29" t="s">
        <v>20926</v>
      </c>
      <c r="D4103" s="29" t="s">
        <v>34151</v>
      </c>
      <c r="E4103" s="29" t="s">
        <v>47196</v>
      </c>
      <c r="F4103" s="36" t="s">
        <v>54401</v>
      </c>
      <c r="G4103" s="39">
        <v>203317.56</v>
      </c>
      <c r="H4103" s="42">
        <v>211</v>
      </c>
    </row>
    <row r="4104" spans="1:8" ht="15" customHeight="1">
      <c r="A4104" s="26">
        <v>46451467</v>
      </c>
      <c r="B4104" s="29" t="s">
        <v>6339</v>
      </c>
      <c r="C4104" s="29" t="s">
        <v>17204</v>
      </c>
      <c r="D4104" s="29" t="s">
        <v>30349</v>
      </c>
      <c r="E4104" s="29" t="s">
        <v>43926</v>
      </c>
      <c r="F4104" s="36" t="s">
        <v>54401</v>
      </c>
      <c r="G4104" s="39">
        <v>262523.17</v>
      </c>
      <c r="H4104" s="42">
        <v>211</v>
      </c>
    </row>
    <row r="4105" spans="1:8" ht="15" customHeight="1">
      <c r="A4105" s="26">
        <v>46451478</v>
      </c>
      <c r="B4105" s="29" t="s">
        <v>6340</v>
      </c>
      <c r="C4105" s="29" t="s">
        <v>20927</v>
      </c>
      <c r="D4105" s="29" t="s">
        <v>34152</v>
      </c>
      <c r="E4105" s="29" t="s">
        <v>43926</v>
      </c>
      <c r="F4105" s="36" t="s">
        <v>54401</v>
      </c>
      <c r="G4105" s="39">
        <v>1657521.35</v>
      </c>
      <c r="H4105" s="42">
        <v>211</v>
      </c>
    </row>
    <row r="4106" spans="1:8" ht="15" customHeight="1">
      <c r="A4106" s="26">
        <v>46451479</v>
      </c>
      <c r="B4106" s="29" t="s">
        <v>6341</v>
      </c>
      <c r="C4106" s="29" t="s">
        <v>20928</v>
      </c>
      <c r="D4106" s="29" t="s">
        <v>34153</v>
      </c>
      <c r="E4106" s="29" t="s">
        <v>47197</v>
      </c>
      <c r="F4106" s="36" t="s">
        <v>54401</v>
      </c>
      <c r="G4106" s="39">
        <v>2807277</v>
      </c>
      <c r="H4106" s="42">
        <v>211</v>
      </c>
    </row>
    <row r="4107" spans="1:8" ht="15" customHeight="1">
      <c r="A4107" s="26">
        <v>46451481</v>
      </c>
      <c r="B4107" s="29" t="s">
        <v>6342</v>
      </c>
      <c r="C4107" s="29" t="s">
        <v>20929</v>
      </c>
      <c r="D4107" s="29" t="s">
        <v>34154</v>
      </c>
      <c r="E4107" s="29" t="s">
        <v>47198</v>
      </c>
      <c r="F4107" s="36" t="s">
        <v>54401</v>
      </c>
      <c r="G4107" s="39">
        <v>20479.2</v>
      </c>
      <c r="H4107" s="42">
        <v>211</v>
      </c>
    </row>
    <row r="4108" spans="1:8" ht="15" customHeight="1">
      <c r="A4108" s="26">
        <v>46451485</v>
      </c>
      <c r="B4108" s="29" t="s">
        <v>6343</v>
      </c>
      <c r="C4108" s="29" t="s">
        <v>17204</v>
      </c>
      <c r="D4108" s="29" t="s">
        <v>30349</v>
      </c>
      <c r="E4108" s="29" t="s">
        <v>43926</v>
      </c>
      <c r="F4108" s="36" t="s">
        <v>54401</v>
      </c>
      <c r="G4108" s="39">
        <v>1338645.6000000001</v>
      </c>
      <c r="H4108" s="42">
        <v>211</v>
      </c>
    </row>
    <row r="4109" spans="1:8" ht="15" customHeight="1">
      <c r="A4109" s="26">
        <v>46451502</v>
      </c>
      <c r="B4109" s="29" t="s">
        <v>6344</v>
      </c>
      <c r="C4109" s="29" t="s">
        <v>20930</v>
      </c>
      <c r="D4109" s="29" t="s">
        <v>34155</v>
      </c>
      <c r="E4109" s="29" t="s">
        <v>47199</v>
      </c>
      <c r="F4109" s="36" t="s">
        <v>54401</v>
      </c>
      <c r="G4109" s="39">
        <v>654863.17000000004</v>
      </c>
      <c r="H4109" s="42">
        <v>211</v>
      </c>
    </row>
    <row r="4110" spans="1:8" ht="15" customHeight="1">
      <c r="A4110" s="26">
        <v>46451536</v>
      </c>
      <c r="B4110" s="29" t="s">
        <v>6345</v>
      </c>
      <c r="C4110" s="29" t="s">
        <v>20931</v>
      </c>
      <c r="D4110" s="29" t="s">
        <v>34156</v>
      </c>
      <c r="E4110" s="29" t="s">
        <v>47200</v>
      </c>
      <c r="F4110" s="36" t="s">
        <v>54401</v>
      </c>
      <c r="G4110" s="39">
        <v>600052.21</v>
      </c>
      <c r="H4110" s="42">
        <v>211</v>
      </c>
    </row>
    <row r="4111" spans="1:8" ht="15" customHeight="1">
      <c r="A4111" s="26">
        <v>46451541</v>
      </c>
      <c r="B4111" s="29" t="s">
        <v>6346</v>
      </c>
      <c r="C4111" s="29" t="s">
        <v>20932</v>
      </c>
      <c r="D4111" s="29" t="s">
        <v>34157</v>
      </c>
      <c r="E4111" s="29" t="s">
        <v>43926</v>
      </c>
      <c r="F4111" s="36" t="s">
        <v>54401</v>
      </c>
      <c r="G4111" s="39">
        <v>3109393</v>
      </c>
      <c r="H4111" s="42">
        <v>211</v>
      </c>
    </row>
    <row r="4112" spans="1:8" ht="15" customHeight="1">
      <c r="A4112" s="26">
        <v>46451546</v>
      </c>
      <c r="B4112" s="29" t="s">
        <v>6347</v>
      </c>
      <c r="C4112" s="29" t="s">
        <v>20933</v>
      </c>
      <c r="D4112" s="29" t="s">
        <v>34158</v>
      </c>
      <c r="E4112" s="29" t="s">
        <v>47201</v>
      </c>
      <c r="F4112" s="36" t="s">
        <v>54401</v>
      </c>
      <c r="G4112" s="39">
        <v>77411.5</v>
      </c>
      <c r="H4112" s="42">
        <v>211</v>
      </c>
    </row>
    <row r="4113" spans="1:8" ht="15" customHeight="1">
      <c r="A4113" s="26">
        <v>46451549</v>
      </c>
      <c r="B4113" s="29" t="s">
        <v>6348</v>
      </c>
      <c r="C4113" s="29" t="s">
        <v>20934</v>
      </c>
      <c r="D4113" s="29" t="s">
        <v>30349</v>
      </c>
      <c r="E4113" s="29" t="s">
        <v>43926</v>
      </c>
      <c r="F4113" s="36" t="s">
        <v>54401</v>
      </c>
      <c r="G4113" s="39">
        <v>2944192</v>
      </c>
      <c r="H4113" s="42">
        <v>211</v>
      </c>
    </row>
    <row r="4114" spans="1:8" ht="15" customHeight="1">
      <c r="A4114" s="26">
        <v>46451577</v>
      </c>
      <c r="B4114" s="29" t="s">
        <v>6349</v>
      </c>
      <c r="C4114" s="29" t="s">
        <v>20935</v>
      </c>
      <c r="D4114" s="29" t="s">
        <v>34159</v>
      </c>
      <c r="E4114" s="29" t="s">
        <v>1730</v>
      </c>
      <c r="F4114" s="36" t="s">
        <v>54401</v>
      </c>
      <c r="G4114" s="39">
        <v>84114.2</v>
      </c>
      <c r="H4114" s="42">
        <v>211</v>
      </c>
    </row>
    <row r="4115" spans="1:8" ht="15" customHeight="1">
      <c r="A4115" s="26">
        <v>46451590</v>
      </c>
      <c r="B4115" s="30" t="s">
        <v>6350</v>
      </c>
      <c r="C4115" s="29" t="s">
        <v>20936</v>
      </c>
      <c r="D4115" s="29" t="s">
        <v>34160</v>
      </c>
      <c r="E4115" s="29" t="s">
        <v>47202</v>
      </c>
      <c r="F4115" s="36" t="s">
        <v>54401</v>
      </c>
      <c r="G4115" s="39">
        <v>3571709</v>
      </c>
      <c r="H4115" s="42">
        <v>211</v>
      </c>
    </row>
    <row r="4116" spans="1:8" ht="15" customHeight="1">
      <c r="A4116" s="26">
        <v>46451608</v>
      </c>
      <c r="B4116" s="29" t="s">
        <v>6351</v>
      </c>
      <c r="C4116" s="29" t="s">
        <v>20937</v>
      </c>
      <c r="D4116" s="29" t="s">
        <v>34161</v>
      </c>
      <c r="E4116" s="29" t="s">
        <v>47203</v>
      </c>
      <c r="F4116" s="36" t="s">
        <v>54401</v>
      </c>
      <c r="G4116" s="39">
        <v>876322.36</v>
      </c>
      <c r="H4116" s="42">
        <v>211</v>
      </c>
    </row>
    <row r="4117" spans="1:8" ht="15" customHeight="1">
      <c r="A4117" s="26">
        <v>46451613</v>
      </c>
      <c r="B4117" s="29" t="s">
        <v>6352</v>
      </c>
      <c r="C4117" s="29" t="s">
        <v>20938</v>
      </c>
      <c r="D4117" s="29" t="s">
        <v>34162</v>
      </c>
      <c r="E4117" s="29" t="s">
        <v>44314</v>
      </c>
      <c r="F4117" s="36" t="s">
        <v>54401</v>
      </c>
      <c r="G4117" s="39">
        <v>6074274.7400000002</v>
      </c>
      <c r="H4117" s="42">
        <v>211</v>
      </c>
    </row>
    <row r="4118" spans="1:8" ht="15" customHeight="1">
      <c r="A4118" s="26">
        <v>46451634</v>
      </c>
      <c r="B4118" s="29" t="s">
        <v>6353</v>
      </c>
      <c r="C4118" s="29" t="s">
        <v>20939</v>
      </c>
      <c r="D4118" s="29" t="s">
        <v>34163</v>
      </c>
      <c r="E4118" s="29" t="s">
        <v>43926</v>
      </c>
      <c r="F4118" s="36" t="s">
        <v>54401</v>
      </c>
      <c r="G4118" s="39">
        <v>574239.84</v>
      </c>
      <c r="H4118" s="42">
        <v>211</v>
      </c>
    </row>
    <row r="4119" spans="1:8" ht="15" customHeight="1">
      <c r="A4119" s="26">
        <v>46451640</v>
      </c>
      <c r="B4119" s="29" t="s">
        <v>6354</v>
      </c>
      <c r="C4119" s="26" t="s">
        <v>20940</v>
      </c>
      <c r="D4119" s="26" t="s">
        <v>34164</v>
      </c>
      <c r="E4119" s="26" t="s">
        <v>47204</v>
      </c>
      <c r="F4119" s="37" t="s">
        <v>54401</v>
      </c>
      <c r="G4119" s="39">
        <v>1171288.6100000001</v>
      </c>
      <c r="H4119" s="42">
        <v>211</v>
      </c>
    </row>
    <row r="4120" spans="1:8" ht="15" customHeight="1">
      <c r="A4120" s="26">
        <v>46451646</v>
      </c>
      <c r="B4120" s="29" t="s">
        <v>6355</v>
      </c>
      <c r="C4120" s="29" t="s">
        <v>20941</v>
      </c>
      <c r="D4120" s="29" t="s">
        <v>34165</v>
      </c>
      <c r="E4120" s="29" t="s">
        <v>43926</v>
      </c>
      <c r="F4120" s="36" t="s">
        <v>54401</v>
      </c>
      <c r="G4120" s="39">
        <v>373577.11</v>
      </c>
      <c r="H4120" s="42">
        <v>211</v>
      </c>
    </row>
    <row r="4121" spans="1:8" ht="15" customHeight="1">
      <c r="A4121" s="26">
        <v>46451650</v>
      </c>
      <c r="B4121" s="29" t="s">
        <v>6356</v>
      </c>
      <c r="C4121" s="26" t="s">
        <v>17204</v>
      </c>
      <c r="D4121" s="26" t="s">
        <v>30349</v>
      </c>
      <c r="E4121" s="26" t="s">
        <v>43926</v>
      </c>
      <c r="F4121" s="37" t="s">
        <v>54401</v>
      </c>
      <c r="G4121" s="39">
        <v>195732.98</v>
      </c>
      <c r="H4121" s="42">
        <v>211</v>
      </c>
    </row>
    <row r="4122" spans="1:8" ht="15" customHeight="1">
      <c r="A4122" s="26">
        <v>46451651</v>
      </c>
      <c r="B4122" s="29" t="s">
        <v>6357</v>
      </c>
      <c r="C4122" s="29" t="s">
        <v>20942</v>
      </c>
      <c r="D4122" s="29" t="s">
        <v>34166</v>
      </c>
      <c r="E4122" s="29" t="s">
        <v>47205</v>
      </c>
      <c r="F4122" s="36" t="s">
        <v>54401</v>
      </c>
      <c r="G4122" s="39">
        <v>431365.26</v>
      </c>
      <c r="H4122" s="42">
        <v>211</v>
      </c>
    </row>
    <row r="4123" spans="1:8" ht="15" customHeight="1">
      <c r="A4123" s="26">
        <v>46451664</v>
      </c>
      <c r="B4123" s="29" t="s">
        <v>6358</v>
      </c>
      <c r="C4123" s="29" t="s">
        <v>20943</v>
      </c>
      <c r="D4123" s="29" t="s">
        <v>34167</v>
      </c>
      <c r="E4123" s="29" t="s">
        <v>47206</v>
      </c>
      <c r="F4123" s="36" t="s">
        <v>54401</v>
      </c>
      <c r="G4123" s="39">
        <v>4547449</v>
      </c>
      <c r="H4123" s="42">
        <v>211</v>
      </c>
    </row>
    <row r="4124" spans="1:8" ht="15" customHeight="1">
      <c r="A4124" s="26">
        <v>46451679</v>
      </c>
      <c r="B4124" s="29" t="s">
        <v>6359</v>
      </c>
      <c r="C4124" s="29" t="s">
        <v>20944</v>
      </c>
      <c r="D4124" s="29" t="s">
        <v>34168</v>
      </c>
      <c r="E4124" s="29" t="s">
        <v>47207</v>
      </c>
      <c r="F4124" s="36" t="s">
        <v>54401</v>
      </c>
      <c r="G4124" s="39">
        <v>5147731.2300000004</v>
      </c>
      <c r="H4124" s="42">
        <v>211</v>
      </c>
    </row>
    <row r="4125" spans="1:8" ht="15" customHeight="1">
      <c r="A4125" s="26">
        <v>46451702</v>
      </c>
      <c r="B4125" s="29" t="s">
        <v>6360</v>
      </c>
      <c r="C4125" s="29" t="s">
        <v>20945</v>
      </c>
      <c r="D4125" s="29" t="s">
        <v>34169</v>
      </c>
      <c r="E4125" s="29" t="s">
        <v>47208</v>
      </c>
      <c r="F4125" s="36" t="s">
        <v>54401</v>
      </c>
      <c r="G4125" s="39">
        <v>9272420</v>
      </c>
      <c r="H4125" s="42">
        <v>211</v>
      </c>
    </row>
    <row r="4126" spans="1:8" ht="15" customHeight="1">
      <c r="A4126" s="26">
        <v>46451710</v>
      </c>
      <c r="B4126" s="29" t="s">
        <v>6361</v>
      </c>
      <c r="C4126" s="29" t="s">
        <v>20946</v>
      </c>
      <c r="D4126" s="29" t="s">
        <v>30376</v>
      </c>
      <c r="E4126" s="29" t="s">
        <v>47209</v>
      </c>
      <c r="F4126" s="36" t="s">
        <v>54401</v>
      </c>
      <c r="G4126" s="39">
        <v>4817437</v>
      </c>
      <c r="H4126" s="42">
        <v>211</v>
      </c>
    </row>
    <row r="4127" spans="1:8" ht="15" customHeight="1">
      <c r="A4127" s="26">
        <v>46451718</v>
      </c>
      <c r="B4127" s="29" t="s">
        <v>6362</v>
      </c>
      <c r="C4127" s="29" t="s">
        <v>20947</v>
      </c>
      <c r="D4127" s="29" t="s">
        <v>34170</v>
      </c>
      <c r="E4127" s="29" t="s">
        <v>47210</v>
      </c>
      <c r="F4127" s="36" t="s">
        <v>54401</v>
      </c>
      <c r="G4127" s="39">
        <v>95362.47</v>
      </c>
      <c r="H4127" s="42">
        <v>211</v>
      </c>
    </row>
    <row r="4128" spans="1:8" ht="15" customHeight="1">
      <c r="A4128" s="26">
        <v>46451720</v>
      </c>
      <c r="B4128" s="29" t="s">
        <v>6363</v>
      </c>
      <c r="C4128" s="29" t="s">
        <v>20948</v>
      </c>
      <c r="D4128" s="29" t="s">
        <v>34171</v>
      </c>
      <c r="E4128" s="29" t="s">
        <v>47211</v>
      </c>
      <c r="F4128" s="36" t="s">
        <v>54401</v>
      </c>
      <c r="G4128" s="39">
        <v>339803.11</v>
      </c>
      <c r="H4128" s="42">
        <v>211</v>
      </c>
    </row>
    <row r="4129" spans="1:8" ht="15" customHeight="1">
      <c r="A4129" s="26">
        <v>46451728</v>
      </c>
      <c r="B4129" s="29" t="s">
        <v>6364</v>
      </c>
      <c r="C4129" s="29" t="s">
        <v>20949</v>
      </c>
      <c r="D4129" s="29" t="s">
        <v>30376</v>
      </c>
      <c r="E4129" s="29" t="s">
        <v>47212</v>
      </c>
      <c r="F4129" s="36" t="s">
        <v>54401</v>
      </c>
      <c r="G4129" s="39">
        <v>4548434.26</v>
      </c>
      <c r="H4129" s="42">
        <v>211</v>
      </c>
    </row>
    <row r="4130" spans="1:8" ht="15" customHeight="1">
      <c r="A4130" s="26">
        <v>46451733</v>
      </c>
      <c r="B4130" s="29" t="s">
        <v>6365</v>
      </c>
      <c r="C4130" s="29" t="s">
        <v>20950</v>
      </c>
      <c r="D4130" s="29" t="s">
        <v>34172</v>
      </c>
      <c r="E4130" s="29" t="s">
        <v>47213</v>
      </c>
      <c r="F4130" s="36" t="s">
        <v>54401</v>
      </c>
      <c r="G4130" s="39">
        <v>2252742</v>
      </c>
      <c r="H4130" s="42">
        <v>211</v>
      </c>
    </row>
    <row r="4131" spans="1:8" ht="15" customHeight="1">
      <c r="A4131" s="26">
        <v>46451737</v>
      </c>
      <c r="B4131" s="29" t="s">
        <v>6366</v>
      </c>
      <c r="C4131" s="29" t="s">
        <v>20951</v>
      </c>
      <c r="D4131" s="29" t="s">
        <v>34173</v>
      </c>
      <c r="E4131" s="29" t="s">
        <v>47214</v>
      </c>
      <c r="F4131" s="36" t="s">
        <v>54401</v>
      </c>
      <c r="G4131" s="39">
        <v>1925064</v>
      </c>
      <c r="H4131" s="42">
        <v>211</v>
      </c>
    </row>
    <row r="4132" spans="1:8" ht="15" customHeight="1">
      <c r="A4132" s="26">
        <v>46451751</v>
      </c>
      <c r="B4132" s="29" t="s">
        <v>6367</v>
      </c>
      <c r="C4132" s="26" t="s">
        <v>17204</v>
      </c>
      <c r="D4132" s="26" t="s">
        <v>34174</v>
      </c>
      <c r="E4132" s="26" t="s">
        <v>43926</v>
      </c>
      <c r="F4132" s="37" t="s">
        <v>54401</v>
      </c>
      <c r="G4132" s="39">
        <v>108545.22</v>
      </c>
      <c r="H4132" s="42">
        <v>211</v>
      </c>
    </row>
    <row r="4133" spans="1:8" ht="15" customHeight="1">
      <c r="A4133" s="26">
        <v>46451801</v>
      </c>
      <c r="B4133" s="29" t="s">
        <v>6368</v>
      </c>
      <c r="C4133" s="29" t="s">
        <v>17204</v>
      </c>
      <c r="D4133" s="29" t="s">
        <v>34175</v>
      </c>
      <c r="E4133" s="29" t="s">
        <v>43926</v>
      </c>
      <c r="F4133" s="36" t="s">
        <v>54401</v>
      </c>
      <c r="G4133" s="39">
        <v>786708.56</v>
      </c>
      <c r="H4133" s="42">
        <v>211</v>
      </c>
    </row>
    <row r="4134" spans="1:8" ht="15" customHeight="1">
      <c r="A4134" s="26">
        <v>46451803</v>
      </c>
      <c r="B4134" s="29" t="s">
        <v>6369</v>
      </c>
      <c r="C4134" s="29" t="s">
        <v>20952</v>
      </c>
      <c r="D4134" s="29" t="s">
        <v>34176</v>
      </c>
      <c r="E4134" s="29" t="s">
        <v>44942</v>
      </c>
      <c r="F4134" s="36" t="s">
        <v>54401</v>
      </c>
      <c r="G4134" s="39">
        <v>1621657</v>
      </c>
      <c r="H4134" s="42">
        <v>211</v>
      </c>
    </row>
    <row r="4135" spans="1:8" ht="15" customHeight="1">
      <c r="A4135" s="26">
        <v>46451804</v>
      </c>
      <c r="B4135" s="29" t="s">
        <v>6370</v>
      </c>
      <c r="C4135" s="29" t="s">
        <v>20953</v>
      </c>
      <c r="D4135" s="29" t="s">
        <v>34177</v>
      </c>
      <c r="E4135" s="29" t="s">
        <v>47215</v>
      </c>
      <c r="F4135" s="36" t="s">
        <v>54401</v>
      </c>
      <c r="G4135" s="39">
        <v>4682369</v>
      </c>
      <c r="H4135" s="42">
        <v>211</v>
      </c>
    </row>
    <row r="4136" spans="1:8" ht="15" customHeight="1">
      <c r="A4136" s="26">
        <v>46451809</v>
      </c>
      <c r="B4136" s="29" t="s">
        <v>6371</v>
      </c>
      <c r="C4136" s="29" t="s">
        <v>20954</v>
      </c>
      <c r="D4136" s="29" t="s">
        <v>30376</v>
      </c>
      <c r="E4136" s="29" t="s">
        <v>47216</v>
      </c>
      <c r="F4136" s="36" t="s">
        <v>54401</v>
      </c>
      <c r="G4136" s="39">
        <v>4203911.68</v>
      </c>
      <c r="H4136" s="42">
        <v>211</v>
      </c>
    </row>
    <row r="4137" spans="1:8" ht="15" customHeight="1">
      <c r="A4137" s="26">
        <v>46451823</v>
      </c>
      <c r="B4137" s="29" t="s">
        <v>6372</v>
      </c>
      <c r="C4137" s="29" t="s">
        <v>20955</v>
      </c>
      <c r="D4137" s="29" t="s">
        <v>34178</v>
      </c>
      <c r="E4137" s="29" t="s">
        <v>47217</v>
      </c>
      <c r="F4137" s="36" t="s">
        <v>54401</v>
      </c>
      <c r="G4137" s="39">
        <v>181456.03</v>
      </c>
      <c r="H4137" s="42">
        <v>211</v>
      </c>
    </row>
    <row r="4138" spans="1:8" ht="15" customHeight="1">
      <c r="A4138" s="26">
        <v>46451826</v>
      </c>
      <c r="B4138" s="29" t="s">
        <v>6373</v>
      </c>
      <c r="C4138" s="29" t="s">
        <v>20956</v>
      </c>
      <c r="D4138" s="29" t="s">
        <v>34179</v>
      </c>
      <c r="E4138" s="29" t="s">
        <v>47218</v>
      </c>
      <c r="F4138" s="36" t="s">
        <v>54401</v>
      </c>
      <c r="G4138" s="39">
        <v>2816687</v>
      </c>
      <c r="H4138" s="42">
        <v>211</v>
      </c>
    </row>
    <row r="4139" spans="1:8" ht="15" customHeight="1">
      <c r="A4139" s="26">
        <v>46451827</v>
      </c>
      <c r="B4139" s="29" t="s">
        <v>6374</v>
      </c>
      <c r="C4139" s="29" t="s">
        <v>20957</v>
      </c>
      <c r="D4139" s="29" t="s">
        <v>34180</v>
      </c>
      <c r="E4139" s="29" t="s">
        <v>47219</v>
      </c>
      <c r="F4139" s="36" t="s">
        <v>54401</v>
      </c>
      <c r="G4139" s="39">
        <v>2064693</v>
      </c>
      <c r="H4139" s="42">
        <v>211</v>
      </c>
    </row>
    <row r="4140" spans="1:8" ht="15" customHeight="1">
      <c r="A4140" s="26">
        <v>46451836</v>
      </c>
      <c r="B4140" s="29" t="s">
        <v>6375</v>
      </c>
      <c r="C4140" s="26" t="s">
        <v>20958</v>
      </c>
      <c r="D4140" s="26" t="s">
        <v>34181</v>
      </c>
      <c r="E4140" s="26" t="s">
        <v>47220</v>
      </c>
      <c r="F4140" s="37" t="s">
        <v>54401</v>
      </c>
      <c r="G4140" s="39">
        <v>112438.63</v>
      </c>
      <c r="H4140" s="42">
        <v>211</v>
      </c>
    </row>
    <row r="4141" spans="1:8" ht="15" customHeight="1">
      <c r="A4141" s="26">
        <v>46451841</v>
      </c>
      <c r="B4141" s="29" t="s">
        <v>6376</v>
      </c>
      <c r="C4141" s="29" t="s">
        <v>20959</v>
      </c>
      <c r="D4141" s="29" t="s">
        <v>34182</v>
      </c>
      <c r="E4141" s="29" t="s">
        <v>47221</v>
      </c>
      <c r="F4141" s="36" t="s">
        <v>54401</v>
      </c>
      <c r="G4141" s="39">
        <v>1145877.04</v>
      </c>
      <c r="H4141" s="42">
        <v>211</v>
      </c>
    </row>
    <row r="4142" spans="1:8" ht="15" customHeight="1">
      <c r="A4142" s="26">
        <v>46451853</v>
      </c>
      <c r="B4142" s="29" t="s">
        <v>6377</v>
      </c>
      <c r="C4142" s="29" t="s">
        <v>20960</v>
      </c>
      <c r="D4142" s="29" t="s">
        <v>34183</v>
      </c>
      <c r="E4142" s="29" t="s">
        <v>175</v>
      </c>
      <c r="F4142" s="36" t="s">
        <v>54401</v>
      </c>
      <c r="G4142" s="39">
        <v>303172.59000000003</v>
      </c>
      <c r="H4142" s="42">
        <v>211</v>
      </c>
    </row>
    <row r="4143" spans="1:8" ht="15" customHeight="1">
      <c r="A4143" s="26">
        <v>46451874</v>
      </c>
      <c r="B4143" s="29" t="s">
        <v>6378</v>
      </c>
      <c r="C4143" s="29" t="s">
        <v>20961</v>
      </c>
      <c r="D4143" s="29" t="s">
        <v>34184</v>
      </c>
      <c r="E4143" s="29" t="s">
        <v>47222</v>
      </c>
      <c r="F4143" s="36" t="s">
        <v>54401</v>
      </c>
      <c r="G4143" s="39">
        <v>164570.32</v>
      </c>
      <c r="H4143" s="42">
        <v>211</v>
      </c>
    </row>
    <row r="4144" spans="1:8" ht="15" customHeight="1">
      <c r="A4144" s="26">
        <v>46451875</v>
      </c>
      <c r="B4144" s="29" t="s">
        <v>6379</v>
      </c>
      <c r="C4144" s="29" t="s">
        <v>20962</v>
      </c>
      <c r="D4144" s="29" t="s">
        <v>34185</v>
      </c>
      <c r="E4144" s="29" t="s">
        <v>47223</v>
      </c>
      <c r="F4144" s="36" t="s">
        <v>54409</v>
      </c>
      <c r="G4144" s="39">
        <v>75240.33</v>
      </c>
      <c r="H4144" s="42">
        <v>211</v>
      </c>
    </row>
    <row r="4145" spans="1:8" ht="15" customHeight="1">
      <c r="A4145" s="26">
        <v>46451881</v>
      </c>
      <c r="B4145" s="29" t="s">
        <v>6380</v>
      </c>
      <c r="C4145" s="29" t="s">
        <v>17204</v>
      </c>
      <c r="D4145" s="29" t="s">
        <v>30349</v>
      </c>
      <c r="E4145" s="29" t="s">
        <v>43926</v>
      </c>
      <c r="F4145" s="36" t="s">
        <v>54401</v>
      </c>
      <c r="G4145" s="39">
        <v>1996095</v>
      </c>
      <c r="H4145" s="42">
        <v>211</v>
      </c>
    </row>
    <row r="4146" spans="1:8" ht="15" customHeight="1">
      <c r="A4146" s="26">
        <v>46451891</v>
      </c>
      <c r="B4146" s="29" t="s">
        <v>6381</v>
      </c>
      <c r="C4146" s="29" t="s">
        <v>20963</v>
      </c>
      <c r="D4146" s="29" t="s">
        <v>31581</v>
      </c>
      <c r="E4146" s="29" t="s">
        <v>47224</v>
      </c>
      <c r="F4146" s="36" t="s">
        <v>54401</v>
      </c>
      <c r="G4146" s="39">
        <v>4111881</v>
      </c>
      <c r="H4146" s="42">
        <v>211</v>
      </c>
    </row>
    <row r="4147" spans="1:8" ht="15" customHeight="1">
      <c r="A4147" s="26">
        <v>46451901</v>
      </c>
      <c r="B4147" s="29" t="s">
        <v>6382</v>
      </c>
      <c r="C4147" s="29" t="s">
        <v>20964</v>
      </c>
      <c r="D4147" s="29" t="s">
        <v>34186</v>
      </c>
      <c r="E4147" s="29" t="s">
        <v>47225</v>
      </c>
      <c r="F4147" s="36" t="s">
        <v>54401</v>
      </c>
      <c r="G4147" s="39">
        <v>1817623</v>
      </c>
      <c r="H4147" s="42">
        <v>211</v>
      </c>
    </row>
    <row r="4148" spans="1:8" ht="15" customHeight="1">
      <c r="A4148" s="26">
        <v>46451902</v>
      </c>
      <c r="B4148" s="29" t="s">
        <v>6383</v>
      </c>
      <c r="C4148" s="29" t="s">
        <v>20965</v>
      </c>
      <c r="D4148" s="29" t="s">
        <v>34187</v>
      </c>
      <c r="E4148" s="29" t="s">
        <v>47226</v>
      </c>
      <c r="F4148" s="36" t="s">
        <v>54401</v>
      </c>
      <c r="G4148" s="39">
        <v>132934.20000000001</v>
      </c>
      <c r="H4148" s="42">
        <v>211</v>
      </c>
    </row>
    <row r="4149" spans="1:8" ht="15" customHeight="1">
      <c r="A4149" s="26">
        <v>46451913</v>
      </c>
      <c r="B4149" s="29" t="s">
        <v>6384</v>
      </c>
      <c r="C4149" s="29" t="s">
        <v>20966</v>
      </c>
      <c r="D4149" s="29" t="s">
        <v>34188</v>
      </c>
      <c r="E4149" s="29" t="s">
        <v>44616</v>
      </c>
      <c r="F4149" s="36" t="s">
        <v>54401</v>
      </c>
      <c r="G4149" s="39">
        <v>3150779.33</v>
      </c>
      <c r="H4149" s="42">
        <v>211</v>
      </c>
    </row>
    <row r="4150" spans="1:8" ht="15" customHeight="1">
      <c r="A4150" s="26">
        <v>46451915</v>
      </c>
      <c r="B4150" s="29" t="s">
        <v>6385</v>
      </c>
      <c r="C4150" s="29" t="s">
        <v>20967</v>
      </c>
      <c r="D4150" s="29" t="s">
        <v>34189</v>
      </c>
      <c r="E4150" s="29" t="s">
        <v>47227</v>
      </c>
      <c r="F4150" s="36" t="s">
        <v>54401</v>
      </c>
      <c r="G4150" s="39">
        <v>3319252.37</v>
      </c>
      <c r="H4150" s="42">
        <v>211</v>
      </c>
    </row>
    <row r="4151" spans="1:8" ht="15" customHeight="1">
      <c r="A4151" s="26">
        <v>46451933</v>
      </c>
      <c r="B4151" s="29" t="s">
        <v>6386</v>
      </c>
      <c r="C4151" s="29" t="s">
        <v>20968</v>
      </c>
      <c r="D4151" s="29" t="s">
        <v>34190</v>
      </c>
      <c r="E4151" s="29" t="s">
        <v>47228</v>
      </c>
      <c r="F4151" s="36" t="s">
        <v>54401</v>
      </c>
      <c r="G4151" s="39">
        <v>137480.10999999999</v>
      </c>
      <c r="H4151" s="42">
        <v>211</v>
      </c>
    </row>
    <row r="4152" spans="1:8" ht="15" customHeight="1">
      <c r="A4152" s="26">
        <v>46451939</v>
      </c>
      <c r="B4152" s="29" t="s">
        <v>6387</v>
      </c>
      <c r="C4152" s="29" t="s">
        <v>20969</v>
      </c>
      <c r="D4152" s="29" t="s">
        <v>34191</v>
      </c>
      <c r="E4152" s="29" t="s">
        <v>44324</v>
      </c>
      <c r="F4152" s="36" t="s">
        <v>54401</v>
      </c>
      <c r="G4152" s="39">
        <v>4887956.5199999996</v>
      </c>
      <c r="H4152" s="42">
        <v>211</v>
      </c>
    </row>
    <row r="4153" spans="1:8" ht="15" customHeight="1">
      <c r="A4153" s="26">
        <v>46451949</v>
      </c>
      <c r="B4153" s="29" t="s">
        <v>6388</v>
      </c>
      <c r="C4153" s="29" t="s">
        <v>20970</v>
      </c>
      <c r="D4153" s="29" t="s">
        <v>34192</v>
      </c>
      <c r="E4153" s="29" t="s">
        <v>46653</v>
      </c>
      <c r="F4153" s="36" t="s">
        <v>54401</v>
      </c>
      <c r="G4153" s="39">
        <v>2467124</v>
      </c>
      <c r="H4153" s="42">
        <v>211</v>
      </c>
    </row>
    <row r="4154" spans="1:8" ht="15" customHeight="1">
      <c r="A4154" s="26">
        <v>46451957</v>
      </c>
      <c r="B4154" s="29" t="s">
        <v>6389</v>
      </c>
      <c r="C4154" s="29" t="s">
        <v>20971</v>
      </c>
      <c r="D4154" s="29" t="s">
        <v>34193</v>
      </c>
      <c r="E4154" s="29" t="s">
        <v>43926</v>
      </c>
      <c r="F4154" s="36" t="s">
        <v>54401</v>
      </c>
      <c r="G4154" s="39">
        <v>25546.22</v>
      </c>
      <c r="H4154" s="42">
        <v>211</v>
      </c>
    </row>
    <row r="4155" spans="1:8" ht="15" customHeight="1">
      <c r="A4155" s="26">
        <v>46451975</v>
      </c>
      <c r="B4155" s="29" t="s">
        <v>6390</v>
      </c>
      <c r="C4155" s="29" t="s">
        <v>20972</v>
      </c>
      <c r="D4155" s="29" t="s">
        <v>34194</v>
      </c>
      <c r="E4155" s="29" t="s">
        <v>47229</v>
      </c>
      <c r="F4155" s="36" t="s">
        <v>54401</v>
      </c>
      <c r="G4155" s="39">
        <v>89084.04</v>
      </c>
      <c r="H4155" s="42">
        <v>211</v>
      </c>
    </row>
    <row r="4156" spans="1:8" ht="15" customHeight="1">
      <c r="A4156" s="26">
        <v>46451982</v>
      </c>
      <c r="B4156" s="29" t="s">
        <v>6391</v>
      </c>
      <c r="C4156" s="29" t="s">
        <v>20973</v>
      </c>
      <c r="D4156" s="29" t="s">
        <v>34195</v>
      </c>
      <c r="E4156" s="29" t="s">
        <v>47230</v>
      </c>
      <c r="F4156" s="36" t="s">
        <v>54401</v>
      </c>
      <c r="G4156" s="39">
        <v>1847712.95</v>
      </c>
      <c r="H4156" s="42">
        <v>211</v>
      </c>
    </row>
    <row r="4157" spans="1:8" ht="15" customHeight="1">
      <c r="A4157" s="26">
        <v>46451988</v>
      </c>
      <c r="B4157" s="29" t="s">
        <v>6392</v>
      </c>
      <c r="C4157" s="29" t="s">
        <v>20974</v>
      </c>
      <c r="D4157" s="29" t="s">
        <v>34196</v>
      </c>
      <c r="E4157" s="29" t="s">
        <v>47231</v>
      </c>
      <c r="F4157" s="36" t="s">
        <v>54412</v>
      </c>
      <c r="G4157" s="39">
        <v>474184.53</v>
      </c>
      <c r="H4157" s="42">
        <v>211</v>
      </c>
    </row>
    <row r="4158" spans="1:8" ht="15" customHeight="1">
      <c r="A4158" s="26">
        <v>46451996</v>
      </c>
      <c r="B4158" s="29" t="s">
        <v>6393</v>
      </c>
      <c r="C4158" s="29" t="s">
        <v>20975</v>
      </c>
      <c r="D4158" s="29" t="s">
        <v>34197</v>
      </c>
      <c r="E4158" s="29" t="s">
        <v>47232</v>
      </c>
      <c r="F4158" s="36" t="s">
        <v>54401</v>
      </c>
      <c r="G4158" s="39">
        <v>631454.46</v>
      </c>
      <c r="H4158" s="42">
        <v>211</v>
      </c>
    </row>
    <row r="4159" spans="1:8" ht="15" customHeight="1">
      <c r="A4159" s="26">
        <v>46452011</v>
      </c>
      <c r="B4159" s="29" t="s">
        <v>6394</v>
      </c>
      <c r="C4159" s="29" t="s">
        <v>20976</v>
      </c>
      <c r="D4159" s="29" t="s">
        <v>34198</v>
      </c>
      <c r="E4159" s="29" t="s">
        <v>44100</v>
      </c>
      <c r="F4159" s="36" t="s">
        <v>54401</v>
      </c>
      <c r="G4159" s="39">
        <v>3592015.72</v>
      </c>
      <c r="H4159" s="42">
        <v>211</v>
      </c>
    </row>
    <row r="4160" spans="1:8" ht="15" customHeight="1">
      <c r="A4160" s="26">
        <v>46452032</v>
      </c>
      <c r="B4160" s="29" t="s">
        <v>6395</v>
      </c>
      <c r="C4160" s="29" t="s">
        <v>20977</v>
      </c>
      <c r="D4160" s="29" t="s">
        <v>34199</v>
      </c>
      <c r="E4160" s="29" t="s">
        <v>47233</v>
      </c>
      <c r="F4160" s="36" t="s">
        <v>54401</v>
      </c>
      <c r="G4160" s="39">
        <v>2016806.76</v>
      </c>
      <c r="H4160" s="42">
        <v>211</v>
      </c>
    </row>
    <row r="4161" spans="1:8" ht="15" customHeight="1">
      <c r="A4161" s="26">
        <v>46452042</v>
      </c>
      <c r="B4161" s="29" t="s">
        <v>6396</v>
      </c>
      <c r="C4161" s="26" t="s">
        <v>20978</v>
      </c>
      <c r="D4161" s="26" t="s">
        <v>34200</v>
      </c>
      <c r="E4161" s="26" t="s">
        <v>47234</v>
      </c>
      <c r="F4161" s="37" t="s">
        <v>54401</v>
      </c>
      <c r="G4161" s="39">
        <v>514303.93</v>
      </c>
      <c r="H4161" s="42">
        <v>211</v>
      </c>
    </row>
    <row r="4162" spans="1:8" ht="15" customHeight="1">
      <c r="A4162" s="26">
        <v>46452078</v>
      </c>
      <c r="B4162" s="29" t="s">
        <v>6397</v>
      </c>
      <c r="C4162" s="26" t="s">
        <v>20979</v>
      </c>
      <c r="D4162" s="26" t="s">
        <v>34201</v>
      </c>
      <c r="E4162" s="26" t="s">
        <v>47235</v>
      </c>
      <c r="F4162" s="37" t="s">
        <v>54401</v>
      </c>
      <c r="G4162" s="39">
        <v>7593880.1900000004</v>
      </c>
      <c r="H4162" s="42">
        <v>211</v>
      </c>
    </row>
    <row r="4163" spans="1:8" ht="15" customHeight="1">
      <c r="A4163" s="26">
        <v>46452103</v>
      </c>
      <c r="B4163" s="29" t="s">
        <v>6398</v>
      </c>
      <c r="C4163" s="29" t="s">
        <v>20980</v>
      </c>
      <c r="D4163" s="29" t="s">
        <v>34202</v>
      </c>
      <c r="E4163" s="29" t="s">
        <v>47236</v>
      </c>
      <c r="F4163" s="36" t="s">
        <v>54401</v>
      </c>
      <c r="G4163" s="39">
        <v>929786.22</v>
      </c>
      <c r="H4163" s="42">
        <v>211</v>
      </c>
    </row>
    <row r="4164" spans="1:8" ht="15" customHeight="1">
      <c r="A4164" s="26">
        <v>46452107</v>
      </c>
      <c r="B4164" s="29" t="s">
        <v>6399</v>
      </c>
      <c r="C4164" s="29" t="s">
        <v>20981</v>
      </c>
      <c r="D4164" s="29" t="s">
        <v>34203</v>
      </c>
      <c r="E4164" s="29" t="s">
        <v>47237</v>
      </c>
      <c r="F4164" s="36" t="s">
        <v>54401</v>
      </c>
      <c r="G4164" s="39">
        <v>578006.92000000004</v>
      </c>
      <c r="H4164" s="42">
        <v>211</v>
      </c>
    </row>
    <row r="4165" spans="1:8" ht="15" customHeight="1">
      <c r="A4165" s="26">
        <v>46452118</v>
      </c>
      <c r="B4165" s="29" t="s">
        <v>6400</v>
      </c>
      <c r="C4165" s="29" t="s">
        <v>20982</v>
      </c>
      <c r="D4165" s="29" t="s">
        <v>34204</v>
      </c>
      <c r="E4165" s="29" t="s">
        <v>43926</v>
      </c>
      <c r="F4165" s="36" t="s">
        <v>54401</v>
      </c>
      <c r="G4165" s="39">
        <v>70732.850000000006</v>
      </c>
      <c r="H4165" s="42">
        <v>211</v>
      </c>
    </row>
    <row r="4166" spans="1:8" ht="15" customHeight="1">
      <c r="A4166" s="26">
        <v>46452125</v>
      </c>
      <c r="B4166" s="29" t="s">
        <v>6401</v>
      </c>
      <c r="C4166" s="29" t="s">
        <v>20983</v>
      </c>
      <c r="D4166" s="29" t="s">
        <v>34205</v>
      </c>
      <c r="E4166" s="29" t="s">
        <v>47238</v>
      </c>
      <c r="F4166" s="36" t="s">
        <v>54401</v>
      </c>
      <c r="G4166" s="39">
        <v>7800299</v>
      </c>
      <c r="H4166" s="42">
        <v>211</v>
      </c>
    </row>
    <row r="4167" spans="1:8" ht="15" customHeight="1">
      <c r="A4167" s="26">
        <v>46452147</v>
      </c>
      <c r="B4167" s="29" t="s">
        <v>6402</v>
      </c>
      <c r="C4167" s="26" t="s">
        <v>20984</v>
      </c>
      <c r="D4167" s="26" t="s">
        <v>34206</v>
      </c>
      <c r="E4167" s="26" t="s">
        <v>47239</v>
      </c>
      <c r="F4167" s="37" t="s">
        <v>54401</v>
      </c>
      <c r="G4167" s="39">
        <v>4601368</v>
      </c>
      <c r="H4167" s="42">
        <v>211</v>
      </c>
    </row>
    <row r="4168" spans="1:8" ht="15" customHeight="1">
      <c r="A4168" s="26">
        <v>46452152</v>
      </c>
      <c r="B4168" s="29" t="s">
        <v>6403</v>
      </c>
      <c r="C4168" s="26" t="s">
        <v>20985</v>
      </c>
      <c r="D4168" s="26" t="s">
        <v>34207</v>
      </c>
      <c r="E4168" s="26" t="s">
        <v>47240</v>
      </c>
      <c r="F4168" s="37" t="s">
        <v>54401</v>
      </c>
      <c r="G4168" s="39">
        <v>443248.14</v>
      </c>
      <c r="H4168" s="42">
        <v>211</v>
      </c>
    </row>
    <row r="4169" spans="1:8" ht="15" customHeight="1">
      <c r="A4169" s="26">
        <v>46452174</v>
      </c>
      <c r="B4169" s="29" t="s">
        <v>6404</v>
      </c>
      <c r="C4169" s="29" t="s">
        <v>20986</v>
      </c>
      <c r="D4169" s="29" t="s">
        <v>34208</v>
      </c>
      <c r="E4169" s="29" t="s">
        <v>47241</v>
      </c>
      <c r="F4169" s="36" t="s">
        <v>54406</v>
      </c>
      <c r="G4169" s="39">
        <v>1398886.31</v>
      </c>
      <c r="H4169" s="42">
        <v>211</v>
      </c>
    </row>
    <row r="4170" spans="1:8" ht="15" customHeight="1">
      <c r="A4170" s="26">
        <v>46452176</v>
      </c>
      <c r="B4170" s="29" t="s">
        <v>6405</v>
      </c>
      <c r="C4170" s="29" t="s">
        <v>20987</v>
      </c>
      <c r="D4170" s="29" t="s">
        <v>34209</v>
      </c>
      <c r="E4170" s="29" t="s">
        <v>43926</v>
      </c>
      <c r="F4170" s="36" t="s">
        <v>54401</v>
      </c>
      <c r="G4170" s="39">
        <v>262542.58</v>
      </c>
      <c r="H4170" s="42">
        <v>211</v>
      </c>
    </row>
    <row r="4171" spans="1:8" ht="15" customHeight="1">
      <c r="A4171" s="26">
        <v>46452177</v>
      </c>
      <c r="B4171" s="29" t="s">
        <v>6406</v>
      </c>
      <c r="C4171" s="29" t="s">
        <v>20988</v>
      </c>
      <c r="D4171" s="29" t="s">
        <v>34210</v>
      </c>
      <c r="E4171" s="29" t="s">
        <v>47242</v>
      </c>
      <c r="F4171" s="36" t="s">
        <v>54401</v>
      </c>
      <c r="G4171" s="39">
        <v>1985054</v>
      </c>
      <c r="H4171" s="42">
        <v>211</v>
      </c>
    </row>
    <row r="4172" spans="1:8" ht="15" customHeight="1">
      <c r="A4172" s="26">
        <v>46452220</v>
      </c>
      <c r="B4172" s="29" t="s">
        <v>6407</v>
      </c>
      <c r="C4172" s="29" t="s">
        <v>20989</v>
      </c>
      <c r="D4172" s="29" t="s">
        <v>34211</v>
      </c>
      <c r="E4172" s="29" t="s">
        <v>43926</v>
      </c>
      <c r="F4172" s="36" t="s">
        <v>54401</v>
      </c>
      <c r="G4172" s="39">
        <v>14864.88</v>
      </c>
      <c r="H4172" s="42">
        <v>211</v>
      </c>
    </row>
    <row r="4173" spans="1:8" ht="15" customHeight="1">
      <c r="A4173" s="26">
        <v>46452222</v>
      </c>
      <c r="B4173" s="29" t="s">
        <v>6408</v>
      </c>
      <c r="C4173" s="26" t="s">
        <v>17204</v>
      </c>
      <c r="D4173" s="26" t="s">
        <v>34212</v>
      </c>
      <c r="E4173" s="26" t="s">
        <v>43926</v>
      </c>
      <c r="F4173" s="37" t="s">
        <v>54401</v>
      </c>
      <c r="G4173" s="39">
        <v>1124503.19</v>
      </c>
      <c r="H4173" s="42">
        <v>211</v>
      </c>
    </row>
    <row r="4174" spans="1:8" ht="15" customHeight="1">
      <c r="A4174" s="26">
        <v>46452223</v>
      </c>
      <c r="B4174" s="29" t="s">
        <v>6409</v>
      </c>
      <c r="C4174" s="29" t="s">
        <v>17204</v>
      </c>
      <c r="D4174" s="29" t="s">
        <v>30349</v>
      </c>
      <c r="E4174" s="29" t="s">
        <v>43926</v>
      </c>
      <c r="F4174" s="36" t="s">
        <v>54401</v>
      </c>
      <c r="G4174" s="39">
        <v>404494.03</v>
      </c>
      <c r="H4174" s="42">
        <v>211</v>
      </c>
    </row>
    <row r="4175" spans="1:8" ht="15" customHeight="1">
      <c r="A4175" s="26">
        <v>46452224</v>
      </c>
      <c r="B4175" s="29" t="s">
        <v>6410</v>
      </c>
      <c r="C4175" s="29" t="s">
        <v>20990</v>
      </c>
      <c r="D4175" s="29" t="s">
        <v>34213</v>
      </c>
      <c r="E4175" s="29" t="s">
        <v>47243</v>
      </c>
      <c r="F4175" s="36" t="s">
        <v>54401</v>
      </c>
      <c r="G4175" s="39">
        <v>4925692.3</v>
      </c>
      <c r="H4175" s="42">
        <v>211</v>
      </c>
    </row>
    <row r="4176" spans="1:8" ht="15" customHeight="1">
      <c r="A4176" s="26">
        <v>46452244</v>
      </c>
      <c r="B4176" s="29" t="s">
        <v>6411</v>
      </c>
      <c r="C4176" s="29" t="s">
        <v>20991</v>
      </c>
      <c r="D4176" s="29" t="s">
        <v>34214</v>
      </c>
      <c r="E4176" s="29" t="s">
        <v>47244</v>
      </c>
      <c r="F4176" s="36" t="s">
        <v>54401</v>
      </c>
      <c r="G4176" s="39">
        <v>6762842</v>
      </c>
      <c r="H4176" s="42">
        <v>211</v>
      </c>
    </row>
    <row r="4177" spans="1:8" ht="15" customHeight="1">
      <c r="A4177" s="26">
        <v>46452249</v>
      </c>
      <c r="B4177" s="29" t="s">
        <v>6412</v>
      </c>
      <c r="C4177" s="29" t="s">
        <v>20992</v>
      </c>
      <c r="D4177" s="29" t="s">
        <v>34215</v>
      </c>
      <c r="E4177" s="29" t="s">
        <v>47245</v>
      </c>
      <c r="F4177" s="36" t="s">
        <v>54401</v>
      </c>
      <c r="G4177" s="39">
        <v>4406.16</v>
      </c>
      <c r="H4177" s="42">
        <v>211</v>
      </c>
    </row>
    <row r="4178" spans="1:8" ht="15" customHeight="1">
      <c r="A4178" s="26">
        <v>46452274</v>
      </c>
      <c r="B4178" s="29" t="s">
        <v>6413</v>
      </c>
      <c r="C4178" s="29" t="s">
        <v>20993</v>
      </c>
      <c r="D4178" s="29" t="s">
        <v>34216</v>
      </c>
      <c r="E4178" s="29" t="s">
        <v>47246</v>
      </c>
      <c r="F4178" s="36" t="s">
        <v>54401</v>
      </c>
      <c r="G4178" s="39">
        <v>526684.1</v>
      </c>
      <c r="H4178" s="42">
        <v>211</v>
      </c>
    </row>
    <row r="4179" spans="1:8" ht="15" customHeight="1">
      <c r="A4179" s="26">
        <v>46452302</v>
      </c>
      <c r="B4179" s="29" t="s">
        <v>6414</v>
      </c>
      <c r="C4179" s="29" t="s">
        <v>20994</v>
      </c>
      <c r="D4179" s="29" t="s">
        <v>34217</v>
      </c>
      <c r="E4179" s="29" t="s">
        <v>43926</v>
      </c>
      <c r="F4179" s="36" t="s">
        <v>54401</v>
      </c>
      <c r="G4179" s="39">
        <v>2349994</v>
      </c>
      <c r="H4179" s="42">
        <v>211</v>
      </c>
    </row>
    <row r="4180" spans="1:8" ht="15" customHeight="1">
      <c r="A4180" s="26">
        <v>46452322</v>
      </c>
      <c r="B4180" s="29" t="s">
        <v>6415</v>
      </c>
      <c r="C4180" s="26" t="s">
        <v>20995</v>
      </c>
      <c r="D4180" s="26" t="s">
        <v>34218</v>
      </c>
      <c r="E4180" s="26" t="s">
        <v>47247</v>
      </c>
      <c r="F4180" s="37" t="s">
        <v>54401</v>
      </c>
      <c r="G4180" s="39">
        <v>2615340</v>
      </c>
      <c r="H4180" s="42">
        <v>211</v>
      </c>
    </row>
    <row r="4181" spans="1:8" ht="15" customHeight="1">
      <c r="A4181" s="26">
        <v>46452327</v>
      </c>
      <c r="B4181" s="29" t="s">
        <v>6416</v>
      </c>
      <c r="C4181" s="29" t="s">
        <v>20996</v>
      </c>
      <c r="D4181" s="29" t="s">
        <v>34219</v>
      </c>
      <c r="E4181" s="29" t="s">
        <v>47248</v>
      </c>
      <c r="F4181" s="36" t="s">
        <v>54401</v>
      </c>
      <c r="G4181" s="39">
        <v>534084.85</v>
      </c>
      <c r="H4181" s="42">
        <v>211</v>
      </c>
    </row>
    <row r="4182" spans="1:8" ht="15" customHeight="1">
      <c r="A4182" s="26">
        <v>46452341</v>
      </c>
      <c r="B4182" s="29" t="s">
        <v>6417</v>
      </c>
      <c r="C4182" s="29" t="s">
        <v>20997</v>
      </c>
      <c r="D4182" s="29" t="s">
        <v>34220</v>
      </c>
      <c r="E4182" s="29" t="s">
        <v>47249</v>
      </c>
      <c r="F4182" s="36" t="s">
        <v>54401</v>
      </c>
      <c r="G4182" s="39">
        <v>4609624</v>
      </c>
      <c r="H4182" s="42">
        <v>211</v>
      </c>
    </row>
    <row r="4183" spans="1:8" ht="15" customHeight="1">
      <c r="A4183" s="26">
        <v>46452358</v>
      </c>
      <c r="B4183" s="29" t="s">
        <v>6418</v>
      </c>
      <c r="C4183" s="29" t="s">
        <v>20998</v>
      </c>
      <c r="D4183" s="29" t="s">
        <v>34221</v>
      </c>
      <c r="E4183" s="29" t="s">
        <v>47250</v>
      </c>
      <c r="F4183" s="36" t="s">
        <v>54401</v>
      </c>
      <c r="G4183" s="39">
        <v>278677.46000000002</v>
      </c>
      <c r="H4183" s="42">
        <v>211</v>
      </c>
    </row>
    <row r="4184" spans="1:8" ht="15" customHeight="1">
      <c r="A4184" s="26">
        <v>46452367</v>
      </c>
      <c r="B4184" s="29" t="s">
        <v>6419</v>
      </c>
      <c r="C4184" s="29" t="s">
        <v>20999</v>
      </c>
      <c r="D4184" s="29" t="s">
        <v>34222</v>
      </c>
      <c r="E4184" s="29" t="s">
        <v>47251</v>
      </c>
      <c r="F4184" s="36" t="s">
        <v>54401</v>
      </c>
      <c r="G4184" s="39">
        <v>1971409</v>
      </c>
      <c r="H4184" s="42">
        <v>211</v>
      </c>
    </row>
    <row r="4185" spans="1:8" ht="15" customHeight="1">
      <c r="A4185" s="26">
        <v>46452370</v>
      </c>
      <c r="B4185" s="29" t="s">
        <v>6420</v>
      </c>
      <c r="C4185" s="29" t="s">
        <v>21000</v>
      </c>
      <c r="D4185" s="29" t="s">
        <v>30349</v>
      </c>
      <c r="E4185" s="29" t="s">
        <v>43926</v>
      </c>
      <c r="F4185" s="36" t="s">
        <v>54401</v>
      </c>
      <c r="G4185" s="39">
        <v>669768.43999999994</v>
      </c>
      <c r="H4185" s="42">
        <v>211</v>
      </c>
    </row>
    <row r="4186" spans="1:8" ht="15" customHeight="1">
      <c r="A4186" s="26">
        <v>46452376</v>
      </c>
      <c r="B4186" s="29" t="s">
        <v>6421</v>
      </c>
      <c r="C4186" s="29" t="s">
        <v>21001</v>
      </c>
      <c r="D4186" s="29" t="s">
        <v>34223</v>
      </c>
      <c r="E4186" s="29" t="s">
        <v>47252</v>
      </c>
      <c r="F4186" s="36" t="s">
        <v>54401</v>
      </c>
      <c r="G4186" s="39">
        <v>363787.34</v>
      </c>
      <c r="H4186" s="42">
        <v>211</v>
      </c>
    </row>
    <row r="4187" spans="1:8" ht="15" customHeight="1">
      <c r="A4187" s="26">
        <v>46452386</v>
      </c>
      <c r="B4187" s="29" t="s">
        <v>6422</v>
      </c>
      <c r="C4187" s="29" t="s">
        <v>21002</v>
      </c>
      <c r="D4187" s="29" t="s">
        <v>34224</v>
      </c>
      <c r="E4187" s="29" t="s">
        <v>47253</v>
      </c>
      <c r="F4187" s="36" t="s">
        <v>54401</v>
      </c>
      <c r="G4187" s="39">
        <v>4882.3500000000004</v>
      </c>
      <c r="H4187" s="42">
        <v>211</v>
      </c>
    </row>
    <row r="4188" spans="1:8" ht="15" customHeight="1">
      <c r="A4188" s="26">
        <v>46452389</v>
      </c>
      <c r="B4188" s="29" t="s">
        <v>6423</v>
      </c>
      <c r="C4188" s="29" t="s">
        <v>21003</v>
      </c>
      <c r="D4188" s="29" t="s">
        <v>34225</v>
      </c>
      <c r="E4188" s="29" t="s">
        <v>47254</v>
      </c>
      <c r="F4188" s="36" t="s">
        <v>54401</v>
      </c>
      <c r="G4188" s="39">
        <v>90231.94</v>
      </c>
      <c r="H4188" s="42">
        <v>211</v>
      </c>
    </row>
    <row r="4189" spans="1:8" ht="15" customHeight="1">
      <c r="A4189" s="26">
        <v>46452390</v>
      </c>
      <c r="B4189" s="29" t="s">
        <v>6424</v>
      </c>
      <c r="C4189" s="29" t="s">
        <v>21004</v>
      </c>
      <c r="D4189" s="29" t="s">
        <v>34226</v>
      </c>
      <c r="E4189" s="29" t="s">
        <v>47255</v>
      </c>
      <c r="F4189" s="36" t="s">
        <v>54401</v>
      </c>
      <c r="G4189" s="39">
        <v>217844.11</v>
      </c>
      <c r="H4189" s="42">
        <v>211</v>
      </c>
    </row>
    <row r="4190" spans="1:8" ht="15" customHeight="1">
      <c r="A4190" s="26">
        <v>46452394</v>
      </c>
      <c r="B4190" s="29" t="s">
        <v>6425</v>
      </c>
      <c r="C4190" s="29" t="s">
        <v>21005</v>
      </c>
      <c r="D4190" s="29" t="s">
        <v>34227</v>
      </c>
      <c r="E4190" s="29" t="s">
        <v>47256</v>
      </c>
      <c r="F4190" s="36" t="s">
        <v>54401</v>
      </c>
      <c r="G4190" s="39">
        <v>193894.74</v>
      </c>
      <c r="H4190" s="42">
        <v>211</v>
      </c>
    </row>
    <row r="4191" spans="1:8" ht="15" customHeight="1">
      <c r="A4191" s="26">
        <v>46452396</v>
      </c>
      <c r="B4191" s="29" t="s">
        <v>6426</v>
      </c>
      <c r="C4191" s="29" t="s">
        <v>21006</v>
      </c>
      <c r="D4191" s="29" t="s">
        <v>34228</v>
      </c>
      <c r="E4191" s="29" t="s">
        <v>47257</v>
      </c>
      <c r="F4191" s="36" t="s">
        <v>54401</v>
      </c>
      <c r="G4191" s="39">
        <v>737304.12</v>
      </c>
      <c r="H4191" s="42">
        <v>211</v>
      </c>
    </row>
    <row r="4192" spans="1:8" ht="15" customHeight="1">
      <c r="A4192" s="26">
        <v>46452405</v>
      </c>
      <c r="B4192" s="29" t="s">
        <v>6427</v>
      </c>
      <c r="C4192" s="29" t="s">
        <v>21007</v>
      </c>
      <c r="D4192" s="29" t="s">
        <v>34229</v>
      </c>
      <c r="E4192" s="29" t="s">
        <v>47258</v>
      </c>
      <c r="F4192" s="36" t="s">
        <v>54401</v>
      </c>
      <c r="G4192" s="39">
        <v>157103</v>
      </c>
      <c r="H4192" s="42">
        <v>211</v>
      </c>
    </row>
    <row r="4193" spans="1:8" ht="15" customHeight="1">
      <c r="A4193" s="26">
        <v>46452406</v>
      </c>
      <c r="B4193" s="29" t="s">
        <v>6428</v>
      </c>
      <c r="C4193" s="26" t="s">
        <v>21008</v>
      </c>
      <c r="D4193" s="26" t="s">
        <v>32986</v>
      </c>
      <c r="E4193" s="26" t="s">
        <v>47259</v>
      </c>
      <c r="F4193" s="37" t="s">
        <v>54401</v>
      </c>
      <c r="G4193" s="39">
        <v>20498.82</v>
      </c>
      <c r="H4193" s="42">
        <v>211</v>
      </c>
    </row>
    <row r="4194" spans="1:8" ht="15" customHeight="1">
      <c r="A4194" s="26">
        <v>46452419</v>
      </c>
      <c r="B4194" s="29" t="s">
        <v>6429</v>
      </c>
      <c r="C4194" s="29" t="s">
        <v>21009</v>
      </c>
      <c r="D4194" s="29" t="s">
        <v>34230</v>
      </c>
      <c r="E4194" s="29" t="s">
        <v>47260</v>
      </c>
      <c r="F4194" s="36" t="s">
        <v>54401</v>
      </c>
      <c r="G4194" s="39">
        <v>1805646</v>
      </c>
      <c r="H4194" s="42">
        <v>211</v>
      </c>
    </row>
    <row r="4195" spans="1:8" ht="15" customHeight="1">
      <c r="A4195" s="26">
        <v>46452445</v>
      </c>
      <c r="B4195" s="29" t="s">
        <v>6430</v>
      </c>
      <c r="C4195" s="29" t="s">
        <v>17204</v>
      </c>
      <c r="D4195" s="29" t="s">
        <v>30349</v>
      </c>
      <c r="E4195" s="29" t="s">
        <v>43926</v>
      </c>
      <c r="F4195" s="36" t="s">
        <v>54401</v>
      </c>
      <c r="G4195" s="39">
        <v>234497.19</v>
      </c>
      <c r="H4195" s="42">
        <v>211</v>
      </c>
    </row>
    <row r="4196" spans="1:8" ht="15" customHeight="1">
      <c r="A4196" s="26">
        <v>46452487</v>
      </c>
      <c r="B4196" s="29" t="s">
        <v>6431</v>
      </c>
      <c r="C4196" s="29" t="s">
        <v>21010</v>
      </c>
      <c r="D4196" s="29" t="s">
        <v>34231</v>
      </c>
      <c r="E4196" s="29" t="s">
        <v>47261</v>
      </c>
      <c r="F4196" s="36" t="s">
        <v>54401</v>
      </c>
      <c r="G4196" s="39">
        <v>490715.88</v>
      </c>
      <c r="H4196" s="42">
        <v>211</v>
      </c>
    </row>
    <row r="4197" spans="1:8" ht="15" customHeight="1">
      <c r="A4197" s="26">
        <v>46452500</v>
      </c>
      <c r="B4197" s="29" t="s">
        <v>6432</v>
      </c>
      <c r="C4197" s="26" t="s">
        <v>17204</v>
      </c>
      <c r="D4197" s="26" t="s">
        <v>34232</v>
      </c>
      <c r="E4197" s="26" t="s">
        <v>47262</v>
      </c>
      <c r="F4197" s="37" t="s">
        <v>54401</v>
      </c>
      <c r="G4197" s="39">
        <v>514386.17</v>
      </c>
      <c r="H4197" s="42">
        <v>211</v>
      </c>
    </row>
    <row r="4198" spans="1:8" ht="15" customHeight="1">
      <c r="A4198" s="26">
        <v>46452507</v>
      </c>
      <c r="B4198" s="29" t="s">
        <v>6433</v>
      </c>
      <c r="C4198" s="29" t="s">
        <v>21011</v>
      </c>
      <c r="D4198" s="29" t="s">
        <v>34233</v>
      </c>
      <c r="E4198" s="29" t="s">
        <v>47263</v>
      </c>
      <c r="F4198" s="36" t="s">
        <v>54401</v>
      </c>
      <c r="G4198" s="39">
        <v>315915.84000000003</v>
      </c>
      <c r="H4198" s="42">
        <v>211</v>
      </c>
    </row>
    <row r="4199" spans="1:8" ht="15" customHeight="1">
      <c r="A4199" s="26">
        <v>46452558</v>
      </c>
      <c r="B4199" s="29" t="s">
        <v>6434</v>
      </c>
      <c r="C4199" s="29" t="s">
        <v>19055</v>
      </c>
      <c r="D4199" s="29" t="s">
        <v>30623</v>
      </c>
      <c r="E4199" s="29" t="s">
        <v>47264</v>
      </c>
      <c r="F4199" s="36" t="s">
        <v>54401</v>
      </c>
      <c r="G4199" s="39">
        <v>312441.8</v>
      </c>
      <c r="H4199" s="42">
        <v>211</v>
      </c>
    </row>
    <row r="4200" spans="1:8" ht="15" customHeight="1">
      <c r="A4200" s="26">
        <v>46452560</v>
      </c>
      <c r="B4200" s="29" t="s">
        <v>6435</v>
      </c>
      <c r="C4200" s="29" t="s">
        <v>21012</v>
      </c>
      <c r="D4200" s="29" t="s">
        <v>34234</v>
      </c>
      <c r="E4200" s="29" t="s">
        <v>47265</v>
      </c>
      <c r="F4200" s="36" t="s">
        <v>54401</v>
      </c>
      <c r="G4200" s="39">
        <v>2138450</v>
      </c>
      <c r="H4200" s="42">
        <v>211</v>
      </c>
    </row>
    <row r="4201" spans="1:8" ht="15" customHeight="1">
      <c r="A4201" s="26">
        <v>46452590</v>
      </c>
      <c r="B4201" s="29" t="s">
        <v>6436</v>
      </c>
      <c r="C4201" s="29" t="s">
        <v>21013</v>
      </c>
      <c r="D4201" s="29" t="s">
        <v>34235</v>
      </c>
      <c r="E4201" s="29" t="s">
        <v>44019</v>
      </c>
      <c r="F4201" s="36" t="s">
        <v>54401</v>
      </c>
      <c r="G4201" s="39">
        <v>160452.57999999999</v>
      </c>
      <c r="H4201" s="42">
        <v>211</v>
      </c>
    </row>
    <row r="4202" spans="1:8" ht="15" customHeight="1">
      <c r="A4202" s="26">
        <v>46452593</v>
      </c>
      <c r="B4202" s="29" t="s">
        <v>6437</v>
      </c>
      <c r="C4202" s="29" t="s">
        <v>21014</v>
      </c>
      <c r="D4202" s="29" t="s">
        <v>34236</v>
      </c>
      <c r="E4202" s="29" t="s">
        <v>47266</v>
      </c>
      <c r="F4202" s="36" t="s">
        <v>54401</v>
      </c>
      <c r="G4202" s="39">
        <v>614437.72</v>
      </c>
      <c r="H4202" s="42">
        <v>211</v>
      </c>
    </row>
    <row r="4203" spans="1:8" ht="15" customHeight="1">
      <c r="A4203" s="26">
        <v>46452618</v>
      </c>
      <c r="B4203" s="29" t="s">
        <v>6438</v>
      </c>
      <c r="C4203" s="26" t="s">
        <v>21015</v>
      </c>
      <c r="D4203" s="26" t="s">
        <v>30376</v>
      </c>
      <c r="E4203" s="26" t="s">
        <v>47267</v>
      </c>
      <c r="F4203" s="37" t="s">
        <v>54401</v>
      </c>
      <c r="G4203" s="39">
        <v>2974484.69</v>
      </c>
      <c r="H4203" s="42">
        <v>211</v>
      </c>
    </row>
    <row r="4204" spans="1:8" ht="15" customHeight="1">
      <c r="A4204" s="26">
        <v>46452622</v>
      </c>
      <c r="B4204" s="29" t="s">
        <v>6439</v>
      </c>
      <c r="C4204" s="26" t="s">
        <v>21016</v>
      </c>
      <c r="D4204" s="26" t="s">
        <v>34237</v>
      </c>
      <c r="E4204" s="26" t="s">
        <v>47268</v>
      </c>
      <c r="F4204" s="37" t="s">
        <v>54401</v>
      </c>
      <c r="G4204" s="39">
        <v>2903868</v>
      </c>
      <c r="H4204" s="42">
        <v>211</v>
      </c>
    </row>
    <row r="4205" spans="1:8" ht="15" customHeight="1">
      <c r="A4205" s="26">
        <v>46452626</v>
      </c>
      <c r="B4205" s="29" t="s">
        <v>6440</v>
      </c>
      <c r="C4205" s="29" t="s">
        <v>17204</v>
      </c>
      <c r="D4205" s="29" t="s">
        <v>34238</v>
      </c>
      <c r="E4205" s="29" t="s">
        <v>47269</v>
      </c>
      <c r="F4205" s="36" t="s">
        <v>54401</v>
      </c>
      <c r="G4205" s="39">
        <v>5165858.54</v>
      </c>
      <c r="H4205" s="42">
        <v>211</v>
      </c>
    </row>
    <row r="4206" spans="1:8" ht="15" customHeight="1">
      <c r="A4206" s="26">
        <v>46452629</v>
      </c>
      <c r="B4206" s="29" t="s">
        <v>6441</v>
      </c>
      <c r="C4206" s="29" t="s">
        <v>21017</v>
      </c>
      <c r="D4206" s="29" t="s">
        <v>34239</v>
      </c>
      <c r="E4206" s="29" t="s">
        <v>44002</v>
      </c>
      <c r="F4206" s="36" t="s">
        <v>54409</v>
      </c>
      <c r="G4206" s="39">
        <v>235299.53</v>
      </c>
      <c r="H4206" s="42">
        <v>211</v>
      </c>
    </row>
    <row r="4207" spans="1:8" ht="15" customHeight="1">
      <c r="A4207" s="26">
        <v>46452638</v>
      </c>
      <c r="B4207" s="29" t="s">
        <v>6442</v>
      </c>
      <c r="C4207" s="29" t="s">
        <v>21018</v>
      </c>
      <c r="D4207" s="29" t="s">
        <v>34240</v>
      </c>
      <c r="E4207" s="29" t="s">
        <v>47270</v>
      </c>
      <c r="F4207" s="36" t="s">
        <v>54401</v>
      </c>
      <c r="G4207" s="39">
        <v>102000</v>
      </c>
      <c r="H4207" s="42">
        <v>211</v>
      </c>
    </row>
    <row r="4208" spans="1:8" ht="15" customHeight="1">
      <c r="A4208" s="26">
        <v>46452642</v>
      </c>
      <c r="B4208" s="29" t="s">
        <v>6443</v>
      </c>
      <c r="C4208" s="29" t="s">
        <v>21019</v>
      </c>
      <c r="D4208" s="29" t="s">
        <v>34241</v>
      </c>
      <c r="E4208" s="29" t="s">
        <v>47271</v>
      </c>
      <c r="F4208" s="36" t="s">
        <v>54401</v>
      </c>
      <c r="G4208" s="39">
        <v>219947.32</v>
      </c>
      <c r="H4208" s="42">
        <v>211</v>
      </c>
    </row>
    <row r="4209" spans="1:8" ht="15" customHeight="1">
      <c r="A4209" s="26">
        <v>46452655</v>
      </c>
      <c r="B4209" s="29" t="s">
        <v>6444</v>
      </c>
      <c r="C4209" s="29" t="s">
        <v>21020</v>
      </c>
      <c r="D4209" s="29" t="s">
        <v>34242</v>
      </c>
      <c r="E4209" s="29" t="s">
        <v>47272</v>
      </c>
      <c r="F4209" s="36" t="s">
        <v>54406</v>
      </c>
      <c r="G4209" s="39">
        <v>747121.97</v>
      </c>
      <c r="H4209" s="42">
        <v>211</v>
      </c>
    </row>
    <row r="4210" spans="1:8" ht="15" customHeight="1">
      <c r="A4210" s="26">
        <v>46452662</v>
      </c>
      <c r="B4210" s="29" t="s">
        <v>6445</v>
      </c>
      <c r="C4210" s="29" t="s">
        <v>21021</v>
      </c>
      <c r="D4210" s="29" t="s">
        <v>34243</v>
      </c>
      <c r="E4210" s="29" t="s">
        <v>47273</v>
      </c>
      <c r="F4210" s="36" t="s">
        <v>54401</v>
      </c>
      <c r="G4210" s="39">
        <v>583346.35</v>
      </c>
      <c r="H4210" s="42">
        <v>211</v>
      </c>
    </row>
    <row r="4211" spans="1:8" ht="15" customHeight="1">
      <c r="A4211" s="26">
        <v>46452673</v>
      </c>
      <c r="B4211" s="29" t="s">
        <v>6446</v>
      </c>
      <c r="C4211" s="26" t="s">
        <v>17204</v>
      </c>
      <c r="D4211" s="26" t="s">
        <v>34244</v>
      </c>
      <c r="E4211" s="26" t="s">
        <v>47274</v>
      </c>
      <c r="F4211" s="37" t="s">
        <v>54401</v>
      </c>
      <c r="G4211" s="39">
        <v>55161.29</v>
      </c>
      <c r="H4211" s="42">
        <v>211</v>
      </c>
    </row>
    <row r="4212" spans="1:8" ht="15" customHeight="1">
      <c r="A4212" s="26">
        <v>46452680</v>
      </c>
      <c r="B4212" s="29" t="s">
        <v>6447</v>
      </c>
      <c r="C4212" s="29" t="s">
        <v>17204</v>
      </c>
      <c r="D4212" s="29" t="s">
        <v>34245</v>
      </c>
      <c r="E4212" s="29" t="s">
        <v>43926</v>
      </c>
      <c r="F4212" s="36" t="s">
        <v>54401</v>
      </c>
      <c r="G4212" s="39">
        <v>69508.38</v>
      </c>
      <c r="H4212" s="42">
        <v>211</v>
      </c>
    </row>
    <row r="4213" spans="1:8" ht="15" customHeight="1">
      <c r="A4213" s="26">
        <v>46452686</v>
      </c>
      <c r="B4213" s="29" t="s">
        <v>6448</v>
      </c>
      <c r="C4213" s="26" t="s">
        <v>21022</v>
      </c>
      <c r="D4213" s="26" t="s">
        <v>34246</v>
      </c>
      <c r="E4213" s="26" t="s">
        <v>47275</v>
      </c>
      <c r="F4213" s="37" t="s">
        <v>54401</v>
      </c>
      <c r="G4213" s="39">
        <v>5932003.7000000002</v>
      </c>
      <c r="H4213" s="42">
        <v>211</v>
      </c>
    </row>
    <row r="4214" spans="1:8" ht="15" customHeight="1">
      <c r="A4214" s="26">
        <v>46452719</v>
      </c>
      <c r="B4214" s="29" t="s">
        <v>6449</v>
      </c>
      <c r="C4214" s="29" t="s">
        <v>21023</v>
      </c>
      <c r="D4214" s="29" t="s">
        <v>34247</v>
      </c>
      <c r="E4214" s="29" t="s">
        <v>47276</v>
      </c>
      <c r="F4214" s="36" t="s">
        <v>54401</v>
      </c>
      <c r="G4214" s="39">
        <v>7395092.1600000001</v>
      </c>
      <c r="H4214" s="42">
        <v>211</v>
      </c>
    </row>
    <row r="4215" spans="1:8" ht="15" customHeight="1">
      <c r="A4215" s="26">
        <v>46452734</v>
      </c>
      <c r="B4215" s="29" t="s">
        <v>6450</v>
      </c>
      <c r="C4215" s="29" t="s">
        <v>21024</v>
      </c>
      <c r="D4215" s="29" t="s">
        <v>34248</v>
      </c>
      <c r="E4215" s="29" t="s">
        <v>45195</v>
      </c>
      <c r="F4215" s="36" t="s">
        <v>54401</v>
      </c>
      <c r="G4215" s="39">
        <v>3621095.46</v>
      </c>
      <c r="H4215" s="42">
        <v>211</v>
      </c>
    </row>
    <row r="4216" spans="1:8" ht="15" customHeight="1">
      <c r="A4216" s="26">
        <v>46452768</v>
      </c>
      <c r="B4216" s="29" t="s">
        <v>6451</v>
      </c>
      <c r="C4216" s="29" t="s">
        <v>21025</v>
      </c>
      <c r="D4216" s="29" t="s">
        <v>34249</v>
      </c>
      <c r="E4216" s="29" t="s">
        <v>46112</v>
      </c>
      <c r="F4216" s="36" t="s">
        <v>54401</v>
      </c>
      <c r="G4216" s="39">
        <v>1724929</v>
      </c>
      <c r="H4216" s="42">
        <v>211</v>
      </c>
    </row>
    <row r="4217" spans="1:8" ht="15" customHeight="1">
      <c r="A4217" s="26">
        <v>46452778</v>
      </c>
      <c r="B4217" s="29" t="s">
        <v>6452</v>
      </c>
      <c r="C4217" s="29" t="s">
        <v>17204</v>
      </c>
      <c r="D4217" s="29" t="s">
        <v>30349</v>
      </c>
      <c r="E4217" s="29" t="s">
        <v>43926</v>
      </c>
      <c r="F4217" s="36" t="s">
        <v>54401</v>
      </c>
      <c r="G4217" s="39">
        <v>515051.46</v>
      </c>
      <c r="H4217" s="42">
        <v>211</v>
      </c>
    </row>
    <row r="4218" spans="1:8" ht="15" customHeight="1">
      <c r="A4218" s="26">
        <v>46452790</v>
      </c>
      <c r="B4218" s="29" t="s">
        <v>6453</v>
      </c>
      <c r="C4218" s="29" t="s">
        <v>21026</v>
      </c>
      <c r="D4218" s="29" t="s">
        <v>34250</v>
      </c>
      <c r="E4218" s="29" t="s">
        <v>46404</v>
      </c>
      <c r="F4218" s="36" t="s">
        <v>54401</v>
      </c>
      <c r="G4218" s="39">
        <v>1025740.14</v>
      </c>
      <c r="H4218" s="42">
        <v>211</v>
      </c>
    </row>
    <row r="4219" spans="1:8" ht="15" customHeight="1">
      <c r="A4219" s="26">
        <v>46452811</v>
      </c>
      <c r="B4219" s="29" t="s">
        <v>6454</v>
      </c>
      <c r="C4219" s="29" t="s">
        <v>17204</v>
      </c>
      <c r="D4219" s="29" t="s">
        <v>34251</v>
      </c>
      <c r="E4219" s="29" t="s">
        <v>43926</v>
      </c>
      <c r="F4219" s="36" t="s">
        <v>54401</v>
      </c>
      <c r="G4219" s="39">
        <v>55740.07</v>
      </c>
      <c r="H4219" s="42">
        <v>211</v>
      </c>
    </row>
    <row r="4220" spans="1:8" ht="15" customHeight="1">
      <c r="A4220" s="26">
        <v>46452814</v>
      </c>
      <c r="B4220" s="29" t="s">
        <v>6455</v>
      </c>
      <c r="C4220" s="29" t="s">
        <v>21027</v>
      </c>
      <c r="D4220" s="29" t="s">
        <v>34252</v>
      </c>
      <c r="E4220" s="29" t="s">
        <v>45232</v>
      </c>
      <c r="F4220" s="36" t="s">
        <v>54401</v>
      </c>
      <c r="G4220" s="39">
        <v>151477.22</v>
      </c>
      <c r="H4220" s="42">
        <v>211</v>
      </c>
    </row>
    <row r="4221" spans="1:8" ht="15" customHeight="1">
      <c r="A4221" s="26">
        <v>46452816</v>
      </c>
      <c r="B4221" s="29" t="s">
        <v>6456</v>
      </c>
      <c r="C4221" s="29" t="s">
        <v>21028</v>
      </c>
      <c r="D4221" s="29" t="s">
        <v>34253</v>
      </c>
      <c r="E4221" s="29" t="s">
        <v>47277</v>
      </c>
      <c r="F4221" s="36" t="s">
        <v>54401</v>
      </c>
      <c r="G4221" s="39">
        <v>5091313.7</v>
      </c>
      <c r="H4221" s="42">
        <v>211</v>
      </c>
    </row>
    <row r="4222" spans="1:8" ht="15" customHeight="1">
      <c r="A4222" s="26">
        <v>46452830</v>
      </c>
      <c r="B4222" s="29" t="s">
        <v>6457</v>
      </c>
      <c r="C4222" s="29" t="s">
        <v>21029</v>
      </c>
      <c r="D4222" s="29" t="s">
        <v>34254</v>
      </c>
      <c r="E4222" s="29" t="s">
        <v>47278</v>
      </c>
      <c r="F4222" s="36" t="s">
        <v>54401</v>
      </c>
      <c r="G4222" s="39">
        <v>375481.1</v>
      </c>
      <c r="H4222" s="42">
        <v>211</v>
      </c>
    </row>
    <row r="4223" spans="1:8" ht="15" customHeight="1">
      <c r="A4223" s="26">
        <v>46452839</v>
      </c>
      <c r="B4223" s="29" t="s">
        <v>6458</v>
      </c>
      <c r="C4223" s="29" t="s">
        <v>17204</v>
      </c>
      <c r="D4223" s="29" t="s">
        <v>34255</v>
      </c>
      <c r="E4223" s="29" t="s">
        <v>43926</v>
      </c>
      <c r="F4223" s="36" t="s">
        <v>54401</v>
      </c>
      <c r="G4223" s="39">
        <v>403847.23</v>
      </c>
      <c r="H4223" s="42">
        <v>211</v>
      </c>
    </row>
    <row r="4224" spans="1:8" ht="15" customHeight="1">
      <c r="A4224" s="26">
        <v>46452850</v>
      </c>
      <c r="B4224" s="29" t="s">
        <v>6459</v>
      </c>
      <c r="C4224" s="29" t="s">
        <v>21030</v>
      </c>
      <c r="D4224" s="29" t="s">
        <v>34256</v>
      </c>
      <c r="E4224" s="29" t="s">
        <v>45006</v>
      </c>
      <c r="F4224" s="36" t="s">
        <v>54401</v>
      </c>
      <c r="G4224" s="39">
        <v>2039263.15</v>
      </c>
      <c r="H4224" s="42">
        <v>211</v>
      </c>
    </row>
    <row r="4225" spans="1:8" ht="15" customHeight="1">
      <c r="A4225" s="26">
        <v>46452856</v>
      </c>
      <c r="B4225" s="29" t="s">
        <v>6460</v>
      </c>
      <c r="C4225" s="29" t="s">
        <v>21031</v>
      </c>
      <c r="D4225" s="29" t="s">
        <v>34257</v>
      </c>
      <c r="E4225" s="29" t="s">
        <v>47279</v>
      </c>
      <c r="F4225" s="36" t="s">
        <v>54401</v>
      </c>
      <c r="G4225" s="39">
        <v>2024630</v>
      </c>
      <c r="H4225" s="42">
        <v>211</v>
      </c>
    </row>
    <row r="4226" spans="1:8" ht="15" customHeight="1">
      <c r="A4226" s="26">
        <v>46452862</v>
      </c>
      <c r="B4226" s="29" t="s">
        <v>6461</v>
      </c>
      <c r="C4226" s="29" t="s">
        <v>21032</v>
      </c>
      <c r="D4226" s="29" t="s">
        <v>34258</v>
      </c>
      <c r="E4226" s="29" t="s">
        <v>47280</v>
      </c>
      <c r="F4226" s="36" t="s">
        <v>54401</v>
      </c>
      <c r="G4226" s="39">
        <v>3258539</v>
      </c>
      <c r="H4226" s="42">
        <v>211</v>
      </c>
    </row>
    <row r="4227" spans="1:8" ht="15" customHeight="1">
      <c r="A4227" s="26">
        <v>46452870</v>
      </c>
      <c r="B4227" s="29" t="s">
        <v>6462</v>
      </c>
      <c r="C4227" s="29" t="s">
        <v>21033</v>
      </c>
      <c r="D4227" s="29" t="s">
        <v>34259</v>
      </c>
      <c r="E4227" s="29" t="s">
        <v>47281</v>
      </c>
      <c r="F4227" s="36" t="s">
        <v>54401</v>
      </c>
      <c r="G4227" s="39">
        <v>4149648</v>
      </c>
      <c r="H4227" s="42">
        <v>211</v>
      </c>
    </row>
    <row r="4228" spans="1:8" ht="15" customHeight="1">
      <c r="A4228" s="26">
        <v>46452910</v>
      </c>
      <c r="B4228" s="29" t="s">
        <v>6463</v>
      </c>
      <c r="C4228" s="29" t="s">
        <v>21034</v>
      </c>
      <c r="D4228" s="29" t="s">
        <v>34260</v>
      </c>
      <c r="E4228" s="29" t="s">
        <v>47282</v>
      </c>
      <c r="F4228" s="36" t="s">
        <v>54401</v>
      </c>
      <c r="G4228" s="39">
        <v>489674.57</v>
      </c>
      <c r="H4228" s="42">
        <v>211</v>
      </c>
    </row>
    <row r="4229" spans="1:8" ht="15" customHeight="1">
      <c r="A4229" s="26">
        <v>46452915</v>
      </c>
      <c r="B4229" s="29" t="s">
        <v>6464</v>
      </c>
      <c r="C4229" s="29" t="s">
        <v>17204</v>
      </c>
      <c r="D4229" s="29" t="s">
        <v>30349</v>
      </c>
      <c r="E4229" s="29" t="s">
        <v>43926</v>
      </c>
      <c r="F4229" s="36" t="s">
        <v>54401</v>
      </c>
      <c r="G4229" s="39">
        <v>536873.74</v>
      </c>
      <c r="H4229" s="42">
        <v>211</v>
      </c>
    </row>
    <row r="4230" spans="1:8" ht="15" customHeight="1">
      <c r="A4230" s="26">
        <v>46452924</v>
      </c>
      <c r="B4230" s="29" t="s">
        <v>6465</v>
      </c>
      <c r="C4230" s="29" t="s">
        <v>21035</v>
      </c>
      <c r="D4230" s="29" t="s">
        <v>34261</v>
      </c>
      <c r="E4230" s="29" t="s">
        <v>47283</v>
      </c>
      <c r="F4230" s="36" t="s">
        <v>54401</v>
      </c>
      <c r="G4230" s="39">
        <v>649013.57999999996</v>
      </c>
      <c r="H4230" s="42">
        <v>211</v>
      </c>
    </row>
    <row r="4231" spans="1:8" ht="15" customHeight="1">
      <c r="A4231" s="26">
        <v>46452957</v>
      </c>
      <c r="B4231" s="29" t="s">
        <v>6466</v>
      </c>
      <c r="C4231" s="29" t="s">
        <v>21036</v>
      </c>
      <c r="D4231" s="29" t="s">
        <v>34262</v>
      </c>
      <c r="E4231" s="29" t="s">
        <v>43926</v>
      </c>
      <c r="F4231" s="36" t="s">
        <v>54401</v>
      </c>
      <c r="G4231" s="39">
        <v>134040.41</v>
      </c>
      <c r="H4231" s="42">
        <v>211</v>
      </c>
    </row>
    <row r="4232" spans="1:8" ht="15" customHeight="1">
      <c r="A4232" s="26">
        <v>46452981</v>
      </c>
      <c r="B4232" s="29" t="s">
        <v>6467</v>
      </c>
      <c r="C4232" s="29" t="s">
        <v>21037</v>
      </c>
      <c r="D4232" s="29" t="s">
        <v>34263</v>
      </c>
      <c r="E4232" s="29" t="s">
        <v>46375</v>
      </c>
      <c r="F4232" s="36" t="s">
        <v>54401</v>
      </c>
      <c r="G4232" s="39">
        <v>1011814.94</v>
      </c>
      <c r="H4232" s="42">
        <v>211</v>
      </c>
    </row>
    <row r="4233" spans="1:8" ht="15" customHeight="1">
      <c r="A4233" s="26">
        <v>46452983</v>
      </c>
      <c r="B4233" s="29" t="s">
        <v>6468</v>
      </c>
      <c r="C4233" s="29" t="s">
        <v>21038</v>
      </c>
      <c r="D4233" s="29" t="s">
        <v>34264</v>
      </c>
      <c r="E4233" s="29" t="s">
        <v>47284</v>
      </c>
      <c r="F4233" s="36" t="s">
        <v>54401</v>
      </c>
      <c r="G4233" s="39">
        <v>906145.36</v>
      </c>
      <c r="H4233" s="42">
        <v>211</v>
      </c>
    </row>
    <row r="4234" spans="1:8" ht="15" customHeight="1">
      <c r="A4234" s="26">
        <v>46452990</v>
      </c>
      <c r="B4234" s="29" t="s">
        <v>6469</v>
      </c>
      <c r="C4234" s="29" t="s">
        <v>17204</v>
      </c>
      <c r="D4234" s="29" t="s">
        <v>30349</v>
      </c>
      <c r="E4234" s="29" t="s">
        <v>43926</v>
      </c>
      <c r="F4234" s="36" t="s">
        <v>54401</v>
      </c>
      <c r="G4234" s="39">
        <v>712898.23</v>
      </c>
      <c r="H4234" s="42">
        <v>211</v>
      </c>
    </row>
    <row r="4235" spans="1:8" ht="15" customHeight="1">
      <c r="A4235" s="26">
        <v>46452994</v>
      </c>
      <c r="B4235" s="29" t="s">
        <v>6470</v>
      </c>
      <c r="C4235" s="29" t="s">
        <v>21039</v>
      </c>
      <c r="D4235" s="29" t="s">
        <v>34265</v>
      </c>
      <c r="E4235" s="29" t="s">
        <v>44058</v>
      </c>
      <c r="F4235" s="36" t="s">
        <v>54401</v>
      </c>
      <c r="G4235" s="39">
        <v>933750.41</v>
      </c>
      <c r="H4235" s="42">
        <v>211</v>
      </c>
    </row>
    <row r="4236" spans="1:8" ht="15" customHeight="1">
      <c r="A4236" s="26">
        <v>46453007</v>
      </c>
      <c r="B4236" s="29" t="s">
        <v>6471</v>
      </c>
      <c r="C4236" s="29" t="s">
        <v>17204</v>
      </c>
      <c r="D4236" s="29" t="s">
        <v>34266</v>
      </c>
      <c r="E4236" s="29" t="s">
        <v>47285</v>
      </c>
      <c r="F4236" s="36" t="s">
        <v>54401</v>
      </c>
      <c r="G4236" s="39">
        <v>34719.33</v>
      </c>
      <c r="H4236" s="42">
        <v>211</v>
      </c>
    </row>
    <row r="4237" spans="1:8" ht="15" customHeight="1">
      <c r="A4237" s="26">
        <v>46453017</v>
      </c>
      <c r="B4237" s="29" t="s">
        <v>6472</v>
      </c>
      <c r="C4237" s="29" t="s">
        <v>21040</v>
      </c>
      <c r="D4237" s="29" t="s">
        <v>34267</v>
      </c>
      <c r="E4237" s="29" t="s">
        <v>43926</v>
      </c>
      <c r="F4237" s="36" t="s">
        <v>54401</v>
      </c>
      <c r="G4237" s="39">
        <v>1906462</v>
      </c>
      <c r="H4237" s="42">
        <v>211</v>
      </c>
    </row>
    <row r="4238" spans="1:8" ht="15" customHeight="1">
      <c r="A4238" s="26">
        <v>46453019</v>
      </c>
      <c r="B4238" s="29" t="s">
        <v>6473</v>
      </c>
      <c r="C4238" s="29" t="s">
        <v>21041</v>
      </c>
      <c r="D4238" s="29" t="s">
        <v>34268</v>
      </c>
      <c r="E4238" s="29" t="s">
        <v>47286</v>
      </c>
      <c r="F4238" s="36" t="s">
        <v>54401</v>
      </c>
      <c r="G4238" s="39">
        <v>8179463</v>
      </c>
      <c r="H4238" s="42">
        <v>211</v>
      </c>
    </row>
    <row r="4239" spans="1:8" ht="15" customHeight="1">
      <c r="A4239" s="26">
        <v>46453060</v>
      </c>
      <c r="B4239" s="29" t="s">
        <v>6474</v>
      </c>
      <c r="C4239" s="29" t="s">
        <v>21042</v>
      </c>
      <c r="D4239" s="29" t="s">
        <v>34269</v>
      </c>
      <c r="E4239" s="29" t="s">
        <v>47287</v>
      </c>
      <c r="F4239" s="36" t="s">
        <v>54401</v>
      </c>
      <c r="G4239" s="39">
        <v>330811.90000000002</v>
      </c>
      <c r="H4239" s="42">
        <v>211</v>
      </c>
    </row>
    <row r="4240" spans="1:8" ht="15" customHeight="1">
      <c r="A4240" s="26">
        <v>46453071</v>
      </c>
      <c r="B4240" s="29" t="s">
        <v>6475</v>
      </c>
      <c r="C4240" s="29" t="s">
        <v>21043</v>
      </c>
      <c r="D4240" s="29" t="s">
        <v>34270</v>
      </c>
      <c r="E4240" s="29" t="s">
        <v>47288</v>
      </c>
      <c r="F4240" s="36" t="s">
        <v>54401</v>
      </c>
      <c r="G4240" s="39">
        <v>42247.48</v>
      </c>
      <c r="H4240" s="42">
        <v>211</v>
      </c>
    </row>
    <row r="4241" spans="1:8" ht="15" customHeight="1">
      <c r="A4241" s="26">
        <v>46453090</v>
      </c>
      <c r="B4241" s="29" t="s">
        <v>6476</v>
      </c>
      <c r="C4241" s="29" t="s">
        <v>21044</v>
      </c>
      <c r="D4241" s="29" t="s">
        <v>34271</v>
      </c>
      <c r="E4241" s="29" t="s">
        <v>47289</v>
      </c>
      <c r="F4241" s="36" t="s">
        <v>54401</v>
      </c>
      <c r="G4241" s="39">
        <v>450027.08</v>
      </c>
      <c r="H4241" s="42">
        <v>211</v>
      </c>
    </row>
    <row r="4242" spans="1:8" ht="15" customHeight="1">
      <c r="A4242" s="26">
        <v>46453097</v>
      </c>
      <c r="B4242" s="29" t="s">
        <v>6477</v>
      </c>
      <c r="C4242" s="29" t="s">
        <v>21045</v>
      </c>
      <c r="D4242" s="29" t="s">
        <v>34272</v>
      </c>
      <c r="E4242" s="29" t="s">
        <v>47290</v>
      </c>
      <c r="F4242" s="36" t="s">
        <v>54401</v>
      </c>
      <c r="G4242" s="39">
        <v>180820</v>
      </c>
      <c r="H4242" s="42">
        <v>211</v>
      </c>
    </row>
    <row r="4243" spans="1:8" ht="15" customHeight="1">
      <c r="A4243" s="26">
        <v>46453104</v>
      </c>
      <c r="B4243" s="29" t="s">
        <v>6478</v>
      </c>
      <c r="C4243" s="29" t="s">
        <v>21046</v>
      </c>
      <c r="D4243" s="29" t="s">
        <v>34273</v>
      </c>
      <c r="E4243" s="29" t="s">
        <v>47291</v>
      </c>
      <c r="F4243" s="36" t="s">
        <v>54401</v>
      </c>
      <c r="G4243" s="39">
        <v>667067.64</v>
      </c>
      <c r="H4243" s="42">
        <v>211</v>
      </c>
    </row>
    <row r="4244" spans="1:8" ht="15" customHeight="1">
      <c r="A4244" s="26">
        <v>46453107</v>
      </c>
      <c r="B4244" s="29" t="s">
        <v>6479</v>
      </c>
      <c r="C4244" s="29" t="s">
        <v>17204</v>
      </c>
      <c r="D4244" s="29" t="s">
        <v>34274</v>
      </c>
      <c r="E4244" s="29" t="s">
        <v>43926</v>
      </c>
      <c r="F4244" s="36" t="s">
        <v>54401</v>
      </c>
      <c r="G4244" s="39">
        <v>59269.16</v>
      </c>
      <c r="H4244" s="42">
        <v>211</v>
      </c>
    </row>
    <row r="4245" spans="1:8" ht="15" customHeight="1">
      <c r="A4245" s="26">
        <v>46453108</v>
      </c>
      <c r="B4245" s="29" t="s">
        <v>6480</v>
      </c>
      <c r="C4245" s="29" t="s">
        <v>21047</v>
      </c>
      <c r="D4245" s="29" t="s">
        <v>34275</v>
      </c>
      <c r="E4245" s="29" t="s">
        <v>47292</v>
      </c>
      <c r="F4245" s="36" t="s">
        <v>54401</v>
      </c>
      <c r="G4245" s="39">
        <v>700211.93</v>
      </c>
      <c r="H4245" s="42">
        <v>211</v>
      </c>
    </row>
    <row r="4246" spans="1:8" ht="15" customHeight="1">
      <c r="A4246" s="26">
        <v>46453112</v>
      </c>
      <c r="B4246" s="29" t="s">
        <v>6481</v>
      </c>
      <c r="C4246" s="29" t="s">
        <v>21048</v>
      </c>
      <c r="D4246" s="29" t="s">
        <v>34276</v>
      </c>
      <c r="E4246" s="29" t="s">
        <v>45603</v>
      </c>
      <c r="F4246" s="36" t="s">
        <v>54401</v>
      </c>
      <c r="G4246" s="39">
        <v>17699.36</v>
      </c>
      <c r="H4246" s="42">
        <v>211</v>
      </c>
    </row>
    <row r="4247" spans="1:8" ht="15" customHeight="1">
      <c r="A4247" s="26">
        <v>46453121</v>
      </c>
      <c r="B4247" s="29" t="s">
        <v>6482</v>
      </c>
      <c r="C4247" s="29" t="s">
        <v>21049</v>
      </c>
      <c r="D4247" s="29" t="s">
        <v>34277</v>
      </c>
      <c r="E4247" s="29" t="s">
        <v>47293</v>
      </c>
      <c r="F4247" s="36" t="s">
        <v>54401</v>
      </c>
      <c r="G4247" s="39">
        <v>258554.62</v>
      </c>
      <c r="H4247" s="42">
        <v>211</v>
      </c>
    </row>
    <row r="4248" spans="1:8" ht="15" customHeight="1">
      <c r="A4248" s="26">
        <v>46453126</v>
      </c>
      <c r="B4248" s="29" t="s">
        <v>6483</v>
      </c>
      <c r="C4248" s="29" t="s">
        <v>21050</v>
      </c>
      <c r="D4248" s="29" t="s">
        <v>34278</v>
      </c>
      <c r="E4248" s="29" t="s">
        <v>47294</v>
      </c>
      <c r="F4248" s="36" t="s">
        <v>54401</v>
      </c>
      <c r="G4248" s="39">
        <v>390705.47</v>
      </c>
      <c r="H4248" s="42">
        <v>211</v>
      </c>
    </row>
    <row r="4249" spans="1:8" ht="15" customHeight="1">
      <c r="A4249" s="26">
        <v>46453140</v>
      </c>
      <c r="B4249" s="29" t="s">
        <v>6484</v>
      </c>
      <c r="C4249" s="29" t="s">
        <v>21051</v>
      </c>
      <c r="D4249" s="29" t="s">
        <v>34279</v>
      </c>
      <c r="E4249" s="29" t="s">
        <v>47295</v>
      </c>
      <c r="F4249" s="36" t="s">
        <v>54401</v>
      </c>
      <c r="G4249" s="39">
        <v>5840.34</v>
      </c>
      <c r="H4249" s="42">
        <v>211</v>
      </c>
    </row>
    <row r="4250" spans="1:8" ht="15" customHeight="1">
      <c r="A4250" s="26">
        <v>46453150</v>
      </c>
      <c r="B4250" s="29" t="s">
        <v>6485</v>
      </c>
      <c r="C4250" s="29" t="s">
        <v>17204</v>
      </c>
      <c r="D4250" s="29" t="s">
        <v>34280</v>
      </c>
      <c r="E4250" s="29" t="s">
        <v>43926</v>
      </c>
      <c r="F4250" s="36" t="s">
        <v>54401</v>
      </c>
      <c r="G4250" s="39">
        <v>188108</v>
      </c>
      <c r="H4250" s="42">
        <v>211</v>
      </c>
    </row>
    <row r="4251" spans="1:8" ht="15" customHeight="1">
      <c r="A4251" s="26">
        <v>46453152</v>
      </c>
      <c r="B4251" s="29" t="s">
        <v>6486</v>
      </c>
      <c r="C4251" s="29" t="s">
        <v>21052</v>
      </c>
      <c r="D4251" s="29" t="s">
        <v>34281</v>
      </c>
      <c r="E4251" s="29" t="s">
        <v>47296</v>
      </c>
      <c r="F4251" s="36" t="s">
        <v>54401</v>
      </c>
      <c r="G4251" s="39">
        <v>747659.66</v>
      </c>
      <c r="H4251" s="42">
        <v>211</v>
      </c>
    </row>
    <row r="4252" spans="1:8" ht="15" customHeight="1">
      <c r="A4252" s="26">
        <v>46453154</v>
      </c>
      <c r="B4252" s="29" t="s">
        <v>6487</v>
      </c>
      <c r="C4252" s="29" t="s">
        <v>21053</v>
      </c>
      <c r="D4252" s="29" t="s">
        <v>34282</v>
      </c>
      <c r="E4252" s="29" t="s">
        <v>47297</v>
      </c>
      <c r="F4252" s="36" t="s">
        <v>54401</v>
      </c>
      <c r="G4252" s="39">
        <v>131868.62</v>
      </c>
      <c r="H4252" s="42">
        <v>211</v>
      </c>
    </row>
    <row r="4253" spans="1:8" ht="15" customHeight="1">
      <c r="A4253" s="26">
        <v>46453166</v>
      </c>
      <c r="B4253" s="29" t="s">
        <v>6488</v>
      </c>
      <c r="C4253" s="29" t="s">
        <v>21054</v>
      </c>
      <c r="D4253" s="29" t="s">
        <v>34283</v>
      </c>
      <c r="E4253" s="29" t="s">
        <v>47298</v>
      </c>
      <c r="F4253" s="36" t="s">
        <v>54401</v>
      </c>
      <c r="G4253" s="39">
        <v>1478971.27</v>
      </c>
      <c r="H4253" s="42">
        <v>211</v>
      </c>
    </row>
    <row r="4254" spans="1:8" ht="15" customHeight="1">
      <c r="A4254" s="26">
        <v>46453170</v>
      </c>
      <c r="B4254" s="29" t="s">
        <v>6489</v>
      </c>
      <c r="C4254" s="29" t="s">
        <v>21055</v>
      </c>
      <c r="D4254" s="29" t="s">
        <v>34284</v>
      </c>
      <c r="E4254" s="29" t="s">
        <v>47299</v>
      </c>
      <c r="F4254" s="36" t="s">
        <v>54401</v>
      </c>
      <c r="G4254" s="39">
        <v>5517802.96</v>
      </c>
      <c r="H4254" s="42">
        <v>211</v>
      </c>
    </row>
    <row r="4255" spans="1:8" ht="15" customHeight="1">
      <c r="A4255" s="26">
        <v>46453187</v>
      </c>
      <c r="B4255" s="29" t="s">
        <v>6490</v>
      </c>
      <c r="C4255" s="29" t="s">
        <v>21056</v>
      </c>
      <c r="D4255" s="29" t="s">
        <v>34285</v>
      </c>
      <c r="E4255" s="29" t="s">
        <v>43926</v>
      </c>
      <c r="F4255" s="36" t="s">
        <v>54401</v>
      </c>
      <c r="G4255" s="39">
        <v>372163.59</v>
      </c>
      <c r="H4255" s="42">
        <v>211</v>
      </c>
    </row>
    <row r="4256" spans="1:8" ht="15" customHeight="1">
      <c r="A4256" s="26">
        <v>46453215</v>
      </c>
      <c r="B4256" s="29" t="s">
        <v>6491</v>
      </c>
      <c r="C4256" s="29" t="s">
        <v>21057</v>
      </c>
      <c r="D4256" s="29" t="s">
        <v>34286</v>
      </c>
      <c r="E4256" s="29" t="s">
        <v>47300</v>
      </c>
      <c r="F4256" s="36" t="s">
        <v>54401</v>
      </c>
      <c r="G4256" s="39">
        <v>1132774.23</v>
      </c>
      <c r="H4256" s="42">
        <v>211</v>
      </c>
    </row>
    <row r="4257" spans="1:8" ht="15" customHeight="1">
      <c r="A4257" s="26">
        <v>46453219</v>
      </c>
      <c r="B4257" s="29" t="s">
        <v>6492</v>
      </c>
      <c r="C4257" s="29" t="s">
        <v>17204</v>
      </c>
      <c r="D4257" s="29" t="s">
        <v>34287</v>
      </c>
      <c r="E4257" s="29" t="s">
        <v>43926</v>
      </c>
      <c r="F4257" s="36" t="s">
        <v>54401</v>
      </c>
      <c r="G4257" s="39">
        <v>124309.14</v>
      </c>
      <c r="H4257" s="42">
        <v>211</v>
      </c>
    </row>
    <row r="4258" spans="1:8" ht="15" customHeight="1">
      <c r="A4258" s="26">
        <v>46453224</v>
      </c>
      <c r="B4258" s="29" t="s">
        <v>6493</v>
      </c>
      <c r="C4258" s="29" t="s">
        <v>21058</v>
      </c>
      <c r="D4258" s="29" t="s">
        <v>34288</v>
      </c>
      <c r="E4258" s="29" t="s">
        <v>47301</v>
      </c>
      <c r="F4258" s="36" t="s">
        <v>54401</v>
      </c>
      <c r="G4258" s="39">
        <v>3340968.71</v>
      </c>
      <c r="H4258" s="42">
        <v>211</v>
      </c>
    </row>
    <row r="4259" spans="1:8" ht="15" customHeight="1">
      <c r="A4259" s="26">
        <v>46453242</v>
      </c>
      <c r="B4259" s="29" t="s">
        <v>6494</v>
      </c>
      <c r="C4259" s="26" t="s">
        <v>21059</v>
      </c>
      <c r="D4259" s="26" t="s">
        <v>34289</v>
      </c>
      <c r="E4259" s="26" t="s">
        <v>43926</v>
      </c>
      <c r="F4259" s="37" t="s">
        <v>54401</v>
      </c>
      <c r="G4259" s="39">
        <v>1181252.93</v>
      </c>
      <c r="H4259" s="42">
        <v>211</v>
      </c>
    </row>
    <row r="4260" spans="1:8" ht="15" customHeight="1">
      <c r="A4260" s="26">
        <v>46453243</v>
      </c>
      <c r="B4260" s="29" t="s">
        <v>6495</v>
      </c>
      <c r="C4260" s="29" t="s">
        <v>21060</v>
      </c>
      <c r="D4260" s="29" t="s">
        <v>34290</v>
      </c>
      <c r="E4260" s="29" t="s">
        <v>47302</v>
      </c>
      <c r="F4260" s="36" t="s">
        <v>54401</v>
      </c>
      <c r="G4260" s="39">
        <v>2712035</v>
      </c>
      <c r="H4260" s="42">
        <v>211</v>
      </c>
    </row>
    <row r="4261" spans="1:8" ht="15" customHeight="1">
      <c r="A4261" s="26">
        <v>46453257</v>
      </c>
      <c r="B4261" s="29" t="s">
        <v>6496</v>
      </c>
      <c r="C4261" s="26" t="s">
        <v>21061</v>
      </c>
      <c r="D4261" s="26" t="s">
        <v>34291</v>
      </c>
      <c r="E4261" s="26" t="s">
        <v>47303</v>
      </c>
      <c r="F4261" s="37" t="s">
        <v>54401</v>
      </c>
      <c r="G4261" s="39">
        <v>34218.22</v>
      </c>
      <c r="H4261" s="42">
        <v>211</v>
      </c>
    </row>
    <row r="4262" spans="1:8" ht="15" customHeight="1">
      <c r="A4262" s="26">
        <v>46453263</v>
      </c>
      <c r="B4262" s="29" t="s">
        <v>6497</v>
      </c>
      <c r="C4262" s="29" t="s">
        <v>21062</v>
      </c>
      <c r="D4262" s="29" t="s">
        <v>30376</v>
      </c>
      <c r="E4262" s="29" t="s">
        <v>47304</v>
      </c>
      <c r="F4262" s="36" t="s">
        <v>54401</v>
      </c>
      <c r="G4262" s="39">
        <v>2026336.79</v>
      </c>
      <c r="H4262" s="42">
        <v>211</v>
      </c>
    </row>
    <row r="4263" spans="1:8" ht="15" customHeight="1">
      <c r="A4263" s="26">
        <v>46453266</v>
      </c>
      <c r="B4263" s="29" t="s">
        <v>6498</v>
      </c>
      <c r="C4263" s="26" t="s">
        <v>21063</v>
      </c>
      <c r="D4263" s="26" t="s">
        <v>34292</v>
      </c>
      <c r="E4263" s="26" t="s">
        <v>47305</v>
      </c>
      <c r="F4263" s="37" t="s">
        <v>54401</v>
      </c>
      <c r="G4263" s="39">
        <v>2337364.16</v>
      </c>
      <c r="H4263" s="42">
        <v>211</v>
      </c>
    </row>
    <row r="4264" spans="1:8" ht="15" customHeight="1">
      <c r="A4264" s="26">
        <v>46453271</v>
      </c>
      <c r="B4264" s="29" t="s">
        <v>6499</v>
      </c>
      <c r="C4264" s="29" t="s">
        <v>21064</v>
      </c>
      <c r="D4264" s="29" t="s">
        <v>34293</v>
      </c>
      <c r="E4264" s="29" t="s">
        <v>47306</v>
      </c>
      <c r="F4264" s="36" t="s">
        <v>54401</v>
      </c>
      <c r="G4264" s="39">
        <v>48168.14</v>
      </c>
      <c r="H4264" s="42">
        <v>211</v>
      </c>
    </row>
    <row r="4265" spans="1:8" ht="15" customHeight="1">
      <c r="A4265" s="26">
        <v>46453272</v>
      </c>
      <c r="B4265" s="29" t="s">
        <v>6500</v>
      </c>
      <c r="C4265" s="29" t="s">
        <v>21065</v>
      </c>
      <c r="D4265" s="29" t="s">
        <v>34294</v>
      </c>
      <c r="E4265" s="29" t="s">
        <v>47307</v>
      </c>
      <c r="F4265" s="36" t="s">
        <v>54401</v>
      </c>
      <c r="G4265" s="39">
        <v>6123743.4400000004</v>
      </c>
      <c r="H4265" s="42">
        <v>211</v>
      </c>
    </row>
    <row r="4266" spans="1:8" ht="15" customHeight="1">
      <c r="A4266" s="26">
        <v>46453273</v>
      </c>
      <c r="B4266" s="29" t="s">
        <v>6501</v>
      </c>
      <c r="C4266" s="29" t="s">
        <v>21066</v>
      </c>
      <c r="D4266" s="29" t="s">
        <v>34295</v>
      </c>
      <c r="E4266" s="29" t="s">
        <v>47308</v>
      </c>
      <c r="F4266" s="36" t="s">
        <v>54403</v>
      </c>
      <c r="G4266" s="39">
        <v>5145537.41</v>
      </c>
      <c r="H4266" s="42">
        <v>211</v>
      </c>
    </row>
    <row r="4267" spans="1:8" ht="15" customHeight="1">
      <c r="A4267" s="26">
        <v>46453291</v>
      </c>
      <c r="B4267" s="29" t="s">
        <v>6502</v>
      </c>
      <c r="C4267" s="29" t="s">
        <v>21067</v>
      </c>
      <c r="D4267" s="29" t="s">
        <v>34296</v>
      </c>
      <c r="E4267" s="29" t="s">
        <v>47309</v>
      </c>
      <c r="F4267" s="36" t="s">
        <v>54401</v>
      </c>
      <c r="G4267" s="39">
        <v>3682595.28</v>
      </c>
      <c r="H4267" s="42">
        <v>211</v>
      </c>
    </row>
    <row r="4268" spans="1:8" ht="15" customHeight="1">
      <c r="A4268" s="26">
        <v>46453292</v>
      </c>
      <c r="B4268" s="29" t="s">
        <v>6503</v>
      </c>
      <c r="C4268" s="29" t="s">
        <v>17204</v>
      </c>
      <c r="D4268" s="29" t="s">
        <v>30349</v>
      </c>
      <c r="E4268" s="29" t="s">
        <v>43926</v>
      </c>
      <c r="F4268" s="36" t="s">
        <v>54401</v>
      </c>
      <c r="G4268" s="39">
        <v>329691.15999999997</v>
      </c>
      <c r="H4268" s="42">
        <v>211</v>
      </c>
    </row>
    <row r="4269" spans="1:8" ht="15" customHeight="1">
      <c r="A4269" s="26">
        <v>46453294</v>
      </c>
      <c r="B4269" s="29" t="s">
        <v>6504</v>
      </c>
      <c r="C4269" s="29" t="s">
        <v>21068</v>
      </c>
      <c r="D4269" s="29" t="s">
        <v>34297</v>
      </c>
      <c r="E4269" s="29" t="s">
        <v>47310</v>
      </c>
      <c r="F4269" s="36" t="s">
        <v>54401</v>
      </c>
      <c r="G4269" s="39">
        <v>4173008.17</v>
      </c>
      <c r="H4269" s="42">
        <v>211</v>
      </c>
    </row>
    <row r="4270" spans="1:8" ht="15" customHeight="1">
      <c r="A4270" s="26">
        <v>46453295</v>
      </c>
      <c r="B4270" s="29" t="s">
        <v>6505</v>
      </c>
      <c r="C4270" s="29" t="s">
        <v>21069</v>
      </c>
      <c r="D4270" s="29" t="s">
        <v>34298</v>
      </c>
      <c r="E4270" s="29" t="s">
        <v>47311</v>
      </c>
      <c r="F4270" s="36" t="s">
        <v>54401</v>
      </c>
      <c r="G4270" s="39">
        <v>302521.01</v>
      </c>
      <c r="H4270" s="42">
        <v>211</v>
      </c>
    </row>
    <row r="4271" spans="1:8" ht="15" customHeight="1">
      <c r="A4271" s="26">
        <v>46453306</v>
      </c>
      <c r="B4271" s="29" t="s">
        <v>6506</v>
      </c>
      <c r="C4271" s="29" t="s">
        <v>21070</v>
      </c>
      <c r="D4271" s="29" t="s">
        <v>34299</v>
      </c>
      <c r="E4271" s="29" t="s">
        <v>47312</v>
      </c>
      <c r="F4271" s="36" t="s">
        <v>54401</v>
      </c>
      <c r="G4271" s="39">
        <v>193977.36</v>
      </c>
      <c r="H4271" s="42">
        <v>211</v>
      </c>
    </row>
    <row r="4272" spans="1:8" ht="15" customHeight="1">
      <c r="A4272" s="26">
        <v>46453311</v>
      </c>
      <c r="B4272" s="29" t="s">
        <v>6507</v>
      </c>
      <c r="C4272" s="29" t="s">
        <v>20598</v>
      </c>
      <c r="D4272" s="29" t="s">
        <v>33814</v>
      </c>
      <c r="E4272" s="29" t="s">
        <v>45285</v>
      </c>
      <c r="F4272" s="36" t="s">
        <v>54401</v>
      </c>
      <c r="G4272" s="39">
        <v>3454936.65</v>
      </c>
      <c r="H4272" s="42">
        <v>211</v>
      </c>
    </row>
    <row r="4273" spans="1:8" ht="15" customHeight="1">
      <c r="A4273" s="26">
        <v>46453318</v>
      </c>
      <c r="B4273" s="29" t="s">
        <v>6508</v>
      </c>
      <c r="C4273" s="29" t="s">
        <v>21071</v>
      </c>
      <c r="D4273" s="29" t="s">
        <v>30349</v>
      </c>
      <c r="E4273" s="29" t="s">
        <v>43926</v>
      </c>
      <c r="F4273" s="36" t="s">
        <v>54401</v>
      </c>
      <c r="G4273" s="39">
        <v>4061117.26</v>
      </c>
      <c r="H4273" s="42">
        <v>211</v>
      </c>
    </row>
    <row r="4274" spans="1:8" ht="15" customHeight="1">
      <c r="A4274" s="26">
        <v>46453323</v>
      </c>
      <c r="B4274" s="29" t="s">
        <v>6509</v>
      </c>
      <c r="C4274" s="26" t="s">
        <v>21072</v>
      </c>
      <c r="D4274" s="26" t="s">
        <v>34300</v>
      </c>
      <c r="E4274" s="26" t="s">
        <v>47313</v>
      </c>
      <c r="F4274" s="37" t="s">
        <v>54401</v>
      </c>
      <c r="G4274" s="39">
        <v>1312797.1299999999</v>
      </c>
      <c r="H4274" s="42">
        <v>211</v>
      </c>
    </row>
    <row r="4275" spans="1:8" ht="15" customHeight="1">
      <c r="A4275" s="26">
        <v>46453352</v>
      </c>
      <c r="B4275" s="29" t="s">
        <v>6510</v>
      </c>
      <c r="C4275" s="29" t="s">
        <v>21073</v>
      </c>
      <c r="D4275" s="29" t="s">
        <v>34301</v>
      </c>
      <c r="E4275" s="29" t="s">
        <v>47314</v>
      </c>
      <c r="F4275" s="36" t="s">
        <v>54401</v>
      </c>
      <c r="G4275" s="39">
        <v>2280035.4700000002</v>
      </c>
      <c r="H4275" s="42">
        <v>211</v>
      </c>
    </row>
    <row r="4276" spans="1:8" ht="15" customHeight="1">
      <c r="A4276" s="26">
        <v>46453359</v>
      </c>
      <c r="B4276" s="29" t="s">
        <v>6511</v>
      </c>
      <c r="C4276" s="29" t="s">
        <v>21074</v>
      </c>
      <c r="D4276" s="29" t="s">
        <v>34302</v>
      </c>
      <c r="E4276" s="29" t="s">
        <v>43926</v>
      </c>
      <c r="F4276" s="36" t="s">
        <v>54401</v>
      </c>
      <c r="G4276" s="39">
        <v>330464.46999999997</v>
      </c>
      <c r="H4276" s="42">
        <v>211</v>
      </c>
    </row>
    <row r="4277" spans="1:8" ht="15" customHeight="1">
      <c r="A4277" s="26">
        <v>46453360</v>
      </c>
      <c r="B4277" s="29" t="s">
        <v>6512</v>
      </c>
      <c r="C4277" s="29" t="s">
        <v>21075</v>
      </c>
      <c r="D4277" s="29" t="s">
        <v>34303</v>
      </c>
      <c r="E4277" s="29" t="s">
        <v>46370</v>
      </c>
      <c r="F4277" s="36" t="s">
        <v>54401</v>
      </c>
      <c r="G4277" s="39">
        <v>4333293.8499999996</v>
      </c>
      <c r="H4277" s="42">
        <v>211</v>
      </c>
    </row>
    <row r="4278" spans="1:8" ht="15" customHeight="1">
      <c r="A4278" s="26">
        <v>46453375</v>
      </c>
      <c r="B4278" s="29" t="s">
        <v>6513</v>
      </c>
      <c r="C4278" s="29" t="s">
        <v>21076</v>
      </c>
      <c r="D4278" s="29" t="s">
        <v>34304</v>
      </c>
      <c r="E4278" s="29" t="s">
        <v>43926</v>
      </c>
      <c r="F4278" s="36" t="s">
        <v>54401</v>
      </c>
      <c r="G4278" s="39">
        <v>870376.04</v>
      </c>
      <c r="H4278" s="42">
        <v>211</v>
      </c>
    </row>
    <row r="4279" spans="1:8" ht="15" customHeight="1">
      <c r="A4279" s="26">
        <v>46453413</v>
      </c>
      <c r="B4279" s="29" t="s">
        <v>6514</v>
      </c>
      <c r="C4279" s="29" t="s">
        <v>21077</v>
      </c>
      <c r="D4279" s="29" t="s">
        <v>34305</v>
      </c>
      <c r="E4279" s="29" t="s">
        <v>47315</v>
      </c>
      <c r="F4279" s="36" t="s">
        <v>54401</v>
      </c>
      <c r="G4279" s="39">
        <v>3010758.38</v>
      </c>
      <c r="H4279" s="42">
        <v>211</v>
      </c>
    </row>
    <row r="4280" spans="1:8" ht="15" customHeight="1">
      <c r="A4280" s="26">
        <v>46453423</v>
      </c>
      <c r="B4280" s="29" t="s">
        <v>6515</v>
      </c>
      <c r="C4280" s="26" t="s">
        <v>21078</v>
      </c>
      <c r="D4280" s="26" t="s">
        <v>34306</v>
      </c>
      <c r="E4280" s="26" t="s">
        <v>47316</v>
      </c>
      <c r="F4280" s="37" t="s">
        <v>54401</v>
      </c>
      <c r="G4280" s="39">
        <v>237574.97</v>
      </c>
      <c r="H4280" s="42">
        <v>211</v>
      </c>
    </row>
    <row r="4281" spans="1:8" ht="15" customHeight="1">
      <c r="A4281" s="26">
        <v>46453449</v>
      </c>
      <c r="B4281" s="29" t="s">
        <v>6516</v>
      </c>
      <c r="C4281" s="29" t="s">
        <v>21079</v>
      </c>
      <c r="D4281" s="29" t="s">
        <v>34307</v>
      </c>
      <c r="E4281" s="29" t="s">
        <v>47317</v>
      </c>
      <c r="F4281" s="36" t="s">
        <v>54401</v>
      </c>
      <c r="G4281" s="39">
        <v>2479998.52</v>
      </c>
      <c r="H4281" s="42">
        <v>211</v>
      </c>
    </row>
    <row r="4282" spans="1:8" ht="15" customHeight="1">
      <c r="A4282" s="26">
        <v>46453460</v>
      </c>
      <c r="B4282" s="29" t="s">
        <v>6517</v>
      </c>
      <c r="C4282" s="29" t="s">
        <v>21080</v>
      </c>
      <c r="D4282" s="29" t="s">
        <v>34308</v>
      </c>
      <c r="E4282" s="29" t="s">
        <v>47318</v>
      </c>
      <c r="F4282" s="36" t="s">
        <v>54401</v>
      </c>
      <c r="G4282" s="39">
        <v>1364992.73</v>
      </c>
      <c r="H4282" s="42">
        <v>211</v>
      </c>
    </row>
    <row r="4283" spans="1:8" ht="15" customHeight="1">
      <c r="A4283" s="26">
        <v>46453501</v>
      </c>
      <c r="B4283" s="29" t="s">
        <v>6518</v>
      </c>
      <c r="C4283" s="29" t="s">
        <v>21081</v>
      </c>
      <c r="D4283" s="29" t="s">
        <v>34309</v>
      </c>
      <c r="E4283" s="29" t="s">
        <v>47319</v>
      </c>
      <c r="F4283" s="36" t="s">
        <v>54401</v>
      </c>
      <c r="G4283" s="39">
        <v>1455431.78</v>
      </c>
      <c r="H4283" s="42">
        <v>211</v>
      </c>
    </row>
    <row r="4284" spans="1:8" ht="15" customHeight="1">
      <c r="A4284" s="26">
        <v>46453527</v>
      </c>
      <c r="B4284" s="29" t="s">
        <v>6519</v>
      </c>
      <c r="C4284" s="29" t="s">
        <v>21082</v>
      </c>
      <c r="D4284" s="29" t="s">
        <v>34310</v>
      </c>
      <c r="E4284" s="29" t="s">
        <v>45178</v>
      </c>
      <c r="F4284" s="36" t="s">
        <v>54401</v>
      </c>
      <c r="G4284" s="39">
        <v>160659.82</v>
      </c>
      <c r="H4284" s="42">
        <v>211</v>
      </c>
    </row>
    <row r="4285" spans="1:8" ht="15" customHeight="1">
      <c r="A4285" s="26">
        <v>46453529</v>
      </c>
      <c r="B4285" s="29" t="s">
        <v>6520</v>
      </c>
      <c r="C4285" s="29" t="s">
        <v>21083</v>
      </c>
      <c r="D4285" s="29" t="s">
        <v>34311</v>
      </c>
      <c r="E4285" s="29" t="s">
        <v>47320</v>
      </c>
      <c r="F4285" s="36" t="s">
        <v>54401</v>
      </c>
      <c r="G4285" s="39">
        <v>5871636.0899999999</v>
      </c>
      <c r="H4285" s="42">
        <v>211</v>
      </c>
    </row>
    <row r="4286" spans="1:8" ht="15" customHeight="1">
      <c r="A4286" s="26">
        <v>46453530</v>
      </c>
      <c r="B4286" s="29" t="s">
        <v>6521</v>
      </c>
      <c r="C4286" s="29" t="s">
        <v>21084</v>
      </c>
      <c r="D4286" s="29" t="s">
        <v>34312</v>
      </c>
      <c r="E4286" s="29" t="s">
        <v>47321</v>
      </c>
      <c r="F4286" s="36" t="s">
        <v>54401</v>
      </c>
      <c r="G4286" s="39">
        <v>147201.69</v>
      </c>
      <c r="H4286" s="42">
        <v>211</v>
      </c>
    </row>
    <row r="4287" spans="1:8" ht="15" customHeight="1">
      <c r="A4287" s="26">
        <v>46453536</v>
      </c>
      <c r="B4287" s="29" t="s">
        <v>6522</v>
      </c>
      <c r="C4287" s="29" t="s">
        <v>21085</v>
      </c>
      <c r="D4287" s="29" t="s">
        <v>34313</v>
      </c>
      <c r="E4287" s="29" t="s">
        <v>47322</v>
      </c>
      <c r="F4287" s="36" t="s">
        <v>54401</v>
      </c>
      <c r="G4287" s="39">
        <v>148679.10999999999</v>
      </c>
      <c r="H4287" s="42">
        <v>211</v>
      </c>
    </row>
    <row r="4288" spans="1:8" ht="15" customHeight="1">
      <c r="A4288" s="26">
        <v>46453538</v>
      </c>
      <c r="B4288" s="29" t="s">
        <v>6523</v>
      </c>
      <c r="C4288" s="29" t="s">
        <v>21086</v>
      </c>
      <c r="D4288" s="29" t="s">
        <v>34314</v>
      </c>
      <c r="E4288" s="29" t="s">
        <v>47323</v>
      </c>
      <c r="F4288" s="36" t="s">
        <v>54401</v>
      </c>
      <c r="G4288" s="39">
        <v>2505418.5499999998</v>
      </c>
      <c r="H4288" s="42">
        <v>211</v>
      </c>
    </row>
    <row r="4289" spans="1:8" ht="15" customHeight="1">
      <c r="A4289" s="26">
        <v>46453554</v>
      </c>
      <c r="B4289" s="29" t="s">
        <v>6524</v>
      </c>
      <c r="C4289" s="29" t="s">
        <v>21087</v>
      </c>
      <c r="D4289" s="29" t="s">
        <v>34315</v>
      </c>
      <c r="E4289" s="29" t="s">
        <v>47324</v>
      </c>
      <c r="F4289" s="36" t="s">
        <v>54401</v>
      </c>
      <c r="G4289" s="39">
        <v>2267495</v>
      </c>
      <c r="H4289" s="42">
        <v>211</v>
      </c>
    </row>
    <row r="4290" spans="1:8" ht="15" customHeight="1">
      <c r="A4290" s="26">
        <v>46453555</v>
      </c>
      <c r="B4290" s="29" t="s">
        <v>6525</v>
      </c>
      <c r="C4290" s="29" t="s">
        <v>21088</v>
      </c>
      <c r="D4290" s="29" t="s">
        <v>34316</v>
      </c>
      <c r="E4290" s="29" t="s">
        <v>47325</v>
      </c>
      <c r="F4290" s="36" t="s">
        <v>54401</v>
      </c>
      <c r="G4290" s="39">
        <v>2141430</v>
      </c>
      <c r="H4290" s="42">
        <v>211</v>
      </c>
    </row>
    <row r="4291" spans="1:8" ht="15" customHeight="1">
      <c r="A4291" s="26">
        <v>46453570</v>
      </c>
      <c r="B4291" s="29" t="s">
        <v>6526</v>
      </c>
      <c r="C4291" s="29" t="s">
        <v>21089</v>
      </c>
      <c r="D4291" s="29" t="s">
        <v>34317</v>
      </c>
      <c r="E4291" s="29" t="s">
        <v>47326</v>
      </c>
      <c r="F4291" s="36" t="s">
        <v>54401</v>
      </c>
      <c r="G4291" s="39">
        <v>1578365.2</v>
      </c>
      <c r="H4291" s="42">
        <v>211</v>
      </c>
    </row>
    <row r="4292" spans="1:8" ht="15" customHeight="1">
      <c r="A4292" s="26">
        <v>46453571</v>
      </c>
      <c r="B4292" s="29" t="s">
        <v>6527</v>
      </c>
      <c r="C4292" s="29" t="s">
        <v>21090</v>
      </c>
      <c r="D4292" s="29" t="s">
        <v>34318</v>
      </c>
      <c r="E4292" s="29" t="s">
        <v>47327</v>
      </c>
      <c r="F4292" s="36" t="s">
        <v>54401</v>
      </c>
      <c r="G4292" s="39">
        <v>1945202</v>
      </c>
      <c r="H4292" s="42">
        <v>211</v>
      </c>
    </row>
    <row r="4293" spans="1:8" ht="15" customHeight="1">
      <c r="A4293" s="26">
        <v>46453575</v>
      </c>
      <c r="B4293" s="29" t="s">
        <v>6528</v>
      </c>
      <c r="C4293" s="29" t="s">
        <v>21091</v>
      </c>
      <c r="D4293" s="29" t="s">
        <v>34319</v>
      </c>
      <c r="E4293" s="29" t="s">
        <v>47328</v>
      </c>
      <c r="F4293" s="36" t="s">
        <v>54401</v>
      </c>
      <c r="G4293" s="39">
        <v>3543343</v>
      </c>
      <c r="H4293" s="42">
        <v>211</v>
      </c>
    </row>
    <row r="4294" spans="1:8" ht="15" customHeight="1">
      <c r="A4294" s="26">
        <v>46453584</v>
      </c>
      <c r="B4294" s="29" t="s">
        <v>6529</v>
      </c>
      <c r="C4294" s="29" t="s">
        <v>21092</v>
      </c>
      <c r="D4294" s="29" t="s">
        <v>30349</v>
      </c>
      <c r="E4294" s="29" t="s">
        <v>47329</v>
      </c>
      <c r="F4294" s="36" t="s">
        <v>54401</v>
      </c>
      <c r="G4294" s="39">
        <v>340712.63</v>
      </c>
      <c r="H4294" s="42">
        <v>211</v>
      </c>
    </row>
    <row r="4295" spans="1:8" ht="15" customHeight="1">
      <c r="A4295" s="26">
        <v>46453602</v>
      </c>
      <c r="B4295" s="29" t="s">
        <v>6530</v>
      </c>
      <c r="C4295" s="26" t="s">
        <v>21093</v>
      </c>
      <c r="D4295" s="26" t="s">
        <v>34320</v>
      </c>
      <c r="E4295" s="26" t="s">
        <v>47330</v>
      </c>
      <c r="F4295" s="37" t="s">
        <v>54401</v>
      </c>
      <c r="G4295" s="39">
        <v>51344.54</v>
      </c>
      <c r="H4295" s="42">
        <v>211</v>
      </c>
    </row>
    <row r="4296" spans="1:8" ht="15" customHeight="1">
      <c r="A4296" s="26">
        <v>46453620</v>
      </c>
      <c r="B4296" s="29" t="s">
        <v>6531</v>
      </c>
      <c r="C4296" s="26" t="s">
        <v>21094</v>
      </c>
      <c r="D4296" s="26" t="s">
        <v>34321</v>
      </c>
      <c r="E4296" s="26" t="s">
        <v>47331</v>
      </c>
      <c r="F4296" s="37" t="s">
        <v>54401</v>
      </c>
      <c r="G4296" s="39">
        <v>3803378.1</v>
      </c>
      <c r="H4296" s="42">
        <v>211</v>
      </c>
    </row>
    <row r="4297" spans="1:8" ht="15" customHeight="1">
      <c r="A4297" s="26">
        <v>46453645</v>
      </c>
      <c r="B4297" s="29" t="s">
        <v>6532</v>
      </c>
      <c r="C4297" s="29" t="s">
        <v>21095</v>
      </c>
      <c r="D4297" s="29" t="s">
        <v>34322</v>
      </c>
      <c r="E4297" s="29" t="s">
        <v>43992</v>
      </c>
      <c r="F4297" s="36" t="s">
        <v>54401</v>
      </c>
      <c r="G4297" s="39">
        <v>323602</v>
      </c>
      <c r="H4297" s="42">
        <v>211</v>
      </c>
    </row>
    <row r="4298" spans="1:8" ht="15" customHeight="1">
      <c r="A4298" s="26">
        <v>46453663</v>
      </c>
      <c r="B4298" s="29" t="s">
        <v>6533</v>
      </c>
      <c r="C4298" s="29" t="s">
        <v>21096</v>
      </c>
      <c r="D4298" s="29" t="s">
        <v>34323</v>
      </c>
      <c r="E4298" s="29" t="s">
        <v>43926</v>
      </c>
      <c r="F4298" s="36" t="s">
        <v>54401</v>
      </c>
      <c r="G4298" s="39">
        <v>3103391</v>
      </c>
      <c r="H4298" s="42">
        <v>211</v>
      </c>
    </row>
    <row r="4299" spans="1:8" ht="15" customHeight="1">
      <c r="A4299" s="26">
        <v>46453664</v>
      </c>
      <c r="B4299" s="29" t="s">
        <v>6534</v>
      </c>
      <c r="C4299" s="29" t="s">
        <v>21097</v>
      </c>
      <c r="D4299" s="29" t="s">
        <v>34324</v>
      </c>
      <c r="E4299" s="29" t="s">
        <v>43926</v>
      </c>
      <c r="F4299" s="36" t="s">
        <v>54401</v>
      </c>
      <c r="G4299" s="39">
        <v>260942.56</v>
      </c>
      <c r="H4299" s="42">
        <v>211</v>
      </c>
    </row>
    <row r="4300" spans="1:8" ht="15" customHeight="1">
      <c r="A4300" s="26">
        <v>46453685</v>
      </c>
      <c r="B4300" s="29" t="s">
        <v>6535</v>
      </c>
      <c r="C4300" s="29" t="s">
        <v>21098</v>
      </c>
      <c r="D4300" s="29" t="s">
        <v>34325</v>
      </c>
      <c r="E4300" s="29" t="s">
        <v>47332</v>
      </c>
      <c r="F4300" s="36" t="s">
        <v>54401</v>
      </c>
      <c r="G4300" s="39">
        <v>15660.67</v>
      </c>
      <c r="H4300" s="42">
        <v>211</v>
      </c>
    </row>
    <row r="4301" spans="1:8" ht="15" customHeight="1">
      <c r="A4301" s="26">
        <v>46453701</v>
      </c>
      <c r="B4301" s="29" t="s">
        <v>6536</v>
      </c>
      <c r="C4301" s="29" t="s">
        <v>21099</v>
      </c>
      <c r="D4301" s="29" t="s">
        <v>34326</v>
      </c>
      <c r="E4301" s="29" t="s">
        <v>47333</v>
      </c>
      <c r="F4301" s="36" t="s">
        <v>54401</v>
      </c>
      <c r="G4301" s="39">
        <v>6108148.25</v>
      </c>
      <c r="H4301" s="42">
        <v>211</v>
      </c>
    </row>
    <row r="4302" spans="1:8" ht="15" customHeight="1">
      <c r="A4302" s="26">
        <v>46453703</v>
      </c>
      <c r="B4302" s="29" t="s">
        <v>6537</v>
      </c>
      <c r="C4302" s="26" t="s">
        <v>21100</v>
      </c>
      <c r="D4302" s="26" t="s">
        <v>34327</v>
      </c>
      <c r="E4302" s="26" t="s">
        <v>47334</v>
      </c>
      <c r="F4302" s="37" t="s">
        <v>54401</v>
      </c>
      <c r="G4302" s="39">
        <v>3425395.28</v>
      </c>
      <c r="H4302" s="42">
        <v>211</v>
      </c>
    </row>
    <row r="4303" spans="1:8" ht="15" customHeight="1">
      <c r="A4303" s="26">
        <v>46453709</v>
      </c>
      <c r="B4303" s="29" t="s">
        <v>6538</v>
      </c>
      <c r="C4303" s="29" t="s">
        <v>21101</v>
      </c>
      <c r="D4303" s="29" t="s">
        <v>34328</v>
      </c>
      <c r="E4303" s="29" t="s">
        <v>47335</v>
      </c>
      <c r="F4303" s="36" t="s">
        <v>54401</v>
      </c>
      <c r="G4303" s="39">
        <v>952259.33</v>
      </c>
      <c r="H4303" s="42">
        <v>211</v>
      </c>
    </row>
    <row r="4304" spans="1:8" ht="15" customHeight="1">
      <c r="A4304" s="26">
        <v>46453729</v>
      </c>
      <c r="B4304" s="29" t="s">
        <v>6539</v>
      </c>
      <c r="C4304" s="29" t="s">
        <v>21102</v>
      </c>
      <c r="D4304" s="29" t="s">
        <v>34329</v>
      </c>
      <c r="E4304" s="29" t="s">
        <v>47336</v>
      </c>
      <c r="F4304" s="36" t="s">
        <v>54401</v>
      </c>
      <c r="G4304" s="39">
        <v>2949783.17</v>
      </c>
      <c r="H4304" s="42">
        <v>211</v>
      </c>
    </row>
    <row r="4305" spans="1:8" ht="15" customHeight="1">
      <c r="A4305" s="26">
        <v>46453730</v>
      </c>
      <c r="B4305" s="29" t="s">
        <v>6540</v>
      </c>
      <c r="C4305" s="29" t="s">
        <v>21103</v>
      </c>
      <c r="D4305" s="29" t="s">
        <v>34330</v>
      </c>
      <c r="E4305" s="29" t="s">
        <v>44327</v>
      </c>
      <c r="F4305" s="36" t="s">
        <v>54401</v>
      </c>
      <c r="G4305" s="39">
        <v>4274524</v>
      </c>
      <c r="H4305" s="42">
        <v>211</v>
      </c>
    </row>
    <row r="4306" spans="1:8" ht="15" customHeight="1">
      <c r="A4306" s="26">
        <v>46453743</v>
      </c>
      <c r="B4306" s="29" t="s">
        <v>6541</v>
      </c>
      <c r="C4306" s="26" t="s">
        <v>21104</v>
      </c>
      <c r="D4306" s="26" t="s">
        <v>34331</v>
      </c>
      <c r="E4306" s="26" t="s">
        <v>47337</v>
      </c>
      <c r="F4306" s="37" t="s">
        <v>54409</v>
      </c>
      <c r="G4306" s="39">
        <v>174755.33</v>
      </c>
      <c r="H4306" s="42">
        <v>211</v>
      </c>
    </row>
    <row r="4307" spans="1:8" ht="15" customHeight="1">
      <c r="A4307" s="26">
        <v>46453753</v>
      </c>
      <c r="B4307" s="29" t="s">
        <v>6542</v>
      </c>
      <c r="C4307" s="29" t="s">
        <v>21105</v>
      </c>
      <c r="D4307" s="29" t="s">
        <v>34332</v>
      </c>
      <c r="E4307" s="29" t="s">
        <v>44197</v>
      </c>
      <c r="F4307" s="36" t="s">
        <v>54409</v>
      </c>
      <c r="G4307" s="39">
        <v>54724.28</v>
      </c>
      <c r="H4307" s="42">
        <v>211</v>
      </c>
    </row>
    <row r="4308" spans="1:8" ht="15" customHeight="1">
      <c r="A4308" s="26">
        <v>46453756</v>
      </c>
      <c r="B4308" s="29" t="s">
        <v>6543</v>
      </c>
      <c r="C4308" s="29" t="s">
        <v>21106</v>
      </c>
      <c r="D4308" s="29" t="s">
        <v>34333</v>
      </c>
      <c r="E4308" s="29" t="s">
        <v>47338</v>
      </c>
      <c r="F4308" s="36" t="s">
        <v>54401</v>
      </c>
      <c r="G4308" s="39">
        <v>1164403.8500000001</v>
      </c>
      <c r="H4308" s="42">
        <v>211</v>
      </c>
    </row>
    <row r="4309" spans="1:8" ht="15" customHeight="1">
      <c r="A4309" s="26">
        <v>46453769</v>
      </c>
      <c r="B4309" s="29" t="s">
        <v>6544</v>
      </c>
      <c r="C4309" s="29" t="s">
        <v>21107</v>
      </c>
      <c r="D4309" s="29" t="s">
        <v>34334</v>
      </c>
      <c r="E4309" s="29" t="s">
        <v>47339</v>
      </c>
      <c r="F4309" s="36" t="s">
        <v>54401</v>
      </c>
      <c r="G4309" s="39">
        <v>2800021.64</v>
      </c>
      <c r="H4309" s="42">
        <v>211</v>
      </c>
    </row>
    <row r="4310" spans="1:8" ht="15" customHeight="1">
      <c r="A4310" s="26">
        <v>46453772</v>
      </c>
      <c r="B4310" s="29" t="s">
        <v>6545</v>
      </c>
      <c r="C4310" s="29" t="s">
        <v>21108</v>
      </c>
      <c r="D4310" s="29" t="s">
        <v>34335</v>
      </c>
      <c r="E4310" s="29" t="s">
        <v>47340</v>
      </c>
      <c r="F4310" s="36" t="s">
        <v>54401</v>
      </c>
      <c r="G4310" s="39">
        <v>380115.95</v>
      </c>
      <c r="H4310" s="42">
        <v>211</v>
      </c>
    </row>
    <row r="4311" spans="1:8" ht="15" customHeight="1">
      <c r="A4311" s="26">
        <v>46453784</v>
      </c>
      <c r="B4311" s="29" t="s">
        <v>6546</v>
      </c>
      <c r="C4311" s="29" t="s">
        <v>21109</v>
      </c>
      <c r="D4311" s="29" t="s">
        <v>34336</v>
      </c>
      <c r="E4311" s="29" t="s">
        <v>47341</v>
      </c>
      <c r="F4311" s="36" t="s">
        <v>54401</v>
      </c>
      <c r="G4311" s="39">
        <v>144863.07</v>
      </c>
      <c r="H4311" s="42">
        <v>211</v>
      </c>
    </row>
    <row r="4312" spans="1:8" ht="15" customHeight="1">
      <c r="A4312" s="26">
        <v>46453789</v>
      </c>
      <c r="B4312" s="29" t="s">
        <v>6547</v>
      </c>
      <c r="C4312" s="29" t="s">
        <v>21110</v>
      </c>
      <c r="D4312" s="29" t="s">
        <v>34337</v>
      </c>
      <c r="E4312" s="29" t="s">
        <v>47342</v>
      </c>
      <c r="F4312" s="36" t="s">
        <v>54401</v>
      </c>
      <c r="G4312" s="39">
        <v>160277.95000000001</v>
      </c>
      <c r="H4312" s="42">
        <v>211</v>
      </c>
    </row>
    <row r="4313" spans="1:8" ht="15" customHeight="1">
      <c r="A4313" s="26">
        <v>46453797</v>
      </c>
      <c r="B4313" s="29" t="s">
        <v>6548</v>
      </c>
      <c r="C4313" s="29" t="s">
        <v>21111</v>
      </c>
      <c r="D4313" s="29" t="s">
        <v>34338</v>
      </c>
      <c r="E4313" s="29" t="s">
        <v>47343</v>
      </c>
      <c r="F4313" s="36" t="s">
        <v>54401</v>
      </c>
      <c r="G4313" s="39">
        <v>6117654</v>
      </c>
      <c r="H4313" s="42">
        <v>211</v>
      </c>
    </row>
    <row r="4314" spans="1:8" ht="15" customHeight="1">
      <c r="A4314" s="26">
        <v>46453824</v>
      </c>
      <c r="B4314" s="29" t="s">
        <v>6549</v>
      </c>
      <c r="C4314" s="29" t="s">
        <v>21112</v>
      </c>
      <c r="D4314" s="29" t="s">
        <v>34339</v>
      </c>
      <c r="E4314" s="29" t="s">
        <v>47344</v>
      </c>
      <c r="F4314" s="36" t="s">
        <v>54401</v>
      </c>
      <c r="G4314" s="39">
        <v>22243051</v>
      </c>
      <c r="H4314" s="42">
        <v>211</v>
      </c>
    </row>
    <row r="4315" spans="1:8" ht="15" customHeight="1">
      <c r="A4315" s="26">
        <v>46453825</v>
      </c>
      <c r="B4315" s="29" t="s">
        <v>6550</v>
      </c>
      <c r="C4315" s="29" t="s">
        <v>21113</v>
      </c>
      <c r="D4315" s="29" t="s">
        <v>34340</v>
      </c>
      <c r="E4315" s="29" t="s">
        <v>47345</v>
      </c>
      <c r="F4315" s="36" t="s">
        <v>54401</v>
      </c>
      <c r="G4315" s="39">
        <v>2610032</v>
      </c>
      <c r="H4315" s="42">
        <v>211</v>
      </c>
    </row>
    <row r="4316" spans="1:8" ht="15" customHeight="1">
      <c r="A4316" s="26">
        <v>46453827</v>
      </c>
      <c r="B4316" s="29" t="s">
        <v>6551</v>
      </c>
      <c r="C4316" s="29" t="s">
        <v>21114</v>
      </c>
      <c r="D4316" s="29" t="s">
        <v>34341</v>
      </c>
      <c r="E4316" s="29" t="s">
        <v>44019</v>
      </c>
      <c r="F4316" s="36" t="s">
        <v>54401</v>
      </c>
      <c r="G4316" s="39">
        <v>250878.68</v>
      </c>
      <c r="H4316" s="42">
        <v>211</v>
      </c>
    </row>
    <row r="4317" spans="1:8" ht="15" customHeight="1">
      <c r="A4317" s="26">
        <v>46453833</v>
      </c>
      <c r="B4317" s="29" t="s">
        <v>6552</v>
      </c>
      <c r="C4317" s="29" t="s">
        <v>21115</v>
      </c>
      <c r="D4317" s="29" t="s">
        <v>34342</v>
      </c>
      <c r="E4317" s="29" t="s">
        <v>45516</v>
      </c>
      <c r="F4317" s="36" t="s">
        <v>54401</v>
      </c>
      <c r="G4317" s="39">
        <v>1822573.87</v>
      </c>
      <c r="H4317" s="42">
        <v>211</v>
      </c>
    </row>
    <row r="4318" spans="1:8" ht="15" customHeight="1">
      <c r="A4318" s="26">
        <v>46453859</v>
      </c>
      <c r="B4318" s="29" t="s">
        <v>6553</v>
      </c>
      <c r="C4318" s="29" t="s">
        <v>21116</v>
      </c>
      <c r="D4318" s="29" t="s">
        <v>34343</v>
      </c>
      <c r="E4318" s="29" t="s">
        <v>47346</v>
      </c>
      <c r="F4318" s="36" t="s">
        <v>54401</v>
      </c>
      <c r="G4318" s="39">
        <v>3043315</v>
      </c>
      <c r="H4318" s="42">
        <v>211</v>
      </c>
    </row>
    <row r="4319" spans="1:8" ht="15" customHeight="1">
      <c r="A4319" s="26">
        <v>46453875</v>
      </c>
      <c r="B4319" s="29" t="s">
        <v>6554</v>
      </c>
      <c r="C4319" s="26" t="s">
        <v>21117</v>
      </c>
      <c r="D4319" s="26" t="s">
        <v>34344</v>
      </c>
      <c r="E4319" s="26" t="s">
        <v>47347</v>
      </c>
      <c r="F4319" s="37" t="s">
        <v>54401</v>
      </c>
      <c r="G4319" s="39">
        <v>80953.87</v>
      </c>
      <c r="H4319" s="42">
        <v>211</v>
      </c>
    </row>
    <row r="4320" spans="1:8" ht="15" customHeight="1">
      <c r="A4320" s="26">
        <v>46453882</v>
      </c>
      <c r="B4320" s="29" t="s">
        <v>6555</v>
      </c>
      <c r="C4320" s="29" t="s">
        <v>21118</v>
      </c>
      <c r="D4320" s="29" t="s">
        <v>34345</v>
      </c>
      <c r="E4320" s="29" t="s">
        <v>47348</v>
      </c>
      <c r="F4320" s="36" t="s">
        <v>54401</v>
      </c>
      <c r="G4320" s="39">
        <v>5447696</v>
      </c>
      <c r="H4320" s="42">
        <v>211</v>
      </c>
    </row>
    <row r="4321" spans="1:8" ht="15" customHeight="1">
      <c r="A4321" s="26">
        <v>46453886</v>
      </c>
      <c r="B4321" s="29" t="s">
        <v>6556</v>
      </c>
      <c r="C4321" s="29" t="s">
        <v>21119</v>
      </c>
      <c r="D4321" s="29" t="s">
        <v>30376</v>
      </c>
      <c r="E4321" s="29" t="s">
        <v>47349</v>
      </c>
      <c r="F4321" s="36" t="s">
        <v>54401</v>
      </c>
      <c r="G4321" s="39">
        <v>2117605.14</v>
      </c>
      <c r="H4321" s="42">
        <v>211</v>
      </c>
    </row>
    <row r="4322" spans="1:8" ht="15" customHeight="1">
      <c r="A4322" s="26">
        <v>46453887</v>
      </c>
      <c r="B4322" s="29" t="s">
        <v>6557</v>
      </c>
      <c r="C4322" s="29" t="s">
        <v>21120</v>
      </c>
      <c r="D4322" s="29" t="s">
        <v>34346</v>
      </c>
      <c r="E4322" s="29" t="s">
        <v>47350</v>
      </c>
      <c r="F4322" s="36" t="s">
        <v>54401</v>
      </c>
      <c r="G4322" s="39">
        <v>9740.02</v>
      </c>
      <c r="H4322" s="42">
        <v>211</v>
      </c>
    </row>
    <row r="4323" spans="1:8" ht="15" customHeight="1">
      <c r="A4323" s="26">
        <v>46453891</v>
      </c>
      <c r="B4323" s="29" t="s">
        <v>6558</v>
      </c>
      <c r="C4323" s="29" t="s">
        <v>17204</v>
      </c>
      <c r="D4323" s="29" t="s">
        <v>30349</v>
      </c>
      <c r="E4323" s="29" t="s">
        <v>43926</v>
      </c>
      <c r="F4323" s="36" t="s">
        <v>54401</v>
      </c>
      <c r="G4323" s="39">
        <v>33391.040000000001</v>
      </c>
      <c r="H4323" s="42">
        <v>211</v>
      </c>
    </row>
    <row r="4324" spans="1:8" ht="15" customHeight="1">
      <c r="A4324" s="26">
        <v>46453904</v>
      </c>
      <c r="B4324" s="29" t="s">
        <v>6559</v>
      </c>
      <c r="C4324" s="29" t="s">
        <v>17204</v>
      </c>
      <c r="D4324" s="29" t="s">
        <v>30349</v>
      </c>
      <c r="E4324" s="29" t="s">
        <v>43926</v>
      </c>
      <c r="F4324" s="36" t="s">
        <v>54401</v>
      </c>
      <c r="G4324" s="39">
        <v>194715.78</v>
      </c>
      <c r="H4324" s="42">
        <v>211</v>
      </c>
    </row>
    <row r="4325" spans="1:8" ht="15" customHeight="1">
      <c r="A4325" s="26">
        <v>46453909</v>
      </c>
      <c r="B4325" s="29" t="s">
        <v>6560</v>
      </c>
      <c r="C4325" s="29" t="s">
        <v>21121</v>
      </c>
      <c r="D4325" s="29" t="s">
        <v>34347</v>
      </c>
      <c r="E4325" s="29" t="s">
        <v>47351</v>
      </c>
      <c r="F4325" s="36" t="s">
        <v>54409</v>
      </c>
      <c r="G4325" s="39">
        <v>1295623.8600000001</v>
      </c>
      <c r="H4325" s="42">
        <v>211</v>
      </c>
    </row>
    <row r="4326" spans="1:8" ht="15" customHeight="1">
      <c r="A4326" s="26">
        <v>46453912</v>
      </c>
      <c r="B4326" s="29" t="s">
        <v>6561</v>
      </c>
      <c r="C4326" s="29" t="s">
        <v>21122</v>
      </c>
      <c r="D4326" s="29" t="s">
        <v>34348</v>
      </c>
      <c r="E4326" s="29" t="s">
        <v>47352</v>
      </c>
      <c r="F4326" s="36" t="s">
        <v>54401</v>
      </c>
      <c r="G4326" s="39">
        <v>422369.4</v>
      </c>
      <c r="H4326" s="42">
        <v>211</v>
      </c>
    </row>
    <row r="4327" spans="1:8" ht="15" customHeight="1">
      <c r="A4327" s="26">
        <v>46453927</v>
      </c>
      <c r="B4327" s="29" t="s">
        <v>6562</v>
      </c>
      <c r="C4327" s="29" t="s">
        <v>21123</v>
      </c>
      <c r="D4327" s="29" t="s">
        <v>34349</v>
      </c>
      <c r="E4327" s="29" t="s">
        <v>47353</v>
      </c>
      <c r="F4327" s="36" t="s">
        <v>54401</v>
      </c>
      <c r="G4327" s="39">
        <v>291733.3</v>
      </c>
      <c r="H4327" s="42">
        <v>211</v>
      </c>
    </row>
    <row r="4328" spans="1:8" ht="15" customHeight="1">
      <c r="A4328" s="26">
        <v>46453942</v>
      </c>
      <c r="B4328" s="29" t="s">
        <v>6563</v>
      </c>
      <c r="C4328" s="29" t="s">
        <v>21124</v>
      </c>
      <c r="D4328" s="29" t="s">
        <v>34350</v>
      </c>
      <c r="E4328" s="29" t="s">
        <v>43948</v>
      </c>
      <c r="F4328" s="36" t="s">
        <v>54401</v>
      </c>
      <c r="G4328" s="39">
        <v>384772.78</v>
      </c>
      <c r="H4328" s="42">
        <v>211</v>
      </c>
    </row>
    <row r="4329" spans="1:8" ht="15" customHeight="1">
      <c r="A4329" s="26">
        <v>46453943</v>
      </c>
      <c r="B4329" s="29" t="s">
        <v>6564</v>
      </c>
      <c r="C4329" s="29" t="s">
        <v>21125</v>
      </c>
      <c r="D4329" s="29" t="s">
        <v>34351</v>
      </c>
      <c r="E4329" s="29" t="s">
        <v>47354</v>
      </c>
      <c r="F4329" s="36" t="s">
        <v>54401</v>
      </c>
      <c r="G4329" s="39">
        <v>190556.16</v>
      </c>
      <c r="H4329" s="42">
        <v>211</v>
      </c>
    </row>
    <row r="4330" spans="1:8" ht="15" customHeight="1">
      <c r="A4330" s="26">
        <v>46453947</v>
      </c>
      <c r="B4330" s="29" t="s">
        <v>6565</v>
      </c>
      <c r="C4330" s="29" t="s">
        <v>21126</v>
      </c>
      <c r="D4330" s="29" t="s">
        <v>34352</v>
      </c>
      <c r="E4330" s="29" t="s">
        <v>47188</v>
      </c>
      <c r="F4330" s="36" t="s">
        <v>54401</v>
      </c>
      <c r="G4330" s="39">
        <v>5817270</v>
      </c>
      <c r="H4330" s="42">
        <v>211</v>
      </c>
    </row>
    <row r="4331" spans="1:8" ht="15" customHeight="1">
      <c r="A4331" s="26">
        <v>46453951</v>
      </c>
      <c r="B4331" s="29" t="s">
        <v>6566</v>
      </c>
      <c r="C4331" s="29" t="s">
        <v>21127</v>
      </c>
      <c r="D4331" s="29" t="s">
        <v>34353</v>
      </c>
      <c r="E4331" s="29" t="s">
        <v>45502</v>
      </c>
      <c r="F4331" s="36" t="s">
        <v>54401</v>
      </c>
      <c r="G4331" s="39">
        <v>3208976.85</v>
      </c>
      <c r="H4331" s="42">
        <v>211</v>
      </c>
    </row>
    <row r="4332" spans="1:8" ht="15" customHeight="1">
      <c r="A4332" s="26">
        <v>46453967</v>
      </c>
      <c r="B4332" s="29" t="s">
        <v>6567</v>
      </c>
      <c r="C4332" s="29" t="s">
        <v>21128</v>
      </c>
      <c r="D4332" s="29" t="s">
        <v>34354</v>
      </c>
      <c r="E4332" s="29" t="s">
        <v>45093</v>
      </c>
      <c r="F4332" s="36" t="s">
        <v>54406</v>
      </c>
      <c r="G4332" s="39">
        <v>400488.38</v>
      </c>
      <c r="H4332" s="42">
        <v>211</v>
      </c>
    </row>
    <row r="4333" spans="1:8" ht="15" customHeight="1">
      <c r="A4333" s="26">
        <v>46453972</v>
      </c>
      <c r="B4333" s="29" t="s">
        <v>6568</v>
      </c>
      <c r="C4333" s="29" t="s">
        <v>21129</v>
      </c>
      <c r="D4333" s="29" t="s">
        <v>34355</v>
      </c>
      <c r="E4333" s="29" t="s">
        <v>47355</v>
      </c>
      <c r="F4333" s="36" t="s">
        <v>54423</v>
      </c>
      <c r="G4333" s="39">
        <v>5873159.4299999997</v>
      </c>
      <c r="H4333" s="42">
        <v>211</v>
      </c>
    </row>
    <row r="4334" spans="1:8" ht="15" customHeight="1">
      <c r="A4334" s="26">
        <v>46453977</v>
      </c>
      <c r="B4334" s="29" t="s">
        <v>6569</v>
      </c>
      <c r="C4334" s="29" t="s">
        <v>21130</v>
      </c>
      <c r="D4334" s="29" t="s">
        <v>34356</v>
      </c>
      <c r="E4334" s="29" t="s">
        <v>47356</v>
      </c>
      <c r="F4334" s="36" t="s">
        <v>54401</v>
      </c>
      <c r="G4334" s="39">
        <v>1093449.69</v>
      </c>
      <c r="H4334" s="42">
        <v>211</v>
      </c>
    </row>
    <row r="4335" spans="1:8" ht="15" customHeight="1">
      <c r="A4335" s="26">
        <v>46453984</v>
      </c>
      <c r="B4335" s="29" t="s">
        <v>6570</v>
      </c>
      <c r="C4335" s="29" t="s">
        <v>21131</v>
      </c>
      <c r="D4335" s="29" t="s">
        <v>34357</v>
      </c>
      <c r="E4335" s="29" t="s">
        <v>47357</v>
      </c>
      <c r="F4335" s="36" t="s">
        <v>54401</v>
      </c>
      <c r="G4335" s="39">
        <v>39518.07</v>
      </c>
      <c r="H4335" s="42">
        <v>211</v>
      </c>
    </row>
    <row r="4336" spans="1:8" ht="15" customHeight="1">
      <c r="A4336" s="26">
        <v>46453991</v>
      </c>
      <c r="B4336" s="29" t="s">
        <v>6571</v>
      </c>
      <c r="C4336" s="29" t="s">
        <v>21132</v>
      </c>
      <c r="D4336" s="29" t="s">
        <v>34358</v>
      </c>
      <c r="E4336" s="29" t="s">
        <v>47358</v>
      </c>
      <c r="F4336" s="36" t="s">
        <v>54401</v>
      </c>
      <c r="G4336" s="39">
        <v>3648140</v>
      </c>
      <c r="H4336" s="42">
        <v>211</v>
      </c>
    </row>
    <row r="4337" spans="1:8" ht="15" customHeight="1">
      <c r="A4337" s="26">
        <v>46454009</v>
      </c>
      <c r="B4337" s="29" t="s">
        <v>6572</v>
      </c>
      <c r="C4337" s="29" t="s">
        <v>21133</v>
      </c>
      <c r="D4337" s="29" t="s">
        <v>34359</v>
      </c>
      <c r="E4337" s="29" t="s">
        <v>47359</v>
      </c>
      <c r="F4337" s="36" t="s">
        <v>54401</v>
      </c>
      <c r="G4337" s="39">
        <v>324287.64</v>
      </c>
      <c r="H4337" s="42">
        <v>211</v>
      </c>
    </row>
    <row r="4338" spans="1:8" ht="15" customHeight="1">
      <c r="A4338" s="26">
        <v>46454025</v>
      </c>
      <c r="B4338" s="29" t="s">
        <v>6573</v>
      </c>
      <c r="C4338" s="26" t="s">
        <v>21134</v>
      </c>
      <c r="D4338" s="26" t="s">
        <v>34360</v>
      </c>
      <c r="E4338" s="26" t="s">
        <v>47360</v>
      </c>
      <c r="F4338" s="37" t="s">
        <v>54401</v>
      </c>
      <c r="G4338" s="39">
        <v>911300.63</v>
      </c>
      <c r="H4338" s="42">
        <v>211</v>
      </c>
    </row>
    <row r="4339" spans="1:8" ht="15" customHeight="1">
      <c r="A4339" s="26">
        <v>46454033</v>
      </c>
      <c r="B4339" s="29" t="s">
        <v>6574</v>
      </c>
      <c r="C4339" s="29" t="s">
        <v>21135</v>
      </c>
      <c r="D4339" s="29" t="s">
        <v>34361</v>
      </c>
      <c r="E4339" s="29" t="s">
        <v>47361</v>
      </c>
      <c r="F4339" s="36" t="s">
        <v>54401</v>
      </c>
      <c r="G4339" s="39">
        <v>1183556.1399999999</v>
      </c>
      <c r="H4339" s="42">
        <v>211</v>
      </c>
    </row>
    <row r="4340" spans="1:8" ht="15" customHeight="1">
      <c r="A4340" s="26">
        <v>46454042</v>
      </c>
      <c r="B4340" s="29" t="s">
        <v>6575</v>
      </c>
      <c r="C4340" s="26" t="s">
        <v>17204</v>
      </c>
      <c r="D4340" s="26" t="s">
        <v>34362</v>
      </c>
      <c r="E4340" s="26" t="s">
        <v>43926</v>
      </c>
      <c r="F4340" s="37" t="s">
        <v>54401</v>
      </c>
      <c r="G4340" s="39">
        <v>60293.54</v>
      </c>
      <c r="H4340" s="42">
        <v>211</v>
      </c>
    </row>
    <row r="4341" spans="1:8" ht="15" customHeight="1">
      <c r="A4341" s="26">
        <v>46454051</v>
      </c>
      <c r="B4341" s="29" t="s">
        <v>6576</v>
      </c>
      <c r="C4341" s="26" t="s">
        <v>21136</v>
      </c>
      <c r="D4341" s="26" t="s">
        <v>34363</v>
      </c>
      <c r="E4341" s="26" t="s">
        <v>47362</v>
      </c>
      <c r="F4341" s="37" t="s">
        <v>54401</v>
      </c>
      <c r="G4341" s="39">
        <v>274795.51</v>
      </c>
      <c r="H4341" s="42">
        <v>211</v>
      </c>
    </row>
    <row r="4342" spans="1:8" ht="15" customHeight="1">
      <c r="A4342" s="26">
        <v>46454075</v>
      </c>
      <c r="B4342" s="29" t="s">
        <v>6577</v>
      </c>
      <c r="C4342" s="29" t="s">
        <v>21137</v>
      </c>
      <c r="D4342" s="29" t="s">
        <v>34364</v>
      </c>
      <c r="E4342" s="29" t="s">
        <v>47363</v>
      </c>
      <c r="F4342" s="36" t="s">
        <v>54401</v>
      </c>
      <c r="G4342" s="39">
        <v>1380751.45</v>
      </c>
      <c r="H4342" s="42">
        <v>211</v>
      </c>
    </row>
    <row r="4343" spans="1:8" ht="15" customHeight="1">
      <c r="A4343" s="26">
        <v>46454077</v>
      </c>
      <c r="B4343" s="29" t="s">
        <v>6578</v>
      </c>
      <c r="C4343" s="29" t="s">
        <v>21138</v>
      </c>
      <c r="D4343" s="29" t="s">
        <v>34365</v>
      </c>
      <c r="E4343" s="29" t="s">
        <v>47364</v>
      </c>
      <c r="F4343" s="36" t="s">
        <v>54401</v>
      </c>
      <c r="G4343" s="39">
        <v>428085.98</v>
      </c>
      <c r="H4343" s="42">
        <v>211</v>
      </c>
    </row>
    <row r="4344" spans="1:8" ht="15" customHeight="1">
      <c r="A4344" s="26">
        <v>46454079</v>
      </c>
      <c r="B4344" s="29" t="s">
        <v>6579</v>
      </c>
      <c r="C4344" s="29" t="s">
        <v>21139</v>
      </c>
      <c r="D4344" s="29" t="s">
        <v>34366</v>
      </c>
      <c r="E4344" s="29" t="s">
        <v>47365</v>
      </c>
      <c r="F4344" s="36" t="s">
        <v>54401</v>
      </c>
      <c r="G4344" s="39">
        <v>2688530</v>
      </c>
      <c r="H4344" s="42">
        <v>211</v>
      </c>
    </row>
    <row r="4345" spans="1:8" ht="15" customHeight="1">
      <c r="A4345" s="26">
        <v>46454084</v>
      </c>
      <c r="B4345" s="29" t="s">
        <v>6580</v>
      </c>
      <c r="C4345" s="29" t="s">
        <v>21140</v>
      </c>
      <c r="D4345" s="29" t="s">
        <v>34367</v>
      </c>
      <c r="E4345" s="29" t="s">
        <v>47366</v>
      </c>
      <c r="F4345" s="36" t="s">
        <v>54401</v>
      </c>
      <c r="G4345" s="39">
        <v>2919484.11</v>
      </c>
      <c r="H4345" s="42">
        <v>211</v>
      </c>
    </row>
    <row r="4346" spans="1:8" ht="15" customHeight="1">
      <c r="A4346" s="26">
        <v>46454099</v>
      </c>
      <c r="B4346" s="29" t="s">
        <v>6581</v>
      </c>
      <c r="C4346" s="29" t="s">
        <v>21141</v>
      </c>
      <c r="D4346" s="29" t="s">
        <v>34368</v>
      </c>
      <c r="E4346" s="29" t="s">
        <v>47367</v>
      </c>
      <c r="F4346" s="36" t="s">
        <v>54401</v>
      </c>
      <c r="G4346" s="39">
        <v>1893468.44</v>
      </c>
      <c r="H4346" s="42">
        <v>211</v>
      </c>
    </row>
    <row r="4347" spans="1:8" ht="15" customHeight="1">
      <c r="A4347" s="26">
        <v>46454107</v>
      </c>
      <c r="B4347" s="29" t="s">
        <v>6582</v>
      </c>
      <c r="C4347" s="29" t="s">
        <v>21142</v>
      </c>
      <c r="D4347" s="29" t="s">
        <v>34369</v>
      </c>
      <c r="E4347" s="29" t="s">
        <v>43926</v>
      </c>
      <c r="F4347" s="36" t="s">
        <v>54401</v>
      </c>
      <c r="G4347" s="39">
        <v>77564.59</v>
      </c>
      <c r="H4347" s="42">
        <v>211</v>
      </c>
    </row>
    <row r="4348" spans="1:8" ht="15" customHeight="1">
      <c r="A4348" s="26">
        <v>46454110</v>
      </c>
      <c r="B4348" s="29" t="s">
        <v>6583</v>
      </c>
      <c r="C4348" s="29" t="s">
        <v>21143</v>
      </c>
      <c r="D4348" s="29" t="s">
        <v>34370</v>
      </c>
      <c r="E4348" s="29" t="s">
        <v>47368</v>
      </c>
      <c r="F4348" s="36" t="s">
        <v>54401</v>
      </c>
      <c r="G4348" s="39">
        <v>209045.97</v>
      </c>
      <c r="H4348" s="42">
        <v>211</v>
      </c>
    </row>
    <row r="4349" spans="1:8" ht="15" customHeight="1">
      <c r="A4349" s="26">
        <v>46454112</v>
      </c>
      <c r="B4349" s="29" t="s">
        <v>6584</v>
      </c>
      <c r="C4349" s="29" t="s">
        <v>21144</v>
      </c>
      <c r="D4349" s="29" t="s">
        <v>34371</v>
      </c>
      <c r="E4349" s="29" t="s">
        <v>47369</v>
      </c>
      <c r="F4349" s="36" t="s">
        <v>54401</v>
      </c>
      <c r="G4349" s="39">
        <v>169606.44</v>
      </c>
      <c r="H4349" s="42">
        <v>211</v>
      </c>
    </row>
    <row r="4350" spans="1:8" ht="15" customHeight="1">
      <c r="A4350" s="26">
        <v>46454123</v>
      </c>
      <c r="B4350" s="29" t="s">
        <v>6585</v>
      </c>
      <c r="C4350" s="29" t="s">
        <v>21145</v>
      </c>
      <c r="D4350" s="29" t="s">
        <v>34372</v>
      </c>
      <c r="E4350" s="29" t="s">
        <v>47370</v>
      </c>
      <c r="F4350" s="36" t="s">
        <v>54401</v>
      </c>
      <c r="G4350" s="39">
        <v>2518747.81</v>
      </c>
      <c r="H4350" s="42">
        <v>211</v>
      </c>
    </row>
    <row r="4351" spans="1:8" ht="15" customHeight="1">
      <c r="A4351" s="26">
        <v>46454131</v>
      </c>
      <c r="B4351" s="29" t="s">
        <v>6586</v>
      </c>
      <c r="C4351" s="29" t="s">
        <v>21146</v>
      </c>
      <c r="D4351" s="29" t="s">
        <v>34373</v>
      </c>
      <c r="E4351" s="29" t="s">
        <v>47371</v>
      </c>
      <c r="F4351" s="36" t="s">
        <v>54401</v>
      </c>
      <c r="G4351" s="39">
        <v>30826.880000000001</v>
      </c>
      <c r="H4351" s="42">
        <v>211</v>
      </c>
    </row>
    <row r="4352" spans="1:8" ht="15" customHeight="1">
      <c r="A4352" s="26">
        <v>46454141</v>
      </c>
      <c r="B4352" s="29" t="s">
        <v>6587</v>
      </c>
      <c r="C4352" s="29" t="s">
        <v>21147</v>
      </c>
      <c r="D4352" s="29" t="s">
        <v>34374</v>
      </c>
      <c r="E4352" s="29" t="s">
        <v>47372</v>
      </c>
      <c r="F4352" s="36" t="s">
        <v>54401</v>
      </c>
      <c r="G4352" s="39">
        <v>957163.07</v>
      </c>
      <c r="H4352" s="42">
        <v>211</v>
      </c>
    </row>
    <row r="4353" spans="1:8" ht="15" customHeight="1">
      <c r="A4353" s="26">
        <v>46454178</v>
      </c>
      <c r="B4353" s="29" t="s">
        <v>6588</v>
      </c>
      <c r="C4353" s="29" t="s">
        <v>21148</v>
      </c>
      <c r="D4353" s="29" t="s">
        <v>34375</v>
      </c>
      <c r="E4353" s="29" t="s">
        <v>44329</v>
      </c>
      <c r="F4353" s="36" t="s">
        <v>54401</v>
      </c>
      <c r="G4353" s="39">
        <v>84636.479999999996</v>
      </c>
      <c r="H4353" s="42">
        <v>211</v>
      </c>
    </row>
    <row r="4354" spans="1:8" ht="15" customHeight="1">
      <c r="A4354" s="26">
        <v>46454182</v>
      </c>
      <c r="B4354" s="29" t="s">
        <v>6589</v>
      </c>
      <c r="C4354" s="29" t="s">
        <v>21149</v>
      </c>
      <c r="D4354" s="29" t="s">
        <v>34376</v>
      </c>
      <c r="E4354" s="29" t="s">
        <v>47373</v>
      </c>
      <c r="F4354" s="36" t="s">
        <v>54401</v>
      </c>
      <c r="G4354" s="39">
        <v>128132.5</v>
      </c>
      <c r="H4354" s="42">
        <v>211</v>
      </c>
    </row>
    <row r="4355" spans="1:8" ht="15" customHeight="1">
      <c r="A4355" s="26">
        <v>46454200</v>
      </c>
      <c r="B4355" s="29" t="s">
        <v>6590</v>
      </c>
      <c r="C4355" s="29" t="s">
        <v>21150</v>
      </c>
      <c r="D4355" s="29" t="s">
        <v>34377</v>
      </c>
      <c r="E4355" s="29" t="s">
        <v>47374</v>
      </c>
      <c r="F4355" s="36" t="s">
        <v>54401</v>
      </c>
      <c r="G4355" s="39">
        <v>1372332.98</v>
      </c>
      <c r="H4355" s="42">
        <v>211</v>
      </c>
    </row>
    <row r="4356" spans="1:8" ht="15" customHeight="1">
      <c r="A4356" s="26">
        <v>46454203</v>
      </c>
      <c r="B4356" s="29" t="s">
        <v>6591</v>
      </c>
      <c r="C4356" s="29" t="s">
        <v>21151</v>
      </c>
      <c r="D4356" s="29" t="s">
        <v>34378</v>
      </c>
      <c r="E4356" s="29" t="s">
        <v>47375</v>
      </c>
      <c r="F4356" s="36" t="s">
        <v>54401</v>
      </c>
      <c r="G4356" s="39">
        <v>3317835</v>
      </c>
      <c r="H4356" s="42">
        <v>211</v>
      </c>
    </row>
    <row r="4357" spans="1:8" ht="15" customHeight="1">
      <c r="A4357" s="26">
        <v>46454220</v>
      </c>
      <c r="B4357" s="29" t="s">
        <v>6592</v>
      </c>
      <c r="C4357" s="29" t="s">
        <v>21152</v>
      </c>
      <c r="D4357" s="29" t="s">
        <v>34379</v>
      </c>
      <c r="E4357" s="29" t="s">
        <v>47376</v>
      </c>
      <c r="F4357" s="36" t="s">
        <v>54408</v>
      </c>
      <c r="G4357" s="39">
        <v>35432.53</v>
      </c>
      <c r="H4357" s="42">
        <v>211</v>
      </c>
    </row>
    <row r="4358" spans="1:8" ht="15" customHeight="1">
      <c r="A4358" s="26">
        <v>46454222</v>
      </c>
      <c r="B4358" s="29" t="s">
        <v>6593</v>
      </c>
      <c r="C4358" s="29" t="s">
        <v>21153</v>
      </c>
      <c r="D4358" s="29" t="s">
        <v>34380</v>
      </c>
      <c r="E4358" s="29" t="s">
        <v>47377</v>
      </c>
      <c r="F4358" s="36" t="s">
        <v>54401</v>
      </c>
      <c r="G4358" s="39">
        <v>1764303</v>
      </c>
      <c r="H4358" s="42">
        <v>211</v>
      </c>
    </row>
    <row r="4359" spans="1:8" ht="15" customHeight="1">
      <c r="A4359" s="26">
        <v>46454226</v>
      </c>
      <c r="B4359" s="29" t="s">
        <v>6594</v>
      </c>
      <c r="C4359" s="29" t="s">
        <v>21154</v>
      </c>
      <c r="D4359" s="29" t="s">
        <v>34381</v>
      </c>
      <c r="E4359" s="29" t="s">
        <v>47378</v>
      </c>
      <c r="F4359" s="36" t="s">
        <v>54401</v>
      </c>
      <c r="G4359" s="39">
        <v>6066178</v>
      </c>
      <c r="H4359" s="42">
        <v>211</v>
      </c>
    </row>
    <row r="4360" spans="1:8" ht="15" customHeight="1">
      <c r="A4360" s="26">
        <v>46454227</v>
      </c>
      <c r="B4360" s="29" t="s">
        <v>6595</v>
      </c>
      <c r="C4360" s="29" t="s">
        <v>21155</v>
      </c>
      <c r="D4360" s="29" t="s">
        <v>34382</v>
      </c>
      <c r="E4360" s="29" t="s">
        <v>45689</v>
      </c>
      <c r="F4360" s="36" t="s">
        <v>54401</v>
      </c>
      <c r="G4360" s="39">
        <v>181147.28</v>
      </c>
      <c r="H4360" s="42">
        <v>211</v>
      </c>
    </row>
    <row r="4361" spans="1:8" ht="15" customHeight="1">
      <c r="A4361" s="26">
        <v>46454242</v>
      </c>
      <c r="B4361" s="29" t="s">
        <v>6596</v>
      </c>
      <c r="C4361" s="29" t="s">
        <v>21156</v>
      </c>
      <c r="D4361" s="29" t="s">
        <v>34383</v>
      </c>
      <c r="E4361" s="29" t="s">
        <v>47379</v>
      </c>
      <c r="F4361" s="36" t="s">
        <v>54401</v>
      </c>
      <c r="G4361" s="39">
        <v>2444198</v>
      </c>
      <c r="H4361" s="42">
        <v>211</v>
      </c>
    </row>
    <row r="4362" spans="1:8" ht="15" customHeight="1">
      <c r="A4362" s="26">
        <v>46454264</v>
      </c>
      <c r="B4362" s="29" t="s">
        <v>6597</v>
      </c>
      <c r="C4362" s="29" t="s">
        <v>21157</v>
      </c>
      <c r="D4362" s="29" t="s">
        <v>34384</v>
      </c>
      <c r="E4362" s="29" t="s">
        <v>47380</v>
      </c>
      <c r="F4362" s="36" t="s">
        <v>54401</v>
      </c>
      <c r="G4362" s="39">
        <v>298544.56</v>
      </c>
      <c r="H4362" s="42">
        <v>211</v>
      </c>
    </row>
    <row r="4363" spans="1:8" ht="15" customHeight="1">
      <c r="A4363" s="26">
        <v>46454269</v>
      </c>
      <c r="B4363" s="29" t="s">
        <v>6598</v>
      </c>
      <c r="C4363" s="29" t="s">
        <v>21158</v>
      </c>
      <c r="D4363" s="29" t="s">
        <v>34385</v>
      </c>
      <c r="E4363" s="29" t="s">
        <v>47381</v>
      </c>
      <c r="F4363" s="36" t="s">
        <v>54401</v>
      </c>
      <c r="G4363" s="39">
        <v>1804087</v>
      </c>
      <c r="H4363" s="42">
        <v>211</v>
      </c>
    </row>
    <row r="4364" spans="1:8" ht="15" customHeight="1">
      <c r="A4364" s="26">
        <v>46454283</v>
      </c>
      <c r="B4364" s="29" t="s">
        <v>6599</v>
      </c>
      <c r="C4364" s="29" t="s">
        <v>21159</v>
      </c>
      <c r="D4364" s="29" t="s">
        <v>34386</v>
      </c>
      <c r="E4364" s="29" t="s">
        <v>47382</v>
      </c>
      <c r="F4364" s="36" t="s">
        <v>54401</v>
      </c>
      <c r="G4364" s="39">
        <v>338882.5</v>
      </c>
      <c r="H4364" s="42">
        <v>211</v>
      </c>
    </row>
    <row r="4365" spans="1:8" ht="15" customHeight="1">
      <c r="A4365" s="26">
        <v>46454293</v>
      </c>
      <c r="B4365" s="29" t="s">
        <v>6600</v>
      </c>
      <c r="C4365" s="29" t="s">
        <v>21160</v>
      </c>
      <c r="D4365" s="29" t="s">
        <v>34387</v>
      </c>
      <c r="E4365" s="29" t="s">
        <v>47383</v>
      </c>
      <c r="F4365" s="36" t="s">
        <v>54401</v>
      </c>
      <c r="G4365" s="39">
        <v>5067.2299999999996</v>
      </c>
      <c r="H4365" s="42">
        <v>211</v>
      </c>
    </row>
    <row r="4366" spans="1:8" ht="15" customHeight="1">
      <c r="A4366" s="26">
        <v>46454305</v>
      </c>
      <c r="B4366" s="29" t="s">
        <v>6601</v>
      </c>
      <c r="C4366" s="29" t="s">
        <v>21161</v>
      </c>
      <c r="D4366" s="29" t="s">
        <v>34388</v>
      </c>
      <c r="E4366" s="29" t="s">
        <v>47384</v>
      </c>
      <c r="F4366" s="36" t="s">
        <v>54401</v>
      </c>
      <c r="G4366" s="39">
        <v>1547471.6</v>
      </c>
      <c r="H4366" s="42">
        <v>211</v>
      </c>
    </row>
    <row r="4367" spans="1:8" ht="15" customHeight="1">
      <c r="A4367" s="26">
        <v>46454313</v>
      </c>
      <c r="B4367" s="29" t="s">
        <v>6602</v>
      </c>
      <c r="C4367" s="29" t="s">
        <v>21162</v>
      </c>
      <c r="D4367" s="29" t="s">
        <v>34389</v>
      </c>
      <c r="E4367" s="29" t="s">
        <v>47385</v>
      </c>
      <c r="F4367" s="36" t="s">
        <v>54401</v>
      </c>
      <c r="G4367" s="39">
        <v>289709.64</v>
      </c>
      <c r="H4367" s="42">
        <v>211</v>
      </c>
    </row>
    <row r="4368" spans="1:8" ht="15" customHeight="1">
      <c r="A4368" s="26">
        <v>46454321</v>
      </c>
      <c r="B4368" s="29" t="s">
        <v>6603</v>
      </c>
      <c r="C4368" s="29" t="s">
        <v>21163</v>
      </c>
      <c r="D4368" s="29" t="s">
        <v>34390</v>
      </c>
      <c r="E4368" s="29" t="s">
        <v>46785</v>
      </c>
      <c r="F4368" s="36" t="s">
        <v>54401</v>
      </c>
      <c r="G4368" s="39">
        <v>693329.29</v>
      </c>
      <c r="H4368" s="42">
        <v>211</v>
      </c>
    </row>
    <row r="4369" spans="1:8" ht="15" customHeight="1">
      <c r="A4369" s="26">
        <v>46454323</v>
      </c>
      <c r="B4369" s="29" t="s">
        <v>6604</v>
      </c>
      <c r="C4369" s="26" t="s">
        <v>21164</v>
      </c>
      <c r="D4369" s="26" t="s">
        <v>34391</v>
      </c>
      <c r="E4369" s="26" t="s">
        <v>47386</v>
      </c>
      <c r="F4369" s="37" t="s">
        <v>54401</v>
      </c>
      <c r="G4369" s="39">
        <v>3363786</v>
      </c>
      <c r="H4369" s="42">
        <v>211</v>
      </c>
    </row>
    <row r="4370" spans="1:8" ht="15" customHeight="1">
      <c r="A4370" s="26">
        <v>46454327</v>
      </c>
      <c r="B4370" s="29" t="s">
        <v>6605</v>
      </c>
      <c r="C4370" s="29" t="s">
        <v>17204</v>
      </c>
      <c r="D4370" s="29" t="s">
        <v>34392</v>
      </c>
      <c r="E4370" s="29" t="s">
        <v>43926</v>
      </c>
      <c r="F4370" s="36" t="s">
        <v>54401</v>
      </c>
      <c r="G4370" s="39">
        <v>343738.62</v>
      </c>
      <c r="H4370" s="42">
        <v>211</v>
      </c>
    </row>
    <row r="4371" spans="1:8" ht="15" customHeight="1">
      <c r="A4371" s="26">
        <v>46454332</v>
      </c>
      <c r="B4371" s="29" t="s">
        <v>6606</v>
      </c>
      <c r="C4371" s="29" t="s">
        <v>21165</v>
      </c>
      <c r="D4371" s="29" t="s">
        <v>34393</v>
      </c>
      <c r="E4371" s="29" t="s">
        <v>47387</v>
      </c>
      <c r="F4371" s="36" t="s">
        <v>54401</v>
      </c>
      <c r="G4371" s="39">
        <v>6304148</v>
      </c>
      <c r="H4371" s="42">
        <v>211</v>
      </c>
    </row>
    <row r="4372" spans="1:8" ht="15" customHeight="1">
      <c r="A4372" s="26">
        <v>46454338</v>
      </c>
      <c r="B4372" s="29" t="s">
        <v>6607</v>
      </c>
      <c r="C4372" s="29" t="s">
        <v>17204</v>
      </c>
      <c r="D4372" s="29" t="s">
        <v>34394</v>
      </c>
      <c r="E4372" s="29" t="s">
        <v>43926</v>
      </c>
      <c r="F4372" s="36" t="s">
        <v>54401</v>
      </c>
      <c r="G4372" s="39">
        <v>209284.69</v>
      </c>
      <c r="H4372" s="42">
        <v>211</v>
      </c>
    </row>
    <row r="4373" spans="1:8" ht="15" customHeight="1">
      <c r="A4373" s="26">
        <v>46454340</v>
      </c>
      <c r="B4373" s="29" t="s">
        <v>6608</v>
      </c>
      <c r="C4373" s="29" t="s">
        <v>21166</v>
      </c>
      <c r="D4373" s="29" t="s">
        <v>34395</v>
      </c>
      <c r="E4373" s="29" t="s">
        <v>47388</v>
      </c>
      <c r="F4373" s="36" t="s">
        <v>54401</v>
      </c>
      <c r="G4373" s="39">
        <v>83936.98</v>
      </c>
      <c r="H4373" s="42">
        <v>211</v>
      </c>
    </row>
    <row r="4374" spans="1:8" ht="15" customHeight="1">
      <c r="A4374" s="26">
        <v>46454346</v>
      </c>
      <c r="B4374" s="29" t="s">
        <v>6609</v>
      </c>
      <c r="C4374" s="29" t="s">
        <v>21167</v>
      </c>
      <c r="D4374" s="29" t="s">
        <v>34396</v>
      </c>
      <c r="E4374" s="29" t="s">
        <v>47389</v>
      </c>
      <c r="F4374" s="36" t="s">
        <v>54401</v>
      </c>
      <c r="G4374" s="39">
        <v>409024.73</v>
      </c>
      <c r="H4374" s="42">
        <v>211</v>
      </c>
    </row>
    <row r="4375" spans="1:8" ht="15" customHeight="1">
      <c r="A4375" s="26">
        <v>46454358</v>
      </c>
      <c r="B4375" s="29" t="s">
        <v>6610</v>
      </c>
      <c r="C4375" s="29" t="s">
        <v>21168</v>
      </c>
      <c r="D4375" s="29" t="s">
        <v>34397</v>
      </c>
      <c r="E4375" s="29" t="s">
        <v>47390</v>
      </c>
      <c r="F4375" s="36" t="s">
        <v>54401</v>
      </c>
      <c r="G4375" s="39">
        <v>16983.57</v>
      </c>
      <c r="H4375" s="42">
        <v>211</v>
      </c>
    </row>
    <row r="4376" spans="1:8" ht="15" customHeight="1">
      <c r="A4376" s="26">
        <v>46454369</v>
      </c>
      <c r="B4376" s="29" t="s">
        <v>6611</v>
      </c>
      <c r="C4376" s="29" t="s">
        <v>21169</v>
      </c>
      <c r="D4376" s="29" t="s">
        <v>34398</v>
      </c>
      <c r="E4376" s="29" t="s">
        <v>47391</v>
      </c>
      <c r="F4376" s="36" t="s">
        <v>54401</v>
      </c>
      <c r="G4376" s="39">
        <v>564986.78</v>
      </c>
      <c r="H4376" s="42">
        <v>211</v>
      </c>
    </row>
    <row r="4377" spans="1:8" ht="15" customHeight="1">
      <c r="A4377" s="26">
        <v>46454374</v>
      </c>
      <c r="B4377" s="29" t="s">
        <v>6612</v>
      </c>
      <c r="C4377" s="29" t="s">
        <v>21170</v>
      </c>
      <c r="D4377" s="29" t="s">
        <v>34399</v>
      </c>
      <c r="E4377" s="29" t="s">
        <v>47392</v>
      </c>
      <c r="F4377" s="36" t="s">
        <v>54401</v>
      </c>
      <c r="G4377" s="39">
        <v>74932.45</v>
      </c>
      <c r="H4377" s="42">
        <v>211</v>
      </c>
    </row>
    <row r="4378" spans="1:8" ht="15" customHeight="1">
      <c r="A4378" s="26">
        <v>46454377</v>
      </c>
      <c r="B4378" s="29" t="s">
        <v>6613</v>
      </c>
      <c r="C4378" s="29" t="s">
        <v>21171</v>
      </c>
      <c r="D4378" s="29" t="s">
        <v>34400</v>
      </c>
      <c r="E4378" s="29" t="s">
        <v>44337</v>
      </c>
      <c r="F4378" s="36" t="s">
        <v>54401</v>
      </c>
      <c r="G4378" s="39">
        <v>35733.699999999997</v>
      </c>
      <c r="H4378" s="42">
        <v>211</v>
      </c>
    </row>
    <row r="4379" spans="1:8" ht="15" customHeight="1">
      <c r="A4379" s="26">
        <v>46454403</v>
      </c>
      <c r="B4379" s="29" t="s">
        <v>6614</v>
      </c>
      <c r="C4379" s="29" t="s">
        <v>17204</v>
      </c>
      <c r="D4379" s="29" t="s">
        <v>34401</v>
      </c>
      <c r="E4379" s="29" t="s">
        <v>43926</v>
      </c>
      <c r="F4379" s="36" t="s">
        <v>54401</v>
      </c>
      <c r="G4379" s="39">
        <v>112965.61</v>
      </c>
      <c r="H4379" s="42">
        <v>211</v>
      </c>
    </row>
    <row r="4380" spans="1:8" ht="15" customHeight="1">
      <c r="A4380" s="26">
        <v>46454406</v>
      </c>
      <c r="B4380" s="29" t="s">
        <v>6615</v>
      </c>
      <c r="C4380" s="29" t="s">
        <v>21172</v>
      </c>
      <c r="D4380" s="29" t="s">
        <v>34402</v>
      </c>
      <c r="E4380" s="29" t="s">
        <v>44474</v>
      </c>
      <c r="F4380" s="36" t="s">
        <v>54401</v>
      </c>
      <c r="G4380" s="39">
        <v>5587740.3399999999</v>
      </c>
      <c r="H4380" s="42">
        <v>211</v>
      </c>
    </row>
    <row r="4381" spans="1:8" ht="15" customHeight="1">
      <c r="A4381" s="26">
        <v>46454409</v>
      </c>
      <c r="B4381" s="29" t="s">
        <v>6616</v>
      </c>
      <c r="C4381" s="29" t="s">
        <v>21173</v>
      </c>
      <c r="D4381" s="29" t="s">
        <v>34403</v>
      </c>
      <c r="E4381" s="29" t="s">
        <v>43926</v>
      </c>
      <c r="F4381" s="36" t="s">
        <v>54401</v>
      </c>
      <c r="G4381" s="39">
        <v>529419.93000000005</v>
      </c>
      <c r="H4381" s="42">
        <v>211</v>
      </c>
    </row>
    <row r="4382" spans="1:8" ht="15" customHeight="1">
      <c r="A4382" s="26">
        <v>46454411</v>
      </c>
      <c r="B4382" s="29" t="s">
        <v>6617</v>
      </c>
      <c r="C4382" s="29" t="s">
        <v>21174</v>
      </c>
      <c r="D4382" s="29" t="s">
        <v>34404</v>
      </c>
      <c r="E4382" s="29" t="s">
        <v>47393</v>
      </c>
      <c r="F4382" s="36" t="s">
        <v>54401</v>
      </c>
      <c r="G4382" s="39">
        <v>2056785</v>
      </c>
      <c r="H4382" s="42">
        <v>211</v>
      </c>
    </row>
    <row r="4383" spans="1:8" ht="15" customHeight="1">
      <c r="A4383" s="26">
        <v>46454412</v>
      </c>
      <c r="B4383" s="29" t="s">
        <v>6618</v>
      </c>
      <c r="C4383" s="29" t="s">
        <v>21175</v>
      </c>
      <c r="D4383" s="29" t="s">
        <v>34405</v>
      </c>
      <c r="E4383" s="29" t="s">
        <v>47394</v>
      </c>
      <c r="F4383" s="36" t="s">
        <v>54401</v>
      </c>
      <c r="G4383" s="39">
        <v>634333.94999999995</v>
      </c>
      <c r="H4383" s="42">
        <v>211</v>
      </c>
    </row>
    <row r="4384" spans="1:8" ht="15" customHeight="1">
      <c r="A4384" s="26">
        <v>46454437</v>
      </c>
      <c r="B4384" s="29" t="s">
        <v>6619</v>
      </c>
      <c r="C4384" s="29" t="s">
        <v>21176</v>
      </c>
      <c r="D4384" s="29" t="s">
        <v>34406</v>
      </c>
      <c r="E4384" s="29" t="s">
        <v>47395</v>
      </c>
      <c r="F4384" s="36" t="s">
        <v>54401</v>
      </c>
      <c r="G4384" s="39">
        <v>193130.55</v>
      </c>
      <c r="H4384" s="42">
        <v>211</v>
      </c>
    </row>
    <row r="4385" spans="1:8" ht="15" customHeight="1">
      <c r="A4385" s="26">
        <v>46454450</v>
      </c>
      <c r="B4385" s="29" t="s">
        <v>6620</v>
      </c>
      <c r="C4385" s="29" t="s">
        <v>21177</v>
      </c>
      <c r="D4385" s="29" t="s">
        <v>34407</v>
      </c>
      <c r="E4385" s="29" t="s">
        <v>47396</v>
      </c>
      <c r="F4385" s="36" t="s">
        <v>54401</v>
      </c>
      <c r="G4385" s="39">
        <v>567499.72</v>
      </c>
      <c r="H4385" s="42">
        <v>211</v>
      </c>
    </row>
    <row r="4386" spans="1:8" ht="15" customHeight="1">
      <c r="A4386" s="26">
        <v>46454452</v>
      </c>
      <c r="B4386" s="29" t="s">
        <v>6621</v>
      </c>
      <c r="C4386" s="26" t="s">
        <v>21178</v>
      </c>
      <c r="D4386" s="26" t="s">
        <v>34408</v>
      </c>
      <c r="E4386" s="26" t="s">
        <v>47397</v>
      </c>
      <c r="F4386" s="37" t="s">
        <v>54401</v>
      </c>
      <c r="G4386" s="39">
        <v>8900</v>
      </c>
      <c r="H4386" s="42">
        <v>211</v>
      </c>
    </row>
    <row r="4387" spans="1:8" ht="15" customHeight="1">
      <c r="A4387" s="26">
        <v>46454453</v>
      </c>
      <c r="B4387" s="29" t="s">
        <v>6622</v>
      </c>
      <c r="C4387" s="29" t="s">
        <v>17204</v>
      </c>
      <c r="D4387" s="29" t="s">
        <v>30349</v>
      </c>
      <c r="E4387" s="29" t="s">
        <v>43926</v>
      </c>
      <c r="F4387" s="36" t="s">
        <v>54401</v>
      </c>
      <c r="G4387" s="39">
        <v>107406.88</v>
      </c>
      <c r="H4387" s="42">
        <v>211</v>
      </c>
    </row>
    <row r="4388" spans="1:8" ht="15" customHeight="1">
      <c r="A4388" s="26">
        <v>46454458</v>
      </c>
      <c r="B4388" s="29" t="s">
        <v>6623</v>
      </c>
      <c r="C4388" s="29" t="s">
        <v>21179</v>
      </c>
      <c r="D4388" s="29" t="s">
        <v>34409</v>
      </c>
      <c r="E4388" s="29" t="s">
        <v>47398</v>
      </c>
      <c r="F4388" s="36" t="s">
        <v>54401</v>
      </c>
      <c r="G4388" s="39">
        <v>4860718.75</v>
      </c>
      <c r="H4388" s="42">
        <v>211</v>
      </c>
    </row>
    <row r="4389" spans="1:8" ht="15" customHeight="1">
      <c r="A4389" s="26">
        <v>46454460</v>
      </c>
      <c r="B4389" s="29" t="s">
        <v>6624</v>
      </c>
      <c r="C4389" s="29" t="s">
        <v>21180</v>
      </c>
      <c r="D4389" s="29" t="s">
        <v>34410</v>
      </c>
      <c r="E4389" s="29" t="s">
        <v>47399</v>
      </c>
      <c r="F4389" s="36" t="s">
        <v>54401</v>
      </c>
      <c r="G4389" s="39">
        <v>227395.66</v>
      </c>
      <c r="H4389" s="42">
        <v>211</v>
      </c>
    </row>
    <row r="4390" spans="1:8" ht="15" customHeight="1">
      <c r="A4390" s="26">
        <v>46454463</v>
      </c>
      <c r="B4390" s="29" t="s">
        <v>6625</v>
      </c>
      <c r="C4390" s="29" t="s">
        <v>21181</v>
      </c>
      <c r="D4390" s="29" t="s">
        <v>34411</v>
      </c>
      <c r="E4390" s="29" t="s">
        <v>47400</v>
      </c>
      <c r="F4390" s="36" t="s">
        <v>54401</v>
      </c>
      <c r="G4390" s="39">
        <v>434507.49</v>
      </c>
      <c r="H4390" s="42">
        <v>211</v>
      </c>
    </row>
    <row r="4391" spans="1:8" ht="15" customHeight="1">
      <c r="A4391" s="26">
        <v>46454464</v>
      </c>
      <c r="B4391" s="29" t="s">
        <v>6626</v>
      </c>
      <c r="C4391" s="29" t="s">
        <v>21182</v>
      </c>
      <c r="D4391" s="29" t="s">
        <v>34412</v>
      </c>
      <c r="E4391" s="29" t="s">
        <v>47401</v>
      </c>
      <c r="F4391" s="36" t="s">
        <v>54401</v>
      </c>
      <c r="G4391" s="39">
        <v>128327.73</v>
      </c>
      <c r="H4391" s="42">
        <v>211</v>
      </c>
    </row>
    <row r="4392" spans="1:8" ht="15" customHeight="1">
      <c r="A4392" s="26">
        <v>46454483</v>
      </c>
      <c r="B4392" s="29" t="s">
        <v>6627</v>
      </c>
      <c r="C4392" s="29" t="s">
        <v>17204</v>
      </c>
      <c r="D4392" s="29" t="s">
        <v>30349</v>
      </c>
      <c r="E4392" s="29" t="s">
        <v>43926</v>
      </c>
      <c r="F4392" s="36" t="s">
        <v>54401</v>
      </c>
      <c r="G4392" s="39">
        <v>71344.539999999994</v>
      </c>
      <c r="H4392" s="42">
        <v>211</v>
      </c>
    </row>
    <row r="4393" spans="1:8" ht="15" customHeight="1">
      <c r="A4393" s="26">
        <v>46454522</v>
      </c>
      <c r="B4393" s="29" t="s">
        <v>6628</v>
      </c>
      <c r="C4393" s="29" t="s">
        <v>21183</v>
      </c>
      <c r="D4393" s="29" t="s">
        <v>34413</v>
      </c>
      <c r="E4393" s="29" t="s">
        <v>47402</v>
      </c>
      <c r="F4393" s="36" t="s">
        <v>54401</v>
      </c>
      <c r="G4393" s="39">
        <v>3492148</v>
      </c>
      <c r="H4393" s="42">
        <v>211</v>
      </c>
    </row>
    <row r="4394" spans="1:8" ht="15" customHeight="1">
      <c r="A4394" s="26">
        <v>46454537</v>
      </c>
      <c r="B4394" s="29" t="s">
        <v>6629</v>
      </c>
      <c r="C4394" s="26" t="s">
        <v>21184</v>
      </c>
      <c r="D4394" s="26" t="s">
        <v>34414</v>
      </c>
      <c r="E4394" s="26" t="s">
        <v>47403</v>
      </c>
      <c r="F4394" s="37" t="s">
        <v>54401</v>
      </c>
      <c r="G4394" s="39">
        <v>371115.44</v>
      </c>
      <c r="H4394" s="42">
        <v>211</v>
      </c>
    </row>
    <row r="4395" spans="1:8" ht="15" customHeight="1">
      <c r="A4395" s="26">
        <v>46454538</v>
      </c>
      <c r="B4395" s="29" t="s">
        <v>6630</v>
      </c>
      <c r="C4395" s="29" t="s">
        <v>21185</v>
      </c>
      <c r="D4395" s="29" t="s">
        <v>34415</v>
      </c>
      <c r="E4395" s="29" t="s">
        <v>47404</v>
      </c>
      <c r="F4395" s="36" t="s">
        <v>54401</v>
      </c>
      <c r="G4395" s="39">
        <v>6348798.4100000001</v>
      </c>
      <c r="H4395" s="42">
        <v>211</v>
      </c>
    </row>
    <row r="4396" spans="1:8" ht="15" customHeight="1">
      <c r="A4396" s="26">
        <v>46454539</v>
      </c>
      <c r="B4396" s="29" t="s">
        <v>6631</v>
      </c>
      <c r="C4396" s="29" t="s">
        <v>21186</v>
      </c>
      <c r="D4396" s="29" t="s">
        <v>34416</v>
      </c>
      <c r="E4396" s="29" t="s">
        <v>43926</v>
      </c>
      <c r="F4396" s="36" t="s">
        <v>54401</v>
      </c>
      <c r="G4396" s="39">
        <v>292182.31</v>
      </c>
      <c r="H4396" s="42">
        <v>211</v>
      </c>
    </row>
    <row r="4397" spans="1:8" ht="15" customHeight="1">
      <c r="A4397" s="26">
        <v>46454547</v>
      </c>
      <c r="B4397" s="29" t="s">
        <v>6632</v>
      </c>
      <c r="C4397" s="29" t="s">
        <v>21187</v>
      </c>
      <c r="D4397" s="29" t="s">
        <v>34417</v>
      </c>
      <c r="E4397" s="29" t="s">
        <v>47405</v>
      </c>
      <c r="F4397" s="36" t="s">
        <v>54401</v>
      </c>
      <c r="G4397" s="39">
        <v>56358.83</v>
      </c>
      <c r="H4397" s="42">
        <v>211</v>
      </c>
    </row>
    <row r="4398" spans="1:8" ht="15" customHeight="1">
      <c r="A4398" s="26">
        <v>46454554</v>
      </c>
      <c r="B4398" s="29" t="s">
        <v>6633</v>
      </c>
      <c r="C4398" s="29" t="s">
        <v>17204</v>
      </c>
      <c r="D4398" s="29" t="s">
        <v>30349</v>
      </c>
      <c r="E4398" s="29" t="s">
        <v>43926</v>
      </c>
      <c r="F4398" s="36" t="s">
        <v>54401</v>
      </c>
      <c r="G4398" s="39">
        <v>207370.89</v>
      </c>
      <c r="H4398" s="42">
        <v>211</v>
      </c>
    </row>
    <row r="4399" spans="1:8" ht="15" customHeight="1">
      <c r="A4399" s="26">
        <v>46454564</v>
      </c>
      <c r="B4399" s="29" t="s">
        <v>6634</v>
      </c>
      <c r="C4399" s="29" t="s">
        <v>21188</v>
      </c>
      <c r="D4399" s="29" t="s">
        <v>34418</v>
      </c>
      <c r="E4399" s="29" t="s">
        <v>43926</v>
      </c>
      <c r="F4399" s="36" t="s">
        <v>54401</v>
      </c>
      <c r="G4399" s="39">
        <v>697973.45</v>
      </c>
      <c r="H4399" s="42">
        <v>211</v>
      </c>
    </row>
    <row r="4400" spans="1:8" ht="15" customHeight="1">
      <c r="A4400" s="26">
        <v>46454572</v>
      </c>
      <c r="B4400" s="29" t="s">
        <v>6635</v>
      </c>
      <c r="C4400" s="29" t="s">
        <v>17204</v>
      </c>
      <c r="D4400" s="29" t="s">
        <v>30349</v>
      </c>
      <c r="E4400" s="29" t="s">
        <v>43926</v>
      </c>
      <c r="F4400" s="36" t="s">
        <v>54401</v>
      </c>
      <c r="G4400" s="39">
        <v>93551.93</v>
      </c>
      <c r="H4400" s="42">
        <v>211</v>
      </c>
    </row>
    <row r="4401" spans="1:8" ht="15" customHeight="1">
      <c r="A4401" s="26">
        <v>46454600</v>
      </c>
      <c r="B4401" s="29" t="s">
        <v>6636</v>
      </c>
      <c r="C4401" s="29" t="s">
        <v>21189</v>
      </c>
      <c r="D4401" s="29" t="s">
        <v>34419</v>
      </c>
      <c r="E4401" s="29" t="s">
        <v>47406</v>
      </c>
      <c r="F4401" s="36" t="s">
        <v>54401</v>
      </c>
      <c r="G4401" s="39">
        <v>2124167.54</v>
      </c>
      <c r="H4401" s="42">
        <v>211</v>
      </c>
    </row>
    <row r="4402" spans="1:8" ht="15" customHeight="1">
      <c r="A4402" s="26">
        <v>46454628</v>
      </c>
      <c r="B4402" s="29" t="s">
        <v>6637</v>
      </c>
      <c r="C4402" s="29" t="s">
        <v>21190</v>
      </c>
      <c r="D4402" s="29" t="s">
        <v>34413</v>
      </c>
      <c r="E4402" s="29" t="s">
        <v>43926</v>
      </c>
      <c r="F4402" s="36" t="s">
        <v>54401</v>
      </c>
      <c r="G4402" s="39">
        <v>108397.26</v>
      </c>
      <c r="H4402" s="42">
        <v>211</v>
      </c>
    </row>
    <row r="4403" spans="1:8" ht="15" customHeight="1">
      <c r="A4403" s="26">
        <v>46454657</v>
      </c>
      <c r="B4403" s="29" t="s">
        <v>6638</v>
      </c>
      <c r="C4403" s="29" t="s">
        <v>21191</v>
      </c>
      <c r="D4403" s="29" t="s">
        <v>34420</v>
      </c>
      <c r="E4403" s="29" t="s">
        <v>47407</v>
      </c>
      <c r="F4403" s="36" t="s">
        <v>54401</v>
      </c>
      <c r="G4403" s="39">
        <v>264949.09999999998</v>
      </c>
      <c r="H4403" s="42">
        <v>211</v>
      </c>
    </row>
    <row r="4404" spans="1:8" ht="15" customHeight="1">
      <c r="A4404" s="26">
        <v>46454658</v>
      </c>
      <c r="B4404" s="29" t="s">
        <v>6639</v>
      </c>
      <c r="C4404" s="29" t="s">
        <v>21192</v>
      </c>
      <c r="D4404" s="29" t="s">
        <v>34421</v>
      </c>
      <c r="E4404" s="29" t="s">
        <v>46971</v>
      </c>
      <c r="F4404" s="36" t="s">
        <v>54409</v>
      </c>
      <c r="G4404" s="39">
        <v>564357.9</v>
      </c>
      <c r="H4404" s="42">
        <v>211</v>
      </c>
    </row>
    <row r="4405" spans="1:8" ht="15" customHeight="1">
      <c r="A4405" s="26">
        <v>46454663</v>
      </c>
      <c r="B4405" s="29" t="s">
        <v>6640</v>
      </c>
      <c r="C4405" s="29" t="s">
        <v>21193</v>
      </c>
      <c r="D4405" s="29" t="s">
        <v>34422</v>
      </c>
      <c r="E4405" s="29" t="s">
        <v>47408</v>
      </c>
      <c r="F4405" s="36" t="s">
        <v>54401</v>
      </c>
      <c r="G4405" s="39">
        <v>49000</v>
      </c>
      <c r="H4405" s="42">
        <v>211</v>
      </c>
    </row>
    <row r="4406" spans="1:8" ht="15" customHeight="1">
      <c r="A4406" s="26">
        <v>46454680</v>
      </c>
      <c r="B4406" s="29" t="s">
        <v>6641</v>
      </c>
      <c r="C4406" s="29" t="s">
        <v>21194</v>
      </c>
      <c r="D4406" s="29" t="s">
        <v>34423</v>
      </c>
      <c r="E4406" s="29" t="s">
        <v>47409</v>
      </c>
      <c r="F4406" s="36" t="s">
        <v>54401</v>
      </c>
      <c r="G4406" s="39">
        <v>435095.39</v>
      </c>
      <c r="H4406" s="42">
        <v>211</v>
      </c>
    </row>
    <row r="4407" spans="1:8" ht="15" customHeight="1">
      <c r="A4407" s="26">
        <v>46454697</v>
      </c>
      <c r="B4407" s="29" t="s">
        <v>6642</v>
      </c>
      <c r="C4407" s="29" t="s">
        <v>21195</v>
      </c>
      <c r="D4407" s="29" t="s">
        <v>34424</v>
      </c>
      <c r="E4407" s="29" t="s">
        <v>47410</v>
      </c>
      <c r="F4407" s="36" t="s">
        <v>54401</v>
      </c>
      <c r="G4407" s="39">
        <v>755445.18</v>
      </c>
      <c r="H4407" s="42">
        <v>211</v>
      </c>
    </row>
    <row r="4408" spans="1:8" ht="15" customHeight="1">
      <c r="A4408" s="26">
        <v>46454703</v>
      </c>
      <c r="B4408" s="29" t="s">
        <v>6643</v>
      </c>
      <c r="C4408" s="29" t="s">
        <v>21196</v>
      </c>
      <c r="D4408" s="29" t="s">
        <v>30376</v>
      </c>
      <c r="E4408" s="29" t="s">
        <v>47411</v>
      </c>
      <c r="F4408" s="36" t="s">
        <v>54401</v>
      </c>
      <c r="G4408" s="39">
        <v>74651.429999999993</v>
      </c>
      <c r="H4408" s="42">
        <v>211</v>
      </c>
    </row>
    <row r="4409" spans="1:8" ht="15" customHeight="1">
      <c r="A4409" s="26">
        <v>46454715</v>
      </c>
      <c r="B4409" s="29" t="s">
        <v>6644</v>
      </c>
      <c r="C4409" s="29" t="s">
        <v>17204</v>
      </c>
      <c r="D4409" s="29" t="s">
        <v>30349</v>
      </c>
      <c r="E4409" s="29" t="s">
        <v>43926</v>
      </c>
      <c r="F4409" s="36" t="s">
        <v>54401</v>
      </c>
      <c r="G4409" s="39">
        <v>482410.69</v>
      </c>
      <c r="H4409" s="42">
        <v>211</v>
      </c>
    </row>
    <row r="4410" spans="1:8" ht="15" customHeight="1">
      <c r="A4410" s="26">
        <v>46454732</v>
      </c>
      <c r="B4410" s="29" t="s">
        <v>6645</v>
      </c>
      <c r="C4410" s="29" t="s">
        <v>21197</v>
      </c>
      <c r="D4410" s="29" t="s">
        <v>34425</v>
      </c>
      <c r="E4410" s="29" t="s">
        <v>47412</v>
      </c>
      <c r="F4410" s="36" t="s">
        <v>54401</v>
      </c>
      <c r="G4410" s="39">
        <v>475578.57</v>
      </c>
      <c r="H4410" s="42">
        <v>211</v>
      </c>
    </row>
    <row r="4411" spans="1:8" ht="15" customHeight="1">
      <c r="A4411" s="26">
        <v>46454737</v>
      </c>
      <c r="B4411" s="29" t="s">
        <v>6646</v>
      </c>
      <c r="C4411" s="29" t="s">
        <v>21198</v>
      </c>
      <c r="D4411" s="29" t="s">
        <v>34426</v>
      </c>
      <c r="E4411" s="29" t="s">
        <v>45006</v>
      </c>
      <c r="F4411" s="36" t="s">
        <v>54401</v>
      </c>
      <c r="G4411" s="39">
        <v>2369849.21</v>
      </c>
      <c r="H4411" s="42">
        <v>211</v>
      </c>
    </row>
    <row r="4412" spans="1:8" ht="15" customHeight="1">
      <c r="A4412" s="26">
        <v>46454765</v>
      </c>
      <c r="B4412" s="29" t="s">
        <v>6647</v>
      </c>
      <c r="C4412" s="26" t="s">
        <v>21199</v>
      </c>
      <c r="D4412" s="26" t="s">
        <v>34427</v>
      </c>
      <c r="E4412" s="26" t="s">
        <v>47413</v>
      </c>
      <c r="F4412" s="37" t="s">
        <v>54401</v>
      </c>
      <c r="G4412" s="39">
        <v>180303.18</v>
      </c>
      <c r="H4412" s="42">
        <v>211</v>
      </c>
    </row>
    <row r="4413" spans="1:8" ht="15" customHeight="1">
      <c r="A4413" s="26">
        <v>46454768</v>
      </c>
      <c r="B4413" s="29" t="s">
        <v>6648</v>
      </c>
      <c r="C4413" s="29" t="s">
        <v>21200</v>
      </c>
      <c r="D4413" s="29" t="s">
        <v>34428</v>
      </c>
      <c r="E4413" s="29" t="s">
        <v>47414</v>
      </c>
      <c r="F4413" s="36" t="s">
        <v>54401</v>
      </c>
      <c r="G4413" s="39">
        <v>8376385</v>
      </c>
      <c r="H4413" s="42">
        <v>211</v>
      </c>
    </row>
    <row r="4414" spans="1:8" ht="15" customHeight="1">
      <c r="A4414" s="26">
        <v>46454792</v>
      </c>
      <c r="B4414" s="29" t="s">
        <v>6649</v>
      </c>
      <c r="C4414" s="29" t="s">
        <v>17204</v>
      </c>
      <c r="D4414" s="29" t="s">
        <v>30349</v>
      </c>
      <c r="E4414" s="29" t="s">
        <v>43926</v>
      </c>
      <c r="F4414" s="36" t="s">
        <v>54401</v>
      </c>
      <c r="G4414" s="39">
        <v>362590.43</v>
      </c>
      <c r="H4414" s="42">
        <v>211</v>
      </c>
    </row>
    <row r="4415" spans="1:8" ht="15" customHeight="1">
      <c r="A4415" s="26">
        <v>46454808</v>
      </c>
      <c r="B4415" s="29" t="s">
        <v>6650</v>
      </c>
      <c r="C4415" s="29" t="s">
        <v>21201</v>
      </c>
      <c r="D4415" s="29" t="s">
        <v>34429</v>
      </c>
      <c r="E4415" s="29" t="s">
        <v>47415</v>
      </c>
      <c r="F4415" s="36" t="s">
        <v>54401</v>
      </c>
      <c r="G4415" s="39">
        <v>326199.81</v>
      </c>
      <c r="H4415" s="42">
        <v>211</v>
      </c>
    </row>
    <row r="4416" spans="1:8" ht="15" customHeight="1">
      <c r="A4416" s="26">
        <v>46454809</v>
      </c>
      <c r="B4416" s="29" t="s">
        <v>6651</v>
      </c>
      <c r="C4416" s="29" t="s">
        <v>17844</v>
      </c>
      <c r="D4416" s="29" t="s">
        <v>30998</v>
      </c>
      <c r="E4416" s="29" t="s">
        <v>47416</v>
      </c>
      <c r="F4416" s="36" t="s">
        <v>54401</v>
      </c>
      <c r="G4416" s="39">
        <v>6064124.2800000003</v>
      </c>
      <c r="H4416" s="42">
        <v>211</v>
      </c>
    </row>
    <row r="4417" spans="1:8" ht="15" customHeight="1">
      <c r="A4417" s="26">
        <v>46454821</v>
      </c>
      <c r="B4417" s="29" t="s">
        <v>6652</v>
      </c>
      <c r="C4417" s="29" t="s">
        <v>21202</v>
      </c>
      <c r="D4417" s="29" t="s">
        <v>34430</v>
      </c>
      <c r="E4417" s="29" t="s">
        <v>47417</v>
      </c>
      <c r="F4417" s="36" t="s">
        <v>54401</v>
      </c>
      <c r="G4417" s="39">
        <v>6411219.9000000004</v>
      </c>
      <c r="H4417" s="42">
        <v>211</v>
      </c>
    </row>
    <row r="4418" spans="1:8" ht="15" customHeight="1">
      <c r="A4418" s="26">
        <v>46454825</v>
      </c>
      <c r="B4418" s="29" t="s">
        <v>6653</v>
      </c>
      <c r="C4418" s="29" t="s">
        <v>17204</v>
      </c>
      <c r="D4418" s="29" t="s">
        <v>30349</v>
      </c>
      <c r="E4418" s="29" t="s">
        <v>43926</v>
      </c>
      <c r="F4418" s="36" t="s">
        <v>54401</v>
      </c>
      <c r="G4418" s="39">
        <v>382566.62</v>
      </c>
      <c r="H4418" s="42">
        <v>211</v>
      </c>
    </row>
    <row r="4419" spans="1:8" ht="15" customHeight="1">
      <c r="A4419" s="26">
        <v>46454831</v>
      </c>
      <c r="B4419" s="29" t="s">
        <v>6654</v>
      </c>
      <c r="C4419" s="29" t="s">
        <v>21203</v>
      </c>
      <c r="D4419" s="29" t="s">
        <v>34431</v>
      </c>
      <c r="E4419" s="29" t="s">
        <v>47418</v>
      </c>
      <c r="F4419" s="36" t="s">
        <v>54401</v>
      </c>
      <c r="G4419" s="39">
        <v>4114569</v>
      </c>
      <c r="H4419" s="42">
        <v>211</v>
      </c>
    </row>
    <row r="4420" spans="1:8" ht="15" customHeight="1">
      <c r="A4420" s="26">
        <v>46454848</v>
      </c>
      <c r="B4420" s="29" t="s">
        <v>6655</v>
      </c>
      <c r="C4420" s="29" t="s">
        <v>21204</v>
      </c>
      <c r="D4420" s="29" t="s">
        <v>34432</v>
      </c>
      <c r="E4420" s="29" t="s">
        <v>47419</v>
      </c>
      <c r="F4420" s="36" t="s">
        <v>54401</v>
      </c>
      <c r="G4420" s="39">
        <v>298592.53000000003</v>
      </c>
      <c r="H4420" s="42">
        <v>211</v>
      </c>
    </row>
    <row r="4421" spans="1:8" ht="15" customHeight="1">
      <c r="A4421" s="26">
        <v>46454849</v>
      </c>
      <c r="B4421" s="29" t="s">
        <v>6656</v>
      </c>
      <c r="C4421" s="29" t="s">
        <v>17204</v>
      </c>
      <c r="D4421" s="29" t="s">
        <v>30349</v>
      </c>
      <c r="E4421" s="29" t="s">
        <v>43926</v>
      </c>
      <c r="F4421" s="36" t="s">
        <v>54401</v>
      </c>
      <c r="G4421" s="39">
        <v>254416.31</v>
      </c>
      <c r="H4421" s="42">
        <v>211</v>
      </c>
    </row>
    <row r="4422" spans="1:8" ht="15" customHeight="1">
      <c r="A4422" s="26">
        <v>46454877</v>
      </c>
      <c r="B4422" s="29" t="s">
        <v>6657</v>
      </c>
      <c r="C4422" s="29" t="s">
        <v>21205</v>
      </c>
      <c r="D4422" s="29" t="s">
        <v>30376</v>
      </c>
      <c r="E4422" s="29" t="s">
        <v>44023</v>
      </c>
      <c r="F4422" s="36" t="s">
        <v>54401</v>
      </c>
      <c r="G4422" s="39">
        <v>1190862.7</v>
      </c>
      <c r="H4422" s="42">
        <v>211</v>
      </c>
    </row>
    <row r="4423" spans="1:8" ht="15" customHeight="1">
      <c r="A4423" s="26">
        <v>46454889</v>
      </c>
      <c r="B4423" s="29" t="s">
        <v>6658</v>
      </c>
      <c r="C4423" s="29" t="s">
        <v>21206</v>
      </c>
      <c r="D4423" s="29" t="s">
        <v>34433</v>
      </c>
      <c r="E4423" s="29" t="s">
        <v>43926</v>
      </c>
      <c r="F4423" s="36" t="s">
        <v>54401</v>
      </c>
      <c r="G4423" s="39">
        <v>776922.15</v>
      </c>
      <c r="H4423" s="42">
        <v>211</v>
      </c>
    </row>
    <row r="4424" spans="1:8" ht="15" customHeight="1">
      <c r="A4424" s="26">
        <v>46454894</v>
      </c>
      <c r="B4424" s="29" t="s">
        <v>6659</v>
      </c>
      <c r="C4424" s="29" t="s">
        <v>21207</v>
      </c>
      <c r="D4424" s="29" t="s">
        <v>34434</v>
      </c>
      <c r="E4424" s="29" t="s">
        <v>47420</v>
      </c>
      <c r="F4424" s="36" t="s">
        <v>54401</v>
      </c>
      <c r="G4424" s="39">
        <v>5427000</v>
      </c>
      <c r="H4424" s="42">
        <v>211</v>
      </c>
    </row>
    <row r="4425" spans="1:8" ht="15" customHeight="1">
      <c r="A4425" s="26">
        <v>46454916</v>
      </c>
      <c r="B4425" s="29" t="s">
        <v>6660</v>
      </c>
      <c r="C4425" s="29" t="s">
        <v>21208</v>
      </c>
      <c r="D4425" s="29" t="s">
        <v>34435</v>
      </c>
      <c r="E4425" s="29" t="s">
        <v>43926</v>
      </c>
      <c r="F4425" s="36" t="s">
        <v>54401</v>
      </c>
      <c r="G4425" s="39">
        <v>109413.39</v>
      </c>
      <c r="H4425" s="42">
        <v>211</v>
      </c>
    </row>
    <row r="4426" spans="1:8" ht="15" customHeight="1">
      <c r="A4426" s="26">
        <v>46454917</v>
      </c>
      <c r="B4426" s="29" t="s">
        <v>6661</v>
      </c>
      <c r="C4426" s="29" t="s">
        <v>21209</v>
      </c>
      <c r="D4426" s="29" t="s">
        <v>34436</v>
      </c>
      <c r="E4426" s="29" t="s">
        <v>43926</v>
      </c>
      <c r="F4426" s="36" t="s">
        <v>54401</v>
      </c>
      <c r="G4426" s="39">
        <v>35903</v>
      </c>
      <c r="H4426" s="42">
        <v>211</v>
      </c>
    </row>
    <row r="4427" spans="1:8" ht="15" customHeight="1">
      <c r="A4427" s="26">
        <v>46454927</v>
      </c>
      <c r="B4427" s="29" t="s">
        <v>6662</v>
      </c>
      <c r="C4427" s="29" t="s">
        <v>21210</v>
      </c>
      <c r="D4427" s="29" t="s">
        <v>34437</v>
      </c>
      <c r="E4427" s="29" t="s">
        <v>47421</v>
      </c>
      <c r="F4427" s="36" t="s">
        <v>54402</v>
      </c>
      <c r="G4427" s="39">
        <v>40806.42</v>
      </c>
      <c r="H4427" s="42">
        <v>211</v>
      </c>
    </row>
    <row r="4428" spans="1:8" ht="15" customHeight="1">
      <c r="A4428" s="26">
        <v>46454934</v>
      </c>
      <c r="B4428" s="29" t="s">
        <v>6663</v>
      </c>
      <c r="C4428" s="29" t="s">
        <v>17204</v>
      </c>
      <c r="D4428" s="29" t="s">
        <v>30349</v>
      </c>
      <c r="E4428" s="29" t="s">
        <v>43926</v>
      </c>
      <c r="F4428" s="36" t="s">
        <v>54401</v>
      </c>
      <c r="G4428" s="39">
        <v>198395.89</v>
      </c>
      <c r="H4428" s="42">
        <v>211</v>
      </c>
    </row>
    <row r="4429" spans="1:8" ht="15" customHeight="1">
      <c r="A4429" s="26">
        <v>46454963</v>
      </c>
      <c r="B4429" s="29" t="s">
        <v>6664</v>
      </c>
      <c r="C4429" s="29" t="s">
        <v>21211</v>
      </c>
      <c r="D4429" s="29" t="s">
        <v>34438</v>
      </c>
      <c r="E4429" s="29" t="s">
        <v>47422</v>
      </c>
      <c r="F4429" s="36" t="s">
        <v>54401</v>
      </c>
      <c r="G4429" s="39">
        <v>794075.34</v>
      </c>
      <c r="H4429" s="42">
        <v>211</v>
      </c>
    </row>
    <row r="4430" spans="1:8" ht="15" customHeight="1">
      <c r="A4430" s="26">
        <v>46454970</v>
      </c>
      <c r="B4430" s="29" t="s">
        <v>6665</v>
      </c>
      <c r="C4430" s="29" t="s">
        <v>21212</v>
      </c>
      <c r="D4430" s="29" t="s">
        <v>34439</v>
      </c>
      <c r="E4430" s="29" t="s">
        <v>47423</v>
      </c>
      <c r="F4430" s="36" t="s">
        <v>54401</v>
      </c>
      <c r="G4430" s="39">
        <v>646381.49</v>
      </c>
      <c r="H4430" s="42">
        <v>211</v>
      </c>
    </row>
    <row r="4431" spans="1:8" ht="15" customHeight="1">
      <c r="A4431" s="26">
        <v>46454976</v>
      </c>
      <c r="B4431" s="29" t="s">
        <v>6666</v>
      </c>
      <c r="C4431" s="29" t="s">
        <v>21213</v>
      </c>
      <c r="D4431" s="29" t="s">
        <v>34440</v>
      </c>
      <c r="E4431" s="29" t="s">
        <v>47424</v>
      </c>
      <c r="F4431" s="36" t="s">
        <v>54401</v>
      </c>
      <c r="G4431" s="39">
        <v>1077795.8999999999</v>
      </c>
      <c r="H4431" s="42">
        <v>211</v>
      </c>
    </row>
    <row r="4432" spans="1:8" ht="15" customHeight="1">
      <c r="A4432" s="26">
        <v>46454998</v>
      </c>
      <c r="B4432" s="29" t="s">
        <v>6667</v>
      </c>
      <c r="C4432" s="26" t="s">
        <v>17204</v>
      </c>
      <c r="D4432" s="26" t="s">
        <v>34441</v>
      </c>
      <c r="E4432" s="26" t="s">
        <v>43926</v>
      </c>
      <c r="F4432" s="37" t="s">
        <v>54401</v>
      </c>
      <c r="G4432" s="39">
        <v>404461.55</v>
      </c>
      <c r="H4432" s="42">
        <v>211</v>
      </c>
    </row>
    <row r="4433" spans="1:8" ht="15" customHeight="1">
      <c r="A4433" s="26">
        <v>46455000</v>
      </c>
      <c r="B4433" s="29" t="s">
        <v>6668</v>
      </c>
      <c r="C4433" s="29" t="s">
        <v>21214</v>
      </c>
      <c r="D4433" s="29" t="s">
        <v>34442</v>
      </c>
      <c r="E4433" s="29" t="s">
        <v>43928</v>
      </c>
      <c r="F4433" s="36" t="s">
        <v>54401</v>
      </c>
      <c r="G4433" s="39">
        <v>1191176.23</v>
      </c>
      <c r="H4433" s="42">
        <v>211</v>
      </c>
    </row>
    <row r="4434" spans="1:8" ht="15" customHeight="1">
      <c r="A4434" s="26">
        <v>46455018</v>
      </c>
      <c r="B4434" s="29" t="s">
        <v>6669</v>
      </c>
      <c r="C4434" s="29" t="s">
        <v>21215</v>
      </c>
      <c r="D4434" s="29" t="s">
        <v>34443</v>
      </c>
      <c r="E4434" s="29" t="s">
        <v>43926</v>
      </c>
      <c r="F4434" s="36" t="s">
        <v>54401</v>
      </c>
      <c r="G4434" s="39">
        <v>572176.03</v>
      </c>
      <c r="H4434" s="42">
        <v>211</v>
      </c>
    </row>
    <row r="4435" spans="1:8" ht="15" customHeight="1">
      <c r="A4435" s="26">
        <v>46455031</v>
      </c>
      <c r="B4435" s="29" t="s">
        <v>6670</v>
      </c>
      <c r="C4435" s="26" t="s">
        <v>21216</v>
      </c>
      <c r="D4435" s="26" t="s">
        <v>34444</v>
      </c>
      <c r="E4435" s="26" t="s">
        <v>47425</v>
      </c>
      <c r="F4435" s="37" t="s">
        <v>54401</v>
      </c>
      <c r="G4435" s="39">
        <v>5472521</v>
      </c>
      <c r="H4435" s="42">
        <v>211</v>
      </c>
    </row>
    <row r="4436" spans="1:8" ht="15" customHeight="1">
      <c r="A4436" s="26">
        <v>46455044</v>
      </c>
      <c r="B4436" s="29" t="s">
        <v>6671</v>
      </c>
      <c r="C4436" s="29" t="s">
        <v>21217</v>
      </c>
      <c r="D4436" s="29" t="s">
        <v>34445</v>
      </c>
      <c r="E4436" s="29" t="s">
        <v>47426</v>
      </c>
      <c r="F4436" s="36" t="s">
        <v>54401</v>
      </c>
      <c r="G4436" s="39">
        <v>3587841.38</v>
      </c>
      <c r="H4436" s="42">
        <v>211</v>
      </c>
    </row>
    <row r="4437" spans="1:8" ht="15" customHeight="1">
      <c r="A4437" s="26">
        <v>46455047</v>
      </c>
      <c r="B4437" s="29" t="s">
        <v>6672</v>
      </c>
      <c r="C4437" s="29" t="s">
        <v>21218</v>
      </c>
      <c r="D4437" s="29" t="s">
        <v>34446</v>
      </c>
      <c r="E4437" s="29" t="s">
        <v>47427</v>
      </c>
      <c r="F4437" s="36" t="s">
        <v>54401</v>
      </c>
      <c r="G4437" s="39">
        <v>5863885.9199999999</v>
      </c>
      <c r="H4437" s="42">
        <v>211</v>
      </c>
    </row>
    <row r="4438" spans="1:8" ht="15" customHeight="1">
      <c r="A4438" s="26">
        <v>46455053</v>
      </c>
      <c r="B4438" s="29" t="s">
        <v>6673</v>
      </c>
      <c r="C4438" s="29" t="s">
        <v>21219</v>
      </c>
      <c r="D4438" s="29" t="s">
        <v>34447</v>
      </c>
      <c r="E4438" s="29" t="s">
        <v>47428</v>
      </c>
      <c r="F4438" s="36" t="s">
        <v>54401</v>
      </c>
      <c r="G4438" s="39">
        <v>7051028</v>
      </c>
      <c r="H4438" s="42">
        <v>211</v>
      </c>
    </row>
    <row r="4439" spans="1:8" ht="15" customHeight="1">
      <c r="A4439" s="26">
        <v>46455060</v>
      </c>
      <c r="B4439" s="29" t="s">
        <v>6674</v>
      </c>
      <c r="C4439" s="29" t="s">
        <v>21220</v>
      </c>
      <c r="D4439" s="29" t="s">
        <v>34448</v>
      </c>
      <c r="E4439" s="29" t="s">
        <v>47429</v>
      </c>
      <c r="F4439" s="36" t="s">
        <v>54401</v>
      </c>
      <c r="G4439" s="39">
        <v>1230445.8400000001</v>
      </c>
      <c r="H4439" s="42">
        <v>211</v>
      </c>
    </row>
    <row r="4440" spans="1:8" ht="15" customHeight="1">
      <c r="A4440" s="26">
        <v>46455074</v>
      </c>
      <c r="B4440" s="29" t="s">
        <v>6675</v>
      </c>
      <c r="C4440" s="29" t="s">
        <v>21221</v>
      </c>
      <c r="D4440" s="29" t="s">
        <v>34449</v>
      </c>
      <c r="E4440" s="29" t="s">
        <v>47430</v>
      </c>
      <c r="F4440" s="36" t="s">
        <v>54401</v>
      </c>
      <c r="G4440" s="39">
        <v>2719214</v>
      </c>
      <c r="H4440" s="42">
        <v>211</v>
      </c>
    </row>
    <row r="4441" spans="1:8" ht="15" customHeight="1">
      <c r="A4441" s="26">
        <v>46455109</v>
      </c>
      <c r="B4441" s="29" t="s">
        <v>6676</v>
      </c>
      <c r="C4441" s="26" t="s">
        <v>21222</v>
      </c>
      <c r="D4441" s="26" t="s">
        <v>34450</v>
      </c>
      <c r="E4441" s="26" t="s">
        <v>47431</v>
      </c>
      <c r="F4441" s="37" t="s">
        <v>54401</v>
      </c>
      <c r="G4441" s="39">
        <v>213764.17</v>
      </c>
      <c r="H4441" s="42">
        <v>211</v>
      </c>
    </row>
    <row r="4442" spans="1:8" ht="15" customHeight="1">
      <c r="A4442" s="26">
        <v>46455143</v>
      </c>
      <c r="B4442" s="29" t="s">
        <v>6677</v>
      </c>
      <c r="C4442" s="29" t="s">
        <v>21223</v>
      </c>
      <c r="D4442" s="29" t="s">
        <v>34451</v>
      </c>
      <c r="E4442" s="29" t="s">
        <v>47432</v>
      </c>
      <c r="F4442" s="36" t="s">
        <v>54401</v>
      </c>
      <c r="G4442" s="39">
        <v>1605100.57</v>
      </c>
      <c r="H4442" s="42">
        <v>211</v>
      </c>
    </row>
    <row r="4443" spans="1:8" ht="15" customHeight="1">
      <c r="A4443" s="26">
        <v>46455147</v>
      </c>
      <c r="B4443" s="29" t="s">
        <v>6678</v>
      </c>
      <c r="C4443" s="29" t="s">
        <v>21224</v>
      </c>
      <c r="D4443" s="29" t="s">
        <v>32826</v>
      </c>
      <c r="E4443" s="29" t="s">
        <v>47433</v>
      </c>
      <c r="F4443" s="36" t="s">
        <v>54401</v>
      </c>
      <c r="G4443" s="39">
        <v>17517.87</v>
      </c>
      <c r="H4443" s="42">
        <v>211</v>
      </c>
    </row>
    <row r="4444" spans="1:8" ht="15" customHeight="1">
      <c r="A4444" s="26">
        <v>46455149</v>
      </c>
      <c r="B4444" s="29" t="s">
        <v>6679</v>
      </c>
      <c r="C4444" s="29" t="s">
        <v>21225</v>
      </c>
      <c r="D4444" s="29" t="s">
        <v>34452</v>
      </c>
      <c r="E4444" s="29" t="s">
        <v>44616</v>
      </c>
      <c r="F4444" s="36" t="s">
        <v>54409</v>
      </c>
      <c r="G4444" s="39">
        <v>34389.910000000003</v>
      </c>
      <c r="H4444" s="42">
        <v>211</v>
      </c>
    </row>
    <row r="4445" spans="1:8" ht="15" customHeight="1">
      <c r="A4445" s="26">
        <v>46455160</v>
      </c>
      <c r="B4445" s="29" t="s">
        <v>6680</v>
      </c>
      <c r="C4445" s="29" t="s">
        <v>21226</v>
      </c>
      <c r="D4445" s="29" t="s">
        <v>34453</v>
      </c>
      <c r="E4445" s="29" t="s">
        <v>47434</v>
      </c>
      <c r="F4445" s="36" t="s">
        <v>54401</v>
      </c>
      <c r="G4445" s="39">
        <v>1389917.99</v>
      </c>
      <c r="H4445" s="42">
        <v>211</v>
      </c>
    </row>
    <row r="4446" spans="1:8" ht="15" customHeight="1">
      <c r="A4446" s="26">
        <v>46455162</v>
      </c>
      <c r="B4446" s="29" t="s">
        <v>6681</v>
      </c>
      <c r="C4446" s="29" t="s">
        <v>21227</v>
      </c>
      <c r="D4446" s="29" t="s">
        <v>34454</v>
      </c>
      <c r="E4446" s="29" t="s">
        <v>47435</v>
      </c>
      <c r="F4446" s="36" t="s">
        <v>54401</v>
      </c>
      <c r="G4446" s="39">
        <v>3724342</v>
      </c>
      <c r="H4446" s="42">
        <v>211</v>
      </c>
    </row>
    <row r="4447" spans="1:8" ht="15" customHeight="1">
      <c r="A4447" s="26">
        <v>46455163</v>
      </c>
      <c r="B4447" s="29" t="s">
        <v>6682</v>
      </c>
      <c r="C4447" s="29" t="s">
        <v>21228</v>
      </c>
      <c r="D4447" s="29" t="s">
        <v>34455</v>
      </c>
      <c r="E4447" s="29" t="s">
        <v>47436</v>
      </c>
      <c r="F4447" s="36" t="s">
        <v>54401</v>
      </c>
      <c r="G4447" s="39">
        <v>1950354.42</v>
      </c>
      <c r="H4447" s="42">
        <v>211</v>
      </c>
    </row>
    <row r="4448" spans="1:8" ht="15" customHeight="1">
      <c r="A4448" s="26">
        <v>46455165</v>
      </c>
      <c r="B4448" s="29" t="s">
        <v>6683</v>
      </c>
      <c r="C4448" s="29" t="s">
        <v>17204</v>
      </c>
      <c r="D4448" s="29" t="s">
        <v>30349</v>
      </c>
      <c r="E4448" s="29" t="s">
        <v>43926</v>
      </c>
      <c r="F4448" s="36" t="s">
        <v>54401</v>
      </c>
      <c r="G4448" s="39">
        <v>631706.04</v>
      </c>
      <c r="H4448" s="42">
        <v>211</v>
      </c>
    </row>
    <row r="4449" spans="1:8" ht="15" customHeight="1">
      <c r="A4449" s="26">
        <v>46455184</v>
      </c>
      <c r="B4449" s="29" t="s">
        <v>6684</v>
      </c>
      <c r="C4449" s="29" t="s">
        <v>21229</v>
      </c>
      <c r="D4449" s="29" t="s">
        <v>34456</v>
      </c>
      <c r="E4449" s="29" t="s">
        <v>47437</v>
      </c>
      <c r="F4449" s="36" t="s">
        <v>54401</v>
      </c>
      <c r="G4449" s="39">
        <v>5983611</v>
      </c>
      <c r="H4449" s="42">
        <v>211</v>
      </c>
    </row>
    <row r="4450" spans="1:8" ht="15" customHeight="1">
      <c r="A4450" s="26">
        <v>46455190</v>
      </c>
      <c r="B4450" s="29" t="s">
        <v>6685</v>
      </c>
      <c r="C4450" s="29" t="s">
        <v>17204</v>
      </c>
      <c r="D4450" s="29" t="s">
        <v>30349</v>
      </c>
      <c r="E4450" s="29" t="s">
        <v>43926</v>
      </c>
      <c r="F4450" s="36" t="s">
        <v>54401</v>
      </c>
      <c r="G4450" s="39">
        <v>412206.84</v>
      </c>
      <c r="H4450" s="42">
        <v>211</v>
      </c>
    </row>
    <row r="4451" spans="1:8" ht="15" customHeight="1">
      <c r="A4451" s="26">
        <v>46455197</v>
      </c>
      <c r="B4451" s="29" t="s">
        <v>6686</v>
      </c>
      <c r="C4451" s="29" t="s">
        <v>21230</v>
      </c>
      <c r="D4451" s="29" t="s">
        <v>34457</v>
      </c>
      <c r="E4451" s="29" t="s">
        <v>47438</v>
      </c>
      <c r="F4451" s="36" t="s">
        <v>54401</v>
      </c>
      <c r="G4451" s="39">
        <v>260939.47</v>
      </c>
      <c r="H4451" s="42">
        <v>211</v>
      </c>
    </row>
    <row r="4452" spans="1:8" ht="15" customHeight="1">
      <c r="A4452" s="26">
        <v>46455218</v>
      </c>
      <c r="B4452" s="29" t="s">
        <v>6687</v>
      </c>
      <c r="C4452" s="29" t="s">
        <v>21231</v>
      </c>
      <c r="D4452" s="29" t="s">
        <v>34458</v>
      </c>
      <c r="E4452" s="29" t="s">
        <v>47439</v>
      </c>
      <c r="F4452" s="36" t="s">
        <v>54401</v>
      </c>
      <c r="G4452" s="39">
        <v>5266828.09</v>
      </c>
      <c r="H4452" s="42">
        <v>211</v>
      </c>
    </row>
    <row r="4453" spans="1:8" ht="15" customHeight="1">
      <c r="A4453" s="26">
        <v>46455222</v>
      </c>
      <c r="B4453" s="29" t="s">
        <v>6688</v>
      </c>
      <c r="C4453" s="29" t="s">
        <v>17204</v>
      </c>
      <c r="D4453" s="29" t="s">
        <v>34459</v>
      </c>
      <c r="E4453" s="29" t="s">
        <v>43926</v>
      </c>
      <c r="F4453" s="36" t="s">
        <v>54401</v>
      </c>
      <c r="G4453" s="39">
        <v>168242.67</v>
      </c>
      <c r="H4453" s="42">
        <v>211</v>
      </c>
    </row>
    <row r="4454" spans="1:8" ht="15" customHeight="1">
      <c r="A4454" s="26">
        <v>46455233</v>
      </c>
      <c r="B4454" s="29" t="s">
        <v>6689</v>
      </c>
      <c r="C4454" s="29" t="s">
        <v>21232</v>
      </c>
      <c r="D4454" s="29" t="s">
        <v>34460</v>
      </c>
      <c r="E4454" s="29" t="s">
        <v>47440</v>
      </c>
      <c r="F4454" s="36" t="s">
        <v>54401</v>
      </c>
      <c r="G4454" s="39">
        <v>623913.94999999995</v>
      </c>
      <c r="H4454" s="42">
        <v>211</v>
      </c>
    </row>
    <row r="4455" spans="1:8" ht="15" customHeight="1">
      <c r="A4455" s="26">
        <v>46455251</v>
      </c>
      <c r="B4455" s="29" t="s">
        <v>6690</v>
      </c>
      <c r="C4455" s="29" t="s">
        <v>21233</v>
      </c>
      <c r="D4455" s="29" t="s">
        <v>34461</v>
      </c>
      <c r="E4455" s="29" t="s">
        <v>47441</v>
      </c>
      <c r="F4455" s="36" t="s">
        <v>54401</v>
      </c>
      <c r="G4455" s="39">
        <v>5717510</v>
      </c>
      <c r="H4455" s="42">
        <v>211</v>
      </c>
    </row>
    <row r="4456" spans="1:8" ht="15" customHeight="1">
      <c r="A4456" s="26">
        <v>46455255</v>
      </c>
      <c r="B4456" s="29" t="s">
        <v>6691</v>
      </c>
      <c r="C4456" s="29" t="s">
        <v>21234</v>
      </c>
      <c r="D4456" s="29" t="s">
        <v>34462</v>
      </c>
      <c r="E4456" s="29" t="s">
        <v>47442</v>
      </c>
      <c r="F4456" s="36" t="s">
        <v>54401</v>
      </c>
      <c r="G4456" s="39">
        <v>29663.85</v>
      </c>
      <c r="H4456" s="42">
        <v>211</v>
      </c>
    </row>
    <row r="4457" spans="1:8" ht="15" customHeight="1">
      <c r="A4457" s="26">
        <v>46455279</v>
      </c>
      <c r="B4457" s="29" t="s">
        <v>6692</v>
      </c>
      <c r="C4457" s="29" t="s">
        <v>21235</v>
      </c>
      <c r="D4457" s="29" t="s">
        <v>34463</v>
      </c>
      <c r="E4457" s="29" t="s">
        <v>47443</v>
      </c>
      <c r="F4457" s="36" t="s">
        <v>54401</v>
      </c>
      <c r="G4457" s="39">
        <v>4277379.16</v>
      </c>
      <c r="H4457" s="42">
        <v>211</v>
      </c>
    </row>
    <row r="4458" spans="1:8" ht="15" customHeight="1">
      <c r="A4458" s="26">
        <v>46455319</v>
      </c>
      <c r="B4458" s="29" t="s">
        <v>6693</v>
      </c>
      <c r="C4458" s="29" t="s">
        <v>21236</v>
      </c>
      <c r="D4458" s="29" t="s">
        <v>34464</v>
      </c>
      <c r="E4458" s="29" t="s">
        <v>47444</v>
      </c>
      <c r="F4458" s="36" t="s">
        <v>54401</v>
      </c>
      <c r="G4458" s="39">
        <v>2452772.52</v>
      </c>
      <c r="H4458" s="42">
        <v>211</v>
      </c>
    </row>
    <row r="4459" spans="1:8" ht="15" customHeight="1">
      <c r="A4459" s="26">
        <v>46455321</v>
      </c>
      <c r="B4459" s="29" t="s">
        <v>6694</v>
      </c>
      <c r="C4459" s="29" t="s">
        <v>21237</v>
      </c>
      <c r="D4459" s="29" t="s">
        <v>34465</v>
      </c>
      <c r="E4459" s="29" t="s">
        <v>47445</v>
      </c>
      <c r="F4459" s="36" t="s">
        <v>54401</v>
      </c>
      <c r="G4459" s="39">
        <v>370558.26</v>
      </c>
      <c r="H4459" s="42">
        <v>211</v>
      </c>
    </row>
    <row r="4460" spans="1:8" ht="15" customHeight="1">
      <c r="A4460" s="26">
        <v>46455324</v>
      </c>
      <c r="B4460" s="29" t="s">
        <v>6695</v>
      </c>
      <c r="C4460" s="26" t="s">
        <v>21238</v>
      </c>
      <c r="D4460" s="26" t="s">
        <v>34466</v>
      </c>
      <c r="E4460" s="26" t="s">
        <v>47446</v>
      </c>
      <c r="F4460" s="37" t="s">
        <v>54401</v>
      </c>
      <c r="G4460" s="39">
        <v>4603184</v>
      </c>
      <c r="H4460" s="42">
        <v>211</v>
      </c>
    </row>
    <row r="4461" spans="1:8" ht="15" customHeight="1">
      <c r="A4461" s="26">
        <v>46455335</v>
      </c>
      <c r="B4461" s="29" t="s">
        <v>6696</v>
      </c>
      <c r="C4461" s="26" t="s">
        <v>17204</v>
      </c>
      <c r="D4461" s="26" t="s">
        <v>30349</v>
      </c>
      <c r="E4461" s="26" t="s">
        <v>43926</v>
      </c>
      <c r="F4461" s="37" t="s">
        <v>54401</v>
      </c>
      <c r="G4461" s="39">
        <v>328953.89</v>
      </c>
      <c r="H4461" s="42">
        <v>211</v>
      </c>
    </row>
    <row r="4462" spans="1:8" ht="15" customHeight="1">
      <c r="A4462" s="26">
        <v>46455353</v>
      </c>
      <c r="B4462" s="29" t="s">
        <v>6697</v>
      </c>
      <c r="C4462" s="29" t="s">
        <v>21239</v>
      </c>
      <c r="D4462" s="29" t="s">
        <v>34467</v>
      </c>
      <c r="E4462" s="29" t="s">
        <v>47447</v>
      </c>
      <c r="F4462" s="36" t="s">
        <v>54401</v>
      </c>
      <c r="G4462" s="39">
        <v>309543.90000000002</v>
      </c>
      <c r="H4462" s="42">
        <v>211</v>
      </c>
    </row>
    <row r="4463" spans="1:8" ht="15" customHeight="1">
      <c r="A4463" s="26">
        <v>46455354</v>
      </c>
      <c r="B4463" s="29" t="s">
        <v>6698</v>
      </c>
      <c r="C4463" s="29" t="s">
        <v>21240</v>
      </c>
      <c r="D4463" s="29" t="s">
        <v>34468</v>
      </c>
      <c r="E4463" s="29" t="s">
        <v>47448</v>
      </c>
      <c r="F4463" s="36" t="s">
        <v>54401</v>
      </c>
      <c r="G4463" s="39">
        <v>1351587.05</v>
      </c>
      <c r="H4463" s="42">
        <v>211</v>
      </c>
    </row>
    <row r="4464" spans="1:8" ht="15" customHeight="1">
      <c r="A4464" s="26">
        <v>46455370</v>
      </c>
      <c r="B4464" s="29" t="s">
        <v>6699</v>
      </c>
      <c r="C4464" s="29" t="s">
        <v>21241</v>
      </c>
      <c r="D4464" s="29" t="s">
        <v>34469</v>
      </c>
      <c r="E4464" s="29" t="s">
        <v>47449</v>
      </c>
      <c r="F4464" s="36" t="s">
        <v>54401</v>
      </c>
      <c r="G4464" s="39">
        <v>1053671.6599999999</v>
      </c>
      <c r="H4464" s="42">
        <v>211</v>
      </c>
    </row>
    <row r="4465" spans="1:8" ht="15" customHeight="1">
      <c r="A4465" s="26">
        <v>46455373</v>
      </c>
      <c r="B4465" s="29" t="s">
        <v>6700</v>
      </c>
      <c r="C4465" s="29" t="s">
        <v>21242</v>
      </c>
      <c r="D4465" s="29" t="s">
        <v>34470</v>
      </c>
      <c r="E4465" s="29" t="s">
        <v>47450</v>
      </c>
      <c r="F4465" s="36" t="s">
        <v>54401</v>
      </c>
      <c r="G4465" s="39">
        <v>1211615.18</v>
      </c>
      <c r="H4465" s="42">
        <v>211</v>
      </c>
    </row>
    <row r="4466" spans="1:8" ht="15" customHeight="1">
      <c r="A4466" s="26">
        <v>46455374</v>
      </c>
      <c r="B4466" s="29" t="s">
        <v>6701</v>
      </c>
      <c r="C4466" s="29" t="s">
        <v>21243</v>
      </c>
      <c r="D4466" s="29" t="s">
        <v>34471</v>
      </c>
      <c r="E4466" s="29" t="s">
        <v>46308</v>
      </c>
      <c r="F4466" s="36" t="s">
        <v>54401</v>
      </c>
      <c r="G4466" s="39">
        <v>1806870.13</v>
      </c>
      <c r="H4466" s="42">
        <v>211</v>
      </c>
    </row>
    <row r="4467" spans="1:8" ht="15" customHeight="1">
      <c r="A4467" s="26">
        <v>46455379</v>
      </c>
      <c r="B4467" s="29" t="s">
        <v>6702</v>
      </c>
      <c r="C4467" s="29" t="s">
        <v>21244</v>
      </c>
      <c r="D4467" s="29" t="s">
        <v>34472</v>
      </c>
      <c r="E4467" s="29" t="s">
        <v>47451</v>
      </c>
      <c r="F4467" s="36" t="s">
        <v>54401</v>
      </c>
      <c r="G4467" s="39">
        <v>4003526</v>
      </c>
      <c r="H4467" s="42">
        <v>211</v>
      </c>
    </row>
    <row r="4468" spans="1:8" ht="15" customHeight="1">
      <c r="A4468" s="26">
        <v>46455381</v>
      </c>
      <c r="B4468" s="29" t="s">
        <v>6703</v>
      </c>
      <c r="C4468" s="29" t="s">
        <v>21245</v>
      </c>
      <c r="D4468" s="29" t="s">
        <v>34473</v>
      </c>
      <c r="E4468" s="29" t="s">
        <v>47452</v>
      </c>
      <c r="F4468" s="36" t="s">
        <v>54401</v>
      </c>
      <c r="G4468" s="39">
        <v>6474873.9500000002</v>
      </c>
      <c r="H4468" s="42">
        <v>211</v>
      </c>
    </row>
    <row r="4469" spans="1:8" ht="15" customHeight="1">
      <c r="A4469" s="26">
        <v>46455386</v>
      </c>
      <c r="B4469" s="29" t="s">
        <v>6704</v>
      </c>
      <c r="C4469" s="29" t="s">
        <v>21246</v>
      </c>
      <c r="D4469" s="29" t="s">
        <v>34474</v>
      </c>
      <c r="E4469" s="29" t="s">
        <v>45516</v>
      </c>
      <c r="F4469" s="36" t="s">
        <v>54401</v>
      </c>
      <c r="G4469" s="39">
        <v>6615621</v>
      </c>
      <c r="H4469" s="42">
        <v>211</v>
      </c>
    </row>
    <row r="4470" spans="1:8" ht="15" customHeight="1">
      <c r="A4470" s="26">
        <v>46455398</v>
      </c>
      <c r="B4470" s="29" t="s">
        <v>6705</v>
      </c>
      <c r="C4470" s="29" t="s">
        <v>21247</v>
      </c>
      <c r="D4470" s="29" t="s">
        <v>34475</v>
      </c>
      <c r="E4470" s="29" t="s">
        <v>45314</v>
      </c>
      <c r="F4470" s="36" t="s">
        <v>54401</v>
      </c>
      <c r="G4470" s="39">
        <v>5396123</v>
      </c>
      <c r="H4470" s="42">
        <v>211</v>
      </c>
    </row>
    <row r="4471" spans="1:8" ht="15" customHeight="1">
      <c r="A4471" s="26">
        <v>46455399</v>
      </c>
      <c r="B4471" s="29" t="s">
        <v>6706</v>
      </c>
      <c r="C4471" s="29" t="s">
        <v>21248</v>
      </c>
      <c r="D4471" s="29" t="s">
        <v>34476</v>
      </c>
      <c r="E4471" s="29" t="s">
        <v>47453</v>
      </c>
      <c r="F4471" s="36" t="s">
        <v>54408</v>
      </c>
      <c r="G4471" s="39">
        <v>53975.91</v>
      </c>
      <c r="H4471" s="42">
        <v>211</v>
      </c>
    </row>
    <row r="4472" spans="1:8" ht="15" customHeight="1">
      <c r="A4472" s="26">
        <v>46455436</v>
      </c>
      <c r="B4472" s="29" t="s">
        <v>6707</v>
      </c>
      <c r="C4472" s="29" t="s">
        <v>21249</v>
      </c>
      <c r="D4472" s="29" t="s">
        <v>34477</v>
      </c>
      <c r="E4472" s="29" t="s">
        <v>47454</v>
      </c>
      <c r="F4472" s="36" t="s">
        <v>54401</v>
      </c>
      <c r="G4472" s="39">
        <v>755187.5</v>
      </c>
      <c r="H4472" s="42">
        <v>211</v>
      </c>
    </row>
    <row r="4473" spans="1:8" ht="15" customHeight="1">
      <c r="A4473" s="26">
        <v>46455463</v>
      </c>
      <c r="B4473" s="29" t="s">
        <v>6708</v>
      </c>
      <c r="C4473" s="29" t="s">
        <v>21250</v>
      </c>
      <c r="D4473" s="29" t="s">
        <v>34478</v>
      </c>
      <c r="E4473" s="29" t="s">
        <v>47455</v>
      </c>
      <c r="F4473" s="36" t="s">
        <v>54401</v>
      </c>
      <c r="G4473" s="39">
        <v>93631.5</v>
      </c>
      <c r="H4473" s="42">
        <v>211</v>
      </c>
    </row>
    <row r="4474" spans="1:8" ht="15" customHeight="1">
      <c r="A4474" s="26">
        <v>46455484</v>
      </c>
      <c r="B4474" s="29" t="s">
        <v>6709</v>
      </c>
      <c r="C4474" s="29" t="s">
        <v>21251</v>
      </c>
      <c r="D4474" s="29" t="s">
        <v>34479</v>
      </c>
      <c r="E4474" s="29" t="s">
        <v>46369</v>
      </c>
      <c r="F4474" s="36" t="s">
        <v>54401</v>
      </c>
      <c r="G4474" s="39">
        <v>1108511.76</v>
      </c>
      <c r="H4474" s="42">
        <v>211</v>
      </c>
    </row>
    <row r="4475" spans="1:8" ht="15" customHeight="1">
      <c r="A4475" s="26">
        <v>46455492</v>
      </c>
      <c r="B4475" s="29" t="s">
        <v>6710</v>
      </c>
      <c r="C4475" s="26" t="s">
        <v>21252</v>
      </c>
      <c r="D4475" s="26" t="s">
        <v>34480</v>
      </c>
      <c r="E4475" s="26" t="s">
        <v>47456</v>
      </c>
      <c r="F4475" s="37" t="s">
        <v>54401</v>
      </c>
      <c r="G4475" s="39">
        <v>133834.01999999999</v>
      </c>
      <c r="H4475" s="42">
        <v>211</v>
      </c>
    </row>
    <row r="4476" spans="1:8" ht="15" customHeight="1">
      <c r="A4476" s="26">
        <v>46455524</v>
      </c>
      <c r="B4476" s="29" t="s">
        <v>6711</v>
      </c>
      <c r="C4476" s="29" t="s">
        <v>21253</v>
      </c>
      <c r="D4476" s="29" t="s">
        <v>34481</v>
      </c>
      <c r="E4476" s="29" t="s">
        <v>47457</v>
      </c>
      <c r="F4476" s="36" t="s">
        <v>54401</v>
      </c>
      <c r="G4476" s="39">
        <v>1945862.66</v>
      </c>
      <c r="H4476" s="42">
        <v>211</v>
      </c>
    </row>
    <row r="4477" spans="1:8" ht="15" customHeight="1">
      <c r="A4477" s="26">
        <v>46455527</v>
      </c>
      <c r="B4477" s="29" t="s">
        <v>6712</v>
      </c>
      <c r="C4477" s="29" t="s">
        <v>21254</v>
      </c>
      <c r="D4477" s="29" t="s">
        <v>34482</v>
      </c>
      <c r="E4477" s="29" t="s">
        <v>47458</v>
      </c>
      <c r="F4477" s="36" t="s">
        <v>54401</v>
      </c>
      <c r="G4477" s="39">
        <v>2327205.71</v>
      </c>
      <c r="H4477" s="42">
        <v>211</v>
      </c>
    </row>
    <row r="4478" spans="1:8" ht="15" customHeight="1">
      <c r="A4478" s="26">
        <v>46455549</v>
      </c>
      <c r="B4478" s="29" t="s">
        <v>6713</v>
      </c>
      <c r="C4478" s="29" t="s">
        <v>21255</v>
      </c>
      <c r="D4478" s="29" t="s">
        <v>34483</v>
      </c>
      <c r="E4478" s="29" t="s">
        <v>47459</v>
      </c>
      <c r="F4478" s="36" t="s">
        <v>54401</v>
      </c>
      <c r="G4478" s="39">
        <v>769538.09</v>
      </c>
      <c r="H4478" s="42">
        <v>211</v>
      </c>
    </row>
    <row r="4479" spans="1:8" ht="15" customHeight="1">
      <c r="A4479" s="26">
        <v>46455570</v>
      </c>
      <c r="B4479" s="29" t="s">
        <v>6714</v>
      </c>
      <c r="C4479" s="29" t="s">
        <v>21256</v>
      </c>
      <c r="D4479" s="29" t="s">
        <v>34484</v>
      </c>
      <c r="E4479" s="29" t="s">
        <v>47460</v>
      </c>
      <c r="F4479" s="36" t="s">
        <v>54401</v>
      </c>
      <c r="G4479" s="39">
        <v>874121.08</v>
      </c>
      <c r="H4479" s="42">
        <v>211</v>
      </c>
    </row>
    <row r="4480" spans="1:8" ht="15" customHeight="1">
      <c r="A4480" s="26">
        <v>46455572</v>
      </c>
      <c r="B4480" s="29" t="s">
        <v>6715</v>
      </c>
      <c r="C4480" s="29" t="s">
        <v>21257</v>
      </c>
      <c r="D4480" s="29" t="s">
        <v>34485</v>
      </c>
      <c r="E4480" s="29" t="s">
        <v>47461</v>
      </c>
      <c r="F4480" s="36" t="s">
        <v>54401</v>
      </c>
      <c r="G4480" s="39">
        <v>4325624</v>
      </c>
      <c r="H4480" s="42">
        <v>211</v>
      </c>
    </row>
    <row r="4481" spans="1:8" ht="15" customHeight="1">
      <c r="A4481" s="26">
        <v>46455584</v>
      </c>
      <c r="B4481" s="29" t="s">
        <v>6716</v>
      </c>
      <c r="C4481" s="29" t="s">
        <v>21258</v>
      </c>
      <c r="D4481" s="29" t="s">
        <v>34486</v>
      </c>
      <c r="E4481" s="29" t="s">
        <v>44853</v>
      </c>
      <c r="F4481" s="36" t="s">
        <v>54406</v>
      </c>
      <c r="G4481" s="39">
        <v>5292399.8600000003</v>
      </c>
      <c r="H4481" s="42">
        <v>211</v>
      </c>
    </row>
    <row r="4482" spans="1:8" ht="15" customHeight="1">
      <c r="A4482" s="26">
        <v>46455602</v>
      </c>
      <c r="B4482" s="29" t="s">
        <v>6717</v>
      </c>
      <c r="C4482" s="29" t="s">
        <v>21259</v>
      </c>
      <c r="D4482" s="29" t="s">
        <v>34487</v>
      </c>
      <c r="E4482" s="29" t="s">
        <v>47462</v>
      </c>
      <c r="F4482" s="36" t="s">
        <v>54401</v>
      </c>
      <c r="G4482" s="39">
        <v>4617027.22</v>
      </c>
      <c r="H4482" s="42">
        <v>211</v>
      </c>
    </row>
    <row r="4483" spans="1:8" ht="15" customHeight="1">
      <c r="A4483" s="26">
        <v>46455610</v>
      </c>
      <c r="B4483" s="29" t="s">
        <v>6718</v>
      </c>
      <c r="C4483" s="29" t="s">
        <v>21260</v>
      </c>
      <c r="D4483" s="29" t="s">
        <v>34488</v>
      </c>
      <c r="E4483" s="29" t="s">
        <v>47463</v>
      </c>
      <c r="F4483" s="36" t="s">
        <v>54401</v>
      </c>
      <c r="G4483" s="39">
        <v>24637.31</v>
      </c>
      <c r="H4483" s="42">
        <v>211</v>
      </c>
    </row>
    <row r="4484" spans="1:8" ht="15" customHeight="1">
      <c r="A4484" s="26">
        <v>46455632</v>
      </c>
      <c r="B4484" s="29" t="s">
        <v>6719</v>
      </c>
      <c r="C4484" s="29" t="s">
        <v>21261</v>
      </c>
      <c r="D4484" s="29" t="s">
        <v>34489</v>
      </c>
      <c r="E4484" s="29" t="s">
        <v>47464</v>
      </c>
      <c r="F4484" s="36" t="s">
        <v>54401</v>
      </c>
      <c r="G4484" s="39">
        <v>363183.69</v>
      </c>
      <c r="H4484" s="42">
        <v>211</v>
      </c>
    </row>
    <row r="4485" spans="1:8" ht="15" customHeight="1">
      <c r="A4485" s="26">
        <v>46455647</v>
      </c>
      <c r="B4485" s="29" t="s">
        <v>6720</v>
      </c>
      <c r="C4485" s="26" t="s">
        <v>21262</v>
      </c>
      <c r="D4485" s="26" t="s">
        <v>34490</v>
      </c>
      <c r="E4485" s="26" t="s">
        <v>47465</v>
      </c>
      <c r="F4485" s="37" t="s">
        <v>54401</v>
      </c>
      <c r="G4485" s="39">
        <v>422018.52</v>
      </c>
      <c r="H4485" s="42">
        <v>211</v>
      </c>
    </row>
    <row r="4486" spans="1:8" ht="15" customHeight="1">
      <c r="A4486" s="26">
        <v>46455650</v>
      </c>
      <c r="B4486" s="29" t="s">
        <v>6721</v>
      </c>
      <c r="C4486" s="29" t="s">
        <v>21263</v>
      </c>
      <c r="D4486" s="29" t="s">
        <v>34491</v>
      </c>
      <c r="E4486" s="29" t="s">
        <v>47466</v>
      </c>
      <c r="F4486" s="36" t="s">
        <v>54401</v>
      </c>
      <c r="G4486" s="39">
        <v>33529.410000000003</v>
      </c>
      <c r="H4486" s="42">
        <v>211</v>
      </c>
    </row>
    <row r="4487" spans="1:8" ht="15" customHeight="1">
      <c r="A4487" s="26">
        <v>46455658</v>
      </c>
      <c r="B4487" s="29" t="s">
        <v>6722</v>
      </c>
      <c r="C4487" s="29" t="s">
        <v>17204</v>
      </c>
      <c r="D4487" s="29" t="s">
        <v>34492</v>
      </c>
      <c r="E4487" s="29" t="s">
        <v>43926</v>
      </c>
      <c r="F4487" s="36" t="s">
        <v>54401</v>
      </c>
      <c r="G4487" s="39">
        <v>128330.18</v>
      </c>
      <c r="H4487" s="42">
        <v>211</v>
      </c>
    </row>
    <row r="4488" spans="1:8" ht="15" customHeight="1">
      <c r="A4488" s="26">
        <v>46455677</v>
      </c>
      <c r="B4488" s="29" t="s">
        <v>6723</v>
      </c>
      <c r="C4488" s="29" t="s">
        <v>21264</v>
      </c>
      <c r="D4488" s="29" t="s">
        <v>34493</v>
      </c>
      <c r="E4488" s="29" t="s">
        <v>47467</v>
      </c>
      <c r="F4488" s="36" t="s">
        <v>54401</v>
      </c>
      <c r="G4488" s="39">
        <v>195991.6</v>
      </c>
      <c r="H4488" s="42">
        <v>211</v>
      </c>
    </row>
    <row r="4489" spans="1:8" ht="15" customHeight="1">
      <c r="A4489" s="26">
        <v>46455681</v>
      </c>
      <c r="B4489" s="29" t="s">
        <v>6724</v>
      </c>
      <c r="C4489" s="29" t="s">
        <v>21265</v>
      </c>
      <c r="D4489" s="29" t="s">
        <v>34494</v>
      </c>
      <c r="E4489" s="29" t="s">
        <v>45006</v>
      </c>
      <c r="F4489" s="36" t="s">
        <v>54401</v>
      </c>
      <c r="G4489" s="39">
        <v>25168.07</v>
      </c>
      <c r="H4489" s="42">
        <v>211</v>
      </c>
    </row>
    <row r="4490" spans="1:8" ht="15" customHeight="1">
      <c r="A4490" s="26">
        <v>46455685</v>
      </c>
      <c r="B4490" s="29" t="s">
        <v>6725</v>
      </c>
      <c r="C4490" s="29" t="s">
        <v>21266</v>
      </c>
      <c r="D4490" s="29" t="s">
        <v>34495</v>
      </c>
      <c r="E4490" s="29" t="s">
        <v>47468</v>
      </c>
      <c r="F4490" s="36" t="s">
        <v>54401</v>
      </c>
      <c r="G4490" s="39">
        <v>2855948.79</v>
      </c>
      <c r="H4490" s="42">
        <v>211</v>
      </c>
    </row>
    <row r="4491" spans="1:8" ht="15" customHeight="1">
      <c r="A4491" s="26">
        <v>46455693</v>
      </c>
      <c r="B4491" s="29" t="s">
        <v>6726</v>
      </c>
      <c r="C4491" s="29" t="s">
        <v>21267</v>
      </c>
      <c r="D4491" s="29" t="s">
        <v>34496</v>
      </c>
      <c r="E4491" s="29" t="s">
        <v>44324</v>
      </c>
      <c r="F4491" s="36" t="s">
        <v>54401</v>
      </c>
      <c r="G4491" s="39">
        <v>5654224</v>
      </c>
      <c r="H4491" s="42">
        <v>211</v>
      </c>
    </row>
    <row r="4492" spans="1:8" ht="15" customHeight="1">
      <c r="A4492" s="26">
        <v>46455701</v>
      </c>
      <c r="B4492" s="29" t="s">
        <v>6727</v>
      </c>
      <c r="C4492" s="29" t="s">
        <v>21268</v>
      </c>
      <c r="D4492" s="29" t="s">
        <v>34497</v>
      </c>
      <c r="E4492" s="29" t="s">
        <v>47469</v>
      </c>
      <c r="F4492" s="36" t="s">
        <v>54401</v>
      </c>
      <c r="G4492" s="39">
        <v>4854604.1399999997</v>
      </c>
      <c r="H4492" s="42">
        <v>211</v>
      </c>
    </row>
    <row r="4493" spans="1:8" ht="15" customHeight="1">
      <c r="A4493" s="26">
        <v>46455704</v>
      </c>
      <c r="B4493" s="29" t="s">
        <v>6728</v>
      </c>
      <c r="C4493" s="29" t="s">
        <v>21269</v>
      </c>
      <c r="D4493" s="29" t="s">
        <v>34498</v>
      </c>
      <c r="E4493" s="29" t="s">
        <v>47470</v>
      </c>
      <c r="F4493" s="36" t="s">
        <v>54401</v>
      </c>
      <c r="G4493" s="39">
        <v>167661.51</v>
      </c>
      <c r="H4493" s="42">
        <v>211</v>
      </c>
    </row>
    <row r="4494" spans="1:8" ht="15" customHeight="1">
      <c r="A4494" s="26">
        <v>46455717</v>
      </c>
      <c r="B4494" s="29" t="s">
        <v>6729</v>
      </c>
      <c r="C4494" s="29" t="s">
        <v>21270</v>
      </c>
      <c r="D4494" s="29" t="s">
        <v>34499</v>
      </c>
      <c r="E4494" s="29" t="s">
        <v>47471</v>
      </c>
      <c r="F4494" s="36" t="s">
        <v>54401</v>
      </c>
      <c r="G4494" s="39">
        <v>7073234</v>
      </c>
      <c r="H4494" s="42">
        <v>211</v>
      </c>
    </row>
    <row r="4495" spans="1:8" ht="15" customHeight="1">
      <c r="A4495" s="26">
        <v>46455740</v>
      </c>
      <c r="B4495" s="29" t="s">
        <v>6730</v>
      </c>
      <c r="C4495" s="29" t="s">
        <v>21271</v>
      </c>
      <c r="D4495" s="29" t="s">
        <v>34500</v>
      </c>
      <c r="E4495" s="29" t="s">
        <v>47472</v>
      </c>
      <c r="F4495" s="36" t="s">
        <v>54401</v>
      </c>
      <c r="G4495" s="39">
        <v>142314.19</v>
      </c>
      <c r="H4495" s="42">
        <v>211</v>
      </c>
    </row>
    <row r="4496" spans="1:8" ht="15" customHeight="1">
      <c r="A4496" s="26">
        <v>46455779</v>
      </c>
      <c r="B4496" s="29" t="s">
        <v>6731</v>
      </c>
      <c r="C4496" s="29" t="s">
        <v>21272</v>
      </c>
      <c r="D4496" s="29" t="s">
        <v>34501</v>
      </c>
      <c r="E4496" s="29" t="s">
        <v>47473</v>
      </c>
      <c r="F4496" s="36" t="s">
        <v>54401</v>
      </c>
      <c r="G4496" s="39">
        <v>3666435.97</v>
      </c>
      <c r="H4496" s="42">
        <v>211</v>
      </c>
    </row>
    <row r="4497" spans="1:8" ht="15" customHeight="1">
      <c r="A4497" s="26">
        <v>46455790</v>
      </c>
      <c r="B4497" s="29" t="s">
        <v>6732</v>
      </c>
      <c r="C4497" s="29" t="s">
        <v>21273</v>
      </c>
      <c r="D4497" s="29" t="s">
        <v>34502</v>
      </c>
      <c r="E4497" s="29" t="s">
        <v>44023</v>
      </c>
      <c r="F4497" s="36" t="s">
        <v>54401</v>
      </c>
      <c r="G4497" s="39">
        <v>96628.69</v>
      </c>
      <c r="H4497" s="42">
        <v>211</v>
      </c>
    </row>
    <row r="4498" spans="1:8" ht="15" customHeight="1">
      <c r="A4498" s="26">
        <v>46455819</v>
      </c>
      <c r="B4498" s="29" t="s">
        <v>6733</v>
      </c>
      <c r="C4498" s="29" t="s">
        <v>21274</v>
      </c>
      <c r="D4498" s="29" t="s">
        <v>34503</v>
      </c>
      <c r="E4498" s="29" t="s">
        <v>47474</v>
      </c>
      <c r="F4498" s="36" t="s">
        <v>54401</v>
      </c>
      <c r="G4498" s="39">
        <v>4155176.51</v>
      </c>
      <c r="H4498" s="42">
        <v>211</v>
      </c>
    </row>
    <row r="4499" spans="1:8" ht="15" customHeight="1">
      <c r="A4499" s="26">
        <v>46455822</v>
      </c>
      <c r="B4499" s="29" t="s">
        <v>6734</v>
      </c>
      <c r="C4499" s="29" t="s">
        <v>21275</v>
      </c>
      <c r="D4499" s="29" t="s">
        <v>34504</v>
      </c>
      <c r="E4499" s="29" t="s">
        <v>45232</v>
      </c>
      <c r="F4499" s="36" t="s">
        <v>54401</v>
      </c>
      <c r="G4499" s="39">
        <v>101015.94</v>
      </c>
      <c r="H4499" s="42">
        <v>211</v>
      </c>
    </row>
    <row r="4500" spans="1:8" ht="15" customHeight="1">
      <c r="A4500" s="26">
        <v>46455824</v>
      </c>
      <c r="B4500" s="29" t="s">
        <v>6735</v>
      </c>
      <c r="C4500" s="29" t="s">
        <v>21276</v>
      </c>
      <c r="D4500" s="29" t="s">
        <v>34505</v>
      </c>
      <c r="E4500" s="29" t="s">
        <v>47475</v>
      </c>
      <c r="F4500" s="36" t="s">
        <v>54401</v>
      </c>
      <c r="G4500" s="39">
        <v>116336.14</v>
      </c>
      <c r="H4500" s="42">
        <v>211</v>
      </c>
    </row>
    <row r="4501" spans="1:8" ht="15" customHeight="1">
      <c r="A4501" s="26">
        <v>46455835</v>
      </c>
      <c r="B4501" s="29" t="s">
        <v>6736</v>
      </c>
      <c r="C4501" s="29" t="s">
        <v>21277</v>
      </c>
      <c r="D4501" s="29" t="s">
        <v>34506</v>
      </c>
      <c r="E4501" s="29" t="s">
        <v>47476</v>
      </c>
      <c r="F4501" s="36" t="s">
        <v>54401</v>
      </c>
      <c r="G4501" s="39">
        <v>1944393.44</v>
      </c>
      <c r="H4501" s="42">
        <v>211</v>
      </c>
    </row>
    <row r="4502" spans="1:8" ht="15" customHeight="1">
      <c r="A4502" s="26">
        <v>46455848</v>
      </c>
      <c r="B4502" s="29" t="s">
        <v>6737</v>
      </c>
      <c r="C4502" s="29" t="s">
        <v>21278</v>
      </c>
      <c r="D4502" s="29" t="s">
        <v>34507</v>
      </c>
      <c r="E4502" s="29" t="s">
        <v>47477</v>
      </c>
      <c r="F4502" s="36" t="s">
        <v>54401</v>
      </c>
      <c r="G4502" s="39">
        <v>3034844.72</v>
      </c>
      <c r="H4502" s="42">
        <v>211</v>
      </c>
    </row>
    <row r="4503" spans="1:8" ht="15" customHeight="1">
      <c r="A4503" s="26">
        <v>46455853</v>
      </c>
      <c r="B4503" s="29" t="s">
        <v>6738</v>
      </c>
      <c r="C4503" s="29" t="s">
        <v>21279</v>
      </c>
      <c r="D4503" s="29" t="s">
        <v>34508</v>
      </c>
      <c r="E4503" s="29" t="s">
        <v>47478</v>
      </c>
      <c r="F4503" s="36" t="s">
        <v>54401</v>
      </c>
      <c r="G4503" s="39">
        <v>464365.22</v>
      </c>
      <c r="H4503" s="42">
        <v>211</v>
      </c>
    </row>
    <row r="4504" spans="1:8" ht="15" customHeight="1">
      <c r="A4504" s="26">
        <v>46455854</v>
      </c>
      <c r="B4504" s="29" t="s">
        <v>6739</v>
      </c>
      <c r="C4504" s="29" t="s">
        <v>21280</v>
      </c>
      <c r="D4504" s="29" t="s">
        <v>30376</v>
      </c>
      <c r="E4504" s="29" t="s">
        <v>45006</v>
      </c>
      <c r="F4504" s="36" t="s">
        <v>54401</v>
      </c>
      <c r="G4504" s="39">
        <v>136561.37</v>
      </c>
      <c r="H4504" s="42">
        <v>211</v>
      </c>
    </row>
    <row r="4505" spans="1:8" ht="15" customHeight="1">
      <c r="A4505" s="26">
        <v>46455861</v>
      </c>
      <c r="B4505" s="29" t="s">
        <v>6740</v>
      </c>
      <c r="C4505" s="29" t="s">
        <v>21281</v>
      </c>
      <c r="D4505" s="29" t="s">
        <v>34509</v>
      </c>
      <c r="E4505" s="29" t="s">
        <v>47191</v>
      </c>
      <c r="F4505" s="36" t="s">
        <v>54401</v>
      </c>
      <c r="G4505" s="39">
        <v>6062651.4699999997</v>
      </c>
      <c r="H4505" s="42">
        <v>211</v>
      </c>
    </row>
    <row r="4506" spans="1:8" ht="15" customHeight="1">
      <c r="A4506" s="26">
        <v>46455862</v>
      </c>
      <c r="B4506" s="29" t="s">
        <v>6741</v>
      </c>
      <c r="C4506" s="29" t="s">
        <v>21282</v>
      </c>
      <c r="D4506" s="29" t="s">
        <v>34510</v>
      </c>
      <c r="E4506" s="29" t="s">
        <v>43926</v>
      </c>
      <c r="F4506" s="36" t="s">
        <v>54401</v>
      </c>
      <c r="G4506" s="39">
        <v>191241.67</v>
      </c>
      <c r="H4506" s="42">
        <v>211</v>
      </c>
    </row>
    <row r="4507" spans="1:8" ht="15" customHeight="1">
      <c r="A4507" s="26">
        <v>46455873</v>
      </c>
      <c r="B4507" s="29" t="s">
        <v>6742</v>
      </c>
      <c r="C4507" s="29" t="s">
        <v>21283</v>
      </c>
      <c r="D4507" s="29" t="s">
        <v>34511</v>
      </c>
      <c r="E4507" s="29" t="s">
        <v>47479</v>
      </c>
      <c r="F4507" s="36" t="s">
        <v>54401</v>
      </c>
      <c r="G4507" s="39">
        <v>1722378.41</v>
      </c>
      <c r="H4507" s="42">
        <v>211</v>
      </c>
    </row>
    <row r="4508" spans="1:8" ht="15" customHeight="1">
      <c r="A4508" s="26">
        <v>46455893</v>
      </c>
      <c r="B4508" s="29" t="s">
        <v>6743</v>
      </c>
      <c r="C4508" s="29" t="s">
        <v>21284</v>
      </c>
      <c r="D4508" s="29" t="s">
        <v>34512</v>
      </c>
      <c r="E4508" s="29" t="s">
        <v>47480</v>
      </c>
      <c r="F4508" s="36" t="s">
        <v>54401</v>
      </c>
      <c r="G4508" s="39">
        <v>342990.43</v>
      </c>
      <c r="H4508" s="42">
        <v>211</v>
      </c>
    </row>
    <row r="4509" spans="1:8" ht="15" customHeight="1">
      <c r="A4509" s="26">
        <v>46455912</v>
      </c>
      <c r="B4509" s="29" t="s">
        <v>6744</v>
      </c>
      <c r="C4509" s="29" t="s">
        <v>21285</v>
      </c>
      <c r="D4509" s="29" t="s">
        <v>34513</v>
      </c>
      <c r="E4509" s="29" t="s">
        <v>43926</v>
      </c>
      <c r="F4509" s="36" t="s">
        <v>54401</v>
      </c>
      <c r="G4509" s="39">
        <v>1375925.49</v>
      </c>
      <c r="H4509" s="42">
        <v>211</v>
      </c>
    </row>
    <row r="4510" spans="1:8" ht="15" customHeight="1">
      <c r="A4510" s="26">
        <v>46455915</v>
      </c>
      <c r="B4510" s="29" t="s">
        <v>6745</v>
      </c>
      <c r="C4510" s="26" t="s">
        <v>21286</v>
      </c>
      <c r="D4510" s="26" t="s">
        <v>34514</v>
      </c>
      <c r="E4510" s="26" t="s">
        <v>47481</v>
      </c>
      <c r="F4510" s="37" t="s">
        <v>54401</v>
      </c>
      <c r="G4510" s="39">
        <v>1127690.99</v>
      </c>
      <c r="H4510" s="42">
        <v>211</v>
      </c>
    </row>
    <row r="4511" spans="1:8" ht="15" customHeight="1">
      <c r="A4511" s="26">
        <v>46455926</v>
      </c>
      <c r="B4511" s="29" t="s">
        <v>6746</v>
      </c>
      <c r="C4511" s="29" t="s">
        <v>21287</v>
      </c>
      <c r="D4511" s="29" t="s">
        <v>34515</v>
      </c>
      <c r="E4511" s="29" t="s">
        <v>47482</v>
      </c>
      <c r="F4511" s="36" t="s">
        <v>54401</v>
      </c>
      <c r="G4511" s="39">
        <v>128092.78</v>
      </c>
      <c r="H4511" s="42">
        <v>211</v>
      </c>
    </row>
    <row r="4512" spans="1:8" ht="15" customHeight="1">
      <c r="A4512" s="26">
        <v>46455931</v>
      </c>
      <c r="B4512" s="29" t="s">
        <v>6747</v>
      </c>
      <c r="C4512" s="29" t="s">
        <v>21288</v>
      </c>
      <c r="D4512" s="29" t="s">
        <v>34516</v>
      </c>
      <c r="E4512" s="29" t="s">
        <v>43926</v>
      </c>
      <c r="F4512" s="36" t="s">
        <v>54401</v>
      </c>
      <c r="G4512" s="39">
        <v>829054.4</v>
      </c>
      <c r="H4512" s="42">
        <v>211</v>
      </c>
    </row>
    <row r="4513" spans="1:8" ht="15" customHeight="1">
      <c r="A4513" s="26">
        <v>46455933</v>
      </c>
      <c r="B4513" s="29" t="s">
        <v>6748</v>
      </c>
      <c r="C4513" s="29" t="s">
        <v>21289</v>
      </c>
      <c r="D4513" s="29" t="s">
        <v>34517</v>
      </c>
      <c r="E4513" s="29" t="s">
        <v>47483</v>
      </c>
      <c r="F4513" s="36" t="s">
        <v>54401</v>
      </c>
      <c r="G4513" s="39">
        <v>3030124.04</v>
      </c>
      <c r="H4513" s="42">
        <v>211</v>
      </c>
    </row>
    <row r="4514" spans="1:8" ht="15" customHeight="1">
      <c r="A4514" s="26">
        <v>46455948</v>
      </c>
      <c r="B4514" s="29" t="s">
        <v>6749</v>
      </c>
      <c r="C4514" s="29" t="s">
        <v>21290</v>
      </c>
      <c r="D4514" s="29" t="s">
        <v>34518</v>
      </c>
      <c r="E4514" s="29" t="s">
        <v>45120</v>
      </c>
      <c r="F4514" s="36" t="s">
        <v>54401</v>
      </c>
      <c r="G4514" s="39">
        <v>617462.27</v>
      </c>
      <c r="H4514" s="42">
        <v>211</v>
      </c>
    </row>
    <row r="4515" spans="1:8" ht="15" customHeight="1">
      <c r="A4515" s="26">
        <v>46455963</v>
      </c>
      <c r="B4515" s="29" t="s">
        <v>6750</v>
      </c>
      <c r="C4515" s="29" t="s">
        <v>21291</v>
      </c>
      <c r="D4515" s="29" t="s">
        <v>34519</v>
      </c>
      <c r="E4515" s="29" t="s">
        <v>47484</v>
      </c>
      <c r="F4515" s="36" t="s">
        <v>54401</v>
      </c>
      <c r="G4515" s="39">
        <v>192545.19</v>
      </c>
      <c r="H4515" s="42">
        <v>211</v>
      </c>
    </row>
    <row r="4516" spans="1:8" ht="15" customHeight="1">
      <c r="A4516" s="26">
        <v>46455981</v>
      </c>
      <c r="B4516" s="29" t="s">
        <v>6751</v>
      </c>
      <c r="C4516" s="29" t="s">
        <v>17204</v>
      </c>
      <c r="D4516" s="29" t="s">
        <v>34520</v>
      </c>
      <c r="E4516" s="29" t="s">
        <v>43926</v>
      </c>
      <c r="F4516" s="36" t="s">
        <v>54401</v>
      </c>
      <c r="G4516" s="39">
        <v>9350</v>
      </c>
      <c r="H4516" s="42">
        <v>211</v>
      </c>
    </row>
    <row r="4517" spans="1:8" ht="15" customHeight="1">
      <c r="A4517" s="26">
        <v>46455986</v>
      </c>
      <c r="B4517" s="29" t="s">
        <v>6752</v>
      </c>
      <c r="C4517" s="26" t="s">
        <v>21292</v>
      </c>
      <c r="D4517" s="26" t="s">
        <v>34521</v>
      </c>
      <c r="E4517" s="26" t="s">
        <v>47485</v>
      </c>
      <c r="F4517" s="37" t="s">
        <v>54401</v>
      </c>
      <c r="G4517" s="39">
        <v>3021651.62</v>
      </c>
      <c r="H4517" s="42">
        <v>211</v>
      </c>
    </row>
    <row r="4518" spans="1:8" ht="15" customHeight="1">
      <c r="A4518" s="26">
        <v>46456014</v>
      </c>
      <c r="B4518" s="29" t="s">
        <v>6753</v>
      </c>
      <c r="C4518" s="29" t="s">
        <v>21293</v>
      </c>
      <c r="D4518" s="29" t="s">
        <v>34522</v>
      </c>
      <c r="E4518" s="29" t="s">
        <v>47486</v>
      </c>
      <c r="F4518" s="36" t="s">
        <v>54401</v>
      </c>
      <c r="G4518" s="39">
        <v>889544.23</v>
      </c>
      <c r="H4518" s="42">
        <v>211</v>
      </c>
    </row>
    <row r="4519" spans="1:8" ht="15" customHeight="1">
      <c r="A4519" s="26">
        <v>46456016</v>
      </c>
      <c r="B4519" s="29" t="s">
        <v>6754</v>
      </c>
      <c r="C4519" s="26" t="s">
        <v>17204</v>
      </c>
      <c r="D4519" s="26" t="s">
        <v>30349</v>
      </c>
      <c r="E4519" s="26" t="s">
        <v>43926</v>
      </c>
      <c r="F4519" s="37" t="s">
        <v>54401</v>
      </c>
      <c r="G4519" s="39">
        <v>33318.32</v>
      </c>
      <c r="H4519" s="42">
        <v>211</v>
      </c>
    </row>
    <row r="4520" spans="1:8" ht="15" customHeight="1">
      <c r="A4520" s="26">
        <v>46456081</v>
      </c>
      <c r="B4520" s="29" t="s">
        <v>6755</v>
      </c>
      <c r="C4520" s="29" t="s">
        <v>17204</v>
      </c>
      <c r="D4520" s="29" t="s">
        <v>30349</v>
      </c>
      <c r="E4520" s="29" t="s">
        <v>43926</v>
      </c>
      <c r="F4520" s="36" t="s">
        <v>54401</v>
      </c>
      <c r="G4520" s="39">
        <v>305854.96000000002</v>
      </c>
      <c r="H4520" s="42">
        <v>211</v>
      </c>
    </row>
    <row r="4521" spans="1:8" ht="15" customHeight="1">
      <c r="A4521" s="26">
        <v>46456092</v>
      </c>
      <c r="B4521" s="29" t="s">
        <v>6756</v>
      </c>
      <c r="C4521" s="26" t="s">
        <v>21294</v>
      </c>
      <c r="D4521" s="26" t="s">
        <v>34523</v>
      </c>
      <c r="E4521" s="26" t="s">
        <v>43926</v>
      </c>
      <c r="F4521" s="37" t="s">
        <v>54401</v>
      </c>
      <c r="G4521" s="39">
        <v>403173.83</v>
      </c>
      <c r="H4521" s="42">
        <v>211</v>
      </c>
    </row>
    <row r="4522" spans="1:8" ht="15" customHeight="1">
      <c r="A4522" s="26">
        <v>46456093</v>
      </c>
      <c r="B4522" s="29" t="s">
        <v>6757</v>
      </c>
      <c r="C4522" s="29" t="s">
        <v>21295</v>
      </c>
      <c r="D4522" s="29" t="s">
        <v>34524</v>
      </c>
      <c r="E4522" s="29" t="s">
        <v>47487</v>
      </c>
      <c r="F4522" s="36" t="s">
        <v>54401</v>
      </c>
      <c r="G4522" s="39">
        <v>1832915</v>
      </c>
      <c r="H4522" s="42">
        <v>211</v>
      </c>
    </row>
    <row r="4523" spans="1:8" ht="15" customHeight="1">
      <c r="A4523" s="26">
        <v>46456097</v>
      </c>
      <c r="B4523" s="29" t="s">
        <v>6758</v>
      </c>
      <c r="C4523" s="29" t="s">
        <v>17204</v>
      </c>
      <c r="D4523" s="29" t="s">
        <v>30349</v>
      </c>
      <c r="E4523" s="29" t="s">
        <v>43926</v>
      </c>
      <c r="F4523" s="36" t="s">
        <v>54401</v>
      </c>
      <c r="G4523" s="39">
        <v>13327.39</v>
      </c>
      <c r="H4523" s="42">
        <v>211</v>
      </c>
    </row>
    <row r="4524" spans="1:8" ht="15" customHeight="1">
      <c r="A4524" s="26">
        <v>46456100</v>
      </c>
      <c r="B4524" s="29" t="s">
        <v>6759</v>
      </c>
      <c r="C4524" s="29" t="s">
        <v>21296</v>
      </c>
      <c r="D4524" s="29" t="s">
        <v>34525</v>
      </c>
      <c r="E4524" s="29" t="s">
        <v>45875</v>
      </c>
      <c r="F4524" s="36" t="s">
        <v>54401</v>
      </c>
      <c r="G4524" s="39">
        <v>1430109.92</v>
      </c>
      <c r="H4524" s="42">
        <v>211</v>
      </c>
    </row>
    <row r="4525" spans="1:8" ht="15" customHeight="1">
      <c r="A4525" s="26">
        <v>46456102</v>
      </c>
      <c r="B4525" s="29" t="s">
        <v>6760</v>
      </c>
      <c r="C4525" s="29" t="s">
        <v>17204</v>
      </c>
      <c r="D4525" s="29" t="s">
        <v>30349</v>
      </c>
      <c r="E4525" s="29" t="s">
        <v>43926</v>
      </c>
      <c r="F4525" s="36" t="s">
        <v>54401</v>
      </c>
      <c r="G4525" s="39">
        <v>443856.23</v>
      </c>
      <c r="H4525" s="42">
        <v>211</v>
      </c>
    </row>
    <row r="4526" spans="1:8" ht="15" customHeight="1">
      <c r="A4526" s="26">
        <v>46456115</v>
      </c>
      <c r="B4526" s="29" t="s">
        <v>6761</v>
      </c>
      <c r="C4526" s="29" t="s">
        <v>21297</v>
      </c>
      <c r="D4526" s="29" t="s">
        <v>34526</v>
      </c>
      <c r="E4526" s="29" t="s">
        <v>45285</v>
      </c>
      <c r="F4526" s="36" t="s">
        <v>54401</v>
      </c>
      <c r="G4526" s="39">
        <v>5462873</v>
      </c>
      <c r="H4526" s="42">
        <v>211</v>
      </c>
    </row>
    <row r="4527" spans="1:8" ht="15" customHeight="1">
      <c r="A4527" s="26">
        <v>46456117</v>
      </c>
      <c r="B4527" s="29" t="s">
        <v>6762</v>
      </c>
      <c r="C4527" s="29" t="s">
        <v>21298</v>
      </c>
      <c r="D4527" s="29" t="s">
        <v>34527</v>
      </c>
      <c r="E4527" s="29" t="s">
        <v>47488</v>
      </c>
      <c r="F4527" s="36" t="s">
        <v>54401</v>
      </c>
      <c r="G4527" s="39">
        <v>73175.27</v>
      </c>
      <c r="H4527" s="42">
        <v>211</v>
      </c>
    </row>
    <row r="4528" spans="1:8" ht="15" customHeight="1">
      <c r="A4528" s="26">
        <v>46456128</v>
      </c>
      <c r="B4528" s="29" t="s">
        <v>6763</v>
      </c>
      <c r="C4528" s="29" t="s">
        <v>21299</v>
      </c>
      <c r="D4528" s="29" t="s">
        <v>34528</v>
      </c>
      <c r="E4528" s="29" t="s">
        <v>47489</v>
      </c>
      <c r="F4528" s="36" t="s">
        <v>54401</v>
      </c>
      <c r="G4528" s="39">
        <v>2689469</v>
      </c>
      <c r="H4528" s="42">
        <v>211</v>
      </c>
    </row>
    <row r="4529" spans="1:8" ht="15" customHeight="1">
      <c r="A4529" s="26">
        <v>46456146</v>
      </c>
      <c r="B4529" s="29" t="s">
        <v>6764</v>
      </c>
      <c r="C4529" s="26" t="s">
        <v>17204</v>
      </c>
      <c r="D4529" s="26" t="s">
        <v>30349</v>
      </c>
      <c r="E4529" s="26" t="s">
        <v>43926</v>
      </c>
      <c r="F4529" s="37" t="s">
        <v>54401</v>
      </c>
      <c r="G4529" s="39">
        <v>230608.12</v>
      </c>
      <c r="H4529" s="42">
        <v>211</v>
      </c>
    </row>
    <row r="4530" spans="1:8" ht="15" customHeight="1">
      <c r="A4530" s="26">
        <v>46456151</v>
      </c>
      <c r="B4530" s="29" t="s">
        <v>6765</v>
      </c>
      <c r="C4530" s="29" t="s">
        <v>21300</v>
      </c>
      <c r="D4530" s="29" t="s">
        <v>34529</v>
      </c>
      <c r="E4530" s="29" t="s">
        <v>47490</v>
      </c>
      <c r="F4530" s="36" t="s">
        <v>54401</v>
      </c>
      <c r="G4530" s="39">
        <v>3301769</v>
      </c>
      <c r="H4530" s="42">
        <v>211</v>
      </c>
    </row>
    <row r="4531" spans="1:8" ht="15" customHeight="1">
      <c r="A4531" s="26">
        <v>46456156</v>
      </c>
      <c r="B4531" s="29" t="s">
        <v>6766</v>
      </c>
      <c r="C4531" s="26" t="s">
        <v>21301</v>
      </c>
      <c r="D4531" s="26" t="s">
        <v>34530</v>
      </c>
      <c r="E4531" s="26" t="s">
        <v>47491</v>
      </c>
      <c r="F4531" s="37" t="s">
        <v>54401</v>
      </c>
      <c r="G4531" s="39">
        <v>4899547.84</v>
      </c>
      <c r="H4531" s="42">
        <v>211</v>
      </c>
    </row>
    <row r="4532" spans="1:8" ht="15" customHeight="1">
      <c r="A4532" s="26">
        <v>46456161</v>
      </c>
      <c r="B4532" s="29" t="s">
        <v>6767</v>
      </c>
      <c r="C4532" s="29" t="s">
        <v>21302</v>
      </c>
      <c r="D4532" s="29" t="s">
        <v>34531</v>
      </c>
      <c r="E4532" s="29" t="s">
        <v>47492</v>
      </c>
      <c r="F4532" s="36" t="s">
        <v>54401</v>
      </c>
      <c r="G4532" s="39">
        <v>3836305.61</v>
      </c>
      <c r="H4532" s="42">
        <v>211</v>
      </c>
    </row>
    <row r="4533" spans="1:8" ht="15" customHeight="1">
      <c r="A4533" s="26">
        <v>46456167</v>
      </c>
      <c r="B4533" s="29" t="s">
        <v>6768</v>
      </c>
      <c r="C4533" s="29" t="s">
        <v>21303</v>
      </c>
      <c r="D4533" s="29" t="s">
        <v>34532</v>
      </c>
      <c r="E4533" s="29" t="s">
        <v>47493</v>
      </c>
      <c r="F4533" s="36" t="s">
        <v>54401</v>
      </c>
      <c r="G4533" s="39">
        <v>3092062</v>
      </c>
      <c r="H4533" s="42">
        <v>211</v>
      </c>
    </row>
    <row r="4534" spans="1:8" ht="15" customHeight="1">
      <c r="A4534" s="26">
        <v>46456199</v>
      </c>
      <c r="B4534" s="29" t="s">
        <v>6769</v>
      </c>
      <c r="C4534" s="29" t="s">
        <v>17204</v>
      </c>
      <c r="D4534" s="29" t="s">
        <v>34533</v>
      </c>
      <c r="E4534" s="29" t="s">
        <v>43926</v>
      </c>
      <c r="F4534" s="36" t="s">
        <v>54401</v>
      </c>
      <c r="G4534" s="39">
        <v>453598.13</v>
      </c>
      <c r="H4534" s="42">
        <v>211</v>
      </c>
    </row>
    <row r="4535" spans="1:8" ht="15" customHeight="1">
      <c r="A4535" s="26">
        <v>46456209</v>
      </c>
      <c r="B4535" s="29" t="s">
        <v>6770</v>
      </c>
      <c r="C4535" s="26" t="s">
        <v>21304</v>
      </c>
      <c r="D4535" s="26" t="s">
        <v>34534</v>
      </c>
      <c r="E4535" s="26" t="s">
        <v>47494</v>
      </c>
      <c r="F4535" s="37" t="s">
        <v>54401</v>
      </c>
      <c r="G4535" s="39">
        <v>3545497.9</v>
      </c>
      <c r="H4535" s="42">
        <v>211</v>
      </c>
    </row>
    <row r="4536" spans="1:8" ht="15" customHeight="1">
      <c r="A4536" s="26">
        <v>46456212</v>
      </c>
      <c r="B4536" s="29" t="s">
        <v>6771</v>
      </c>
      <c r="C4536" s="29" t="s">
        <v>17204</v>
      </c>
      <c r="D4536" s="29" t="s">
        <v>30349</v>
      </c>
      <c r="E4536" s="29" t="s">
        <v>43926</v>
      </c>
      <c r="F4536" s="36" t="s">
        <v>54401</v>
      </c>
      <c r="G4536" s="39">
        <v>570480.94999999995</v>
      </c>
      <c r="H4536" s="42">
        <v>211</v>
      </c>
    </row>
    <row r="4537" spans="1:8" ht="15" customHeight="1">
      <c r="A4537" s="26">
        <v>46456228</v>
      </c>
      <c r="B4537" s="29" t="s">
        <v>6772</v>
      </c>
      <c r="C4537" s="29" t="s">
        <v>21305</v>
      </c>
      <c r="D4537" s="29" t="s">
        <v>34535</v>
      </c>
      <c r="E4537" s="29" t="s">
        <v>45006</v>
      </c>
      <c r="F4537" s="36" t="s">
        <v>54401</v>
      </c>
      <c r="G4537" s="39">
        <v>3017560</v>
      </c>
      <c r="H4537" s="42">
        <v>211</v>
      </c>
    </row>
    <row r="4538" spans="1:8" ht="15" customHeight="1">
      <c r="A4538" s="26">
        <v>46456234</v>
      </c>
      <c r="B4538" s="29" t="s">
        <v>6773</v>
      </c>
      <c r="C4538" s="29" t="s">
        <v>21306</v>
      </c>
      <c r="D4538" s="29" t="s">
        <v>34536</v>
      </c>
      <c r="E4538" s="29" t="s">
        <v>43926</v>
      </c>
      <c r="F4538" s="36" t="s">
        <v>54401</v>
      </c>
      <c r="G4538" s="39">
        <v>1405980.53</v>
      </c>
      <c r="H4538" s="42">
        <v>211</v>
      </c>
    </row>
    <row r="4539" spans="1:8" ht="15" customHeight="1">
      <c r="A4539" s="26">
        <v>46456248</v>
      </c>
      <c r="B4539" s="29" t="s">
        <v>6774</v>
      </c>
      <c r="C4539" s="29" t="s">
        <v>21307</v>
      </c>
      <c r="D4539" s="29" t="s">
        <v>34537</v>
      </c>
      <c r="E4539" s="29" t="s">
        <v>47495</v>
      </c>
      <c r="F4539" s="36" t="s">
        <v>54401</v>
      </c>
      <c r="G4539" s="39">
        <v>243063.12</v>
      </c>
      <c r="H4539" s="42">
        <v>211</v>
      </c>
    </row>
    <row r="4540" spans="1:8" ht="15" customHeight="1">
      <c r="A4540" s="26">
        <v>46456263</v>
      </c>
      <c r="B4540" s="29" t="s">
        <v>6775</v>
      </c>
      <c r="C4540" s="29" t="s">
        <v>21308</v>
      </c>
      <c r="D4540" s="29" t="s">
        <v>34538</v>
      </c>
      <c r="E4540" s="29" t="s">
        <v>731</v>
      </c>
      <c r="F4540" s="36" t="s">
        <v>54401</v>
      </c>
      <c r="G4540" s="39">
        <v>1870268</v>
      </c>
      <c r="H4540" s="42">
        <v>211</v>
      </c>
    </row>
    <row r="4541" spans="1:8" ht="15" customHeight="1">
      <c r="A4541" s="26">
        <v>46456282</v>
      </c>
      <c r="B4541" s="29" t="s">
        <v>6776</v>
      </c>
      <c r="C4541" s="29" t="s">
        <v>21309</v>
      </c>
      <c r="D4541" s="29" t="s">
        <v>34539</v>
      </c>
      <c r="E4541" s="29" t="s">
        <v>47496</v>
      </c>
      <c r="F4541" s="36" t="s">
        <v>54401</v>
      </c>
      <c r="G4541" s="39">
        <v>5103011</v>
      </c>
      <c r="H4541" s="42">
        <v>211</v>
      </c>
    </row>
    <row r="4542" spans="1:8" ht="15" customHeight="1">
      <c r="A4542" s="26">
        <v>46456288</v>
      </c>
      <c r="B4542" s="29" t="s">
        <v>6777</v>
      </c>
      <c r="C4542" s="29" t="s">
        <v>21310</v>
      </c>
      <c r="D4542" s="29" t="s">
        <v>34540</v>
      </c>
      <c r="E4542" s="29" t="s">
        <v>47497</v>
      </c>
      <c r="F4542" s="36" t="s">
        <v>54401</v>
      </c>
      <c r="G4542" s="39">
        <v>2232144</v>
      </c>
      <c r="H4542" s="42">
        <v>211</v>
      </c>
    </row>
    <row r="4543" spans="1:8" ht="15" customHeight="1">
      <c r="A4543" s="26">
        <v>46456306</v>
      </c>
      <c r="B4543" s="29" t="s">
        <v>6778</v>
      </c>
      <c r="C4543" s="29" t="s">
        <v>21311</v>
      </c>
      <c r="D4543" s="29" t="s">
        <v>34541</v>
      </c>
      <c r="E4543" s="29" t="s">
        <v>47498</v>
      </c>
      <c r="F4543" s="36" t="s">
        <v>54401</v>
      </c>
      <c r="G4543" s="39">
        <v>3789111.7</v>
      </c>
      <c r="H4543" s="42">
        <v>211</v>
      </c>
    </row>
    <row r="4544" spans="1:8" ht="15" customHeight="1">
      <c r="A4544" s="26">
        <v>46456334</v>
      </c>
      <c r="B4544" s="29" t="s">
        <v>6779</v>
      </c>
      <c r="C4544" s="26" t="s">
        <v>21312</v>
      </c>
      <c r="D4544" s="26" t="s">
        <v>34542</v>
      </c>
      <c r="E4544" s="26" t="s">
        <v>47499</v>
      </c>
      <c r="F4544" s="37" t="s">
        <v>54401</v>
      </c>
      <c r="G4544" s="39">
        <v>615430.67000000004</v>
      </c>
      <c r="H4544" s="42">
        <v>211</v>
      </c>
    </row>
    <row r="4545" spans="1:8" ht="15" customHeight="1">
      <c r="A4545" s="26">
        <v>46456347</v>
      </c>
      <c r="B4545" s="29" t="s">
        <v>6780</v>
      </c>
      <c r="C4545" s="29" t="s">
        <v>21313</v>
      </c>
      <c r="D4545" s="29" t="s">
        <v>34543</v>
      </c>
      <c r="E4545" s="29" t="s">
        <v>47500</v>
      </c>
      <c r="F4545" s="36" t="s">
        <v>54401</v>
      </c>
      <c r="G4545" s="39">
        <v>569910.41</v>
      </c>
      <c r="H4545" s="42">
        <v>211</v>
      </c>
    </row>
    <row r="4546" spans="1:8" ht="15" customHeight="1">
      <c r="A4546" s="26">
        <v>46456365</v>
      </c>
      <c r="B4546" s="29" t="s">
        <v>6781</v>
      </c>
      <c r="C4546" s="29" t="s">
        <v>21314</v>
      </c>
      <c r="D4546" s="29" t="s">
        <v>34544</v>
      </c>
      <c r="E4546" s="29" t="s">
        <v>47501</v>
      </c>
      <c r="F4546" s="36" t="s">
        <v>54401</v>
      </c>
      <c r="G4546" s="39">
        <v>95679.02</v>
      </c>
      <c r="H4546" s="42">
        <v>211</v>
      </c>
    </row>
    <row r="4547" spans="1:8" ht="15" customHeight="1">
      <c r="A4547" s="26">
        <v>46456369</v>
      </c>
      <c r="B4547" s="29" t="s">
        <v>6782</v>
      </c>
      <c r="C4547" s="29" t="s">
        <v>21315</v>
      </c>
      <c r="D4547" s="29" t="s">
        <v>34545</v>
      </c>
      <c r="E4547" s="29" t="s">
        <v>47502</v>
      </c>
      <c r="F4547" s="36" t="s">
        <v>54401</v>
      </c>
      <c r="G4547" s="39">
        <v>394329.08</v>
      </c>
      <c r="H4547" s="42">
        <v>211</v>
      </c>
    </row>
    <row r="4548" spans="1:8" ht="15" customHeight="1">
      <c r="A4548" s="26">
        <v>46456371</v>
      </c>
      <c r="B4548" s="29" t="s">
        <v>6783</v>
      </c>
      <c r="C4548" s="29" t="s">
        <v>21316</v>
      </c>
      <c r="D4548" s="29" t="s">
        <v>34546</v>
      </c>
      <c r="E4548" s="29" t="s">
        <v>47503</v>
      </c>
      <c r="F4548" s="36" t="s">
        <v>54401</v>
      </c>
      <c r="G4548" s="39">
        <v>257455.19</v>
      </c>
      <c r="H4548" s="42">
        <v>211</v>
      </c>
    </row>
    <row r="4549" spans="1:8" ht="15" customHeight="1">
      <c r="A4549" s="26">
        <v>46456380</v>
      </c>
      <c r="B4549" s="29" t="s">
        <v>6784</v>
      </c>
      <c r="C4549" s="29" t="s">
        <v>21317</v>
      </c>
      <c r="D4549" s="29" t="s">
        <v>34547</v>
      </c>
      <c r="E4549" s="29" t="s">
        <v>47504</v>
      </c>
      <c r="F4549" s="36" t="s">
        <v>54401</v>
      </c>
      <c r="G4549" s="39">
        <v>1648675.23</v>
      </c>
      <c r="H4549" s="42">
        <v>211</v>
      </c>
    </row>
    <row r="4550" spans="1:8" ht="15" customHeight="1">
      <c r="A4550" s="26">
        <v>46456386</v>
      </c>
      <c r="B4550" s="29" t="s">
        <v>6785</v>
      </c>
      <c r="C4550" s="29" t="s">
        <v>21318</v>
      </c>
      <c r="D4550" s="29" t="s">
        <v>34548</v>
      </c>
      <c r="E4550" s="29" t="s">
        <v>47505</v>
      </c>
      <c r="F4550" s="36" t="s">
        <v>54401</v>
      </c>
      <c r="G4550" s="39">
        <v>842692.18</v>
      </c>
      <c r="H4550" s="42">
        <v>211</v>
      </c>
    </row>
    <row r="4551" spans="1:8" ht="15" customHeight="1">
      <c r="A4551" s="26">
        <v>46456393</v>
      </c>
      <c r="B4551" s="29" t="s">
        <v>6786</v>
      </c>
      <c r="C4551" s="29" t="s">
        <v>21319</v>
      </c>
      <c r="D4551" s="29" t="s">
        <v>34549</v>
      </c>
      <c r="E4551" s="29" t="s">
        <v>44915</v>
      </c>
      <c r="F4551" s="36" t="s">
        <v>54401</v>
      </c>
      <c r="G4551" s="39">
        <v>2976470.92</v>
      </c>
      <c r="H4551" s="42">
        <v>211</v>
      </c>
    </row>
    <row r="4552" spans="1:8" ht="15" customHeight="1">
      <c r="A4552" s="26">
        <v>46456398</v>
      </c>
      <c r="B4552" s="29" t="s">
        <v>6787</v>
      </c>
      <c r="C4552" s="29" t="s">
        <v>21320</v>
      </c>
      <c r="D4552" s="29" t="s">
        <v>34550</v>
      </c>
      <c r="E4552" s="29" t="s">
        <v>43926</v>
      </c>
      <c r="F4552" s="36" t="s">
        <v>54401</v>
      </c>
      <c r="G4552" s="39">
        <v>3318492</v>
      </c>
      <c r="H4552" s="42">
        <v>211</v>
      </c>
    </row>
    <row r="4553" spans="1:8" ht="15" customHeight="1">
      <c r="A4553" s="26">
        <v>46456401</v>
      </c>
      <c r="B4553" s="29" t="s">
        <v>6788</v>
      </c>
      <c r="C4553" s="29" t="s">
        <v>21321</v>
      </c>
      <c r="D4553" s="29" t="s">
        <v>34551</v>
      </c>
      <c r="E4553" s="29" t="s">
        <v>47506</v>
      </c>
      <c r="F4553" s="36" t="s">
        <v>54401</v>
      </c>
      <c r="G4553" s="39">
        <v>813716.71</v>
      </c>
      <c r="H4553" s="42">
        <v>211</v>
      </c>
    </row>
    <row r="4554" spans="1:8" ht="15" customHeight="1">
      <c r="A4554" s="26">
        <v>46456408</v>
      </c>
      <c r="B4554" s="29" t="s">
        <v>6789</v>
      </c>
      <c r="C4554" s="29" t="s">
        <v>21322</v>
      </c>
      <c r="D4554" s="29" t="s">
        <v>34552</v>
      </c>
      <c r="E4554" s="29" t="s">
        <v>47507</v>
      </c>
      <c r="F4554" s="36" t="s">
        <v>54401</v>
      </c>
      <c r="G4554" s="39">
        <v>702421</v>
      </c>
      <c r="H4554" s="42">
        <v>211</v>
      </c>
    </row>
    <row r="4555" spans="1:8" ht="15" customHeight="1">
      <c r="A4555" s="26">
        <v>46456418</v>
      </c>
      <c r="B4555" s="29" t="s">
        <v>6790</v>
      </c>
      <c r="C4555" s="29" t="s">
        <v>21323</v>
      </c>
      <c r="D4555" s="29" t="s">
        <v>34553</v>
      </c>
      <c r="E4555" s="29" t="s">
        <v>43926</v>
      </c>
      <c r="F4555" s="36" t="s">
        <v>54401</v>
      </c>
      <c r="G4555" s="39">
        <v>65276.89</v>
      </c>
      <c r="H4555" s="42">
        <v>211</v>
      </c>
    </row>
    <row r="4556" spans="1:8" ht="15" customHeight="1">
      <c r="A4556" s="26">
        <v>46456436</v>
      </c>
      <c r="B4556" s="29" t="s">
        <v>6791</v>
      </c>
      <c r="C4556" s="29" t="s">
        <v>21324</v>
      </c>
      <c r="D4556" s="29" t="s">
        <v>34554</v>
      </c>
      <c r="E4556" s="29" t="s">
        <v>47508</v>
      </c>
      <c r="F4556" s="36" t="s">
        <v>54401</v>
      </c>
      <c r="G4556" s="39">
        <v>996054.76</v>
      </c>
      <c r="H4556" s="42">
        <v>211</v>
      </c>
    </row>
    <row r="4557" spans="1:8" ht="15" customHeight="1">
      <c r="A4557" s="26">
        <v>46456442</v>
      </c>
      <c r="B4557" s="29" t="s">
        <v>6792</v>
      </c>
      <c r="C4557" s="29" t="s">
        <v>21325</v>
      </c>
      <c r="D4557" s="29" t="s">
        <v>34555</v>
      </c>
      <c r="E4557" s="29" t="s">
        <v>47509</v>
      </c>
      <c r="F4557" s="36" t="s">
        <v>54401</v>
      </c>
      <c r="G4557" s="39">
        <v>61780</v>
      </c>
      <c r="H4557" s="42">
        <v>211</v>
      </c>
    </row>
    <row r="4558" spans="1:8" ht="15" customHeight="1">
      <c r="A4558" s="26">
        <v>46456474</v>
      </c>
      <c r="B4558" s="29" t="s">
        <v>6793</v>
      </c>
      <c r="C4558" s="29" t="s">
        <v>21326</v>
      </c>
      <c r="D4558" s="29" t="s">
        <v>34556</v>
      </c>
      <c r="E4558" s="29" t="s">
        <v>47510</v>
      </c>
      <c r="F4558" s="36" t="s">
        <v>54401</v>
      </c>
      <c r="G4558" s="39">
        <v>2673518.62</v>
      </c>
      <c r="H4558" s="42">
        <v>211</v>
      </c>
    </row>
    <row r="4559" spans="1:8" ht="15" customHeight="1">
      <c r="A4559" s="26">
        <v>46456475</v>
      </c>
      <c r="B4559" s="29" t="s">
        <v>6794</v>
      </c>
      <c r="C4559" s="26" t="s">
        <v>17204</v>
      </c>
      <c r="D4559" s="26" t="s">
        <v>30349</v>
      </c>
      <c r="E4559" s="26" t="s">
        <v>43926</v>
      </c>
      <c r="F4559" s="37" t="s">
        <v>54401</v>
      </c>
      <c r="G4559" s="39">
        <v>546174.80000000005</v>
      </c>
      <c r="H4559" s="42">
        <v>211</v>
      </c>
    </row>
    <row r="4560" spans="1:8" ht="15" customHeight="1">
      <c r="A4560" s="26">
        <v>46456479</v>
      </c>
      <c r="B4560" s="29" t="s">
        <v>6795</v>
      </c>
      <c r="C4560" s="29" t="s">
        <v>17204</v>
      </c>
      <c r="D4560" s="29" t="s">
        <v>30349</v>
      </c>
      <c r="E4560" s="29" t="s">
        <v>43926</v>
      </c>
      <c r="F4560" s="36" t="s">
        <v>54401</v>
      </c>
      <c r="G4560" s="39">
        <v>435518.35</v>
      </c>
      <c r="H4560" s="42">
        <v>211</v>
      </c>
    </row>
    <row r="4561" spans="1:8" ht="15" customHeight="1">
      <c r="A4561" s="26">
        <v>46456482</v>
      </c>
      <c r="B4561" s="29" t="s">
        <v>6796</v>
      </c>
      <c r="C4561" s="29" t="s">
        <v>21327</v>
      </c>
      <c r="D4561" s="29" t="s">
        <v>34557</v>
      </c>
      <c r="E4561" s="29" t="s">
        <v>44023</v>
      </c>
      <c r="F4561" s="36" t="s">
        <v>54401</v>
      </c>
      <c r="G4561" s="39">
        <v>808282.65</v>
      </c>
      <c r="H4561" s="42">
        <v>211</v>
      </c>
    </row>
    <row r="4562" spans="1:8" ht="15" customHeight="1">
      <c r="A4562" s="26">
        <v>46456501</v>
      </c>
      <c r="B4562" s="29" t="s">
        <v>6797</v>
      </c>
      <c r="C4562" s="29" t="s">
        <v>21328</v>
      </c>
      <c r="D4562" s="29" t="s">
        <v>34558</v>
      </c>
      <c r="E4562" s="29" t="s">
        <v>47511</v>
      </c>
      <c r="F4562" s="36" t="s">
        <v>54401</v>
      </c>
      <c r="G4562" s="39">
        <v>4461633.8499999996</v>
      </c>
      <c r="H4562" s="42">
        <v>211</v>
      </c>
    </row>
    <row r="4563" spans="1:8" ht="15" customHeight="1">
      <c r="A4563" s="26">
        <v>46456508</v>
      </c>
      <c r="B4563" s="29" t="s">
        <v>6798</v>
      </c>
      <c r="C4563" s="26" t="s">
        <v>21329</v>
      </c>
      <c r="D4563" s="26" t="s">
        <v>34559</v>
      </c>
      <c r="E4563" s="26" t="s">
        <v>47512</v>
      </c>
      <c r="F4563" s="37" t="s">
        <v>54401</v>
      </c>
      <c r="G4563" s="39">
        <v>2694918</v>
      </c>
      <c r="H4563" s="42">
        <v>211</v>
      </c>
    </row>
    <row r="4564" spans="1:8" ht="15" customHeight="1">
      <c r="A4564" s="26">
        <v>46456509</v>
      </c>
      <c r="B4564" s="29" t="s">
        <v>6799</v>
      </c>
      <c r="C4564" s="29" t="s">
        <v>21330</v>
      </c>
      <c r="D4564" s="29" t="s">
        <v>34560</v>
      </c>
      <c r="E4564" s="29" t="s">
        <v>43926</v>
      </c>
      <c r="F4564" s="36" t="s">
        <v>54401</v>
      </c>
      <c r="G4564" s="39">
        <v>997070.95</v>
      </c>
      <c r="H4564" s="42">
        <v>211</v>
      </c>
    </row>
    <row r="4565" spans="1:8" ht="15" customHeight="1">
      <c r="A4565" s="26">
        <v>46456513</v>
      </c>
      <c r="B4565" s="29" t="s">
        <v>6800</v>
      </c>
      <c r="C4565" s="29" t="s">
        <v>21331</v>
      </c>
      <c r="D4565" s="29" t="s">
        <v>34561</v>
      </c>
      <c r="E4565" s="29" t="s">
        <v>47513</v>
      </c>
      <c r="F4565" s="36" t="s">
        <v>54401</v>
      </c>
      <c r="G4565" s="39">
        <v>246670.91</v>
      </c>
      <c r="H4565" s="42">
        <v>211</v>
      </c>
    </row>
    <row r="4566" spans="1:8" ht="15" customHeight="1">
      <c r="A4566" s="26">
        <v>46456520</v>
      </c>
      <c r="B4566" s="29" t="s">
        <v>6801</v>
      </c>
      <c r="C4566" s="29" t="s">
        <v>21332</v>
      </c>
      <c r="D4566" s="29" t="s">
        <v>34562</v>
      </c>
      <c r="E4566" s="29" t="s">
        <v>47514</v>
      </c>
      <c r="F4566" s="36" t="s">
        <v>54401</v>
      </c>
      <c r="G4566" s="39">
        <v>30476.19</v>
      </c>
      <c r="H4566" s="42">
        <v>211</v>
      </c>
    </row>
    <row r="4567" spans="1:8" ht="15" customHeight="1">
      <c r="A4567" s="26">
        <v>46456535</v>
      </c>
      <c r="B4567" s="29" t="s">
        <v>6802</v>
      </c>
      <c r="C4567" s="26" t="s">
        <v>21333</v>
      </c>
      <c r="D4567" s="26" t="s">
        <v>34563</v>
      </c>
      <c r="E4567" s="26" t="s">
        <v>47515</v>
      </c>
      <c r="F4567" s="37" t="s">
        <v>54401</v>
      </c>
      <c r="G4567" s="39">
        <v>1637396.16</v>
      </c>
      <c r="H4567" s="42">
        <v>211</v>
      </c>
    </row>
    <row r="4568" spans="1:8" ht="15" customHeight="1">
      <c r="A4568" s="26">
        <v>46456545</v>
      </c>
      <c r="B4568" s="29" t="s">
        <v>6803</v>
      </c>
      <c r="C4568" s="29" t="s">
        <v>21334</v>
      </c>
      <c r="D4568" s="29" t="s">
        <v>34564</v>
      </c>
      <c r="E4568" s="29" t="s">
        <v>47516</v>
      </c>
      <c r="F4568" s="36" t="s">
        <v>54401</v>
      </c>
      <c r="G4568" s="39">
        <v>4684003.9000000004</v>
      </c>
      <c r="H4568" s="42">
        <v>211</v>
      </c>
    </row>
    <row r="4569" spans="1:8" ht="15" customHeight="1">
      <c r="A4569" s="26">
        <v>46456546</v>
      </c>
      <c r="B4569" s="29" t="s">
        <v>6804</v>
      </c>
      <c r="C4569" s="29" t="s">
        <v>21335</v>
      </c>
      <c r="D4569" s="29" t="s">
        <v>34565</v>
      </c>
      <c r="E4569" s="29" t="s">
        <v>47517</v>
      </c>
      <c r="F4569" s="36" t="s">
        <v>54401</v>
      </c>
      <c r="G4569" s="39">
        <v>432774.58</v>
      </c>
      <c r="H4569" s="42">
        <v>211</v>
      </c>
    </row>
    <row r="4570" spans="1:8" ht="15" customHeight="1">
      <c r="A4570" s="26">
        <v>46456547</v>
      </c>
      <c r="B4570" s="29" t="s">
        <v>6805</v>
      </c>
      <c r="C4570" s="29" t="s">
        <v>21336</v>
      </c>
      <c r="D4570" s="29" t="s">
        <v>34566</v>
      </c>
      <c r="E4570" s="29" t="s">
        <v>47518</v>
      </c>
      <c r="F4570" s="36" t="s">
        <v>54401</v>
      </c>
      <c r="G4570" s="39">
        <v>1934897.41</v>
      </c>
      <c r="H4570" s="42">
        <v>211</v>
      </c>
    </row>
    <row r="4571" spans="1:8" ht="15" customHeight="1">
      <c r="A4571" s="26">
        <v>46456558</v>
      </c>
      <c r="B4571" s="29" t="s">
        <v>6806</v>
      </c>
      <c r="C4571" s="26" t="s">
        <v>21337</v>
      </c>
      <c r="D4571" s="26" t="s">
        <v>34567</v>
      </c>
      <c r="E4571" s="26" t="s">
        <v>47519</v>
      </c>
      <c r="F4571" s="37" t="s">
        <v>54401</v>
      </c>
      <c r="G4571" s="39">
        <v>198851.39</v>
      </c>
      <c r="H4571" s="42">
        <v>211</v>
      </c>
    </row>
    <row r="4572" spans="1:8" ht="15" customHeight="1">
      <c r="A4572" s="26">
        <v>46456561</v>
      </c>
      <c r="B4572" s="29" t="s">
        <v>6807</v>
      </c>
      <c r="C4572" s="29" t="s">
        <v>21338</v>
      </c>
      <c r="D4572" s="29" t="s">
        <v>34568</v>
      </c>
      <c r="E4572" s="29" t="s">
        <v>47520</v>
      </c>
      <c r="F4572" s="36" t="s">
        <v>54401</v>
      </c>
      <c r="G4572" s="39">
        <v>2965202</v>
      </c>
      <c r="H4572" s="42">
        <v>211</v>
      </c>
    </row>
    <row r="4573" spans="1:8" ht="15" customHeight="1">
      <c r="A4573" s="26">
        <v>46456580</v>
      </c>
      <c r="B4573" s="29" t="s">
        <v>6808</v>
      </c>
      <c r="C4573" s="29" t="s">
        <v>21339</v>
      </c>
      <c r="D4573" s="29" t="s">
        <v>34569</v>
      </c>
      <c r="E4573" s="29" t="s">
        <v>47521</v>
      </c>
      <c r="F4573" s="36" t="s">
        <v>54401</v>
      </c>
      <c r="G4573" s="39">
        <v>77698.03</v>
      </c>
      <c r="H4573" s="42">
        <v>211</v>
      </c>
    </row>
    <row r="4574" spans="1:8" ht="15" customHeight="1">
      <c r="A4574" s="26">
        <v>46456583</v>
      </c>
      <c r="B4574" s="29" t="s">
        <v>6809</v>
      </c>
      <c r="C4574" s="29" t="s">
        <v>21340</v>
      </c>
      <c r="D4574" s="29" t="s">
        <v>34570</v>
      </c>
      <c r="E4574" s="29" t="s">
        <v>47522</v>
      </c>
      <c r="F4574" s="36" t="s">
        <v>54401</v>
      </c>
      <c r="G4574" s="39">
        <v>421328.88</v>
      </c>
      <c r="H4574" s="42">
        <v>211</v>
      </c>
    </row>
    <row r="4575" spans="1:8" ht="15" customHeight="1">
      <c r="A4575" s="26">
        <v>46456589</v>
      </c>
      <c r="B4575" s="29" t="s">
        <v>6810</v>
      </c>
      <c r="C4575" s="29" t="s">
        <v>21341</v>
      </c>
      <c r="D4575" s="29" t="s">
        <v>34571</v>
      </c>
      <c r="E4575" s="29" t="s">
        <v>44941</v>
      </c>
      <c r="F4575" s="36" t="s">
        <v>54401</v>
      </c>
      <c r="G4575" s="39">
        <v>10176896.369999999</v>
      </c>
      <c r="H4575" s="42">
        <v>211</v>
      </c>
    </row>
    <row r="4576" spans="1:8" ht="15" customHeight="1">
      <c r="A4576" s="26">
        <v>46456608</v>
      </c>
      <c r="B4576" s="29" t="s">
        <v>6811</v>
      </c>
      <c r="C4576" s="29" t="s">
        <v>21342</v>
      </c>
      <c r="D4576" s="29" t="s">
        <v>34572</v>
      </c>
      <c r="E4576" s="29" t="s">
        <v>47523</v>
      </c>
      <c r="F4576" s="36" t="s">
        <v>54401</v>
      </c>
      <c r="G4576" s="39">
        <v>4127540</v>
      </c>
      <c r="H4576" s="42">
        <v>211</v>
      </c>
    </row>
    <row r="4577" spans="1:8" ht="15" customHeight="1">
      <c r="A4577" s="26">
        <v>46456610</v>
      </c>
      <c r="B4577" s="29" t="s">
        <v>6812</v>
      </c>
      <c r="C4577" s="29" t="s">
        <v>21343</v>
      </c>
      <c r="D4577" s="29" t="s">
        <v>34573</v>
      </c>
      <c r="E4577" s="29" t="s">
        <v>47524</v>
      </c>
      <c r="F4577" s="36" t="s">
        <v>54401</v>
      </c>
      <c r="G4577" s="39">
        <v>3166656.32</v>
      </c>
      <c r="H4577" s="42">
        <v>211</v>
      </c>
    </row>
    <row r="4578" spans="1:8" ht="15" customHeight="1">
      <c r="A4578" s="26">
        <v>46456615</v>
      </c>
      <c r="B4578" s="29" t="s">
        <v>6813</v>
      </c>
      <c r="C4578" s="29" t="s">
        <v>21344</v>
      </c>
      <c r="D4578" s="29" t="s">
        <v>34574</v>
      </c>
      <c r="E4578" s="29" t="s">
        <v>43926</v>
      </c>
      <c r="F4578" s="36" t="s">
        <v>54401</v>
      </c>
      <c r="G4578" s="39">
        <v>53109.24</v>
      </c>
      <c r="H4578" s="42">
        <v>211</v>
      </c>
    </row>
    <row r="4579" spans="1:8" ht="15" customHeight="1">
      <c r="A4579" s="26">
        <v>46456620</v>
      </c>
      <c r="B4579" s="29" t="s">
        <v>6814</v>
      </c>
      <c r="C4579" s="26" t="s">
        <v>21345</v>
      </c>
      <c r="D4579" s="26" t="s">
        <v>34575</v>
      </c>
      <c r="E4579" s="26" t="s">
        <v>43926</v>
      </c>
      <c r="F4579" s="37" t="s">
        <v>54401</v>
      </c>
      <c r="G4579" s="39">
        <v>426062.4</v>
      </c>
      <c r="H4579" s="42">
        <v>211</v>
      </c>
    </row>
    <row r="4580" spans="1:8" ht="15" customHeight="1">
      <c r="A4580" s="26">
        <v>46456629</v>
      </c>
      <c r="B4580" s="29" t="s">
        <v>6815</v>
      </c>
      <c r="C4580" s="26" t="s">
        <v>21346</v>
      </c>
      <c r="D4580" s="26" t="s">
        <v>34576</v>
      </c>
      <c r="E4580" s="26" t="s">
        <v>45178</v>
      </c>
      <c r="F4580" s="37" t="s">
        <v>54401</v>
      </c>
      <c r="G4580" s="39">
        <v>1843770</v>
      </c>
      <c r="H4580" s="42">
        <v>211</v>
      </c>
    </row>
    <row r="4581" spans="1:8" ht="15" customHeight="1">
      <c r="A4581" s="26">
        <v>46456640</v>
      </c>
      <c r="B4581" s="29" t="s">
        <v>6816</v>
      </c>
      <c r="C4581" s="29" t="s">
        <v>17204</v>
      </c>
      <c r="D4581" s="29" t="s">
        <v>34577</v>
      </c>
      <c r="E4581" s="29" t="s">
        <v>43926</v>
      </c>
      <c r="F4581" s="36" t="s">
        <v>54401</v>
      </c>
      <c r="G4581" s="39">
        <v>17861.759999999998</v>
      </c>
      <c r="H4581" s="42">
        <v>211</v>
      </c>
    </row>
    <row r="4582" spans="1:8" ht="15" customHeight="1">
      <c r="A4582" s="26">
        <v>46456643</v>
      </c>
      <c r="B4582" s="29" t="s">
        <v>6817</v>
      </c>
      <c r="C4582" s="29" t="s">
        <v>21347</v>
      </c>
      <c r="D4582" s="29" t="s">
        <v>34578</v>
      </c>
      <c r="E4582" s="29" t="s">
        <v>47525</v>
      </c>
      <c r="F4582" s="36" t="s">
        <v>54401</v>
      </c>
      <c r="G4582" s="39">
        <v>4800458</v>
      </c>
      <c r="H4582" s="42">
        <v>211</v>
      </c>
    </row>
    <row r="4583" spans="1:8" ht="15" customHeight="1">
      <c r="A4583" s="26">
        <v>46456666</v>
      </c>
      <c r="B4583" s="29" t="s">
        <v>6818</v>
      </c>
      <c r="C4583" s="29" t="s">
        <v>21348</v>
      </c>
      <c r="D4583" s="29" t="s">
        <v>34579</v>
      </c>
      <c r="E4583" s="29" t="s">
        <v>43926</v>
      </c>
      <c r="F4583" s="36" t="s">
        <v>54401</v>
      </c>
      <c r="G4583" s="39">
        <v>315324.51</v>
      </c>
      <c r="H4583" s="42">
        <v>211</v>
      </c>
    </row>
    <row r="4584" spans="1:8" ht="15" customHeight="1">
      <c r="A4584" s="26">
        <v>46456670</v>
      </c>
      <c r="B4584" s="29" t="s">
        <v>6819</v>
      </c>
      <c r="C4584" s="26" t="s">
        <v>21349</v>
      </c>
      <c r="D4584" s="26" t="s">
        <v>34580</v>
      </c>
      <c r="E4584" s="26" t="s">
        <v>47526</v>
      </c>
      <c r="F4584" s="37" t="s">
        <v>54401</v>
      </c>
      <c r="G4584" s="39">
        <v>2460579</v>
      </c>
      <c r="H4584" s="42">
        <v>211</v>
      </c>
    </row>
    <row r="4585" spans="1:8" ht="15" customHeight="1">
      <c r="A4585" s="26">
        <v>46456676</v>
      </c>
      <c r="B4585" s="29" t="s">
        <v>6820</v>
      </c>
      <c r="C4585" s="29" t="s">
        <v>21350</v>
      </c>
      <c r="D4585" s="29" t="s">
        <v>34581</v>
      </c>
      <c r="E4585" s="29" t="s">
        <v>257</v>
      </c>
      <c r="F4585" s="36" t="s">
        <v>54401</v>
      </c>
      <c r="G4585" s="39">
        <v>33399.49</v>
      </c>
      <c r="H4585" s="42">
        <v>211</v>
      </c>
    </row>
    <row r="4586" spans="1:8" ht="15" customHeight="1">
      <c r="A4586" s="26">
        <v>46456680</v>
      </c>
      <c r="B4586" s="29" t="s">
        <v>6821</v>
      </c>
      <c r="C4586" s="29" t="s">
        <v>21351</v>
      </c>
      <c r="D4586" s="29" t="s">
        <v>34582</v>
      </c>
      <c r="E4586" s="29" t="s">
        <v>47527</v>
      </c>
      <c r="F4586" s="36" t="s">
        <v>54401</v>
      </c>
      <c r="G4586" s="39">
        <v>5213601.79</v>
      </c>
      <c r="H4586" s="42">
        <v>211</v>
      </c>
    </row>
    <row r="4587" spans="1:8" ht="15" customHeight="1">
      <c r="A4587" s="26">
        <v>46456717</v>
      </c>
      <c r="B4587" s="29" t="s">
        <v>6822</v>
      </c>
      <c r="C4587" s="29" t="s">
        <v>21352</v>
      </c>
      <c r="D4587" s="29" t="s">
        <v>34583</v>
      </c>
      <c r="E4587" s="29" t="s">
        <v>47528</v>
      </c>
      <c r="F4587" s="36" t="s">
        <v>54401</v>
      </c>
      <c r="G4587" s="39">
        <v>2354837</v>
      </c>
      <c r="H4587" s="42">
        <v>211</v>
      </c>
    </row>
    <row r="4588" spans="1:8" ht="15" customHeight="1">
      <c r="A4588" s="26">
        <v>46456721</v>
      </c>
      <c r="B4588" s="29" t="s">
        <v>6823</v>
      </c>
      <c r="C4588" s="29" t="s">
        <v>21353</v>
      </c>
      <c r="D4588" s="29" t="s">
        <v>34584</v>
      </c>
      <c r="E4588" s="29" t="s">
        <v>47529</v>
      </c>
      <c r="F4588" s="36" t="s">
        <v>54401</v>
      </c>
      <c r="G4588" s="39">
        <v>3755878.9</v>
      </c>
      <c r="H4588" s="42">
        <v>211</v>
      </c>
    </row>
    <row r="4589" spans="1:8" ht="15" customHeight="1">
      <c r="A4589" s="26">
        <v>46456730</v>
      </c>
      <c r="B4589" s="29" t="s">
        <v>6824</v>
      </c>
      <c r="C4589" s="29" t="s">
        <v>21354</v>
      </c>
      <c r="D4589" s="29" t="s">
        <v>34585</v>
      </c>
      <c r="E4589" s="29" t="s">
        <v>47530</v>
      </c>
      <c r="F4589" s="36" t="s">
        <v>54401</v>
      </c>
      <c r="G4589" s="39">
        <v>4679838.74</v>
      </c>
      <c r="H4589" s="42">
        <v>211</v>
      </c>
    </row>
    <row r="4590" spans="1:8" ht="15" customHeight="1">
      <c r="A4590" s="26">
        <v>46456734</v>
      </c>
      <c r="B4590" s="29" t="s">
        <v>6825</v>
      </c>
      <c r="C4590" s="29" t="s">
        <v>21355</v>
      </c>
      <c r="D4590" s="29" t="s">
        <v>34586</v>
      </c>
      <c r="E4590" s="29" t="s">
        <v>47531</v>
      </c>
      <c r="F4590" s="36" t="s">
        <v>54401</v>
      </c>
      <c r="G4590" s="39">
        <v>132903.5</v>
      </c>
      <c r="H4590" s="42">
        <v>211</v>
      </c>
    </row>
    <row r="4591" spans="1:8" ht="15" customHeight="1">
      <c r="A4591" s="26">
        <v>46456740</v>
      </c>
      <c r="B4591" s="29" t="s">
        <v>6826</v>
      </c>
      <c r="C4591" s="29" t="s">
        <v>21356</v>
      </c>
      <c r="D4591" s="29" t="s">
        <v>34587</v>
      </c>
      <c r="E4591" s="29" t="s">
        <v>43926</v>
      </c>
      <c r="F4591" s="36" t="s">
        <v>54401</v>
      </c>
      <c r="G4591" s="39">
        <v>3377314</v>
      </c>
      <c r="H4591" s="42">
        <v>211</v>
      </c>
    </row>
    <row r="4592" spans="1:8" ht="15" customHeight="1">
      <c r="A4592" s="26">
        <v>46456742</v>
      </c>
      <c r="B4592" s="29" t="s">
        <v>6827</v>
      </c>
      <c r="C4592" s="26" t="s">
        <v>21357</v>
      </c>
      <c r="D4592" s="26" t="s">
        <v>34588</v>
      </c>
      <c r="E4592" s="26" t="s">
        <v>47532</v>
      </c>
      <c r="F4592" s="37" t="s">
        <v>54401</v>
      </c>
      <c r="G4592" s="39">
        <v>994457.31</v>
      </c>
      <c r="H4592" s="42">
        <v>211</v>
      </c>
    </row>
    <row r="4593" spans="1:8" ht="15" customHeight="1">
      <c r="A4593" s="26">
        <v>46456745</v>
      </c>
      <c r="B4593" s="29" t="s">
        <v>6828</v>
      </c>
      <c r="C4593" s="29" t="s">
        <v>21358</v>
      </c>
      <c r="D4593" s="29" t="s">
        <v>34589</v>
      </c>
      <c r="E4593" s="29" t="s">
        <v>47533</v>
      </c>
      <c r="F4593" s="36" t="s">
        <v>54401</v>
      </c>
      <c r="G4593" s="39">
        <v>2638727</v>
      </c>
      <c r="H4593" s="42">
        <v>211</v>
      </c>
    </row>
    <row r="4594" spans="1:8" ht="15" customHeight="1">
      <c r="A4594" s="26">
        <v>46456757</v>
      </c>
      <c r="B4594" s="29" t="s">
        <v>6829</v>
      </c>
      <c r="C4594" s="29" t="s">
        <v>21359</v>
      </c>
      <c r="D4594" s="29" t="s">
        <v>34590</v>
      </c>
      <c r="E4594" s="29" t="s">
        <v>43926</v>
      </c>
      <c r="F4594" s="36" t="s">
        <v>54425</v>
      </c>
      <c r="G4594" s="39">
        <v>41158.42</v>
      </c>
      <c r="H4594" s="42">
        <v>211</v>
      </c>
    </row>
    <row r="4595" spans="1:8" ht="15" customHeight="1">
      <c r="A4595" s="26">
        <v>46456762</v>
      </c>
      <c r="B4595" s="29" t="s">
        <v>6830</v>
      </c>
      <c r="C4595" s="29" t="s">
        <v>21360</v>
      </c>
      <c r="D4595" s="29" t="s">
        <v>32149</v>
      </c>
      <c r="E4595" s="29" t="s">
        <v>45525</v>
      </c>
      <c r="F4595" s="36" t="s">
        <v>54401</v>
      </c>
      <c r="G4595" s="39">
        <v>113779.86</v>
      </c>
      <c r="H4595" s="42">
        <v>211</v>
      </c>
    </row>
    <row r="4596" spans="1:8" ht="15" customHeight="1">
      <c r="A4596" s="26">
        <v>46456764</v>
      </c>
      <c r="B4596" s="29" t="s">
        <v>6831</v>
      </c>
      <c r="C4596" s="29" t="s">
        <v>21361</v>
      </c>
      <c r="D4596" s="29" t="s">
        <v>34591</v>
      </c>
      <c r="E4596" s="29" t="s">
        <v>47534</v>
      </c>
      <c r="F4596" s="36" t="s">
        <v>54401</v>
      </c>
      <c r="G4596" s="39">
        <v>218033.59</v>
      </c>
      <c r="H4596" s="42">
        <v>211</v>
      </c>
    </row>
    <row r="4597" spans="1:8" ht="15" customHeight="1">
      <c r="A4597" s="26">
        <v>46456766</v>
      </c>
      <c r="B4597" s="29" t="s">
        <v>6832</v>
      </c>
      <c r="C4597" s="26" t="s">
        <v>21362</v>
      </c>
      <c r="D4597" s="26" t="s">
        <v>34592</v>
      </c>
      <c r="E4597" s="26" t="s">
        <v>47535</v>
      </c>
      <c r="F4597" s="37" t="s">
        <v>54401</v>
      </c>
      <c r="G4597" s="39">
        <v>4139292</v>
      </c>
      <c r="H4597" s="42">
        <v>211</v>
      </c>
    </row>
    <row r="4598" spans="1:8" ht="15" customHeight="1">
      <c r="A4598" s="26">
        <v>46456767</v>
      </c>
      <c r="B4598" s="29" t="s">
        <v>6833</v>
      </c>
      <c r="C4598" s="29" t="s">
        <v>21363</v>
      </c>
      <c r="D4598" s="29" t="s">
        <v>34593</v>
      </c>
      <c r="E4598" s="29" t="s">
        <v>47536</v>
      </c>
      <c r="F4598" s="36" t="s">
        <v>54401</v>
      </c>
      <c r="G4598" s="39">
        <v>218431.22</v>
      </c>
      <c r="H4598" s="42">
        <v>211</v>
      </c>
    </row>
    <row r="4599" spans="1:8" ht="15" customHeight="1">
      <c r="A4599" s="26">
        <v>46456769</v>
      </c>
      <c r="B4599" s="29" t="s">
        <v>6834</v>
      </c>
      <c r="C4599" s="29" t="s">
        <v>21364</v>
      </c>
      <c r="D4599" s="29" t="s">
        <v>34594</v>
      </c>
      <c r="E4599" s="29" t="s">
        <v>47537</v>
      </c>
      <c r="F4599" s="36" t="s">
        <v>54401</v>
      </c>
      <c r="G4599" s="39">
        <v>869985.9</v>
      </c>
      <c r="H4599" s="42">
        <v>211</v>
      </c>
    </row>
    <row r="4600" spans="1:8" ht="15" customHeight="1">
      <c r="A4600" s="26">
        <v>46456770</v>
      </c>
      <c r="B4600" s="29" t="s">
        <v>6835</v>
      </c>
      <c r="C4600" s="29" t="s">
        <v>21365</v>
      </c>
      <c r="D4600" s="29" t="s">
        <v>34595</v>
      </c>
      <c r="E4600" s="29" t="s">
        <v>44025</v>
      </c>
      <c r="F4600" s="36" t="s">
        <v>54401</v>
      </c>
      <c r="G4600" s="39">
        <v>310048.71000000002</v>
      </c>
      <c r="H4600" s="42">
        <v>211</v>
      </c>
    </row>
    <row r="4601" spans="1:8" ht="15" customHeight="1">
      <c r="A4601" s="26">
        <v>46456775</v>
      </c>
      <c r="B4601" s="29" t="s">
        <v>6836</v>
      </c>
      <c r="C4601" s="29" t="s">
        <v>21366</v>
      </c>
      <c r="D4601" s="29" t="s">
        <v>34596</v>
      </c>
      <c r="E4601" s="29" t="s">
        <v>47538</v>
      </c>
      <c r="F4601" s="36" t="s">
        <v>54401</v>
      </c>
      <c r="G4601" s="39">
        <v>314137.23</v>
      </c>
      <c r="H4601" s="42">
        <v>211</v>
      </c>
    </row>
    <row r="4602" spans="1:8" ht="15" customHeight="1">
      <c r="A4602" s="26">
        <v>46456778</v>
      </c>
      <c r="B4602" s="29" t="s">
        <v>6837</v>
      </c>
      <c r="C4602" s="29" t="s">
        <v>21367</v>
      </c>
      <c r="D4602" s="29" t="s">
        <v>34597</v>
      </c>
      <c r="E4602" s="29" t="s">
        <v>47539</v>
      </c>
      <c r="F4602" s="36" t="s">
        <v>54401</v>
      </c>
      <c r="G4602" s="39">
        <v>359633.06</v>
      </c>
      <c r="H4602" s="42">
        <v>211</v>
      </c>
    </row>
    <row r="4603" spans="1:8" ht="15" customHeight="1">
      <c r="A4603" s="26">
        <v>46456779</v>
      </c>
      <c r="B4603" s="29" t="s">
        <v>6838</v>
      </c>
      <c r="C4603" s="29" t="s">
        <v>21368</v>
      </c>
      <c r="D4603" s="29" t="s">
        <v>34598</v>
      </c>
      <c r="E4603" s="29" t="s">
        <v>47540</v>
      </c>
      <c r="F4603" s="36" t="s">
        <v>54401</v>
      </c>
      <c r="G4603" s="39">
        <v>677337.02</v>
      </c>
      <c r="H4603" s="42">
        <v>211</v>
      </c>
    </row>
    <row r="4604" spans="1:8" ht="15" customHeight="1">
      <c r="A4604" s="26">
        <v>46456807</v>
      </c>
      <c r="B4604" s="29" t="s">
        <v>6839</v>
      </c>
      <c r="C4604" s="26" t="s">
        <v>21369</v>
      </c>
      <c r="D4604" s="26" t="s">
        <v>34599</v>
      </c>
      <c r="E4604" s="26" t="s">
        <v>47541</v>
      </c>
      <c r="F4604" s="37" t="s">
        <v>54401</v>
      </c>
      <c r="G4604" s="39">
        <v>569698.68999999994</v>
      </c>
      <c r="H4604" s="42">
        <v>211</v>
      </c>
    </row>
    <row r="4605" spans="1:8" ht="15" customHeight="1">
      <c r="A4605" s="26">
        <v>46456814</v>
      </c>
      <c r="B4605" s="29" t="s">
        <v>6840</v>
      </c>
      <c r="C4605" s="29" t="s">
        <v>17204</v>
      </c>
      <c r="D4605" s="29" t="s">
        <v>30349</v>
      </c>
      <c r="E4605" s="29" t="s">
        <v>43926</v>
      </c>
      <c r="F4605" s="36" t="s">
        <v>54401</v>
      </c>
      <c r="G4605" s="39">
        <v>221847.94</v>
      </c>
      <c r="H4605" s="42">
        <v>211</v>
      </c>
    </row>
    <row r="4606" spans="1:8" ht="15" customHeight="1">
      <c r="A4606" s="26">
        <v>46456820</v>
      </c>
      <c r="B4606" s="29" t="s">
        <v>6841</v>
      </c>
      <c r="C4606" s="29" t="s">
        <v>21370</v>
      </c>
      <c r="D4606" s="29" t="s">
        <v>30376</v>
      </c>
      <c r="E4606" s="29" t="s">
        <v>47542</v>
      </c>
      <c r="F4606" s="36" t="s">
        <v>54401</v>
      </c>
      <c r="G4606" s="39">
        <v>2888402</v>
      </c>
      <c r="H4606" s="42">
        <v>211</v>
      </c>
    </row>
    <row r="4607" spans="1:8" ht="15" customHeight="1">
      <c r="A4607" s="26">
        <v>46456821</v>
      </c>
      <c r="B4607" s="29" t="s">
        <v>6842</v>
      </c>
      <c r="C4607" s="29" t="s">
        <v>21371</v>
      </c>
      <c r="D4607" s="29" t="s">
        <v>34600</v>
      </c>
      <c r="E4607" s="29" t="s">
        <v>47543</v>
      </c>
      <c r="F4607" s="36" t="s">
        <v>54401</v>
      </c>
      <c r="G4607" s="39">
        <v>651913.72</v>
      </c>
      <c r="H4607" s="42">
        <v>211</v>
      </c>
    </row>
    <row r="4608" spans="1:8" ht="15" customHeight="1">
      <c r="A4608" s="26">
        <v>46456845</v>
      </c>
      <c r="B4608" s="29" t="s">
        <v>6843</v>
      </c>
      <c r="C4608" s="29" t="s">
        <v>17204</v>
      </c>
      <c r="D4608" s="29" t="s">
        <v>30349</v>
      </c>
      <c r="E4608" s="29" t="s">
        <v>43926</v>
      </c>
      <c r="F4608" s="36" t="s">
        <v>54401</v>
      </c>
      <c r="G4608" s="39">
        <v>130929.43</v>
      </c>
      <c r="H4608" s="42">
        <v>211</v>
      </c>
    </row>
    <row r="4609" spans="1:8" ht="15" customHeight="1">
      <c r="A4609" s="26">
        <v>46456859</v>
      </c>
      <c r="B4609" s="29" t="s">
        <v>6844</v>
      </c>
      <c r="C4609" s="26" t="s">
        <v>21372</v>
      </c>
      <c r="D4609" s="26" t="s">
        <v>34601</v>
      </c>
      <c r="E4609" s="26" t="s">
        <v>47544</v>
      </c>
      <c r="F4609" s="37" t="s">
        <v>54401</v>
      </c>
      <c r="G4609" s="39">
        <v>123455.53</v>
      </c>
      <c r="H4609" s="42">
        <v>211</v>
      </c>
    </row>
    <row r="4610" spans="1:8" ht="15" customHeight="1">
      <c r="A4610" s="26">
        <v>46456867</v>
      </c>
      <c r="B4610" s="29" t="s">
        <v>6845</v>
      </c>
      <c r="C4610" s="29" t="s">
        <v>21373</v>
      </c>
      <c r="D4610" s="29" t="s">
        <v>34602</v>
      </c>
      <c r="E4610" s="29" t="s">
        <v>43926</v>
      </c>
      <c r="F4610" s="36" t="s">
        <v>54401</v>
      </c>
      <c r="G4610" s="39">
        <v>324919</v>
      </c>
      <c r="H4610" s="42">
        <v>211</v>
      </c>
    </row>
    <row r="4611" spans="1:8" ht="15" customHeight="1">
      <c r="A4611" s="26">
        <v>46456877</v>
      </c>
      <c r="B4611" s="29" t="s">
        <v>6846</v>
      </c>
      <c r="C4611" s="29" t="s">
        <v>21374</v>
      </c>
      <c r="D4611" s="29" t="s">
        <v>34603</v>
      </c>
      <c r="E4611" s="29" t="s">
        <v>47545</v>
      </c>
      <c r="F4611" s="36" t="s">
        <v>54401</v>
      </c>
      <c r="G4611" s="39">
        <v>1515231.64</v>
      </c>
      <c r="H4611" s="42">
        <v>211</v>
      </c>
    </row>
    <row r="4612" spans="1:8" ht="15" customHeight="1">
      <c r="A4612" s="26">
        <v>46456879</v>
      </c>
      <c r="B4612" s="29" t="s">
        <v>6847</v>
      </c>
      <c r="C4612" s="29" t="s">
        <v>21375</v>
      </c>
      <c r="D4612" s="29" t="s">
        <v>34604</v>
      </c>
      <c r="E4612" s="29" t="s">
        <v>47546</v>
      </c>
      <c r="F4612" s="36" t="s">
        <v>54401</v>
      </c>
      <c r="G4612" s="39">
        <v>309801.45</v>
      </c>
      <c r="H4612" s="42">
        <v>211</v>
      </c>
    </row>
    <row r="4613" spans="1:8" ht="15" customHeight="1">
      <c r="A4613" s="26">
        <v>46456887</v>
      </c>
      <c r="B4613" s="29" t="s">
        <v>6848</v>
      </c>
      <c r="C4613" s="29" t="s">
        <v>21376</v>
      </c>
      <c r="D4613" s="29" t="s">
        <v>34605</v>
      </c>
      <c r="E4613" s="29" t="s">
        <v>47547</v>
      </c>
      <c r="F4613" s="36" t="s">
        <v>54401</v>
      </c>
      <c r="G4613" s="39">
        <v>2264883</v>
      </c>
      <c r="H4613" s="42">
        <v>211</v>
      </c>
    </row>
    <row r="4614" spans="1:8" ht="15" customHeight="1">
      <c r="A4614" s="26">
        <v>46456932</v>
      </c>
      <c r="B4614" s="29" t="s">
        <v>6849</v>
      </c>
      <c r="C4614" s="29" t="s">
        <v>21377</v>
      </c>
      <c r="D4614" s="29" t="s">
        <v>34606</v>
      </c>
      <c r="E4614" s="29" t="s">
        <v>47548</v>
      </c>
      <c r="F4614" s="36" t="s">
        <v>54401</v>
      </c>
      <c r="G4614" s="39">
        <v>926519.82</v>
      </c>
      <c r="H4614" s="42">
        <v>211</v>
      </c>
    </row>
    <row r="4615" spans="1:8" ht="15" customHeight="1">
      <c r="A4615" s="26">
        <v>46456935</v>
      </c>
      <c r="B4615" s="29" t="s">
        <v>6850</v>
      </c>
      <c r="C4615" s="29" t="s">
        <v>21378</v>
      </c>
      <c r="D4615" s="29" t="s">
        <v>34607</v>
      </c>
      <c r="E4615" s="29" t="s">
        <v>47549</v>
      </c>
      <c r="F4615" s="36" t="s">
        <v>54401</v>
      </c>
      <c r="G4615" s="39">
        <v>798814.37</v>
      </c>
      <c r="H4615" s="42">
        <v>211</v>
      </c>
    </row>
    <row r="4616" spans="1:8" ht="15" customHeight="1">
      <c r="A4616" s="26">
        <v>46456936</v>
      </c>
      <c r="B4616" s="29" t="s">
        <v>6851</v>
      </c>
      <c r="C4616" s="26" t="s">
        <v>21379</v>
      </c>
      <c r="D4616" s="26" t="s">
        <v>34608</v>
      </c>
      <c r="E4616" s="26" t="s">
        <v>47550</v>
      </c>
      <c r="F4616" s="37" t="s">
        <v>54401</v>
      </c>
      <c r="G4616" s="39">
        <v>204582.99</v>
      </c>
      <c r="H4616" s="42">
        <v>211</v>
      </c>
    </row>
    <row r="4617" spans="1:8" ht="15" customHeight="1">
      <c r="A4617" s="26">
        <v>46456940</v>
      </c>
      <c r="B4617" s="29" t="s">
        <v>6852</v>
      </c>
      <c r="C4617" s="29" t="s">
        <v>17204</v>
      </c>
      <c r="D4617" s="29" t="s">
        <v>30349</v>
      </c>
      <c r="E4617" s="29" t="s">
        <v>43926</v>
      </c>
      <c r="F4617" s="36" t="s">
        <v>54401</v>
      </c>
      <c r="G4617" s="39">
        <v>61316.24</v>
      </c>
      <c r="H4617" s="42">
        <v>211</v>
      </c>
    </row>
    <row r="4618" spans="1:8" ht="15" customHeight="1">
      <c r="A4618" s="26">
        <v>46456942</v>
      </c>
      <c r="B4618" s="29" t="s">
        <v>6853</v>
      </c>
      <c r="C4618" s="26" t="s">
        <v>21380</v>
      </c>
      <c r="D4618" s="26" t="s">
        <v>34609</v>
      </c>
      <c r="E4618" s="26" t="s">
        <v>43926</v>
      </c>
      <c r="F4618" s="37" t="s">
        <v>54401</v>
      </c>
      <c r="G4618" s="39">
        <v>373284.36</v>
      </c>
      <c r="H4618" s="42">
        <v>211</v>
      </c>
    </row>
    <row r="4619" spans="1:8" ht="15" customHeight="1">
      <c r="A4619" s="26">
        <v>46456957</v>
      </c>
      <c r="B4619" s="29" t="s">
        <v>6854</v>
      </c>
      <c r="C4619" s="26" t="s">
        <v>21381</v>
      </c>
      <c r="D4619" s="26" t="s">
        <v>34610</v>
      </c>
      <c r="E4619" s="26" t="s">
        <v>47551</v>
      </c>
      <c r="F4619" s="37" t="s">
        <v>54401</v>
      </c>
      <c r="G4619" s="39">
        <v>456171.07</v>
      </c>
      <c r="H4619" s="42">
        <v>211</v>
      </c>
    </row>
    <row r="4620" spans="1:8" ht="15" customHeight="1">
      <c r="A4620" s="26">
        <v>46456961</v>
      </c>
      <c r="B4620" s="29" t="s">
        <v>6855</v>
      </c>
      <c r="C4620" s="29" t="s">
        <v>21382</v>
      </c>
      <c r="D4620" s="29" t="s">
        <v>34611</v>
      </c>
      <c r="E4620" s="29" t="s">
        <v>47552</v>
      </c>
      <c r="F4620" s="36" t="s">
        <v>54401</v>
      </c>
      <c r="G4620" s="39">
        <v>400648.54</v>
      </c>
      <c r="H4620" s="42">
        <v>211</v>
      </c>
    </row>
    <row r="4621" spans="1:8" ht="15" customHeight="1">
      <c r="A4621" s="26">
        <v>46456967</v>
      </c>
      <c r="B4621" s="29" t="s">
        <v>6856</v>
      </c>
      <c r="C4621" s="29" t="s">
        <v>21383</v>
      </c>
      <c r="D4621" s="29" t="s">
        <v>34612</v>
      </c>
      <c r="E4621" s="29" t="s">
        <v>47553</v>
      </c>
      <c r="F4621" s="36" t="s">
        <v>54401</v>
      </c>
      <c r="G4621" s="39">
        <v>2927800</v>
      </c>
      <c r="H4621" s="42">
        <v>211</v>
      </c>
    </row>
    <row r="4622" spans="1:8" ht="15" customHeight="1">
      <c r="A4622" s="26">
        <v>46456976</v>
      </c>
      <c r="B4622" s="29" t="s">
        <v>6857</v>
      </c>
      <c r="C4622" s="29" t="s">
        <v>21384</v>
      </c>
      <c r="D4622" s="29" t="s">
        <v>33891</v>
      </c>
      <c r="E4622" s="29" t="s">
        <v>47554</v>
      </c>
      <c r="F4622" s="36" t="s">
        <v>54401</v>
      </c>
      <c r="G4622" s="39">
        <v>169128.15</v>
      </c>
      <c r="H4622" s="42">
        <v>211</v>
      </c>
    </row>
    <row r="4623" spans="1:8" ht="15" customHeight="1">
      <c r="A4623" s="26">
        <v>46456977</v>
      </c>
      <c r="B4623" s="29" t="s">
        <v>6858</v>
      </c>
      <c r="C4623" s="29" t="s">
        <v>21385</v>
      </c>
      <c r="D4623" s="29" t="s">
        <v>34613</v>
      </c>
      <c r="E4623" s="29" t="s">
        <v>47555</v>
      </c>
      <c r="F4623" s="36" t="s">
        <v>54401</v>
      </c>
      <c r="G4623" s="39">
        <v>55705.88</v>
      </c>
      <c r="H4623" s="42">
        <v>211</v>
      </c>
    </row>
    <row r="4624" spans="1:8" ht="15" customHeight="1">
      <c r="A4624" s="26">
        <v>46456979</v>
      </c>
      <c r="B4624" s="29" t="s">
        <v>6859</v>
      </c>
      <c r="C4624" s="29" t="s">
        <v>21386</v>
      </c>
      <c r="D4624" s="29" t="s">
        <v>34356</v>
      </c>
      <c r="E4624" s="29" t="s">
        <v>47556</v>
      </c>
      <c r="F4624" s="36" t="s">
        <v>54401</v>
      </c>
      <c r="G4624" s="39">
        <v>5268718.07</v>
      </c>
      <c r="H4624" s="42">
        <v>211</v>
      </c>
    </row>
    <row r="4625" spans="1:8" ht="15" customHeight="1">
      <c r="A4625" s="26">
        <v>46456988</v>
      </c>
      <c r="B4625" s="29" t="s">
        <v>6860</v>
      </c>
      <c r="C4625" s="26" t="s">
        <v>21387</v>
      </c>
      <c r="D4625" s="26" t="s">
        <v>34614</v>
      </c>
      <c r="E4625" s="26" t="s">
        <v>43926</v>
      </c>
      <c r="F4625" s="37" t="s">
        <v>54401</v>
      </c>
      <c r="G4625" s="39">
        <v>291510.44</v>
      </c>
      <c r="H4625" s="42">
        <v>211</v>
      </c>
    </row>
    <row r="4626" spans="1:8" ht="15" customHeight="1">
      <c r="A4626" s="26">
        <v>46457001</v>
      </c>
      <c r="B4626" s="29" t="s">
        <v>6861</v>
      </c>
      <c r="C4626" s="29" t="s">
        <v>17204</v>
      </c>
      <c r="D4626" s="29" t="s">
        <v>30349</v>
      </c>
      <c r="E4626" s="29" t="s">
        <v>43926</v>
      </c>
      <c r="F4626" s="36" t="s">
        <v>54401</v>
      </c>
      <c r="G4626" s="39">
        <v>13877.74</v>
      </c>
      <c r="H4626" s="42">
        <v>211</v>
      </c>
    </row>
    <row r="4627" spans="1:8" ht="15" customHeight="1">
      <c r="A4627" s="26">
        <v>46457005</v>
      </c>
      <c r="B4627" s="29" t="s">
        <v>6862</v>
      </c>
      <c r="C4627" s="29" t="s">
        <v>21177</v>
      </c>
      <c r="D4627" s="29" t="s">
        <v>34615</v>
      </c>
      <c r="E4627" s="29" t="s">
        <v>47557</v>
      </c>
      <c r="F4627" s="36" t="s">
        <v>54401</v>
      </c>
      <c r="G4627" s="39">
        <v>104586.97</v>
      </c>
      <c r="H4627" s="42">
        <v>211</v>
      </c>
    </row>
    <row r="4628" spans="1:8" ht="15" customHeight="1">
      <c r="A4628" s="26">
        <v>46457012</v>
      </c>
      <c r="B4628" s="29" t="s">
        <v>6863</v>
      </c>
      <c r="C4628" s="29" t="s">
        <v>21388</v>
      </c>
      <c r="D4628" s="29" t="s">
        <v>34616</v>
      </c>
      <c r="E4628" s="29" t="s">
        <v>47558</v>
      </c>
      <c r="F4628" s="36" t="s">
        <v>54401</v>
      </c>
      <c r="G4628" s="39">
        <v>4545931.87</v>
      </c>
      <c r="H4628" s="42">
        <v>211</v>
      </c>
    </row>
    <row r="4629" spans="1:8" ht="15" customHeight="1">
      <c r="A4629" s="26">
        <v>46457027</v>
      </c>
      <c r="B4629" s="29" t="s">
        <v>6864</v>
      </c>
      <c r="C4629" s="29" t="s">
        <v>21389</v>
      </c>
      <c r="D4629" s="29" t="s">
        <v>34617</v>
      </c>
      <c r="E4629" s="29" t="s">
        <v>47559</v>
      </c>
      <c r="F4629" s="36" t="s">
        <v>54401</v>
      </c>
      <c r="G4629" s="39">
        <v>519238.78</v>
      </c>
      <c r="H4629" s="42">
        <v>211</v>
      </c>
    </row>
    <row r="4630" spans="1:8" ht="15" customHeight="1">
      <c r="A4630" s="26">
        <v>46457031</v>
      </c>
      <c r="B4630" s="29" t="s">
        <v>6865</v>
      </c>
      <c r="C4630" s="29" t="s">
        <v>21390</v>
      </c>
      <c r="D4630" s="29" t="s">
        <v>34618</v>
      </c>
      <c r="E4630" s="29" t="s">
        <v>47560</v>
      </c>
      <c r="F4630" s="36" t="s">
        <v>54401</v>
      </c>
      <c r="G4630" s="39">
        <v>51841.58</v>
      </c>
      <c r="H4630" s="42">
        <v>211</v>
      </c>
    </row>
    <row r="4631" spans="1:8" ht="15" customHeight="1">
      <c r="A4631" s="26">
        <v>46457038</v>
      </c>
      <c r="B4631" s="29" t="s">
        <v>6866</v>
      </c>
      <c r="C4631" s="26" t="s">
        <v>21391</v>
      </c>
      <c r="D4631" s="26" t="s">
        <v>34619</v>
      </c>
      <c r="E4631" s="26" t="s">
        <v>47561</v>
      </c>
      <c r="F4631" s="37" t="s">
        <v>54406</v>
      </c>
      <c r="G4631" s="39">
        <v>1452546.84</v>
      </c>
      <c r="H4631" s="42">
        <v>211</v>
      </c>
    </row>
    <row r="4632" spans="1:8" ht="15" customHeight="1">
      <c r="A4632" s="26">
        <v>46457043</v>
      </c>
      <c r="B4632" s="29" t="s">
        <v>6867</v>
      </c>
      <c r="C4632" s="29" t="s">
        <v>21392</v>
      </c>
      <c r="D4632" s="29" t="s">
        <v>34620</v>
      </c>
      <c r="E4632" s="29" t="s">
        <v>47562</v>
      </c>
      <c r="F4632" s="36" t="s">
        <v>54401</v>
      </c>
      <c r="G4632" s="39">
        <v>82022.53</v>
      </c>
      <c r="H4632" s="42">
        <v>211</v>
      </c>
    </row>
    <row r="4633" spans="1:8" ht="15" customHeight="1">
      <c r="A4633" s="26">
        <v>46457076</v>
      </c>
      <c r="B4633" s="29" t="s">
        <v>6868</v>
      </c>
      <c r="C4633" s="29" t="s">
        <v>21393</v>
      </c>
      <c r="D4633" s="29" t="s">
        <v>34621</v>
      </c>
      <c r="E4633" s="29" t="s">
        <v>47563</v>
      </c>
      <c r="F4633" s="36" t="s">
        <v>54406</v>
      </c>
      <c r="G4633" s="39">
        <v>5574884</v>
      </c>
      <c r="H4633" s="42">
        <v>211</v>
      </c>
    </row>
    <row r="4634" spans="1:8" ht="15" customHeight="1">
      <c r="A4634" s="26">
        <v>46457081</v>
      </c>
      <c r="B4634" s="29" t="s">
        <v>6869</v>
      </c>
      <c r="C4634" s="29" t="s">
        <v>21394</v>
      </c>
      <c r="D4634" s="29" t="s">
        <v>34622</v>
      </c>
      <c r="E4634" s="29" t="s">
        <v>47564</v>
      </c>
      <c r="F4634" s="36" t="s">
        <v>54401</v>
      </c>
      <c r="G4634" s="39">
        <v>42235.33</v>
      </c>
      <c r="H4634" s="42">
        <v>211</v>
      </c>
    </row>
    <row r="4635" spans="1:8" ht="15" customHeight="1">
      <c r="A4635" s="26">
        <v>46457091</v>
      </c>
      <c r="B4635" s="29" t="s">
        <v>6870</v>
      </c>
      <c r="C4635" s="29" t="s">
        <v>21395</v>
      </c>
      <c r="D4635" s="29" t="s">
        <v>34623</v>
      </c>
      <c r="E4635" s="29" t="s">
        <v>47565</v>
      </c>
      <c r="F4635" s="36" t="s">
        <v>54401</v>
      </c>
      <c r="G4635" s="39">
        <v>473315.23</v>
      </c>
      <c r="H4635" s="42">
        <v>211</v>
      </c>
    </row>
    <row r="4636" spans="1:8" ht="15" customHeight="1">
      <c r="A4636" s="26">
        <v>46457112</v>
      </c>
      <c r="B4636" s="29" t="s">
        <v>6871</v>
      </c>
      <c r="C4636" s="29" t="s">
        <v>21396</v>
      </c>
      <c r="D4636" s="29" t="s">
        <v>34624</v>
      </c>
      <c r="E4636" s="29" t="s">
        <v>43926</v>
      </c>
      <c r="F4636" s="36" t="s">
        <v>54401</v>
      </c>
      <c r="G4636" s="39">
        <v>297970.51</v>
      </c>
      <c r="H4636" s="42">
        <v>211</v>
      </c>
    </row>
    <row r="4637" spans="1:8" ht="15" customHeight="1">
      <c r="A4637" s="26">
        <v>46457120</v>
      </c>
      <c r="B4637" s="29" t="s">
        <v>6872</v>
      </c>
      <c r="C4637" s="29" t="s">
        <v>21397</v>
      </c>
      <c r="D4637" s="29" t="s">
        <v>34625</v>
      </c>
      <c r="E4637" s="29" t="s">
        <v>47566</v>
      </c>
      <c r="F4637" s="36" t="s">
        <v>54401</v>
      </c>
      <c r="G4637" s="39">
        <v>18890.759999999998</v>
      </c>
      <c r="H4637" s="42">
        <v>211</v>
      </c>
    </row>
    <row r="4638" spans="1:8" ht="15" customHeight="1">
      <c r="A4638" s="26">
        <v>46457128</v>
      </c>
      <c r="B4638" s="29" t="s">
        <v>6873</v>
      </c>
      <c r="C4638" s="29" t="s">
        <v>21398</v>
      </c>
      <c r="D4638" s="29" t="s">
        <v>34626</v>
      </c>
      <c r="E4638" s="29" t="s">
        <v>47567</v>
      </c>
      <c r="F4638" s="36" t="s">
        <v>54401</v>
      </c>
      <c r="G4638" s="39">
        <v>29909.33</v>
      </c>
      <c r="H4638" s="42">
        <v>211</v>
      </c>
    </row>
    <row r="4639" spans="1:8" ht="15" customHeight="1">
      <c r="A4639" s="26">
        <v>46457144</v>
      </c>
      <c r="B4639" s="29" t="s">
        <v>6874</v>
      </c>
      <c r="C4639" s="26" t="s">
        <v>21399</v>
      </c>
      <c r="D4639" s="26" t="s">
        <v>34627</v>
      </c>
      <c r="E4639" s="26" t="s">
        <v>47568</v>
      </c>
      <c r="F4639" s="37" t="s">
        <v>54401</v>
      </c>
      <c r="G4639" s="39">
        <v>130393.52</v>
      </c>
      <c r="H4639" s="42">
        <v>211</v>
      </c>
    </row>
    <row r="4640" spans="1:8" ht="15" customHeight="1">
      <c r="A4640" s="26">
        <v>46457154</v>
      </c>
      <c r="B4640" s="29" t="s">
        <v>6875</v>
      </c>
      <c r="C4640" s="26" t="s">
        <v>21400</v>
      </c>
      <c r="D4640" s="26" t="s">
        <v>31926</v>
      </c>
      <c r="E4640" s="26" t="s">
        <v>47569</v>
      </c>
      <c r="F4640" s="37" t="s">
        <v>54401</v>
      </c>
      <c r="G4640" s="39">
        <v>20025.8</v>
      </c>
      <c r="H4640" s="42">
        <v>211</v>
      </c>
    </row>
    <row r="4641" spans="1:8" ht="15" customHeight="1">
      <c r="A4641" s="26">
        <v>46457160</v>
      </c>
      <c r="B4641" s="29" t="s">
        <v>6876</v>
      </c>
      <c r="C4641" s="29" t="s">
        <v>21401</v>
      </c>
      <c r="D4641" s="29" t="s">
        <v>34628</v>
      </c>
      <c r="E4641" s="29" t="s">
        <v>47570</v>
      </c>
      <c r="F4641" s="36" t="s">
        <v>54401</v>
      </c>
      <c r="G4641" s="39">
        <v>1849035</v>
      </c>
      <c r="H4641" s="42">
        <v>211</v>
      </c>
    </row>
    <row r="4642" spans="1:8" ht="15" customHeight="1">
      <c r="A4642" s="26">
        <v>46457164</v>
      </c>
      <c r="B4642" s="29" t="s">
        <v>6877</v>
      </c>
      <c r="C4642" s="29" t="s">
        <v>21402</v>
      </c>
      <c r="D4642" s="29" t="s">
        <v>34629</v>
      </c>
      <c r="E4642" s="29" t="s">
        <v>47571</v>
      </c>
      <c r="F4642" s="36" t="s">
        <v>54401</v>
      </c>
      <c r="G4642" s="39">
        <v>4178344.38</v>
      </c>
      <c r="H4642" s="42">
        <v>211</v>
      </c>
    </row>
    <row r="4643" spans="1:8" ht="15" customHeight="1">
      <c r="A4643" s="26">
        <v>46457169</v>
      </c>
      <c r="B4643" s="29" t="s">
        <v>6878</v>
      </c>
      <c r="C4643" s="29" t="s">
        <v>21403</v>
      </c>
      <c r="D4643" s="29" t="s">
        <v>34630</v>
      </c>
      <c r="E4643" s="29" t="s">
        <v>47572</v>
      </c>
      <c r="F4643" s="36" t="s">
        <v>54401</v>
      </c>
      <c r="G4643" s="39">
        <v>4804194.03</v>
      </c>
      <c r="H4643" s="42">
        <v>211</v>
      </c>
    </row>
    <row r="4644" spans="1:8" ht="15" customHeight="1">
      <c r="A4644" s="26">
        <v>46457180</v>
      </c>
      <c r="B4644" s="29" t="s">
        <v>6879</v>
      </c>
      <c r="C4644" s="29" t="s">
        <v>17204</v>
      </c>
      <c r="D4644" s="29" t="s">
        <v>30349</v>
      </c>
      <c r="E4644" s="29" t="s">
        <v>43926</v>
      </c>
      <c r="F4644" s="36" t="s">
        <v>54401</v>
      </c>
      <c r="G4644" s="39">
        <v>19377.66</v>
      </c>
      <c r="H4644" s="42">
        <v>211</v>
      </c>
    </row>
    <row r="4645" spans="1:8" ht="15" customHeight="1">
      <c r="A4645" s="26">
        <v>46457181</v>
      </c>
      <c r="B4645" s="29" t="s">
        <v>6880</v>
      </c>
      <c r="C4645" s="29" t="s">
        <v>21404</v>
      </c>
      <c r="D4645" s="29" t="s">
        <v>34631</v>
      </c>
      <c r="E4645" s="29" t="s">
        <v>47573</v>
      </c>
      <c r="F4645" s="36" t="s">
        <v>54401</v>
      </c>
      <c r="G4645" s="39">
        <v>440170.44</v>
      </c>
      <c r="H4645" s="42">
        <v>211</v>
      </c>
    </row>
    <row r="4646" spans="1:8" ht="15" customHeight="1">
      <c r="A4646" s="26">
        <v>46457201</v>
      </c>
      <c r="B4646" s="29" t="s">
        <v>6881</v>
      </c>
      <c r="C4646" s="29" t="s">
        <v>21405</v>
      </c>
      <c r="D4646" s="29" t="s">
        <v>34632</v>
      </c>
      <c r="E4646" s="29" t="s">
        <v>45697</v>
      </c>
      <c r="F4646" s="36" t="s">
        <v>54401</v>
      </c>
      <c r="G4646" s="39">
        <v>3200610.59</v>
      </c>
      <c r="H4646" s="42">
        <v>211</v>
      </c>
    </row>
    <row r="4647" spans="1:8" ht="15" customHeight="1">
      <c r="A4647" s="26">
        <v>46457203</v>
      </c>
      <c r="B4647" s="29" t="s">
        <v>6882</v>
      </c>
      <c r="C4647" s="29" t="s">
        <v>21406</v>
      </c>
      <c r="D4647" s="29" t="s">
        <v>34633</v>
      </c>
      <c r="E4647" s="29" t="s">
        <v>43926</v>
      </c>
      <c r="F4647" s="36" t="s">
        <v>54401</v>
      </c>
      <c r="G4647" s="39">
        <v>474876.27</v>
      </c>
      <c r="H4647" s="42">
        <v>211</v>
      </c>
    </row>
    <row r="4648" spans="1:8" ht="15" customHeight="1">
      <c r="A4648" s="26">
        <v>46457204</v>
      </c>
      <c r="B4648" s="29" t="s">
        <v>6883</v>
      </c>
      <c r="C4648" s="29" t="s">
        <v>21407</v>
      </c>
      <c r="D4648" s="29" t="s">
        <v>34634</v>
      </c>
      <c r="E4648" s="29" t="s">
        <v>47574</v>
      </c>
      <c r="F4648" s="36" t="s">
        <v>54401</v>
      </c>
      <c r="G4648" s="39">
        <v>175364.75</v>
      </c>
      <c r="H4648" s="42">
        <v>211</v>
      </c>
    </row>
    <row r="4649" spans="1:8" ht="15" customHeight="1">
      <c r="A4649" s="26">
        <v>46457205</v>
      </c>
      <c r="B4649" s="29" t="s">
        <v>6884</v>
      </c>
      <c r="C4649" s="29" t="s">
        <v>21408</v>
      </c>
      <c r="D4649" s="29" t="s">
        <v>34635</v>
      </c>
      <c r="E4649" s="29" t="s">
        <v>43926</v>
      </c>
      <c r="F4649" s="36" t="s">
        <v>54401</v>
      </c>
      <c r="G4649" s="39">
        <v>248050.4</v>
      </c>
      <c r="H4649" s="42">
        <v>211</v>
      </c>
    </row>
    <row r="4650" spans="1:8" ht="15" customHeight="1">
      <c r="A4650" s="26">
        <v>46457210</v>
      </c>
      <c r="B4650" s="29" t="s">
        <v>6885</v>
      </c>
      <c r="C4650" s="26" t="s">
        <v>21409</v>
      </c>
      <c r="D4650" s="26" t="s">
        <v>34636</v>
      </c>
      <c r="E4650" s="26" t="s">
        <v>44324</v>
      </c>
      <c r="F4650" s="37" t="s">
        <v>54401</v>
      </c>
      <c r="G4650" s="39">
        <v>65473.8</v>
      </c>
      <c r="H4650" s="42">
        <v>211</v>
      </c>
    </row>
    <row r="4651" spans="1:8" ht="15" customHeight="1">
      <c r="A4651" s="26">
        <v>46457217</v>
      </c>
      <c r="B4651" s="29" t="s">
        <v>6886</v>
      </c>
      <c r="C4651" s="29" t="s">
        <v>21410</v>
      </c>
      <c r="D4651" s="29" t="s">
        <v>34637</v>
      </c>
      <c r="E4651" s="29" t="s">
        <v>47575</v>
      </c>
      <c r="F4651" s="36" t="s">
        <v>54401</v>
      </c>
      <c r="G4651" s="39">
        <v>457255.19</v>
      </c>
      <c r="H4651" s="42">
        <v>211</v>
      </c>
    </row>
    <row r="4652" spans="1:8" ht="15" customHeight="1">
      <c r="A4652" s="26">
        <v>46457235</v>
      </c>
      <c r="B4652" s="29" t="s">
        <v>6887</v>
      </c>
      <c r="C4652" s="29" t="s">
        <v>17204</v>
      </c>
      <c r="D4652" s="29" t="s">
        <v>30349</v>
      </c>
      <c r="E4652" s="29" t="s">
        <v>43926</v>
      </c>
      <c r="F4652" s="36" t="s">
        <v>54401</v>
      </c>
      <c r="G4652" s="39">
        <v>40042.01</v>
      </c>
      <c r="H4652" s="42">
        <v>211</v>
      </c>
    </row>
    <row r="4653" spans="1:8" ht="15" customHeight="1">
      <c r="A4653" s="26">
        <v>46457247</v>
      </c>
      <c r="B4653" s="29" t="s">
        <v>6888</v>
      </c>
      <c r="C4653" s="29" t="s">
        <v>21411</v>
      </c>
      <c r="D4653" s="29" t="s">
        <v>34638</v>
      </c>
      <c r="E4653" s="29" t="s">
        <v>47576</v>
      </c>
      <c r="F4653" s="36" t="s">
        <v>54401</v>
      </c>
      <c r="G4653" s="39">
        <v>5745452.3399999999</v>
      </c>
      <c r="H4653" s="42">
        <v>211</v>
      </c>
    </row>
    <row r="4654" spans="1:8" ht="15" customHeight="1">
      <c r="A4654" s="26">
        <v>46457248</v>
      </c>
      <c r="B4654" s="29" t="s">
        <v>6889</v>
      </c>
      <c r="C4654" s="29" t="s">
        <v>21412</v>
      </c>
      <c r="D4654" s="29" t="s">
        <v>34639</v>
      </c>
      <c r="E4654" s="29" t="s">
        <v>45006</v>
      </c>
      <c r="F4654" s="36" t="s">
        <v>54401</v>
      </c>
      <c r="G4654" s="39">
        <v>2417829.1800000002</v>
      </c>
      <c r="H4654" s="42">
        <v>211</v>
      </c>
    </row>
    <row r="4655" spans="1:8" ht="15" customHeight="1">
      <c r="A4655" s="26">
        <v>46457270</v>
      </c>
      <c r="B4655" s="29" t="s">
        <v>6890</v>
      </c>
      <c r="C4655" s="29" t="s">
        <v>21413</v>
      </c>
      <c r="D4655" s="29" t="s">
        <v>34640</v>
      </c>
      <c r="E4655" s="29" t="s">
        <v>45077</v>
      </c>
      <c r="F4655" s="36" t="s">
        <v>54401</v>
      </c>
      <c r="G4655" s="39">
        <v>2234318</v>
      </c>
      <c r="H4655" s="42">
        <v>211</v>
      </c>
    </row>
    <row r="4656" spans="1:8" ht="15" customHeight="1">
      <c r="A4656" s="26">
        <v>46457272</v>
      </c>
      <c r="B4656" s="29" t="s">
        <v>6891</v>
      </c>
      <c r="C4656" s="29" t="s">
        <v>21414</v>
      </c>
      <c r="D4656" s="29" t="s">
        <v>34641</v>
      </c>
      <c r="E4656" s="29" t="s">
        <v>46430</v>
      </c>
      <c r="F4656" s="36" t="s">
        <v>54401</v>
      </c>
      <c r="G4656" s="39">
        <v>243124.69</v>
      </c>
      <c r="H4656" s="42">
        <v>211</v>
      </c>
    </row>
    <row r="4657" spans="1:8" ht="15" customHeight="1">
      <c r="A4657" s="26">
        <v>46457276</v>
      </c>
      <c r="B4657" s="29" t="s">
        <v>6892</v>
      </c>
      <c r="C4657" s="29" t="s">
        <v>21415</v>
      </c>
      <c r="D4657" s="29" t="s">
        <v>34642</v>
      </c>
      <c r="E4657" s="29" t="s">
        <v>43926</v>
      </c>
      <c r="F4657" s="36" t="s">
        <v>54401</v>
      </c>
      <c r="G4657" s="39">
        <v>3532095</v>
      </c>
      <c r="H4657" s="42">
        <v>211</v>
      </c>
    </row>
    <row r="4658" spans="1:8" ht="15" customHeight="1">
      <c r="A4658" s="26">
        <v>46457288</v>
      </c>
      <c r="B4658" s="29" t="s">
        <v>6893</v>
      </c>
      <c r="C4658" s="29" t="s">
        <v>21416</v>
      </c>
      <c r="D4658" s="29" t="s">
        <v>34643</v>
      </c>
      <c r="E4658" s="29" t="s">
        <v>47577</v>
      </c>
      <c r="F4658" s="36" t="s">
        <v>54401</v>
      </c>
      <c r="G4658" s="39">
        <v>141667.71</v>
      </c>
      <c r="H4658" s="42">
        <v>211</v>
      </c>
    </row>
    <row r="4659" spans="1:8" ht="15" customHeight="1">
      <c r="A4659" s="26">
        <v>46457304</v>
      </c>
      <c r="B4659" s="29" t="s">
        <v>6894</v>
      </c>
      <c r="C4659" s="29" t="s">
        <v>17204</v>
      </c>
      <c r="D4659" s="29" t="s">
        <v>34644</v>
      </c>
      <c r="E4659" s="29" t="s">
        <v>43926</v>
      </c>
      <c r="F4659" s="36" t="s">
        <v>54401</v>
      </c>
      <c r="G4659" s="39">
        <v>117904.19</v>
      </c>
      <c r="H4659" s="42">
        <v>211</v>
      </c>
    </row>
    <row r="4660" spans="1:8" ht="15" customHeight="1">
      <c r="A4660" s="26">
        <v>46457311</v>
      </c>
      <c r="B4660" s="29" t="s">
        <v>6895</v>
      </c>
      <c r="C4660" s="29" t="s">
        <v>21417</v>
      </c>
      <c r="D4660" s="29" t="s">
        <v>34645</v>
      </c>
      <c r="E4660" s="29" t="s">
        <v>47578</v>
      </c>
      <c r="F4660" s="36" t="s">
        <v>54401</v>
      </c>
      <c r="G4660" s="39">
        <v>513090.92</v>
      </c>
      <c r="H4660" s="42">
        <v>211</v>
      </c>
    </row>
    <row r="4661" spans="1:8" ht="15" customHeight="1">
      <c r="A4661" s="26">
        <v>46457314</v>
      </c>
      <c r="B4661" s="29" t="s">
        <v>6896</v>
      </c>
      <c r="C4661" s="29" t="s">
        <v>21418</v>
      </c>
      <c r="D4661" s="29" t="s">
        <v>34646</v>
      </c>
      <c r="E4661" s="29" t="s">
        <v>47579</v>
      </c>
      <c r="F4661" s="36" t="s">
        <v>54401</v>
      </c>
      <c r="G4661" s="39">
        <v>586518.94999999995</v>
      </c>
      <c r="H4661" s="42">
        <v>211</v>
      </c>
    </row>
    <row r="4662" spans="1:8" ht="15" customHeight="1">
      <c r="A4662" s="26">
        <v>46457317</v>
      </c>
      <c r="B4662" s="29" t="s">
        <v>6897</v>
      </c>
      <c r="C4662" s="29" t="s">
        <v>21419</v>
      </c>
      <c r="D4662" s="29" t="s">
        <v>34647</v>
      </c>
      <c r="E4662" s="29" t="s">
        <v>47580</v>
      </c>
      <c r="F4662" s="36" t="s">
        <v>54401</v>
      </c>
      <c r="G4662" s="39">
        <v>520534.18</v>
      </c>
      <c r="H4662" s="42">
        <v>211</v>
      </c>
    </row>
    <row r="4663" spans="1:8" ht="15" customHeight="1">
      <c r="A4663" s="26">
        <v>46457375</v>
      </c>
      <c r="B4663" s="29" t="s">
        <v>6898</v>
      </c>
      <c r="C4663" s="29" t="s">
        <v>21420</v>
      </c>
      <c r="D4663" s="29" t="s">
        <v>34648</v>
      </c>
      <c r="E4663" s="29" t="s">
        <v>47581</v>
      </c>
      <c r="F4663" s="36" t="s">
        <v>54401</v>
      </c>
      <c r="G4663" s="39">
        <v>70099.850000000006</v>
      </c>
      <c r="H4663" s="42">
        <v>211</v>
      </c>
    </row>
    <row r="4664" spans="1:8" ht="15" customHeight="1">
      <c r="A4664" s="26">
        <v>46457378</v>
      </c>
      <c r="B4664" s="29" t="s">
        <v>6899</v>
      </c>
      <c r="C4664" s="26" t="s">
        <v>21421</v>
      </c>
      <c r="D4664" s="26" t="s">
        <v>34649</v>
      </c>
      <c r="E4664" s="26" t="s">
        <v>47582</v>
      </c>
      <c r="F4664" s="37" t="s">
        <v>54401</v>
      </c>
      <c r="G4664" s="39">
        <v>2258031.06</v>
      </c>
      <c r="H4664" s="42">
        <v>211</v>
      </c>
    </row>
    <row r="4665" spans="1:8" ht="15" customHeight="1">
      <c r="A4665" s="26">
        <v>46457379</v>
      </c>
      <c r="B4665" s="29" t="s">
        <v>6900</v>
      </c>
      <c r="C4665" s="29" t="s">
        <v>21422</v>
      </c>
      <c r="D4665" s="29" t="s">
        <v>34650</v>
      </c>
      <c r="E4665" s="29" t="s">
        <v>47583</v>
      </c>
      <c r="F4665" s="36" t="s">
        <v>54401</v>
      </c>
      <c r="G4665" s="39">
        <v>2506819.4900000002</v>
      </c>
      <c r="H4665" s="42">
        <v>211</v>
      </c>
    </row>
    <row r="4666" spans="1:8" ht="15" customHeight="1">
      <c r="A4666" s="26">
        <v>46457382</v>
      </c>
      <c r="B4666" s="29" t="s">
        <v>6901</v>
      </c>
      <c r="C4666" s="29" t="s">
        <v>21423</v>
      </c>
      <c r="D4666" s="29" t="s">
        <v>34651</v>
      </c>
      <c r="E4666" s="29" t="s">
        <v>47584</v>
      </c>
      <c r="F4666" s="36" t="s">
        <v>54401</v>
      </c>
      <c r="G4666" s="39">
        <v>720183.24</v>
      </c>
      <c r="H4666" s="42">
        <v>211</v>
      </c>
    </row>
    <row r="4667" spans="1:8" ht="15" customHeight="1">
      <c r="A4667" s="26">
        <v>46457385</v>
      </c>
      <c r="B4667" s="29" t="s">
        <v>6902</v>
      </c>
      <c r="C4667" s="29" t="s">
        <v>21424</v>
      </c>
      <c r="D4667" s="29" t="s">
        <v>34652</v>
      </c>
      <c r="E4667" s="29" t="s">
        <v>43992</v>
      </c>
      <c r="F4667" s="36" t="s">
        <v>54401</v>
      </c>
      <c r="G4667" s="39">
        <v>2608283.38</v>
      </c>
      <c r="H4667" s="42">
        <v>211</v>
      </c>
    </row>
    <row r="4668" spans="1:8" ht="15" customHeight="1">
      <c r="A4668" s="26">
        <v>46457416</v>
      </c>
      <c r="B4668" s="29" t="s">
        <v>6903</v>
      </c>
      <c r="C4668" s="29" t="s">
        <v>21425</v>
      </c>
      <c r="D4668" s="29" t="s">
        <v>34653</v>
      </c>
      <c r="E4668" s="29" t="s">
        <v>47585</v>
      </c>
      <c r="F4668" s="36" t="s">
        <v>54401</v>
      </c>
      <c r="G4668" s="39">
        <v>2229488</v>
      </c>
      <c r="H4668" s="42">
        <v>211</v>
      </c>
    </row>
    <row r="4669" spans="1:8" ht="15" customHeight="1">
      <c r="A4669" s="26">
        <v>46457419</v>
      </c>
      <c r="B4669" s="29" t="s">
        <v>6904</v>
      </c>
      <c r="C4669" s="29" t="s">
        <v>21426</v>
      </c>
      <c r="D4669" s="29" t="s">
        <v>34654</v>
      </c>
      <c r="E4669" s="29" t="s">
        <v>47586</v>
      </c>
      <c r="F4669" s="36" t="s">
        <v>54407</v>
      </c>
      <c r="G4669" s="39">
        <v>809598.58</v>
      </c>
      <c r="H4669" s="42">
        <v>211</v>
      </c>
    </row>
    <row r="4670" spans="1:8" ht="15" customHeight="1">
      <c r="A4670" s="26">
        <v>46457438</v>
      </c>
      <c r="B4670" s="29" t="s">
        <v>6905</v>
      </c>
      <c r="C4670" s="29" t="s">
        <v>21427</v>
      </c>
      <c r="D4670" s="29" t="s">
        <v>34655</v>
      </c>
      <c r="E4670" s="29" t="s">
        <v>47587</v>
      </c>
      <c r="F4670" s="36" t="s">
        <v>54401</v>
      </c>
      <c r="G4670" s="39">
        <v>81937.14</v>
      </c>
      <c r="H4670" s="42">
        <v>211</v>
      </c>
    </row>
    <row r="4671" spans="1:8" ht="15" customHeight="1">
      <c r="A4671" s="26">
        <v>46457441</v>
      </c>
      <c r="B4671" s="29" t="s">
        <v>6906</v>
      </c>
      <c r="C4671" s="29" t="s">
        <v>21428</v>
      </c>
      <c r="D4671" s="29" t="s">
        <v>34656</v>
      </c>
      <c r="E4671" s="29" t="s">
        <v>47588</v>
      </c>
      <c r="F4671" s="36" t="s">
        <v>54401</v>
      </c>
      <c r="G4671" s="39">
        <v>285551.02</v>
      </c>
      <c r="H4671" s="42">
        <v>211</v>
      </c>
    </row>
    <row r="4672" spans="1:8" ht="15" customHeight="1">
      <c r="A4672" s="26">
        <v>46457456</v>
      </c>
      <c r="B4672" s="29" t="s">
        <v>6907</v>
      </c>
      <c r="C4672" s="29" t="s">
        <v>21429</v>
      </c>
      <c r="D4672" s="29" t="s">
        <v>30349</v>
      </c>
      <c r="E4672" s="29" t="s">
        <v>47589</v>
      </c>
      <c r="F4672" s="36" t="s">
        <v>54401</v>
      </c>
      <c r="G4672" s="39">
        <v>72864.12</v>
      </c>
      <c r="H4672" s="42">
        <v>211</v>
      </c>
    </row>
    <row r="4673" spans="1:8" ht="15" customHeight="1">
      <c r="A4673" s="26">
        <v>46457463</v>
      </c>
      <c r="B4673" s="29" t="s">
        <v>6908</v>
      </c>
      <c r="C4673" s="29" t="s">
        <v>21430</v>
      </c>
      <c r="D4673" s="29" t="s">
        <v>34657</v>
      </c>
      <c r="E4673" s="29" t="s">
        <v>44780</v>
      </c>
      <c r="F4673" s="36" t="s">
        <v>54401</v>
      </c>
      <c r="G4673" s="39">
        <v>8140872</v>
      </c>
      <c r="H4673" s="42">
        <v>211</v>
      </c>
    </row>
    <row r="4674" spans="1:8" ht="15" customHeight="1">
      <c r="A4674" s="26">
        <v>46457530</v>
      </c>
      <c r="B4674" s="29" t="s">
        <v>6909</v>
      </c>
      <c r="C4674" s="29" t="s">
        <v>21431</v>
      </c>
      <c r="D4674" s="29" t="s">
        <v>34658</v>
      </c>
      <c r="E4674" s="29" t="s">
        <v>47590</v>
      </c>
      <c r="F4674" s="36" t="s">
        <v>54401</v>
      </c>
      <c r="G4674" s="39">
        <v>283151.71999999997</v>
      </c>
      <c r="H4674" s="42">
        <v>211</v>
      </c>
    </row>
    <row r="4675" spans="1:8" ht="15" customHeight="1">
      <c r="A4675" s="26">
        <v>46457538</v>
      </c>
      <c r="B4675" s="29" t="s">
        <v>6910</v>
      </c>
      <c r="C4675" s="29" t="s">
        <v>21432</v>
      </c>
      <c r="D4675" s="29" t="s">
        <v>34659</v>
      </c>
      <c r="E4675" s="29" t="s">
        <v>46375</v>
      </c>
      <c r="F4675" s="36" t="s">
        <v>54401</v>
      </c>
      <c r="G4675" s="39">
        <v>31488.49</v>
      </c>
      <c r="H4675" s="42">
        <v>211</v>
      </c>
    </row>
    <row r="4676" spans="1:8" ht="15" customHeight="1">
      <c r="A4676" s="26">
        <v>46457559</v>
      </c>
      <c r="B4676" s="29" t="s">
        <v>6911</v>
      </c>
      <c r="C4676" s="29" t="s">
        <v>17204</v>
      </c>
      <c r="D4676" s="29" t="s">
        <v>30349</v>
      </c>
      <c r="E4676" s="29" t="s">
        <v>43926</v>
      </c>
      <c r="F4676" s="36" t="s">
        <v>54401</v>
      </c>
      <c r="G4676" s="39">
        <v>198596.13</v>
      </c>
      <c r="H4676" s="42">
        <v>211</v>
      </c>
    </row>
    <row r="4677" spans="1:8" ht="15" customHeight="1">
      <c r="A4677" s="26">
        <v>46457570</v>
      </c>
      <c r="B4677" s="29" t="s">
        <v>6912</v>
      </c>
      <c r="C4677" s="29" t="s">
        <v>21433</v>
      </c>
      <c r="D4677" s="29" t="s">
        <v>34660</v>
      </c>
      <c r="E4677" s="29" t="s">
        <v>45254</v>
      </c>
      <c r="F4677" s="36" t="s">
        <v>54401</v>
      </c>
      <c r="G4677" s="39">
        <v>382507.29</v>
      </c>
      <c r="H4677" s="42">
        <v>211</v>
      </c>
    </row>
    <row r="4678" spans="1:8" ht="15" customHeight="1">
      <c r="A4678" s="26">
        <v>46457574</v>
      </c>
      <c r="B4678" s="29" t="s">
        <v>6913</v>
      </c>
      <c r="C4678" s="29" t="s">
        <v>21434</v>
      </c>
      <c r="D4678" s="29" t="s">
        <v>31367</v>
      </c>
      <c r="E4678" s="29" t="s">
        <v>47591</v>
      </c>
      <c r="F4678" s="36" t="s">
        <v>54401</v>
      </c>
      <c r="G4678" s="39">
        <v>2153500.9900000002</v>
      </c>
      <c r="H4678" s="42">
        <v>211</v>
      </c>
    </row>
    <row r="4679" spans="1:8" ht="15" customHeight="1">
      <c r="A4679" s="26">
        <v>46457583</v>
      </c>
      <c r="B4679" s="29" t="s">
        <v>6914</v>
      </c>
      <c r="C4679" s="29" t="s">
        <v>21435</v>
      </c>
      <c r="D4679" s="29" t="s">
        <v>34661</v>
      </c>
      <c r="E4679" s="29" t="s">
        <v>47592</v>
      </c>
      <c r="F4679" s="36" t="s">
        <v>54401</v>
      </c>
      <c r="G4679" s="39">
        <v>566146.80000000005</v>
      </c>
      <c r="H4679" s="42">
        <v>211</v>
      </c>
    </row>
    <row r="4680" spans="1:8" ht="15" customHeight="1">
      <c r="A4680" s="26">
        <v>46457584</v>
      </c>
      <c r="B4680" s="29" t="s">
        <v>6915</v>
      </c>
      <c r="C4680" s="29" t="s">
        <v>21436</v>
      </c>
      <c r="D4680" s="29" t="s">
        <v>34662</v>
      </c>
      <c r="E4680" s="29" t="s">
        <v>44121</v>
      </c>
      <c r="F4680" s="36" t="s">
        <v>54401</v>
      </c>
      <c r="G4680" s="39">
        <v>23294.12</v>
      </c>
      <c r="H4680" s="42">
        <v>211</v>
      </c>
    </row>
    <row r="4681" spans="1:8" ht="15" customHeight="1">
      <c r="A4681" s="26">
        <v>46457597</v>
      </c>
      <c r="B4681" s="29" t="s">
        <v>6916</v>
      </c>
      <c r="C4681" s="29" t="s">
        <v>21437</v>
      </c>
      <c r="D4681" s="29" t="s">
        <v>34663</v>
      </c>
      <c r="E4681" s="29" t="s">
        <v>47593</v>
      </c>
      <c r="F4681" s="36" t="s">
        <v>54401</v>
      </c>
      <c r="G4681" s="39">
        <v>429885.89</v>
      </c>
      <c r="H4681" s="42">
        <v>211</v>
      </c>
    </row>
    <row r="4682" spans="1:8" ht="15" customHeight="1">
      <c r="A4682" s="26">
        <v>46457607</v>
      </c>
      <c r="B4682" s="29" t="s">
        <v>6917</v>
      </c>
      <c r="C4682" s="29" t="s">
        <v>21438</v>
      </c>
      <c r="D4682" s="29" t="s">
        <v>34664</v>
      </c>
      <c r="E4682" s="29" t="s">
        <v>47594</v>
      </c>
      <c r="F4682" s="36" t="s">
        <v>54401</v>
      </c>
      <c r="G4682" s="39">
        <v>3795762.84</v>
      </c>
      <c r="H4682" s="42">
        <v>211</v>
      </c>
    </row>
    <row r="4683" spans="1:8" ht="15" customHeight="1">
      <c r="A4683" s="26">
        <v>46457622</v>
      </c>
      <c r="B4683" s="29" t="s">
        <v>6918</v>
      </c>
      <c r="C4683" s="29" t="s">
        <v>21439</v>
      </c>
      <c r="D4683" s="29" t="s">
        <v>34665</v>
      </c>
      <c r="E4683" s="29" t="s">
        <v>44345</v>
      </c>
      <c r="F4683" s="36" t="s">
        <v>54401</v>
      </c>
      <c r="G4683" s="39">
        <v>371978.99</v>
      </c>
      <c r="H4683" s="42">
        <v>211</v>
      </c>
    </row>
    <row r="4684" spans="1:8" ht="15" customHeight="1">
      <c r="A4684" s="26">
        <v>46457626</v>
      </c>
      <c r="B4684" s="29" t="s">
        <v>6919</v>
      </c>
      <c r="C4684" s="29" t="s">
        <v>21440</v>
      </c>
      <c r="D4684" s="29" t="s">
        <v>32652</v>
      </c>
      <c r="E4684" s="29" t="s">
        <v>47595</v>
      </c>
      <c r="F4684" s="36" t="s">
        <v>54401</v>
      </c>
      <c r="G4684" s="39">
        <v>1275433.7</v>
      </c>
      <c r="H4684" s="42">
        <v>211</v>
      </c>
    </row>
    <row r="4685" spans="1:8" ht="15" customHeight="1">
      <c r="A4685" s="26">
        <v>46457636</v>
      </c>
      <c r="B4685" s="29" t="s">
        <v>6920</v>
      </c>
      <c r="C4685" s="29" t="s">
        <v>21441</v>
      </c>
      <c r="D4685" s="29" t="s">
        <v>30376</v>
      </c>
      <c r="E4685" s="29" t="s">
        <v>43926</v>
      </c>
      <c r="F4685" s="36" t="s">
        <v>54401</v>
      </c>
      <c r="G4685" s="39">
        <v>792626.04</v>
      </c>
      <c r="H4685" s="42">
        <v>211</v>
      </c>
    </row>
    <row r="4686" spans="1:8" ht="15" customHeight="1">
      <c r="A4686" s="26">
        <v>46457638</v>
      </c>
      <c r="B4686" s="29" t="s">
        <v>6921</v>
      </c>
      <c r="C4686" s="29" t="s">
        <v>21442</v>
      </c>
      <c r="D4686" s="29" t="s">
        <v>34666</v>
      </c>
      <c r="E4686" s="29" t="s">
        <v>47596</v>
      </c>
      <c r="F4686" s="36" t="s">
        <v>54401</v>
      </c>
      <c r="G4686" s="39">
        <v>3598675.41</v>
      </c>
      <c r="H4686" s="42">
        <v>211</v>
      </c>
    </row>
    <row r="4687" spans="1:8" ht="15" customHeight="1">
      <c r="A4687" s="26">
        <v>46457639</v>
      </c>
      <c r="B4687" s="29" t="s">
        <v>6922</v>
      </c>
      <c r="C4687" s="29" t="s">
        <v>21443</v>
      </c>
      <c r="D4687" s="29" t="s">
        <v>34667</v>
      </c>
      <c r="E4687" s="29" t="s">
        <v>47597</v>
      </c>
      <c r="F4687" s="36" t="s">
        <v>54401</v>
      </c>
      <c r="G4687" s="39">
        <v>4469728.28</v>
      </c>
      <c r="H4687" s="42">
        <v>211</v>
      </c>
    </row>
    <row r="4688" spans="1:8" ht="15" customHeight="1">
      <c r="A4688" s="26">
        <v>46457667</v>
      </c>
      <c r="B4688" s="29" t="s">
        <v>6923</v>
      </c>
      <c r="C4688" s="29" t="s">
        <v>17204</v>
      </c>
      <c r="D4688" s="29" t="s">
        <v>30349</v>
      </c>
      <c r="E4688" s="29" t="s">
        <v>43926</v>
      </c>
      <c r="F4688" s="36" t="s">
        <v>54401</v>
      </c>
      <c r="G4688" s="39">
        <v>857455.55</v>
      </c>
      <c r="H4688" s="42">
        <v>211</v>
      </c>
    </row>
    <row r="4689" spans="1:8" ht="15" customHeight="1">
      <c r="A4689" s="26">
        <v>46457668</v>
      </c>
      <c r="B4689" s="29" t="s">
        <v>6924</v>
      </c>
      <c r="C4689" s="29" t="s">
        <v>21444</v>
      </c>
      <c r="D4689" s="29" t="s">
        <v>34668</v>
      </c>
      <c r="E4689" s="29" t="s">
        <v>47598</v>
      </c>
      <c r="F4689" s="36" t="s">
        <v>54401</v>
      </c>
      <c r="G4689" s="39">
        <v>3980014</v>
      </c>
      <c r="H4689" s="42">
        <v>211</v>
      </c>
    </row>
    <row r="4690" spans="1:8" ht="15" customHeight="1">
      <c r="A4690" s="26">
        <v>46457677</v>
      </c>
      <c r="B4690" s="29" t="s">
        <v>6925</v>
      </c>
      <c r="C4690" s="29" t="s">
        <v>21445</v>
      </c>
      <c r="D4690" s="29" t="s">
        <v>34669</v>
      </c>
      <c r="E4690" s="29" t="s">
        <v>47599</v>
      </c>
      <c r="F4690" s="36" t="s">
        <v>54401</v>
      </c>
      <c r="G4690" s="39">
        <v>527915.67000000004</v>
      </c>
      <c r="H4690" s="42">
        <v>211</v>
      </c>
    </row>
    <row r="4691" spans="1:8" ht="15" customHeight="1">
      <c r="A4691" s="26">
        <v>46457680</v>
      </c>
      <c r="B4691" s="29" t="s">
        <v>6926</v>
      </c>
      <c r="C4691" s="29" t="s">
        <v>21446</v>
      </c>
      <c r="D4691" s="29" t="s">
        <v>34670</v>
      </c>
      <c r="E4691" s="29" t="s">
        <v>47600</v>
      </c>
      <c r="F4691" s="36" t="s">
        <v>54401</v>
      </c>
      <c r="G4691" s="39">
        <v>2262981.44</v>
      </c>
      <c r="H4691" s="42">
        <v>211</v>
      </c>
    </row>
    <row r="4692" spans="1:8" ht="15" customHeight="1">
      <c r="A4692" s="26">
        <v>46457693</v>
      </c>
      <c r="B4692" s="29" t="s">
        <v>6927</v>
      </c>
      <c r="C4692" s="29" t="s">
        <v>21447</v>
      </c>
      <c r="D4692" s="29" t="s">
        <v>34671</v>
      </c>
      <c r="E4692" s="29" t="s">
        <v>47601</v>
      </c>
      <c r="F4692" s="36" t="s">
        <v>54401</v>
      </c>
      <c r="G4692" s="39">
        <v>719239.23</v>
      </c>
      <c r="H4692" s="42">
        <v>211</v>
      </c>
    </row>
    <row r="4693" spans="1:8" ht="15" customHeight="1">
      <c r="A4693" s="26">
        <v>46457717</v>
      </c>
      <c r="B4693" s="29" t="s">
        <v>6928</v>
      </c>
      <c r="C4693" s="29" t="s">
        <v>21448</v>
      </c>
      <c r="D4693" s="29" t="s">
        <v>34672</v>
      </c>
      <c r="E4693" s="29" t="s">
        <v>47602</v>
      </c>
      <c r="F4693" s="36" t="s">
        <v>54401</v>
      </c>
      <c r="G4693" s="39">
        <v>90312.16</v>
      </c>
      <c r="H4693" s="42">
        <v>211</v>
      </c>
    </row>
    <row r="4694" spans="1:8" ht="15" customHeight="1">
      <c r="A4694" s="26">
        <v>46457726</v>
      </c>
      <c r="B4694" s="29" t="s">
        <v>6929</v>
      </c>
      <c r="C4694" s="29" t="s">
        <v>21449</v>
      </c>
      <c r="D4694" s="29" t="s">
        <v>34673</v>
      </c>
      <c r="E4694" s="29" t="s">
        <v>47603</v>
      </c>
      <c r="F4694" s="36" t="s">
        <v>54401</v>
      </c>
      <c r="G4694" s="39">
        <v>2786943</v>
      </c>
      <c r="H4694" s="42">
        <v>211</v>
      </c>
    </row>
    <row r="4695" spans="1:8" ht="15" customHeight="1">
      <c r="A4695" s="26">
        <v>46457729</v>
      </c>
      <c r="B4695" s="29" t="s">
        <v>6930</v>
      </c>
      <c r="C4695" s="29" t="s">
        <v>21450</v>
      </c>
      <c r="D4695" s="29" t="s">
        <v>34674</v>
      </c>
      <c r="E4695" s="29" t="s">
        <v>47604</v>
      </c>
      <c r="F4695" s="36" t="s">
        <v>54401</v>
      </c>
      <c r="G4695" s="39">
        <v>3016723</v>
      </c>
      <c r="H4695" s="42">
        <v>211</v>
      </c>
    </row>
    <row r="4696" spans="1:8" ht="15" customHeight="1">
      <c r="A4696" s="26">
        <v>46457730</v>
      </c>
      <c r="B4696" s="29" t="s">
        <v>6931</v>
      </c>
      <c r="C4696" s="29" t="s">
        <v>21451</v>
      </c>
      <c r="D4696" s="29" t="s">
        <v>34675</v>
      </c>
      <c r="E4696" s="29" t="s">
        <v>45502</v>
      </c>
      <c r="F4696" s="36" t="s">
        <v>54401</v>
      </c>
      <c r="G4696" s="39">
        <v>931359.04</v>
      </c>
      <c r="H4696" s="42">
        <v>211</v>
      </c>
    </row>
    <row r="4697" spans="1:8" ht="15" customHeight="1">
      <c r="A4697" s="26">
        <v>46457750</v>
      </c>
      <c r="B4697" s="29" t="s">
        <v>6932</v>
      </c>
      <c r="C4697" s="29" t="s">
        <v>21452</v>
      </c>
      <c r="D4697" s="29" t="s">
        <v>34676</v>
      </c>
      <c r="E4697" s="29" t="s">
        <v>47605</v>
      </c>
      <c r="F4697" s="36" t="s">
        <v>54401</v>
      </c>
      <c r="G4697" s="39">
        <v>5812831</v>
      </c>
      <c r="H4697" s="42">
        <v>211</v>
      </c>
    </row>
    <row r="4698" spans="1:8" ht="15" customHeight="1">
      <c r="A4698" s="26">
        <v>46457758</v>
      </c>
      <c r="B4698" s="29" t="s">
        <v>6933</v>
      </c>
      <c r="C4698" s="29" t="s">
        <v>17204</v>
      </c>
      <c r="D4698" s="29" t="s">
        <v>34677</v>
      </c>
      <c r="E4698" s="29" t="s">
        <v>43926</v>
      </c>
      <c r="F4698" s="36" t="s">
        <v>54401</v>
      </c>
      <c r="G4698" s="39">
        <v>164214.6</v>
      </c>
      <c r="H4698" s="42">
        <v>211</v>
      </c>
    </row>
    <row r="4699" spans="1:8" ht="15" customHeight="1">
      <c r="A4699" s="26">
        <v>46457769</v>
      </c>
      <c r="B4699" s="29" t="s">
        <v>6934</v>
      </c>
      <c r="C4699" s="29" t="s">
        <v>21453</v>
      </c>
      <c r="D4699" s="29" t="s">
        <v>34678</v>
      </c>
      <c r="E4699" s="29" t="s">
        <v>47606</v>
      </c>
      <c r="F4699" s="36" t="s">
        <v>54401</v>
      </c>
      <c r="G4699" s="39">
        <v>2851238.53</v>
      </c>
      <c r="H4699" s="42">
        <v>211</v>
      </c>
    </row>
    <row r="4700" spans="1:8" ht="15" customHeight="1">
      <c r="A4700" s="26">
        <v>46457789</v>
      </c>
      <c r="B4700" s="29" t="s">
        <v>6935</v>
      </c>
      <c r="C4700" s="29" t="s">
        <v>21454</v>
      </c>
      <c r="D4700" s="29" t="s">
        <v>34679</v>
      </c>
      <c r="E4700" s="29" t="s">
        <v>43926</v>
      </c>
      <c r="F4700" s="36" t="s">
        <v>54401</v>
      </c>
      <c r="G4700" s="39">
        <v>92415.53</v>
      </c>
      <c r="H4700" s="42">
        <v>211</v>
      </c>
    </row>
    <row r="4701" spans="1:8" ht="15" customHeight="1">
      <c r="A4701" s="26">
        <v>46457813</v>
      </c>
      <c r="B4701" s="29" t="s">
        <v>6936</v>
      </c>
      <c r="C4701" s="29" t="s">
        <v>21455</v>
      </c>
      <c r="D4701" s="29" t="s">
        <v>34680</v>
      </c>
      <c r="E4701" s="29" t="s">
        <v>43926</v>
      </c>
      <c r="F4701" s="36" t="s">
        <v>54401</v>
      </c>
      <c r="G4701" s="39">
        <v>96072.85</v>
      </c>
      <c r="H4701" s="42">
        <v>211</v>
      </c>
    </row>
    <row r="4702" spans="1:8" ht="15" customHeight="1">
      <c r="A4702" s="26">
        <v>46457817</v>
      </c>
      <c r="B4702" s="29" t="s">
        <v>6937</v>
      </c>
      <c r="C4702" s="29" t="s">
        <v>21456</v>
      </c>
      <c r="D4702" s="29" t="s">
        <v>30419</v>
      </c>
      <c r="E4702" s="29" t="s">
        <v>47607</v>
      </c>
      <c r="F4702" s="36" t="s">
        <v>54401</v>
      </c>
      <c r="G4702" s="39">
        <v>4196015</v>
      </c>
      <c r="H4702" s="42">
        <v>211</v>
      </c>
    </row>
    <row r="4703" spans="1:8" ht="15" customHeight="1">
      <c r="A4703" s="26">
        <v>46457819</v>
      </c>
      <c r="B4703" s="29" t="s">
        <v>6938</v>
      </c>
      <c r="C4703" s="29" t="s">
        <v>21457</v>
      </c>
      <c r="D4703" s="29" t="s">
        <v>34681</v>
      </c>
      <c r="E4703" s="29" t="s">
        <v>47608</v>
      </c>
      <c r="F4703" s="36" t="s">
        <v>54401</v>
      </c>
      <c r="G4703" s="39">
        <v>82909.16</v>
      </c>
      <c r="H4703" s="42">
        <v>211</v>
      </c>
    </row>
    <row r="4704" spans="1:8" ht="15" customHeight="1">
      <c r="A4704" s="26">
        <v>46457820</v>
      </c>
      <c r="B4704" s="29" t="s">
        <v>6939</v>
      </c>
      <c r="C4704" s="29" t="s">
        <v>21458</v>
      </c>
      <c r="D4704" s="29" t="s">
        <v>34682</v>
      </c>
      <c r="E4704" s="29" t="s">
        <v>47609</v>
      </c>
      <c r="F4704" s="36" t="s">
        <v>54401</v>
      </c>
      <c r="G4704" s="39">
        <v>7903.18</v>
      </c>
      <c r="H4704" s="42">
        <v>211</v>
      </c>
    </row>
    <row r="4705" spans="1:8" ht="15" customHeight="1">
      <c r="A4705" s="26">
        <v>46457839</v>
      </c>
      <c r="B4705" s="29" t="s">
        <v>6940</v>
      </c>
      <c r="C4705" s="29" t="s">
        <v>21459</v>
      </c>
      <c r="D4705" s="29" t="s">
        <v>34683</v>
      </c>
      <c r="E4705" s="29" t="s">
        <v>44973</v>
      </c>
      <c r="F4705" s="36" t="s">
        <v>54401</v>
      </c>
      <c r="G4705" s="39">
        <v>1038194.1</v>
      </c>
      <c r="H4705" s="42">
        <v>211</v>
      </c>
    </row>
    <row r="4706" spans="1:8" ht="15" customHeight="1">
      <c r="A4706" s="26">
        <v>46457851</v>
      </c>
      <c r="B4706" s="29" t="s">
        <v>6941</v>
      </c>
      <c r="C4706" s="26" t="s">
        <v>21460</v>
      </c>
      <c r="D4706" s="26" t="s">
        <v>34684</v>
      </c>
      <c r="E4706" s="26" t="s">
        <v>47610</v>
      </c>
      <c r="F4706" s="37" t="s">
        <v>54401</v>
      </c>
      <c r="G4706" s="39">
        <v>4119274</v>
      </c>
      <c r="H4706" s="42">
        <v>211</v>
      </c>
    </row>
    <row r="4707" spans="1:8" ht="15" customHeight="1">
      <c r="A4707" s="26">
        <v>46457853</v>
      </c>
      <c r="B4707" s="29" t="s">
        <v>6942</v>
      </c>
      <c r="C4707" s="29" t="s">
        <v>21461</v>
      </c>
      <c r="D4707" s="29" t="s">
        <v>34685</v>
      </c>
      <c r="E4707" s="29" t="s">
        <v>47611</v>
      </c>
      <c r="F4707" s="36" t="s">
        <v>54401</v>
      </c>
      <c r="G4707" s="39">
        <v>1809616</v>
      </c>
      <c r="H4707" s="42">
        <v>211</v>
      </c>
    </row>
    <row r="4708" spans="1:8" ht="15" customHeight="1">
      <c r="A4708" s="26">
        <v>46457860</v>
      </c>
      <c r="B4708" s="29" t="s">
        <v>6943</v>
      </c>
      <c r="C4708" s="29" t="s">
        <v>17204</v>
      </c>
      <c r="D4708" s="29" t="s">
        <v>30349</v>
      </c>
      <c r="E4708" s="29" t="s">
        <v>43926</v>
      </c>
      <c r="F4708" s="36" t="s">
        <v>54401</v>
      </c>
      <c r="G4708" s="39">
        <v>5667598</v>
      </c>
      <c r="H4708" s="42">
        <v>211</v>
      </c>
    </row>
    <row r="4709" spans="1:8" ht="15" customHeight="1">
      <c r="A4709" s="26">
        <v>46457863</v>
      </c>
      <c r="B4709" s="29" t="s">
        <v>6944</v>
      </c>
      <c r="C4709" s="29" t="s">
        <v>21462</v>
      </c>
      <c r="D4709" s="29" t="s">
        <v>34686</v>
      </c>
      <c r="E4709" s="29" t="s">
        <v>47612</v>
      </c>
      <c r="F4709" s="36" t="s">
        <v>54401</v>
      </c>
      <c r="G4709" s="39">
        <v>3445702</v>
      </c>
      <c r="H4709" s="42">
        <v>211</v>
      </c>
    </row>
    <row r="4710" spans="1:8" ht="15" customHeight="1">
      <c r="A4710" s="26">
        <v>46457868</v>
      </c>
      <c r="B4710" s="29" t="s">
        <v>6945</v>
      </c>
      <c r="C4710" s="29" t="s">
        <v>21463</v>
      </c>
      <c r="D4710" s="29" t="s">
        <v>34687</v>
      </c>
      <c r="E4710" s="29" t="s">
        <v>43926</v>
      </c>
      <c r="F4710" s="36" t="s">
        <v>54401</v>
      </c>
      <c r="G4710" s="39">
        <v>396081.58</v>
      </c>
      <c r="H4710" s="42">
        <v>211</v>
      </c>
    </row>
    <row r="4711" spans="1:8" ht="15" customHeight="1">
      <c r="A4711" s="26">
        <v>46457877</v>
      </c>
      <c r="B4711" s="29" t="s">
        <v>6946</v>
      </c>
      <c r="C4711" s="29" t="s">
        <v>21464</v>
      </c>
      <c r="D4711" s="29" t="s">
        <v>34688</v>
      </c>
      <c r="E4711" s="29" t="s">
        <v>47613</v>
      </c>
      <c r="F4711" s="36" t="s">
        <v>54401</v>
      </c>
      <c r="G4711" s="39">
        <v>1812729.11</v>
      </c>
      <c r="H4711" s="42">
        <v>211</v>
      </c>
    </row>
    <row r="4712" spans="1:8" ht="15" customHeight="1">
      <c r="A4712" s="26">
        <v>46457879</v>
      </c>
      <c r="B4712" s="29" t="s">
        <v>6947</v>
      </c>
      <c r="C4712" s="29" t="s">
        <v>21465</v>
      </c>
      <c r="D4712" s="29" t="s">
        <v>34689</v>
      </c>
      <c r="E4712" s="29" t="s">
        <v>44530</v>
      </c>
      <c r="F4712" s="36" t="s">
        <v>54401</v>
      </c>
      <c r="G4712" s="39">
        <v>198729.07</v>
      </c>
      <c r="H4712" s="42">
        <v>211</v>
      </c>
    </row>
    <row r="4713" spans="1:8" ht="15" customHeight="1">
      <c r="A4713" s="26">
        <v>46457880</v>
      </c>
      <c r="B4713" s="29" t="s">
        <v>6948</v>
      </c>
      <c r="C4713" s="29" t="s">
        <v>21466</v>
      </c>
      <c r="D4713" s="29" t="s">
        <v>34690</v>
      </c>
      <c r="E4713" s="29" t="s">
        <v>47614</v>
      </c>
      <c r="F4713" s="36" t="s">
        <v>54401</v>
      </c>
      <c r="G4713" s="39">
        <v>217535.35999999999</v>
      </c>
      <c r="H4713" s="42">
        <v>211</v>
      </c>
    </row>
    <row r="4714" spans="1:8" ht="15" customHeight="1">
      <c r="A4714" s="26">
        <v>46457885</v>
      </c>
      <c r="B4714" s="29" t="s">
        <v>6949</v>
      </c>
      <c r="C4714" s="29" t="s">
        <v>21467</v>
      </c>
      <c r="D4714" s="29" t="s">
        <v>34691</v>
      </c>
      <c r="E4714" s="29" t="s">
        <v>47615</v>
      </c>
      <c r="F4714" s="36" t="s">
        <v>54401</v>
      </c>
      <c r="G4714" s="39">
        <v>69882.12</v>
      </c>
      <c r="H4714" s="42">
        <v>211</v>
      </c>
    </row>
    <row r="4715" spans="1:8" ht="15" customHeight="1">
      <c r="A4715" s="26">
        <v>46457914</v>
      </c>
      <c r="B4715" s="29" t="s">
        <v>6950</v>
      </c>
      <c r="C4715" s="29" t="s">
        <v>21468</v>
      </c>
      <c r="D4715" s="29" t="s">
        <v>34692</v>
      </c>
      <c r="E4715" s="29" t="s">
        <v>47616</v>
      </c>
      <c r="F4715" s="36" t="s">
        <v>54401</v>
      </c>
      <c r="G4715" s="39">
        <v>3475589</v>
      </c>
      <c r="H4715" s="42">
        <v>211</v>
      </c>
    </row>
    <row r="4716" spans="1:8" ht="15" customHeight="1">
      <c r="A4716" s="26">
        <v>46457926</v>
      </c>
      <c r="B4716" s="29" t="s">
        <v>6951</v>
      </c>
      <c r="C4716" s="29" t="s">
        <v>21469</v>
      </c>
      <c r="D4716" s="29" t="s">
        <v>34693</v>
      </c>
      <c r="E4716" s="29" t="s">
        <v>47617</v>
      </c>
      <c r="F4716" s="36" t="s">
        <v>54401</v>
      </c>
      <c r="G4716" s="39">
        <v>409526.99</v>
      </c>
      <c r="H4716" s="42">
        <v>211</v>
      </c>
    </row>
    <row r="4717" spans="1:8" ht="15" customHeight="1">
      <c r="A4717" s="26">
        <v>46457971</v>
      </c>
      <c r="B4717" s="29" t="s">
        <v>6952</v>
      </c>
      <c r="C4717" s="29" t="s">
        <v>21470</v>
      </c>
      <c r="D4717" s="29" t="s">
        <v>34694</v>
      </c>
      <c r="E4717" s="29" t="s">
        <v>45006</v>
      </c>
      <c r="F4717" s="36" t="s">
        <v>54401</v>
      </c>
      <c r="G4717" s="39">
        <v>3195132</v>
      </c>
      <c r="H4717" s="42">
        <v>211</v>
      </c>
    </row>
    <row r="4718" spans="1:8" ht="15" customHeight="1">
      <c r="A4718" s="26">
        <v>46457977</v>
      </c>
      <c r="B4718" s="29" t="s">
        <v>6953</v>
      </c>
      <c r="C4718" s="29" t="s">
        <v>21471</v>
      </c>
      <c r="D4718" s="29" t="s">
        <v>34695</v>
      </c>
      <c r="E4718" s="29" t="s">
        <v>47618</v>
      </c>
      <c r="F4718" s="36" t="s">
        <v>54401</v>
      </c>
      <c r="G4718" s="39">
        <v>665198.46</v>
      </c>
      <c r="H4718" s="42">
        <v>211</v>
      </c>
    </row>
    <row r="4719" spans="1:8" ht="15" customHeight="1">
      <c r="A4719" s="26">
        <v>46457979</v>
      </c>
      <c r="B4719" s="29" t="s">
        <v>6954</v>
      </c>
      <c r="C4719" s="29" t="s">
        <v>21472</v>
      </c>
      <c r="D4719" s="29" t="s">
        <v>34696</v>
      </c>
      <c r="E4719" s="29" t="s">
        <v>47619</v>
      </c>
      <c r="F4719" s="36" t="s">
        <v>54401</v>
      </c>
      <c r="G4719" s="39">
        <v>185689.62</v>
      </c>
      <c r="H4719" s="42">
        <v>211</v>
      </c>
    </row>
    <row r="4720" spans="1:8" ht="15" customHeight="1">
      <c r="A4720" s="26">
        <v>46457988</v>
      </c>
      <c r="B4720" s="29" t="s">
        <v>6955</v>
      </c>
      <c r="C4720" s="29" t="s">
        <v>21473</v>
      </c>
      <c r="D4720" s="29" t="s">
        <v>34697</v>
      </c>
      <c r="E4720" s="29" t="s">
        <v>47620</v>
      </c>
      <c r="F4720" s="36" t="s">
        <v>54401</v>
      </c>
      <c r="G4720" s="39">
        <v>701735.55</v>
      </c>
      <c r="H4720" s="42">
        <v>211</v>
      </c>
    </row>
    <row r="4721" spans="1:8" ht="15" customHeight="1">
      <c r="A4721" s="26">
        <v>46457994</v>
      </c>
      <c r="B4721" s="29" t="s">
        <v>6956</v>
      </c>
      <c r="C4721" s="29" t="s">
        <v>21474</v>
      </c>
      <c r="D4721" s="29" t="s">
        <v>34698</v>
      </c>
      <c r="E4721" s="29" t="s">
        <v>47621</v>
      </c>
      <c r="F4721" s="36" t="s">
        <v>54401</v>
      </c>
      <c r="G4721" s="39">
        <v>10545653</v>
      </c>
      <c r="H4721" s="42">
        <v>211</v>
      </c>
    </row>
    <row r="4722" spans="1:8" ht="15" customHeight="1">
      <c r="A4722" s="26">
        <v>46457998</v>
      </c>
      <c r="B4722" s="29" t="s">
        <v>6957</v>
      </c>
      <c r="C4722" s="29" t="s">
        <v>17204</v>
      </c>
      <c r="D4722" s="29" t="s">
        <v>30349</v>
      </c>
      <c r="E4722" s="29" t="s">
        <v>43926</v>
      </c>
      <c r="F4722" s="36" t="s">
        <v>54401</v>
      </c>
      <c r="G4722" s="39">
        <v>152954.20000000001</v>
      </c>
      <c r="H4722" s="42">
        <v>211</v>
      </c>
    </row>
    <row r="4723" spans="1:8" ht="15" customHeight="1">
      <c r="A4723" s="26">
        <v>46458005</v>
      </c>
      <c r="B4723" s="29" t="s">
        <v>6958</v>
      </c>
      <c r="C4723" s="29" t="s">
        <v>21475</v>
      </c>
      <c r="D4723" s="29" t="s">
        <v>34699</v>
      </c>
      <c r="E4723" s="29" t="s">
        <v>47622</v>
      </c>
      <c r="F4723" s="36" t="s">
        <v>54401</v>
      </c>
      <c r="G4723" s="39">
        <v>599572</v>
      </c>
      <c r="H4723" s="42">
        <v>211</v>
      </c>
    </row>
    <row r="4724" spans="1:8" ht="15" customHeight="1">
      <c r="A4724" s="26">
        <v>46458006</v>
      </c>
      <c r="B4724" s="29" t="s">
        <v>6959</v>
      </c>
      <c r="C4724" s="29" t="s">
        <v>21476</v>
      </c>
      <c r="D4724" s="29" t="s">
        <v>34700</v>
      </c>
      <c r="E4724" s="29" t="s">
        <v>47623</v>
      </c>
      <c r="F4724" s="36" t="s">
        <v>54401</v>
      </c>
      <c r="G4724" s="39">
        <v>3677819</v>
      </c>
      <c r="H4724" s="42">
        <v>211</v>
      </c>
    </row>
    <row r="4725" spans="1:8" ht="15" customHeight="1">
      <c r="A4725" s="26">
        <v>46458012</v>
      </c>
      <c r="B4725" s="29" t="s">
        <v>6960</v>
      </c>
      <c r="C4725" s="26" t="s">
        <v>21477</v>
      </c>
      <c r="D4725" s="26" t="s">
        <v>34701</v>
      </c>
      <c r="E4725" s="26" t="s">
        <v>47624</v>
      </c>
      <c r="F4725" s="37" t="s">
        <v>54401</v>
      </c>
      <c r="G4725" s="39">
        <v>1391489.23</v>
      </c>
      <c r="H4725" s="42">
        <v>211</v>
      </c>
    </row>
    <row r="4726" spans="1:8" ht="15" customHeight="1">
      <c r="A4726" s="26">
        <v>46458043</v>
      </c>
      <c r="B4726" s="29" t="s">
        <v>6961</v>
      </c>
      <c r="C4726" s="29" t="s">
        <v>21478</v>
      </c>
      <c r="D4726" s="29" t="s">
        <v>34702</v>
      </c>
      <c r="E4726" s="29" t="s">
        <v>47625</v>
      </c>
      <c r="F4726" s="36" t="s">
        <v>54401</v>
      </c>
      <c r="G4726" s="39">
        <v>1722349</v>
      </c>
      <c r="H4726" s="42">
        <v>211</v>
      </c>
    </row>
    <row r="4727" spans="1:8" ht="15" customHeight="1">
      <c r="A4727" s="26">
        <v>46458044</v>
      </c>
      <c r="B4727" s="29" t="s">
        <v>6962</v>
      </c>
      <c r="C4727" s="26" t="s">
        <v>21479</v>
      </c>
      <c r="D4727" s="26" t="s">
        <v>34703</v>
      </c>
      <c r="E4727" s="26" t="s">
        <v>47626</v>
      </c>
      <c r="F4727" s="37" t="s">
        <v>54401</v>
      </c>
      <c r="G4727" s="39">
        <v>169066</v>
      </c>
      <c r="H4727" s="42">
        <v>211</v>
      </c>
    </row>
    <row r="4728" spans="1:8" ht="15" customHeight="1">
      <c r="A4728" s="26">
        <v>46458071</v>
      </c>
      <c r="B4728" s="29" t="s">
        <v>6963</v>
      </c>
      <c r="C4728" s="29" t="s">
        <v>21294</v>
      </c>
      <c r="D4728" s="29" t="s">
        <v>34523</v>
      </c>
      <c r="E4728" s="29" t="s">
        <v>43926</v>
      </c>
      <c r="F4728" s="36" t="s">
        <v>54401</v>
      </c>
      <c r="G4728" s="39">
        <v>3174446</v>
      </c>
      <c r="H4728" s="42">
        <v>211</v>
      </c>
    </row>
    <row r="4729" spans="1:8" ht="15" customHeight="1">
      <c r="A4729" s="26">
        <v>46458082</v>
      </c>
      <c r="B4729" s="29" t="s">
        <v>6964</v>
      </c>
      <c r="C4729" s="29" t="s">
        <v>21480</v>
      </c>
      <c r="D4729" s="29" t="s">
        <v>34704</v>
      </c>
      <c r="E4729" s="29" t="s">
        <v>47627</v>
      </c>
      <c r="F4729" s="36" t="s">
        <v>54401</v>
      </c>
      <c r="G4729" s="39">
        <v>930628.03</v>
      </c>
      <c r="H4729" s="42">
        <v>211</v>
      </c>
    </row>
    <row r="4730" spans="1:8" ht="15" customHeight="1">
      <c r="A4730" s="26">
        <v>46458092</v>
      </c>
      <c r="B4730" s="29" t="s">
        <v>6965</v>
      </c>
      <c r="C4730" s="29" t="s">
        <v>21481</v>
      </c>
      <c r="D4730" s="29" t="s">
        <v>34705</v>
      </c>
      <c r="E4730" s="29" t="s">
        <v>47628</v>
      </c>
      <c r="F4730" s="36" t="s">
        <v>54401</v>
      </c>
      <c r="G4730" s="39">
        <v>2250626.31</v>
      </c>
      <c r="H4730" s="42">
        <v>211</v>
      </c>
    </row>
    <row r="4731" spans="1:8" ht="15" customHeight="1">
      <c r="A4731" s="26">
        <v>46458116</v>
      </c>
      <c r="B4731" s="29" t="s">
        <v>6966</v>
      </c>
      <c r="C4731" s="29" t="s">
        <v>21482</v>
      </c>
      <c r="D4731" s="29" t="s">
        <v>34706</v>
      </c>
      <c r="E4731" s="29" t="s">
        <v>47629</v>
      </c>
      <c r="F4731" s="36" t="s">
        <v>54401</v>
      </c>
      <c r="G4731" s="39">
        <v>6026695.21</v>
      </c>
      <c r="H4731" s="42">
        <v>211</v>
      </c>
    </row>
    <row r="4732" spans="1:8" ht="15" customHeight="1">
      <c r="A4732" s="26">
        <v>46458118</v>
      </c>
      <c r="B4732" s="29" t="s">
        <v>6967</v>
      </c>
      <c r="C4732" s="29" t="s">
        <v>21483</v>
      </c>
      <c r="D4732" s="29" t="s">
        <v>34707</v>
      </c>
      <c r="E4732" s="29" t="s">
        <v>47630</v>
      </c>
      <c r="F4732" s="36" t="s">
        <v>54401</v>
      </c>
      <c r="G4732" s="39">
        <v>149025.85</v>
      </c>
      <c r="H4732" s="42">
        <v>211</v>
      </c>
    </row>
    <row r="4733" spans="1:8" ht="15" customHeight="1">
      <c r="A4733" s="26">
        <v>46458119</v>
      </c>
      <c r="B4733" s="29" t="s">
        <v>6968</v>
      </c>
      <c r="C4733" s="29" t="s">
        <v>21484</v>
      </c>
      <c r="D4733" s="29" t="s">
        <v>34708</v>
      </c>
      <c r="E4733" s="29" t="s">
        <v>47631</v>
      </c>
      <c r="F4733" s="36" t="s">
        <v>54401</v>
      </c>
      <c r="G4733" s="39">
        <v>3471775</v>
      </c>
      <c r="H4733" s="42">
        <v>211</v>
      </c>
    </row>
    <row r="4734" spans="1:8" ht="15" customHeight="1">
      <c r="A4734" s="26">
        <v>46458123</v>
      </c>
      <c r="B4734" s="29" t="s">
        <v>6969</v>
      </c>
      <c r="C4734" s="29" t="s">
        <v>21485</v>
      </c>
      <c r="D4734" s="29" t="s">
        <v>34709</v>
      </c>
      <c r="E4734" s="29" t="s">
        <v>47632</v>
      </c>
      <c r="F4734" s="36" t="s">
        <v>54401</v>
      </c>
      <c r="G4734" s="39">
        <v>580393.02</v>
      </c>
      <c r="H4734" s="42">
        <v>211</v>
      </c>
    </row>
    <row r="4735" spans="1:8" ht="15" customHeight="1">
      <c r="A4735" s="26">
        <v>46458131</v>
      </c>
      <c r="B4735" s="29" t="s">
        <v>6970</v>
      </c>
      <c r="C4735" s="29" t="s">
        <v>21486</v>
      </c>
      <c r="D4735" s="29" t="s">
        <v>34710</v>
      </c>
      <c r="E4735" s="29" t="s">
        <v>47633</v>
      </c>
      <c r="F4735" s="36" t="s">
        <v>54401</v>
      </c>
      <c r="G4735" s="39">
        <v>2426944</v>
      </c>
      <c r="H4735" s="42">
        <v>211</v>
      </c>
    </row>
    <row r="4736" spans="1:8" ht="15" customHeight="1">
      <c r="A4736" s="26">
        <v>46458133</v>
      </c>
      <c r="B4736" s="29" t="s">
        <v>6971</v>
      </c>
      <c r="C4736" s="29" t="s">
        <v>21487</v>
      </c>
      <c r="D4736" s="29" t="s">
        <v>34711</v>
      </c>
      <c r="E4736" s="29" t="s">
        <v>47634</v>
      </c>
      <c r="F4736" s="36" t="s">
        <v>54401</v>
      </c>
      <c r="G4736" s="39">
        <v>164106.9</v>
      </c>
      <c r="H4736" s="42">
        <v>211</v>
      </c>
    </row>
    <row r="4737" spans="1:8" ht="15" customHeight="1">
      <c r="A4737" s="26">
        <v>46458140</v>
      </c>
      <c r="B4737" s="29" t="s">
        <v>6972</v>
      </c>
      <c r="C4737" s="29" t="s">
        <v>21488</v>
      </c>
      <c r="D4737" s="29" t="s">
        <v>34712</v>
      </c>
      <c r="E4737" s="29" t="s">
        <v>47635</v>
      </c>
      <c r="F4737" s="36" t="s">
        <v>54401</v>
      </c>
      <c r="G4737" s="39">
        <v>1980426</v>
      </c>
      <c r="H4737" s="42">
        <v>211</v>
      </c>
    </row>
    <row r="4738" spans="1:8" ht="15" customHeight="1">
      <c r="A4738" s="26">
        <v>46458143</v>
      </c>
      <c r="B4738" s="29" t="s">
        <v>6973</v>
      </c>
      <c r="C4738" s="29" t="s">
        <v>21489</v>
      </c>
      <c r="D4738" s="29" t="s">
        <v>34416</v>
      </c>
      <c r="E4738" s="29" t="s">
        <v>43926</v>
      </c>
      <c r="F4738" s="36" t="s">
        <v>54401</v>
      </c>
      <c r="G4738" s="39">
        <v>171726.35</v>
      </c>
      <c r="H4738" s="42">
        <v>211</v>
      </c>
    </row>
    <row r="4739" spans="1:8" ht="15" customHeight="1">
      <c r="A4739" s="26">
        <v>46458159</v>
      </c>
      <c r="B4739" s="29" t="s">
        <v>6974</v>
      </c>
      <c r="C4739" s="29" t="s">
        <v>21490</v>
      </c>
      <c r="D4739" s="29" t="s">
        <v>34713</v>
      </c>
      <c r="E4739" s="29" t="s">
        <v>47636</v>
      </c>
      <c r="F4739" s="36" t="s">
        <v>54401</v>
      </c>
      <c r="G4739" s="39">
        <v>9733926</v>
      </c>
      <c r="H4739" s="42">
        <v>211</v>
      </c>
    </row>
    <row r="4740" spans="1:8" ht="15" customHeight="1">
      <c r="A4740" s="26">
        <v>46458160</v>
      </c>
      <c r="B4740" s="29" t="s">
        <v>6975</v>
      </c>
      <c r="C4740" s="26" t="s">
        <v>21491</v>
      </c>
      <c r="D4740" s="26" t="s">
        <v>34714</v>
      </c>
      <c r="E4740" s="26" t="s">
        <v>47637</v>
      </c>
      <c r="F4740" s="37" t="s">
        <v>54401</v>
      </c>
      <c r="G4740" s="39">
        <v>1908127.67</v>
      </c>
      <c r="H4740" s="42">
        <v>211</v>
      </c>
    </row>
    <row r="4741" spans="1:8" ht="15" customHeight="1">
      <c r="A4741" s="26">
        <v>46458166</v>
      </c>
      <c r="B4741" s="29" t="s">
        <v>6976</v>
      </c>
      <c r="C4741" s="29" t="s">
        <v>21492</v>
      </c>
      <c r="D4741" s="29" t="s">
        <v>34715</v>
      </c>
      <c r="E4741" s="29" t="s">
        <v>47638</v>
      </c>
      <c r="F4741" s="36" t="s">
        <v>54401</v>
      </c>
      <c r="G4741" s="39">
        <v>463497.23</v>
      </c>
      <c r="H4741" s="42">
        <v>211</v>
      </c>
    </row>
    <row r="4742" spans="1:8" ht="15" customHeight="1">
      <c r="A4742" s="26">
        <v>46458182</v>
      </c>
      <c r="B4742" s="29" t="s">
        <v>6977</v>
      </c>
      <c r="C4742" s="29" t="s">
        <v>21493</v>
      </c>
      <c r="D4742" s="29" t="s">
        <v>34716</v>
      </c>
      <c r="E4742" s="29" t="s">
        <v>47639</v>
      </c>
      <c r="F4742" s="36" t="s">
        <v>54401</v>
      </c>
      <c r="G4742" s="39">
        <v>519269.32</v>
      </c>
      <c r="H4742" s="42">
        <v>211</v>
      </c>
    </row>
    <row r="4743" spans="1:8" ht="15" customHeight="1">
      <c r="A4743" s="26">
        <v>46458191</v>
      </c>
      <c r="B4743" s="29" t="s">
        <v>6978</v>
      </c>
      <c r="C4743" s="29" t="s">
        <v>21494</v>
      </c>
      <c r="D4743" s="29" t="s">
        <v>34717</v>
      </c>
      <c r="E4743" s="29" t="s">
        <v>47640</v>
      </c>
      <c r="F4743" s="36" t="s">
        <v>54401</v>
      </c>
      <c r="G4743" s="39">
        <v>1837699.38</v>
      </c>
      <c r="H4743" s="42">
        <v>211</v>
      </c>
    </row>
    <row r="4744" spans="1:8" ht="15" customHeight="1">
      <c r="A4744" s="26">
        <v>46458201</v>
      </c>
      <c r="B4744" s="29" t="s">
        <v>6979</v>
      </c>
      <c r="C4744" s="29" t="s">
        <v>21495</v>
      </c>
      <c r="D4744" s="29" t="s">
        <v>34718</v>
      </c>
      <c r="E4744" s="29" t="s">
        <v>47641</v>
      </c>
      <c r="F4744" s="36" t="s">
        <v>54401</v>
      </c>
      <c r="G4744" s="39">
        <v>474717.95</v>
      </c>
      <c r="H4744" s="42">
        <v>211</v>
      </c>
    </row>
    <row r="4745" spans="1:8" ht="15" customHeight="1">
      <c r="A4745" s="26">
        <v>46458206</v>
      </c>
      <c r="B4745" s="29" t="s">
        <v>6980</v>
      </c>
      <c r="C4745" s="29" t="s">
        <v>21496</v>
      </c>
      <c r="D4745" s="29" t="s">
        <v>34719</v>
      </c>
      <c r="E4745" s="29" t="s">
        <v>47642</v>
      </c>
      <c r="F4745" s="36" t="s">
        <v>54401</v>
      </c>
      <c r="G4745" s="39">
        <v>787566.87</v>
      </c>
      <c r="H4745" s="42">
        <v>211</v>
      </c>
    </row>
    <row r="4746" spans="1:8" ht="15" customHeight="1">
      <c r="A4746" s="26">
        <v>46458207</v>
      </c>
      <c r="B4746" s="29" t="s">
        <v>6981</v>
      </c>
      <c r="C4746" s="29" t="s">
        <v>21497</v>
      </c>
      <c r="D4746" s="29" t="s">
        <v>34720</v>
      </c>
      <c r="E4746" s="29" t="s">
        <v>44084</v>
      </c>
      <c r="F4746" s="36" t="s">
        <v>54401</v>
      </c>
      <c r="G4746" s="39">
        <v>590997.39</v>
      </c>
      <c r="H4746" s="42">
        <v>211</v>
      </c>
    </row>
    <row r="4747" spans="1:8" ht="15" customHeight="1">
      <c r="A4747" s="26">
        <v>46458222</v>
      </c>
      <c r="B4747" s="29" t="s">
        <v>6982</v>
      </c>
      <c r="C4747" s="29" t="s">
        <v>21498</v>
      </c>
      <c r="D4747" s="29" t="s">
        <v>30714</v>
      </c>
      <c r="E4747" s="29" t="s">
        <v>47643</v>
      </c>
      <c r="F4747" s="36" t="s">
        <v>54401</v>
      </c>
      <c r="G4747" s="39">
        <v>3954362</v>
      </c>
      <c r="H4747" s="42">
        <v>211</v>
      </c>
    </row>
    <row r="4748" spans="1:8" ht="15" customHeight="1">
      <c r="A4748" s="26">
        <v>46458234</v>
      </c>
      <c r="B4748" s="29" t="s">
        <v>6983</v>
      </c>
      <c r="C4748" s="29" t="s">
        <v>21499</v>
      </c>
      <c r="D4748" s="29" t="s">
        <v>34721</v>
      </c>
      <c r="E4748" s="29" t="s">
        <v>47644</v>
      </c>
      <c r="F4748" s="36" t="s">
        <v>54401</v>
      </c>
      <c r="G4748" s="39">
        <v>292142.99</v>
      </c>
      <c r="H4748" s="42">
        <v>211</v>
      </c>
    </row>
    <row r="4749" spans="1:8" ht="15" customHeight="1">
      <c r="A4749" s="26">
        <v>46458245</v>
      </c>
      <c r="B4749" s="29" t="s">
        <v>6984</v>
      </c>
      <c r="C4749" s="29" t="s">
        <v>21500</v>
      </c>
      <c r="D4749" s="29" t="s">
        <v>34722</v>
      </c>
      <c r="E4749" s="29" t="s">
        <v>47645</v>
      </c>
      <c r="F4749" s="36" t="s">
        <v>54401</v>
      </c>
      <c r="G4749" s="39">
        <v>5765.57</v>
      </c>
      <c r="H4749" s="42">
        <v>211</v>
      </c>
    </row>
    <row r="4750" spans="1:8" ht="15" customHeight="1">
      <c r="A4750" s="26">
        <v>46458247</v>
      </c>
      <c r="B4750" s="29" t="s">
        <v>6985</v>
      </c>
      <c r="C4750" s="29" t="s">
        <v>21501</v>
      </c>
      <c r="D4750" s="29" t="s">
        <v>34723</v>
      </c>
      <c r="E4750" s="29" t="s">
        <v>47646</v>
      </c>
      <c r="F4750" s="36" t="s">
        <v>54401</v>
      </c>
      <c r="G4750" s="39">
        <v>2551314.4500000002</v>
      </c>
      <c r="H4750" s="42">
        <v>211</v>
      </c>
    </row>
    <row r="4751" spans="1:8" ht="15" customHeight="1">
      <c r="A4751" s="26">
        <v>46458248</v>
      </c>
      <c r="B4751" s="29" t="s">
        <v>6986</v>
      </c>
      <c r="C4751" s="29" t="s">
        <v>21502</v>
      </c>
      <c r="D4751" s="29" t="s">
        <v>34724</v>
      </c>
      <c r="E4751" s="29" t="s">
        <v>47647</v>
      </c>
      <c r="F4751" s="36" t="s">
        <v>54401</v>
      </c>
      <c r="G4751" s="39">
        <v>88554.63</v>
      </c>
      <c r="H4751" s="42">
        <v>211</v>
      </c>
    </row>
    <row r="4752" spans="1:8" ht="15" customHeight="1">
      <c r="A4752" s="26">
        <v>46458265</v>
      </c>
      <c r="B4752" s="29" t="s">
        <v>6987</v>
      </c>
      <c r="C4752" s="29" t="s">
        <v>21503</v>
      </c>
      <c r="D4752" s="29" t="s">
        <v>34725</v>
      </c>
      <c r="E4752" s="29" t="s">
        <v>47188</v>
      </c>
      <c r="F4752" s="36" t="s">
        <v>54401</v>
      </c>
      <c r="G4752" s="39">
        <v>56932.78</v>
      </c>
      <c r="H4752" s="42">
        <v>211</v>
      </c>
    </row>
    <row r="4753" spans="1:8" ht="15" customHeight="1">
      <c r="A4753" s="26">
        <v>46458270</v>
      </c>
      <c r="B4753" s="29" t="s">
        <v>6988</v>
      </c>
      <c r="C4753" s="29" t="s">
        <v>21504</v>
      </c>
      <c r="D4753" s="29" t="s">
        <v>34726</v>
      </c>
      <c r="E4753" s="29" t="s">
        <v>43926</v>
      </c>
      <c r="F4753" s="36" t="s">
        <v>54401</v>
      </c>
      <c r="G4753" s="39">
        <v>3086492</v>
      </c>
      <c r="H4753" s="42">
        <v>211</v>
      </c>
    </row>
    <row r="4754" spans="1:8" ht="15" customHeight="1">
      <c r="A4754" s="26">
        <v>46458282</v>
      </c>
      <c r="B4754" s="29" t="s">
        <v>6989</v>
      </c>
      <c r="C4754" s="29" t="s">
        <v>21505</v>
      </c>
      <c r="D4754" s="29" t="s">
        <v>34727</v>
      </c>
      <c r="E4754" s="29" t="s">
        <v>47648</v>
      </c>
      <c r="F4754" s="36" t="s">
        <v>54401</v>
      </c>
      <c r="G4754" s="39">
        <v>2454630.73</v>
      </c>
      <c r="H4754" s="42">
        <v>211</v>
      </c>
    </row>
    <row r="4755" spans="1:8" ht="15" customHeight="1">
      <c r="A4755" s="26">
        <v>46458287</v>
      </c>
      <c r="B4755" s="29" t="s">
        <v>6990</v>
      </c>
      <c r="C4755" s="29" t="s">
        <v>21506</v>
      </c>
      <c r="D4755" s="29" t="s">
        <v>34728</v>
      </c>
      <c r="E4755" s="29" t="s">
        <v>45006</v>
      </c>
      <c r="F4755" s="36" t="s">
        <v>54401</v>
      </c>
      <c r="G4755" s="39">
        <v>5012974.55</v>
      </c>
      <c r="H4755" s="42">
        <v>211</v>
      </c>
    </row>
    <row r="4756" spans="1:8" ht="15" customHeight="1">
      <c r="A4756" s="26">
        <v>46458292</v>
      </c>
      <c r="B4756" s="29" t="s">
        <v>6991</v>
      </c>
      <c r="C4756" s="29" t="s">
        <v>21507</v>
      </c>
      <c r="D4756" s="29" t="s">
        <v>34729</v>
      </c>
      <c r="E4756" s="29" t="s">
        <v>43926</v>
      </c>
      <c r="F4756" s="36" t="s">
        <v>54401</v>
      </c>
      <c r="G4756" s="39">
        <v>118173.92</v>
      </c>
      <c r="H4756" s="42">
        <v>211</v>
      </c>
    </row>
    <row r="4757" spans="1:8" ht="15" customHeight="1">
      <c r="A4757" s="26">
        <v>46458301</v>
      </c>
      <c r="B4757" s="29" t="s">
        <v>6992</v>
      </c>
      <c r="C4757" s="29" t="s">
        <v>17204</v>
      </c>
      <c r="D4757" s="29" t="s">
        <v>30349</v>
      </c>
      <c r="E4757" s="29" t="s">
        <v>43926</v>
      </c>
      <c r="F4757" s="36" t="s">
        <v>54401</v>
      </c>
      <c r="G4757" s="39">
        <v>158341.84</v>
      </c>
      <c r="H4757" s="42">
        <v>211</v>
      </c>
    </row>
    <row r="4758" spans="1:8" ht="15" customHeight="1">
      <c r="A4758" s="26">
        <v>46458306</v>
      </c>
      <c r="B4758" s="29" t="s">
        <v>6226</v>
      </c>
      <c r="C4758" s="29" t="s">
        <v>21508</v>
      </c>
      <c r="D4758" s="29" t="s">
        <v>34730</v>
      </c>
      <c r="E4758" s="29" t="s">
        <v>47649</v>
      </c>
      <c r="F4758" s="36" t="s">
        <v>54401</v>
      </c>
      <c r="G4758" s="39">
        <v>1946611.17</v>
      </c>
      <c r="H4758" s="42">
        <v>211</v>
      </c>
    </row>
    <row r="4759" spans="1:8" ht="15" customHeight="1">
      <c r="A4759" s="26">
        <v>46458312</v>
      </c>
      <c r="B4759" s="29" t="s">
        <v>6993</v>
      </c>
      <c r="C4759" s="29" t="s">
        <v>21509</v>
      </c>
      <c r="D4759" s="29" t="s">
        <v>34731</v>
      </c>
      <c r="E4759" s="29" t="s">
        <v>47650</v>
      </c>
      <c r="F4759" s="36" t="s">
        <v>54401</v>
      </c>
      <c r="G4759" s="39">
        <v>503054.19</v>
      </c>
      <c r="H4759" s="42">
        <v>211</v>
      </c>
    </row>
    <row r="4760" spans="1:8" ht="15" customHeight="1">
      <c r="A4760" s="26">
        <v>46458319</v>
      </c>
      <c r="B4760" s="29" t="s">
        <v>6994</v>
      </c>
      <c r="C4760" s="29" t="s">
        <v>21510</v>
      </c>
      <c r="D4760" s="29" t="s">
        <v>34732</v>
      </c>
      <c r="E4760" s="29" t="s">
        <v>47651</v>
      </c>
      <c r="F4760" s="36" t="s">
        <v>54401</v>
      </c>
      <c r="G4760" s="39">
        <v>826324.36</v>
      </c>
      <c r="H4760" s="42">
        <v>211</v>
      </c>
    </row>
    <row r="4761" spans="1:8" ht="15" customHeight="1">
      <c r="A4761" s="26">
        <v>46458341</v>
      </c>
      <c r="B4761" s="29" t="s">
        <v>6995</v>
      </c>
      <c r="C4761" s="29" t="s">
        <v>21511</v>
      </c>
      <c r="D4761" s="29" t="s">
        <v>34733</v>
      </c>
      <c r="E4761" s="29" t="s">
        <v>47652</v>
      </c>
      <c r="F4761" s="36" t="s">
        <v>54401</v>
      </c>
      <c r="G4761" s="39">
        <v>65201.81</v>
      </c>
      <c r="H4761" s="42">
        <v>211</v>
      </c>
    </row>
    <row r="4762" spans="1:8" ht="15" customHeight="1">
      <c r="A4762" s="26">
        <v>46458345</v>
      </c>
      <c r="B4762" s="29" t="s">
        <v>6996</v>
      </c>
      <c r="C4762" s="29" t="s">
        <v>21512</v>
      </c>
      <c r="D4762" s="29" t="s">
        <v>34734</v>
      </c>
      <c r="E4762" s="29" t="s">
        <v>47653</v>
      </c>
      <c r="F4762" s="36" t="s">
        <v>54401</v>
      </c>
      <c r="G4762" s="39">
        <v>766777.15</v>
      </c>
      <c r="H4762" s="42">
        <v>211</v>
      </c>
    </row>
    <row r="4763" spans="1:8" ht="15" customHeight="1">
      <c r="A4763" s="26">
        <v>46458369</v>
      </c>
      <c r="B4763" s="29" t="s">
        <v>6997</v>
      </c>
      <c r="C4763" s="29" t="s">
        <v>21513</v>
      </c>
      <c r="D4763" s="29" t="s">
        <v>34735</v>
      </c>
      <c r="E4763" s="29" t="s">
        <v>47654</v>
      </c>
      <c r="F4763" s="36" t="s">
        <v>54401</v>
      </c>
      <c r="G4763" s="39">
        <v>1212404.4099999999</v>
      </c>
      <c r="H4763" s="42">
        <v>211</v>
      </c>
    </row>
    <row r="4764" spans="1:8" ht="15" customHeight="1">
      <c r="A4764" s="26">
        <v>46458382</v>
      </c>
      <c r="B4764" s="29" t="s">
        <v>6998</v>
      </c>
      <c r="C4764" s="29" t="s">
        <v>21514</v>
      </c>
      <c r="D4764" s="29" t="s">
        <v>34736</v>
      </c>
      <c r="E4764" s="29" t="s">
        <v>47655</v>
      </c>
      <c r="F4764" s="36" t="s">
        <v>54401</v>
      </c>
      <c r="G4764" s="39">
        <v>1960306.2</v>
      </c>
      <c r="H4764" s="42">
        <v>211</v>
      </c>
    </row>
    <row r="4765" spans="1:8" ht="15" customHeight="1">
      <c r="A4765" s="26">
        <v>46458403</v>
      </c>
      <c r="B4765" s="29" t="s">
        <v>6999</v>
      </c>
      <c r="C4765" s="29" t="s">
        <v>21515</v>
      </c>
      <c r="D4765" s="29" t="s">
        <v>34737</v>
      </c>
      <c r="E4765" s="29" t="s">
        <v>47656</v>
      </c>
      <c r="F4765" s="36" t="s">
        <v>54401</v>
      </c>
      <c r="G4765" s="39">
        <v>5702366</v>
      </c>
      <c r="H4765" s="42">
        <v>211</v>
      </c>
    </row>
    <row r="4766" spans="1:8" ht="15" customHeight="1">
      <c r="A4766" s="26">
        <v>46458407</v>
      </c>
      <c r="B4766" s="29" t="s">
        <v>7000</v>
      </c>
      <c r="C4766" s="26" t="s">
        <v>21516</v>
      </c>
      <c r="D4766" s="26" t="s">
        <v>34738</v>
      </c>
      <c r="E4766" s="26" t="s">
        <v>47657</v>
      </c>
      <c r="F4766" s="37" t="s">
        <v>54401</v>
      </c>
      <c r="G4766" s="39">
        <v>1662987.41</v>
      </c>
      <c r="H4766" s="42">
        <v>211</v>
      </c>
    </row>
    <row r="4767" spans="1:8" ht="15" customHeight="1">
      <c r="A4767" s="26">
        <v>46458414</v>
      </c>
      <c r="B4767" s="29" t="s">
        <v>7001</v>
      </c>
      <c r="C4767" s="29" t="s">
        <v>21517</v>
      </c>
      <c r="D4767" s="29" t="s">
        <v>34739</v>
      </c>
      <c r="E4767" s="29" t="s">
        <v>47658</v>
      </c>
      <c r="F4767" s="36" t="s">
        <v>54401</v>
      </c>
      <c r="G4767" s="39">
        <v>2408896.36</v>
      </c>
      <c r="H4767" s="42">
        <v>211</v>
      </c>
    </row>
    <row r="4768" spans="1:8" ht="15" customHeight="1">
      <c r="A4768" s="26">
        <v>46458416</v>
      </c>
      <c r="B4768" s="29" t="s">
        <v>7002</v>
      </c>
      <c r="C4768" s="29" t="s">
        <v>17204</v>
      </c>
      <c r="D4768" s="29" t="s">
        <v>30349</v>
      </c>
      <c r="E4768" s="29" t="s">
        <v>43926</v>
      </c>
      <c r="F4768" s="36" t="s">
        <v>54401</v>
      </c>
      <c r="G4768" s="39">
        <v>82800.34</v>
      </c>
      <c r="H4768" s="42">
        <v>211</v>
      </c>
    </row>
    <row r="4769" spans="1:8" ht="15" customHeight="1">
      <c r="A4769" s="26">
        <v>46458423</v>
      </c>
      <c r="B4769" s="29" t="s">
        <v>7003</v>
      </c>
      <c r="C4769" s="29" t="s">
        <v>21518</v>
      </c>
      <c r="D4769" s="29" t="s">
        <v>34740</v>
      </c>
      <c r="E4769" s="29" t="s">
        <v>47659</v>
      </c>
      <c r="F4769" s="36" t="s">
        <v>54401</v>
      </c>
      <c r="G4769" s="39">
        <v>91861.79</v>
      </c>
      <c r="H4769" s="42">
        <v>211</v>
      </c>
    </row>
    <row r="4770" spans="1:8" ht="15" customHeight="1">
      <c r="A4770" s="26">
        <v>46458424</v>
      </c>
      <c r="B4770" s="29" t="s">
        <v>7004</v>
      </c>
      <c r="C4770" s="29" t="s">
        <v>21519</v>
      </c>
      <c r="D4770" s="29" t="s">
        <v>34741</v>
      </c>
      <c r="E4770" s="29" t="s">
        <v>47660</v>
      </c>
      <c r="F4770" s="36" t="s">
        <v>54401</v>
      </c>
      <c r="G4770" s="39">
        <v>247410.6</v>
      </c>
      <c r="H4770" s="42">
        <v>211</v>
      </c>
    </row>
    <row r="4771" spans="1:8" ht="15" customHeight="1">
      <c r="A4771" s="26">
        <v>46458430</v>
      </c>
      <c r="B4771" s="29" t="s">
        <v>7005</v>
      </c>
      <c r="C4771" s="29" t="s">
        <v>17204</v>
      </c>
      <c r="D4771" s="29" t="s">
        <v>34742</v>
      </c>
      <c r="E4771" s="29" t="s">
        <v>43926</v>
      </c>
      <c r="F4771" s="36" t="s">
        <v>54401</v>
      </c>
      <c r="G4771" s="39">
        <v>90458.25</v>
      </c>
      <c r="H4771" s="42">
        <v>211</v>
      </c>
    </row>
    <row r="4772" spans="1:8" ht="15" customHeight="1">
      <c r="A4772" s="26">
        <v>46458460</v>
      </c>
      <c r="B4772" s="29" t="s">
        <v>7006</v>
      </c>
      <c r="C4772" s="29" t="s">
        <v>21520</v>
      </c>
      <c r="D4772" s="29" t="s">
        <v>34743</v>
      </c>
      <c r="E4772" s="29" t="s">
        <v>47661</v>
      </c>
      <c r="F4772" s="36" t="s">
        <v>54401</v>
      </c>
      <c r="G4772" s="39">
        <v>1810591.08</v>
      </c>
      <c r="H4772" s="42">
        <v>211</v>
      </c>
    </row>
    <row r="4773" spans="1:8" ht="15" customHeight="1">
      <c r="A4773" s="26">
        <v>46458471</v>
      </c>
      <c r="B4773" s="29" t="s">
        <v>7007</v>
      </c>
      <c r="C4773" s="29" t="s">
        <v>21521</v>
      </c>
      <c r="D4773" s="29" t="s">
        <v>34744</v>
      </c>
      <c r="E4773" s="29" t="s">
        <v>45006</v>
      </c>
      <c r="F4773" s="36" t="s">
        <v>54401</v>
      </c>
      <c r="G4773" s="39">
        <v>67442.31</v>
      </c>
      <c r="H4773" s="42">
        <v>211</v>
      </c>
    </row>
    <row r="4774" spans="1:8" ht="15" customHeight="1">
      <c r="A4774" s="26">
        <v>46458474</v>
      </c>
      <c r="B4774" s="29" t="s">
        <v>7008</v>
      </c>
      <c r="C4774" s="29" t="s">
        <v>21522</v>
      </c>
      <c r="D4774" s="29" t="s">
        <v>34745</v>
      </c>
      <c r="E4774" s="29" t="s">
        <v>47662</v>
      </c>
      <c r="F4774" s="36" t="s">
        <v>54401</v>
      </c>
      <c r="G4774" s="39">
        <v>5923877</v>
      </c>
      <c r="H4774" s="42">
        <v>211</v>
      </c>
    </row>
    <row r="4775" spans="1:8" ht="15" customHeight="1">
      <c r="A4775" s="26">
        <v>46458485</v>
      </c>
      <c r="B4775" s="29" t="s">
        <v>7009</v>
      </c>
      <c r="C4775" s="26" t="s">
        <v>21523</v>
      </c>
      <c r="D4775" s="26" t="s">
        <v>30376</v>
      </c>
      <c r="E4775" s="26" t="s">
        <v>47663</v>
      </c>
      <c r="F4775" s="37" t="s">
        <v>54401</v>
      </c>
      <c r="G4775" s="39">
        <v>3066368</v>
      </c>
      <c r="H4775" s="42">
        <v>211</v>
      </c>
    </row>
    <row r="4776" spans="1:8" ht="15" customHeight="1">
      <c r="A4776" s="26">
        <v>46458487</v>
      </c>
      <c r="B4776" s="29" t="s">
        <v>7010</v>
      </c>
      <c r="C4776" s="29" t="s">
        <v>21524</v>
      </c>
      <c r="D4776" s="29" t="s">
        <v>34746</v>
      </c>
      <c r="E4776" s="29" t="s">
        <v>43926</v>
      </c>
      <c r="F4776" s="36" t="s">
        <v>54401</v>
      </c>
      <c r="G4776" s="39">
        <v>136818.15</v>
      </c>
      <c r="H4776" s="42">
        <v>211</v>
      </c>
    </row>
    <row r="4777" spans="1:8" ht="15" customHeight="1">
      <c r="A4777" s="26">
        <v>46458497</v>
      </c>
      <c r="B4777" s="29" t="s">
        <v>7011</v>
      </c>
      <c r="C4777" s="29" t="s">
        <v>21525</v>
      </c>
      <c r="D4777" s="29" t="s">
        <v>34747</v>
      </c>
      <c r="E4777" s="29" t="s">
        <v>44839</v>
      </c>
      <c r="F4777" s="36" t="s">
        <v>54401</v>
      </c>
      <c r="G4777" s="39">
        <v>2705781.61</v>
      </c>
      <c r="H4777" s="42">
        <v>211</v>
      </c>
    </row>
    <row r="4778" spans="1:8" ht="15" customHeight="1">
      <c r="A4778" s="26">
        <v>46458512</v>
      </c>
      <c r="B4778" s="29" t="s">
        <v>7012</v>
      </c>
      <c r="C4778" s="26" t="s">
        <v>21526</v>
      </c>
      <c r="D4778" s="26" t="s">
        <v>34748</v>
      </c>
      <c r="E4778" s="26" t="s">
        <v>47664</v>
      </c>
      <c r="F4778" s="37" t="s">
        <v>54401</v>
      </c>
      <c r="G4778" s="39">
        <v>2362358.1</v>
      </c>
      <c r="H4778" s="42">
        <v>211</v>
      </c>
    </row>
    <row r="4779" spans="1:8" ht="15" customHeight="1">
      <c r="A4779" s="26">
        <v>46458513</v>
      </c>
      <c r="B4779" s="29" t="s">
        <v>7013</v>
      </c>
      <c r="C4779" s="29" t="s">
        <v>21527</v>
      </c>
      <c r="D4779" s="29" t="s">
        <v>34749</v>
      </c>
      <c r="E4779" s="29" t="s">
        <v>47665</v>
      </c>
      <c r="F4779" s="36" t="s">
        <v>54401</v>
      </c>
      <c r="G4779" s="39">
        <v>138193.07</v>
      </c>
      <c r="H4779" s="42">
        <v>211</v>
      </c>
    </row>
    <row r="4780" spans="1:8" ht="15" customHeight="1">
      <c r="A4780" s="26">
        <v>46458514</v>
      </c>
      <c r="B4780" s="29" t="s">
        <v>7014</v>
      </c>
      <c r="C4780" s="29" t="s">
        <v>21528</v>
      </c>
      <c r="D4780" s="29" t="s">
        <v>34750</v>
      </c>
      <c r="E4780" s="29" t="s">
        <v>47666</v>
      </c>
      <c r="F4780" s="36" t="s">
        <v>54401</v>
      </c>
      <c r="G4780" s="39">
        <v>3913836.06</v>
      </c>
      <c r="H4780" s="42">
        <v>211</v>
      </c>
    </row>
    <row r="4781" spans="1:8" ht="15" customHeight="1">
      <c r="A4781" s="26">
        <v>46458519</v>
      </c>
      <c r="B4781" s="29" t="s">
        <v>7015</v>
      </c>
      <c r="C4781" s="29" t="s">
        <v>21529</v>
      </c>
      <c r="D4781" s="29" t="s">
        <v>34751</v>
      </c>
      <c r="E4781" s="29" t="s">
        <v>45178</v>
      </c>
      <c r="F4781" s="36" t="s">
        <v>54401</v>
      </c>
      <c r="G4781" s="39">
        <v>2206398</v>
      </c>
      <c r="H4781" s="42">
        <v>211</v>
      </c>
    </row>
    <row r="4782" spans="1:8" ht="15" customHeight="1">
      <c r="A4782" s="26">
        <v>46471367</v>
      </c>
      <c r="B4782" s="29" t="s">
        <v>7016</v>
      </c>
      <c r="C4782" s="29" t="s">
        <v>17204</v>
      </c>
      <c r="D4782" s="29" t="s">
        <v>30349</v>
      </c>
      <c r="E4782" s="29" t="s">
        <v>43926</v>
      </c>
      <c r="F4782" s="36" t="s">
        <v>54401</v>
      </c>
      <c r="G4782" s="39">
        <v>592095.71</v>
      </c>
      <c r="H4782" s="42">
        <v>211</v>
      </c>
    </row>
    <row r="4783" spans="1:8" ht="15" customHeight="1">
      <c r="A4783" s="26">
        <v>46643047</v>
      </c>
      <c r="B4783" s="29" t="s">
        <v>7017</v>
      </c>
      <c r="C4783" s="29" t="s">
        <v>21530</v>
      </c>
      <c r="D4783" s="29" t="s">
        <v>34752</v>
      </c>
      <c r="E4783" s="29" t="s">
        <v>47667</v>
      </c>
      <c r="F4783" s="36" t="s">
        <v>54401</v>
      </c>
      <c r="G4783" s="39">
        <v>9314856.2100000009</v>
      </c>
      <c r="H4783" s="42">
        <v>211</v>
      </c>
    </row>
    <row r="4784" spans="1:8" ht="15" customHeight="1">
      <c r="A4784" s="26">
        <v>46645427</v>
      </c>
      <c r="B4784" s="29" t="s">
        <v>7018</v>
      </c>
      <c r="C4784" s="29" t="s">
        <v>21531</v>
      </c>
      <c r="D4784" s="29" t="s">
        <v>34753</v>
      </c>
      <c r="E4784" s="29" t="s">
        <v>43926</v>
      </c>
      <c r="F4784" s="36" t="s">
        <v>54401</v>
      </c>
      <c r="G4784" s="39">
        <v>464783.23</v>
      </c>
      <c r="H4784" s="42">
        <v>211</v>
      </c>
    </row>
    <row r="4785" spans="1:8" ht="15" customHeight="1">
      <c r="A4785" s="26">
        <v>46660057</v>
      </c>
      <c r="B4785" s="29" t="s">
        <v>7019</v>
      </c>
      <c r="C4785" s="29" t="s">
        <v>21532</v>
      </c>
      <c r="D4785" s="29" t="s">
        <v>34754</v>
      </c>
      <c r="E4785" s="29" t="s">
        <v>47668</v>
      </c>
      <c r="F4785" s="36" t="s">
        <v>54401</v>
      </c>
      <c r="G4785" s="39">
        <v>5024497</v>
      </c>
      <c r="H4785" s="42">
        <v>211</v>
      </c>
    </row>
    <row r="4786" spans="1:8" ht="15" customHeight="1">
      <c r="A4786" s="26">
        <v>46660110</v>
      </c>
      <c r="B4786" s="29" t="s">
        <v>7020</v>
      </c>
      <c r="C4786" s="29" t="s">
        <v>21533</v>
      </c>
      <c r="D4786" s="29" t="s">
        <v>34755</v>
      </c>
      <c r="E4786" s="29" t="s">
        <v>47669</v>
      </c>
      <c r="F4786" s="36" t="s">
        <v>54401</v>
      </c>
      <c r="G4786" s="39">
        <v>5856812.8399999999</v>
      </c>
      <c r="H4786" s="42">
        <v>211</v>
      </c>
    </row>
    <row r="4787" spans="1:8" ht="15" customHeight="1">
      <c r="A4787" s="26">
        <v>46660147</v>
      </c>
      <c r="B4787" s="29" t="s">
        <v>7021</v>
      </c>
      <c r="C4787" s="29" t="s">
        <v>17204</v>
      </c>
      <c r="D4787" s="29" t="s">
        <v>34756</v>
      </c>
      <c r="E4787" s="29" t="s">
        <v>43926</v>
      </c>
      <c r="F4787" s="36" t="s">
        <v>54401</v>
      </c>
      <c r="G4787" s="39">
        <v>37831.94</v>
      </c>
      <c r="H4787" s="42">
        <v>211</v>
      </c>
    </row>
    <row r="4788" spans="1:8" ht="15" customHeight="1">
      <c r="A4788" s="26">
        <v>46660171</v>
      </c>
      <c r="B4788" s="29" t="s">
        <v>7022</v>
      </c>
      <c r="C4788" s="29" t="s">
        <v>21534</v>
      </c>
      <c r="D4788" s="29" t="s">
        <v>34757</v>
      </c>
      <c r="E4788" s="29" t="s">
        <v>47670</v>
      </c>
      <c r="F4788" s="36" t="s">
        <v>54401</v>
      </c>
      <c r="G4788" s="39">
        <v>366893.91</v>
      </c>
      <c r="H4788" s="42">
        <v>211</v>
      </c>
    </row>
    <row r="4789" spans="1:8" ht="15" customHeight="1">
      <c r="A4789" s="26">
        <v>46660324</v>
      </c>
      <c r="B4789" s="29" t="s">
        <v>7023</v>
      </c>
      <c r="C4789" s="29" t="s">
        <v>21535</v>
      </c>
      <c r="D4789" s="29" t="s">
        <v>34758</v>
      </c>
      <c r="E4789" s="29" t="s">
        <v>47671</v>
      </c>
      <c r="F4789" s="36" t="s">
        <v>54401</v>
      </c>
      <c r="G4789" s="39">
        <v>10956321</v>
      </c>
      <c r="H4789" s="42">
        <v>211</v>
      </c>
    </row>
    <row r="4790" spans="1:8" ht="15" customHeight="1">
      <c r="A4790" s="26">
        <v>46660333</v>
      </c>
      <c r="B4790" s="29" t="s">
        <v>7024</v>
      </c>
      <c r="C4790" s="29" t="s">
        <v>17204</v>
      </c>
      <c r="D4790" s="29" t="s">
        <v>30349</v>
      </c>
      <c r="E4790" s="29" t="s">
        <v>43926</v>
      </c>
      <c r="F4790" s="36" t="s">
        <v>54401</v>
      </c>
      <c r="G4790" s="39">
        <v>646781.99</v>
      </c>
      <c r="H4790" s="42">
        <v>211</v>
      </c>
    </row>
    <row r="4791" spans="1:8" ht="15" customHeight="1">
      <c r="A4791" s="26">
        <v>46660339</v>
      </c>
      <c r="B4791" s="29" t="s">
        <v>7025</v>
      </c>
      <c r="C4791" s="29" t="s">
        <v>21536</v>
      </c>
      <c r="D4791" s="29" t="s">
        <v>34759</v>
      </c>
      <c r="E4791" s="29" t="s">
        <v>47672</v>
      </c>
      <c r="F4791" s="36" t="s">
        <v>54401</v>
      </c>
      <c r="G4791" s="39">
        <v>1144256.3500000001</v>
      </c>
      <c r="H4791" s="42">
        <v>211</v>
      </c>
    </row>
    <row r="4792" spans="1:8" ht="15" customHeight="1">
      <c r="A4792" s="26">
        <v>46660363</v>
      </c>
      <c r="B4792" s="29" t="s">
        <v>7026</v>
      </c>
      <c r="C4792" s="29" t="s">
        <v>21537</v>
      </c>
      <c r="D4792" s="29" t="s">
        <v>34760</v>
      </c>
      <c r="E4792" s="29" t="s">
        <v>43926</v>
      </c>
      <c r="F4792" s="36" t="s">
        <v>54401</v>
      </c>
      <c r="G4792" s="39">
        <v>646997.32999999996</v>
      </c>
      <c r="H4792" s="42">
        <v>211</v>
      </c>
    </row>
    <row r="4793" spans="1:8" ht="15" customHeight="1">
      <c r="A4793" s="26">
        <v>46660369</v>
      </c>
      <c r="B4793" s="29" t="s">
        <v>7027</v>
      </c>
      <c r="C4793" s="29" t="s">
        <v>21538</v>
      </c>
      <c r="D4793" s="29" t="s">
        <v>34761</v>
      </c>
      <c r="E4793" s="29" t="s">
        <v>47673</v>
      </c>
      <c r="F4793" s="36" t="s">
        <v>54401</v>
      </c>
      <c r="G4793" s="39">
        <v>135921.22</v>
      </c>
      <c r="H4793" s="42">
        <v>211</v>
      </c>
    </row>
    <row r="4794" spans="1:8" ht="15" customHeight="1">
      <c r="A4794" s="26">
        <v>46660436</v>
      </c>
      <c r="B4794" s="29" t="s">
        <v>7028</v>
      </c>
      <c r="C4794" s="29" t="s">
        <v>21539</v>
      </c>
      <c r="D4794" s="29" t="s">
        <v>34762</v>
      </c>
      <c r="E4794" s="29" t="s">
        <v>47674</v>
      </c>
      <c r="F4794" s="36" t="s">
        <v>54401</v>
      </c>
      <c r="G4794" s="39">
        <v>122481.19</v>
      </c>
      <c r="H4794" s="42">
        <v>211</v>
      </c>
    </row>
    <row r="4795" spans="1:8" ht="15" customHeight="1">
      <c r="A4795" s="26">
        <v>46660473</v>
      </c>
      <c r="B4795" s="29" t="s">
        <v>7029</v>
      </c>
      <c r="C4795" s="29" t="s">
        <v>21540</v>
      </c>
      <c r="D4795" s="29" t="s">
        <v>34763</v>
      </c>
      <c r="E4795" s="29" t="s">
        <v>47675</v>
      </c>
      <c r="F4795" s="36" t="s">
        <v>54401</v>
      </c>
      <c r="G4795" s="39">
        <v>234761.16</v>
      </c>
      <c r="H4795" s="42">
        <v>211</v>
      </c>
    </row>
    <row r="4796" spans="1:8" ht="15" customHeight="1">
      <c r="A4796" s="26">
        <v>46660477</v>
      </c>
      <c r="B4796" s="29" t="s">
        <v>7030</v>
      </c>
      <c r="C4796" s="29" t="s">
        <v>21541</v>
      </c>
      <c r="D4796" s="29" t="s">
        <v>34764</v>
      </c>
      <c r="E4796" s="29" t="s">
        <v>46533</v>
      </c>
      <c r="F4796" s="36" t="s">
        <v>54401</v>
      </c>
      <c r="G4796" s="39">
        <v>400416.81</v>
      </c>
      <c r="H4796" s="42">
        <v>211</v>
      </c>
    </row>
    <row r="4797" spans="1:8" ht="15" customHeight="1">
      <c r="A4797" s="26">
        <v>46660502</v>
      </c>
      <c r="B4797" s="29" t="s">
        <v>7031</v>
      </c>
      <c r="C4797" s="26" t="s">
        <v>21542</v>
      </c>
      <c r="D4797" s="26" t="s">
        <v>34765</v>
      </c>
      <c r="E4797" s="26" t="s">
        <v>47676</v>
      </c>
      <c r="F4797" s="37" t="s">
        <v>54401</v>
      </c>
      <c r="G4797" s="39">
        <v>20340.78</v>
      </c>
      <c r="H4797" s="42">
        <v>211</v>
      </c>
    </row>
    <row r="4798" spans="1:8" ht="15" customHeight="1">
      <c r="A4798" s="26">
        <v>46660528</v>
      </c>
      <c r="B4798" s="29" t="s">
        <v>7032</v>
      </c>
      <c r="C4798" s="26" t="s">
        <v>21543</v>
      </c>
      <c r="D4798" s="26" t="s">
        <v>34766</v>
      </c>
      <c r="E4798" s="26" t="s">
        <v>47677</v>
      </c>
      <c r="F4798" s="37" t="s">
        <v>54401</v>
      </c>
      <c r="G4798" s="39">
        <v>443547.06</v>
      </c>
      <c r="H4798" s="42">
        <v>211</v>
      </c>
    </row>
    <row r="4799" spans="1:8" ht="15" customHeight="1">
      <c r="A4799" s="26">
        <v>46660574</v>
      </c>
      <c r="B4799" s="29" t="s">
        <v>7033</v>
      </c>
      <c r="C4799" s="29" t="s">
        <v>21544</v>
      </c>
      <c r="D4799" s="29" t="s">
        <v>34767</v>
      </c>
      <c r="E4799" s="29" t="s">
        <v>47678</v>
      </c>
      <c r="F4799" s="36" t="s">
        <v>54401</v>
      </c>
      <c r="G4799" s="39">
        <v>1306550.19</v>
      </c>
      <c r="H4799" s="42">
        <v>211</v>
      </c>
    </row>
    <row r="4800" spans="1:8" ht="15" customHeight="1">
      <c r="A4800" s="26">
        <v>46660652</v>
      </c>
      <c r="B4800" s="29" t="s">
        <v>7034</v>
      </c>
      <c r="C4800" s="29" t="s">
        <v>21545</v>
      </c>
      <c r="D4800" s="29" t="s">
        <v>34768</v>
      </c>
      <c r="E4800" s="29" t="s">
        <v>47679</v>
      </c>
      <c r="F4800" s="36" t="s">
        <v>54401</v>
      </c>
      <c r="G4800" s="39">
        <v>213849.76</v>
      </c>
      <c r="H4800" s="42">
        <v>211</v>
      </c>
    </row>
    <row r="4801" spans="1:8" ht="15" customHeight="1">
      <c r="A4801" s="26">
        <v>46660667</v>
      </c>
      <c r="B4801" s="29" t="s">
        <v>7035</v>
      </c>
      <c r="C4801" s="29" t="s">
        <v>17204</v>
      </c>
      <c r="D4801" s="29" t="s">
        <v>34769</v>
      </c>
      <c r="E4801" s="29" t="s">
        <v>47680</v>
      </c>
      <c r="F4801" s="36" t="s">
        <v>54401</v>
      </c>
      <c r="G4801" s="39">
        <v>501723.35</v>
      </c>
      <c r="H4801" s="42">
        <v>211</v>
      </c>
    </row>
    <row r="4802" spans="1:8" ht="15" customHeight="1">
      <c r="A4802" s="26">
        <v>46660700</v>
      </c>
      <c r="B4802" s="29" t="s">
        <v>7036</v>
      </c>
      <c r="C4802" s="29" t="s">
        <v>21546</v>
      </c>
      <c r="D4802" s="29" t="s">
        <v>34770</v>
      </c>
      <c r="E4802" s="29" t="s">
        <v>43926</v>
      </c>
      <c r="F4802" s="36" t="s">
        <v>54401</v>
      </c>
      <c r="G4802" s="39">
        <v>431789.02</v>
      </c>
      <c r="H4802" s="42">
        <v>211</v>
      </c>
    </row>
    <row r="4803" spans="1:8" ht="15" customHeight="1">
      <c r="A4803" s="26">
        <v>46660711</v>
      </c>
      <c r="B4803" s="29" t="s">
        <v>7037</v>
      </c>
      <c r="C4803" s="29" t="s">
        <v>21547</v>
      </c>
      <c r="D4803" s="29" t="s">
        <v>34771</v>
      </c>
      <c r="E4803" s="29" t="s">
        <v>47681</v>
      </c>
      <c r="F4803" s="36" t="s">
        <v>54401</v>
      </c>
      <c r="G4803" s="39">
        <v>4675149.43</v>
      </c>
      <c r="H4803" s="42">
        <v>211</v>
      </c>
    </row>
    <row r="4804" spans="1:8" ht="15" customHeight="1">
      <c r="A4804" s="26">
        <v>46660727</v>
      </c>
      <c r="B4804" s="29" t="s">
        <v>7038</v>
      </c>
      <c r="C4804" s="29" t="s">
        <v>21548</v>
      </c>
      <c r="D4804" s="29" t="s">
        <v>34772</v>
      </c>
      <c r="E4804" s="29" t="s">
        <v>44802</v>
      </c>
      <c r="F4804" s="36" t="s">
        <v>54401</v>
      </c>
      <c r="G4804" s="39">
        <v>25629</v>
      </c>
      <c r="H4804" s="42">
        <v>211</v>
      </c>
    </row>
    <row r="4805" spans="1:8" ht="15" customHeight="1">
      <c r="A4805" s="26">
        <v>46660729</v>
      </c>
      <c r="B4805" s="29" t="s">
        <v>7039</v>
      </c>
      <c r="C4805" s="29" t="s">
        <v>21549</v>
      </c>
      <c r="D4805" s="29" t="s">
        <v>34773</v>
      </c>
      <c r="E4805" s="29" t="s">
        <v>47682</v>
      </c>
      <c r="F4805" s="36" t="s">
        <v>54401</v>
      </c>
      <c r="G4805" s="39">
        <v>108277.12</v>
      </c>
      <c r="H4805" s="42">
        <v>211</v>
      </c>
    </row>
    <row r="4806" spans="1:8" ht="15" customHeight="1">
      <c r="A4806" s="26">
        <v>46660773</v>
      </c>
      <c r="B4806" s="29" t="s">
        <v>7040</v>
      </c>
      <c r="C4806" s="29" t="s">
        <v>21550</v>
      </c>
      <c r="D4806" s="29" t="s">
        <v>34774</v>
      </c>
      <c r="E4806" s="29" t="s">
        <v>47683</v>
      </c>
      <c r="F4806" s="36" t="s">
        <v>54401</v>
      </c>
      <c r="G4806" s="39">
        <v>222500.97</v>
      </c>
      <c r="H4806" s="42">
        <v>211</v>
      </c>
    </row>
    <row r="4807" spans="1:8" ht="15" customHeight="1">
      <c r="A4807" s="26">
        <v>46660794</v>
      </c>
      <c r="B4807" s="29" t="s">
        <v>7041</v>
      </c>
      <c r="C4807" s="29" t="s">
        <v>21551</v>
      </c>
      <c r="D4807" s="29" t="s">
        <v>34775</v>
      </c>
      <c r="E4807" s="29" t="s">
        <v>47684</v>
      </c>
      <c r="F4807" s="36" t="s">
        <v>54401</v>
      </c>
      <c r="G4807" s="39">
        <v>77611.91</v>
      </c>
      <c r="H4807" s="42">
        <v>211</v>
      </c>
    </row>
    <row r="4808" spans="1:8" ht="15" customHeight="1">
      <c r="A4808" s="26">
        <v>46660800</v>
      </c>
      <c r="B4808" s="29" t="s">
        <v>7042</v>
      </c>
      <c r="C4808" s="29" t="s">
        <v>21552</v>
      </c>
      <c r="D4808" s="29" t="s">
        <v>34776</v>
      </c>
      <c r="E4808" s="29" t="s">
        <v>47685</v>
      </c>
      <c r="F4808" s="36" t="s">
        <v>54401</v>
      </c>
      <c r="G4808" s="39">
        <v>167749.74</v>
      </c>
      <c r="H4808" s="42">
        <v>211</v>
      </c>
    </row>
    <row r="4809" spans="1:8" ht="15" customHeight="1">
      <c r="A4809" s="26">
        <v>46660823</v>
      </c>
      <c r="B4809" s="29" t="s">
        <v>7043</v>
      </c>
      <c r="C4809" s="29" t="s">
        <v>21553</v>
      </c>
      <c r="D4809" s="29" t="s">
        <v>34777</v>
      </c>
      <c r="E4809" s="29" t="s">
        <v>47686</v>
      </c>
      <c r="F4809" s="36" t="s">
        <v>54401</v>
      </c>
      <c r="G4809" s="39">
        <v>481165.75</v>
      </c>
      <c r="H4809" s="42">
        <v>211</v>
      </c>
    </row>
    <row r="4810" spans="1:8" ht="15" customHeight="1">
      <c r="A4810" s="26">
        <v>46660850</v>
      </c>
      <c r="B4810" s="29" t="s">
        <v>7044</v>
      </c>
      <c r="C4810" s="29" t="s">
        <v>21554</v>
      </c>
      <c r="D4810" s="29" t="s">
        <v>34778</v>
      </c>
      <c r="E4810" s="29" t="s">
        <v>43926</v>
      </c>
      <c r="F4810" s="36" t="s">
        <v>54401</v>
      </c>
      <c r="G4810" s="39">
        <v>15531.52</v>
      </c>
      <c r="H4810" s="42">
        <v>211</v>
      </c>
    </row>
    <row r="4811" spans="1:8" ht="15" customHeight="1">
      <c r="A4811" s="26">
        <v>46660871</v>
      </c>
      <c r="B4811" s="29" t="s">
        <v>7045</v>
      </c>
      <c r="C4811" s="29" t="s">
        <v>21555</v>
      </c>
      <c r="D4811" s="29" t="s">
        <v>34779</v>
      </c>
      <c r="E4811" s="29" t="s">
        <v>47687</v>
      </c>
      <c r="F4811" s="36" t="s">
        <v>54401</v>
      </c>
      <c r="G4811" s="39">
        <v>119245.25</v>
      </c>
      <c r="H4811" s="42">
        <v>211</v>
      </c>
    </row>
    <row r="4812" spans="1:8" ht="15" customHeight="1">
      <c r="A4812" s="26">
        <v>46660899</v>
      </c>
      <c r="B4812" s="29" t="s">
        <v>7046</v>
      </c>
      <c r="C4812" s="29" t="s">
        <v>21556</v>
      </c>
      <c r="D4812" s="29" t="s">
        <v>34780</v>
      </c>
      <c r="E4812" s="29" t="s">
        <v>47193</v>
      </c>
      <c r="F4812" s="36" t="s">
        <v>54401</v>
      </c>
      <c r="G4812" s="39">
        <v>674016.68</v>
      </c>
      <c r="H4812" s="42">
        <v>211</v>
      </c>
    </row>
    <row r="4813" spans="1:8" ht="15" customHeight="1">
      <c r="A4813" s="26">
        <v>46660919</v>
      </c>
      <c r="B4813" s="29" t="s">
        <v>7047</v>
      </c>
      <c r="C4813" s="29" t="s">
        <v>21557</v>
      </c>
      <c r="D4813" s="29" t="s">
        <v>34781</v>
      </c>
      <c r="E4813" s="29" t="s">
        <v>47688</v>
      </c>
      <c r="F4813" s="36" t="s">
        <v>54401</v>
      </c>
      <c r="G4813" s="39">
        <v>231569.95</v>
      </c>
      <c r="H4813" s="42">
        <v>211</v>
      </c>
    </row>
    <row r="4814" spans="1:8" ht="15" customHeight="1">
      <c r="A4814" s="26">
        <v>46660922</v>
      </c>
      <c r="B4814" s="29" t="s">
        <v>7048</v>
      </c>
      <c r="C4814" s="29" t="s">
        <v>21558</v>
      </c>
      <c r="D4814" s="29" t="s">
        <v>33415</v>
      </c>
      <c r="E4814" s="29" t="s">
        <v>47689</v>
      </c>
      <c r="F4814" s="36" t="s">
        <v>54412</v>
      </c>
      <c r="G4814" s="39">
        <v>2148196</v>
      </c>
      <c r="H4814" s="42">
        <v>211</v>
      </c>
    </row>
    <row r="4815" spans="1:8" ht="15" customHeight="1">
      <c r="A4815" s="26">
        <v>46660936</v>
      </c>
      <c r="B4815" s="29" t="s">
        <v>7049</v>
      </c>
      <c r="C4815" s="29" t="s">
        <v>21559</v>
      </c>
      <c r="D4815" s="29" t="s">
        <v>34782</v>
      </c>
      <c r="E4815" s="29" t="s">
        <v>47690</v>
      </c>
      <c r="F4815" s="36" t="s">
        <v>54401</v>
      </c>
      <c r="G4815" s="39">
        <v>145342.32</v>
      </c>
      <c r="H4815" s="42">
        <v>211</v>
      </c>
    </row>
    <row r="4816" spans="1:8" ht="15" customHeight="1">
      <c r="A4816" s="26">
        <v>46660963</v>
      </c>
      <c r="B4816" s="29" t="s">
        <v>7050</v>
      </c>
      <c r="C4816" s="26" t="s">
        <v>21560</v>
      </c>
      <c r="D4816" s="26" t="s">
        <v>34783</v>
      </c>
      <c r="E4816" s="26" t="s">
        <v>47691</v>
      </c>
      <c r="F4816" s="37" t="s">
        <v>54401</v>
      </c>
      <c r="G4816" s="39">
        <v>1953193.38</v>
      </c>
      <c r="H4816" s="42">
        <v>211</v>
      </c>
    </row>
    <row r="4817" spans="1:8" ht="15" customHeight="1">
      <c r="A4817" s="26">
        <v>46661041</v>
      </c>
      <c r="B4817" s="29" t="s">
        <v>7051</v>
      </c>
      <c r="C4817" s="29" t="s">
        <v>17204</v>
      </c>
      <c r="D4817" s="29" t="s">
        <v>30349</v>
      </c>
      <c r="E4817" s="29" t="s">
        <v>43926</v>
      </c>
      <c r="F4817" s="36" t="s">
        <v>54401</v>
      </c>
      <c r="G4817" s="39">
        <v>9614.7099999999991</v>
      </c>
      <c r="H4817" s="42">
        <v>211</v>
      </c>
    </row>
    <row r="4818" spans="1:8" ht="15" customHeight="1">
      <c r="A4818" s="26">
        <v>46661057</v>
      </c>
      <c r="B4818" s="29" t="s">
        <v>7052</v>
      </c>
      <c r="C4818" s="29" t="s">
        <v>21561</v>
      </c>
      <c r="D4818" s="29" t="s">
        <v>34784</v>
      </c>
      <c r="E4818" s="29" t="s">
        <v>44721</v>
      </c>
      <c r="F4818" s="36" t="s">
        <v>54401</v>
      </c>
      <c r="G4818" s="39">
        <v>2458521</v>
      </c>
      <c r="H4818" s="42">
        <v>211</v>
      </c>
    </row>
    <row r="4819" spans="1:8" ht="15" customHeight="1">
      <c r="A4819" s="26">
        <v>46661070</v>
      </c>
      <c r="B4819" s="29" t="s">
        <v>7053</v>
      </c>
      <c r="C4819" s="29" t="s">
        <v>21562</v>
      </c>
      <c r="D4819" s="29" t="s">
        <v>34785</v>
      </c>
      <c r="E4819" s="29" t="s">
        <v>47559</v>
      </c>
      <c r="F4819" s="36" t="s">
        <v>54401</v>
      </c>
      <c r="G4819" s="39">
        <v>218211.01</v>
      </c>
      <c r="H4819" s="42">
        <v>211</v>
      </c>
    </row>
    <row r="4820" spans="1:8" ht="15" customHeight="1">
      <c r="A4820" s="26">
        <v>46661076</v>
      </c>
      <c r="B4820" s="29" t="s">
        <v>7054</v>
      </c>
      <c r="C4820" s="29" t="s">
        <v>21563</v>
      </c>
      <c r="D4820" s="29" t="s">
        <v>34786</v>
      </c>
      <c r="E4820" s="29" t="s">
        <v>47692</v>
      </c>
      <c r="F4820" s="36" t="s">
        <v>54401</v>
      </c>
      <c r="G4820" s="39">
        <v>78265.27</v>
      </c>
      <c r="H4820" s="42">
        <v>211</v>
      </c>
    </row>
    <row r="4821" spans="1:8" ht="15" customHeight="1">
      <c r="A4821" s="26">
        <v>46661080</v>
      </c>
      <c r="B4821" s="29" t="s">
        <v>7055</v>
      </c>
      <c r="C4821" s="29" t="s">
        <v>21564</v>
      </c>
      <c r="D4821" s="29" t="s">
        <v>34787</v>
      </c>
      <c r="E4821" s="29" t="s">
        <v>47693</v>
      </c>
      <c r="F4821" s="36" t="s">
        <v>54401</v>
      </c>
      <c r="G4821" s="39">
        <v>4925532</v>
      </c>
      <c r="H4821" s="42">
        <v>211</v>
      </c>
    </row>
    <row r="4822" spans="1:8" ht="15" customHeight="1">
      <c r="A4822" s="26">
        <v>46661113</v>
      </c>
      <c r="B4822" s="29" t="s">
        <v>7056</v>
      </c>
      <c r="C4822" s="29" t="s">
        <v>21565</v>
      </c>
      <c r="D4822" s="29" t="s">
        <v>34788</v>
      </c>
      <c r="E4822" s="29" t="s">
        <v>47694</v>
      </c>
      <c r="F4822" s="36" t="s">
        <v>54401</v>
      </c>
      <c r="G4822" s="39">
        <v>2191613.44</v>
      </c>
      <c r="H4822" s="42">
        <v>211</v>
      </c>
    </row>
    <row r="4823" spans="1:8" ht="15" customHeight="1">
      <c r="A4823" s="26">
        <v>46661117</v>
      </c>
      <c r="B4823" s="29" t="s">
        <v>7057</v>
      </c>
      <c r="C4823" s="26" t="s">
        <v>21566</v>
      </c>
      <c r="D4823" s="26" t="s">
        <v>34789</v>
      </c>
      <c r="E4823" s="26" t="s">
        <v>47695</v>
      </c>
      <c r="F4823" s="37" t="s">
        <v>54401</v>
      </c>
      <c r="G4823" s="39">
        <v>294820.71000000002</v>
      </c>
      <c r="H4823" s="42">
        <v>211</v>
      </c>
    </row>
    <row r="4824" spans="1:8" ht="15" customHeight="1">
      <c r="A4824" s="26">
        <v>46661134</v>
      </c>
      <c r="B4824" s="29" t="s">
        <v>7058</v>
      </c>
      <c r="C4824" s="29" t="s">
        <v>21567</v>
      </c>
      <c r="D4824" s="29" t="s">
        <v>34790</v>
      </c>
      <c r="E4824" s="29" t="s">
        <v>47696</v>
      </c>
      <c r="F4824" s="36" t="s">
        <v>54401</v>
      </c>
      <c r="G4824" s="39">
        <v>1015241.09</v>
      </c>
      <c r="H4824" s="42">
        <v>211</v>
      </c>
    </row>
    <row r="4825" spans="1:8" ht="15" customHeight="1">
      <c r="A4825" s="26">
        <v>46661149</v>
      </c>
      <c r="B4825" s="29" t="s">
        <v>7059</v>
      </c>
      <c r="C4825" s="29" t="s">
        <v>21568</v>
      </c>
      <c r="D4825" s="29" t="s">
        <v>34791</v>
      </c>
      <c r="E4825" s="29" t="s">
        <v>47697</v>
      </c>
      <c r="F4825" s="36" t="s">
        <v>54406</v>
      </c>
      <c r="G4825" s="39">
        <v>2358677.0499999998</v>
      </c>
      <c r="H4825" s="42">
        <v>211</v>
      </c>
    </row>
    <row r="4826" spans="1:8" ht="15" customHeight="1">
      <c r="A4826" s="26">
        <v>46661182</v>
      </c>
      <c r="B4826" s="29" t="s">
        <v>7060</v>
      </c>
      <c r="C4826" s="29" t="s">
        <v>21569</v>
      </c>
      <c r="D4826" s="29" t="s">
        <v>34792</v>
      </c>
      <c r="E4826" s="29" t="s">
        <v>47698</v>
      </c>
      <c r="F4826" s="36" t="s">
        <v>54401</v>
      </c>
      <c r="G4826" s="39">
        <v>882258.99</v>
      </c>
      <c r="H4826" s="42">
        <v>211</v>
      </c>
    </row>
    <row r="4827" spans="1:8" ht="15" customHeight="1">
      <c r="A4827" s="26">
        <v>46661196</v>
      </c>
      <c r="B4827" s="29" t="s">
        <v>7061</v>
      </c>
      <c r="C4827" s="29" t="s">
        <v>21570</v>
      </c>
      <c r="D4827" s="29" t="s">
        <v>34793</v>
      </c>
      <c r="E4827" s="29" t="s">
        <v>47699</v>
      </c>
      <c r="F4827" s="36" t="s">
        <v>54401</v>
      </c>
      <c r="G4827" s="39">
        <v>2110134</v>
      </c>
      <c r="H4827" s="42">
        <v>211</v>
      </c>
    </row>
    <row r="4828" spans="1:8" ht="15" customHeight="1">
      <c r="A4828" s="26">
        <v>46661212</v>
      </c>
      <c r="B4828" s="29" t="s">
        <v>7062</v>
      </c>
      <c r="C4828" s="29" t="s">
        <v>21571</v>
      </c>
      <c r="D4828" s="29" t="s">
        <v>34794</v>
      </c>
      <c r="E4828" s="29" t="s">
        <v>44942</v>
      </c>
      <c r="F4828" s="36" t="s">
        <v>54401</v>
      </c>
      <c r="G4828" s="39">
        <v>265309.53999999998</v>
      </c>
      <c r="H4828" s="42">
        <v>211</v>
      </c>
    </row>
    <row r="4829" spans="1:8" ht="15" customHeight="1">
      <c r="A4829" s="26">
        <v>46661220</v>
      </c>
      <c r="B4829" s="29" t="s">
        <v>7063</v>
      </c>
      <c r="C4829" s="29" t="s">
        <v>21572</v>
      </c>
      <c r="D4829" s="29" t="s">
        <v>34795</v>
      </c>
      <c r="E4829" s="29" t="s">
        <v>47700</v>
      </c>
      <c r="F4829" s="36" t="s">
        <v>54401</v>
      </c>
      <c r="G4829" s="39">
        <v>402519.55</v>
      </c>
      <c r="H4829" s="42">
        <v>211</v>
      </c>
    </row>
    <row r="4830" spans="1:8" ht="15" customHeight="1">
      <c r="A4830" s="26">
        <v>46661225</v>
      </c>
      <c r="B4830" s="29" t="s">
        <v>7064</v>
      </c>
      <c r="C4830" s="29" t="s">
        <v>18912</v>
      </c>
      <c r="D4830" s="29" t="s">
        <v>32076</v>
      </c>
      <c r="E4830" s="29" t="s">
        <v>47701</v>
      </c>
      <c r="F4830" s="36" t="s">
        <v>54401</v>
      </c>
      <c r="G4830" s="39">
        <v>1834979</v>
      </c>
      <c r="H4830" s="42">
        <v>211</v>
      </c>
    </row>
    <row r="4831" spans="1:8" ht="15" customHeight="1">
      <c r="A4831" s="26">
        <v>46661242</v>
      </c>
      <c r="B4831" s="29" t="s">
        <v>7065</v>
      </c>
      <c r="C4831" s="26" t="s">
        <v>21573</v>
      </c>
      <c r="D4831" s="26" t="s">
        <v>34796</v>
      </c>
      <c r="E4831" s="26" t="s">
        <v>47702</v>
      </c>
      <c r="F4831" s="37" t="s">
        <v>54401</v>
      </c>
      <c r="G4831" s="39">
        <v>196841.59</v>
      </c>
      <c r="H4831" s="42">
        <v>211</v>
      </c>
    </row>
    <row r="4832" spans="1:8" ht="15" customHeight="1">
      <c r="A4832" s="26">
        <v>46661353</v>
      </c>
      <c r="B4832" s="29" t="s">
        <v>7066</v>
      </c>
      <c r="C4832" s="29" t="s">
        <v>21574</v>
      </c>
      <c r="D4832" s="29" t="s">
        <v>34797</v>
      </c>
      <c r="E4832" s="29" t="s">
        <v>47703</v>
      </c>
      <c r="F4832" s="36" t="s">
        <v>54401</v>
      </c>
      <c r="G4832" s="39">
        <v>2226554.23</v>
      </c>
      <c r="H4832" s="42">
        <v>211</v>
      </c>
    </row>
    <row r="4833" spans="1:8" ht="15" customHeight="1">
      <c r="A4833" s="26">
        <v>46661371</v>
      </c>
      <c r="B4833" s="29" t="s">
        <v>7067</v>
      </c>
      <c r="C4833" s="26" t="s">
        <v>21575</v>
      </c>
      <c r="D4833" s="26" t="s">
        <v>34798</v>
      </c>
      <c r="E4833" s="26" t="s">
        <v>47704</v>
      </c>
      <c r="F4833" s="37" t="s">
        <v>54401</v>
      </c>
      <c r="G4833" s="39">
        <v>104322.89</v>
      </c>
      <c r="H4833" s="42">
        <v>211</v>
      </c>
    </row>
    <row r="4834" spans="1:8" ht="15" customHeight="1">
      <c r="A4834" s="26">
        <v>46661407</v>
      </c>
      <c r="B4834" s="29" t="s">
        <v>7068</v>
      </c>
      <c r="C4834" s="29" t="s">
        <v>17204</v>
      </c>
      <c r="D4834" s="29" t="s">
        <v>30349</v>
      </c>
      <c r="E4834" s="29" t="s">
        <v>43926</v>
      </c>
      <c r="F4834" s="36" t="s">
        <v>54401</v>
      </c>
      <c r="G4834" s="39">
        <v>67495.44</v>
      </c>
      <c r="H4834" s="42">
        <v>211</v>
      </c>
    </row>
    <row r="4835" spans="1:8" ht="15" customHeight="1">
      <c r="A4835" s="26">
        <v>46661432</v>
      </c>
      <c r="B4835" s="29" t="s">
        <v>7069</v>
      </c>
      <c r="C4835" s="29" t="s">
        <v>21576</v>
      </c>
      <c r="D4835" s="29" t="s">
        <v>34799</v>
      </c>
      <c r="E4835" s="29" t="s">
        <v>47705</v>
      </c>
      <c r="F4835" s="36" t="s">
        <v>54401</v>
      </c>
      <c r="G4835" s="39">
        <v>1647808.46</v>
      </c>
      <c r="H4835" s="42">
        <v>211</v>
      </c>
    </row>
    <row r="4836" spans="1:8" ht="15" customHeight="1">
      <c r="A4836" s="26">
        <v>46661451</v>
      </c>
      <c r="B4836" s="29" t="s">
        <v>7070</v>
      </c>
      <c r="C4836" s="29" t="s">
        <v>21577</v>
      </c>
      <c r="D4836" s="29" t="s">
        <v>34800</v>
      </c>
      <c r="E4836" s="29" t="s">
        <v>47706</v>
      </c>
      <c r="F4836" s="36" t="s">
        <v>54401</v>
      </c>
      <c r="G4836" s="39">
        <v>116404.86</v>
      </c>
      <c r="H4836" s="42">
        <v>211</v>
      </c>
    </row>
    <row r="4837" spans="1:8" ht="15" customHeight="1">
      <c r="A4837" s="26">
        <v>46661489</v>
      </c>
      <c r="B4837" s="29" t="s">
        <v>7071</v>
      </c>
      <c r="C4837" s="29" t="s">
        <v>21578</v>
      </c>
      <c r="D4837" s="29" t="s">
        <v>34801</v>
      </c>
      <c r="E4837" s="29" t="s">
        <v>47707</v>
      </c>
      <c r="F4837" s="36" t="s">
        <v>54401</v>
      </c>
      <c r="G4837" s="39">
        <v>2151777.41</v>
      </c>
      <c r="H4837" s="42">
        <v>211</v>
      </c>
    </row>
    <row r="4838" spans="1:8" ht="15" customHeight="1">
      <c r="A4838" s="26">
        <v>46661504</v>
      </c>
      <c r="B4838" s="29" t="s">
        <v>7072</v>
      </c>
      <c r="C4838" s="29" t="s">
        <v>21579</v>
      </c>
      <c r="D4838" s="29" t="s">
        <v>34802</v>
      </c>
      <c r="E4838" s="29" t="s">
        <v>47708</v>
      </c>
      <c r="F4838" s="36" t="s">
        <v>54401</v>
      </c>
      <c r="G4838" s="39">
        <v>13030</v>
      </c>
      <c r="H4838" s="42">
        <v>211</v>
      </c>
    </row>
    <row r="4839" spans="1:8" ht="15" customHeight="1">
      <c r="A4839" s="26">
        <v>46661525</v>
      </c>
      <c r="B4839" s="29" t="s">
        <v>7073</v>
      </c>
      <c r="C4839" s="29" t="s">
        <v>21580</v>
      </c>
      <c r="D4839" s="29" t="s">
        <v>34803</v>
      </c>
      <c r="E4839" s="29" t="s">
        <v>47709</v>
      </c>
      <c r="F4839" s="36" t="s">
        <v>54401</v>
      </c>
      <c r="G4839" s="39">
        <v>1191217.6399999999</v>
      </c>
      <c r="H4839" s="42">
        <v>211</v>
      </c>
    </row>
    <row r="4840" spans="1:8" ht="15" customHeight="1">
      <c r="A4840" s="26">
        <v>46661583</v>
      </c>
      <c r="B4840" s="29" t="s">
        <v>7074</v>
      </c>
      <c r="C4840" s="29" t="s">
        <v>21581</v>
      </c>
      <c r="D4840" s="29" t="s">
        <v>34804</v>
      </c>
      <c r="E4840" s="29" t="s">
        <v>47710</v>
      </c>
      <c r="F4840" s="36" t="s">
        <v>54401</v>
      </c>
      <c r="G4840" s="39">
        <v>3336611.47</v>
      </c>
      <c r="H4840" s="42">
        <v>211</v>
      </c>
    </row>
    <row r="4841" spans="1:8" ht="15" customHeight="1">
      <c r="A4841" s="26">
        <v>46661597</v>
      </c>
      <c r="B4841" s="29" t="s">
        <v>7075</v>
      </c>
      <c r="C4841" s="29" t="s">
        <v>21582</v>
      </c>
      <c r="D4841" s="29" t="s">
        <v>34805</v>
      </c>
      <c r="E4841" s="29" t="s">
        <v>47711</v>
      </c>
      <c r="F4841" s="36" t="s">
        <v>54401</v>
      </c>
      <c r="G4841" s="39">
        <v>48033.61</v>
      </c>
      <c r="H4841" s="42">
        <v>211</v>
      </c>
    </row>
    <row r="4842" spans="1:8" ht="15" customHeight="1">
      <c r="A4842" s="26">
        <v>46661650</v>
      </c>
      <c r="B4842" s="29" t="s">
        <v>7076</v>
      </c>
      <c r="C4842" s="29" t="s">
        <v>21583</v>
      </c>
      <c r="D4842" s="29" t="s">
        <v>34806</v>
      </c>
      <c r="E4842" s="29" t="s">
        <v>47712</v>
      </c>
      <c r="F4842" s="36" t="s">
        <v>54401</v>
      </c>
      <c r="G4842" s="39">
        <v>3667901</v>
      </c>
      <c r="H4842" s="42">
        <v>211</v>
      </c>
    </row>
    <row r="4843" spans="1:8" ht="15" customHeight="1">
      <c r="A4843" s="26">
        <v>46661662</v>
      </c>
      <c r="B4843" s="29" t="s">
        <v>7077</v>
      </c>
      <c r="C4843" s="29" t="s">
        <v>17204</v>
      </c>
      <c r="D4843" s="29" t="s">
        <v>34807</v>
      </c>
      <c r="E4843" s="29" t="s">
        <v>43926</v>
      </c>
      <c r="F4843" s="36" t="s">
        <v>54401</v>
      </c>
      <c r="G4843" s="39">
        <v>614227.52</v>
      </c>
      <c r="H4843" s="42">
        <v>211</v>
      </c>
    </row>
    <row r="4844" spans="1:8" ht="15" customHeight="1">
      <c r="A4844" s="26">
        <v>46661757</v>
      </c>
      <c r="B4844" s="29" t="s">
        <v>7078</v>
      </c>
      <c r="C4844" s="29" t="s">
        <v>21584</v>
      </c>
      <c r="D4844" s="29" t="s">
        <v>34808</v>
      </c>
      <c r="E4844" s="29" t="s">
        <v>47713</v>
      </c>
      <c r="F4844" s="36" t="s">
        <v>54401</v>
      </c>
      <c r="G4844" s="39">
        <v>217193.27</v>
      </c>
      <c r="H4844" s="42">
        <v>211</v>
      </c>
    </row>
    <row r="4845" spans="1:8" ht="15" customHeight="1">
      <c r="A4845" s="26">
        <v>46661760</v>
      </c>
      <c r="B4845" s="29" t="s">
        <v>7079</v>
      </c>
      <c r="C4845" s="29" t="s">
        <v>21585</v>
      </c>
      <c r="D4845" s="29" t="s">
        <v>34809</v>
      </c>
      <c r="E4845" s="29" t="s">
        <v>47714</v>
      </c>
      <c r="F4845" s="36" t="s">
        <v>54401</v>
      </c>
      <c r="G4845" s="39">
        <v>5299960</v>
      </c>
      <c r="H4845" s="42">
        <v>211</v>
      </c>
    </row>
    <row r="4846" spans="1:8" ht="15" customHeight="1">
      <c r="A4846" s="26">
        <v>46661781</v>
      </c>
      <c r="B4846" s="29" t="s">
        <v>7080</v>
      </c>
      <c r="C4846" s="29" t="s">
        <v>21586</v>
      </c>
      <c r="D4846" s="29" t="s">
        <v>34810</v>
      </c>
      <c r="E4846" s="29" t="s">
        <v>47715</v>
      </c>
      <c r="F4846" s="36" t="s">
        <v>54401</v>
      </c>
      <c r="G4846" s="39">
        <v>1900442.81</v>
      </c>
      <c r="H4846" s="42">
        <v>211</v>
      </c>
    </row>
    <row r="4847" spans="1:8" ht="15" customHeight="1">
      <c r="A4847" s="26">
        <v>46661799</v>
      </c>
      <c r="B4847" s="29" t="s">
        <v>7081</v>
      </c>
      <c r="C4847" s="29" t="s">
        <v>21587</v>
      </c>
      <c r="D4847" s="29" t="s">
        <v>34811</v>
      </c>
      <c r="E4847" s="29" t="s">
        <v>44600</v>
      </c>
      <c r="F4847" s="36" t="s">
        <v>54401</v>
      </c>
      <c r="G4847" s="39">
        <v>3707226</v>
      </c>
      <c r="H4847" s="42">
        <v>211</v>
      </c>
    </row>
    <row r="4848" spans="1:8" ht="15" customHeight="1">
      <c r="A4848" s="26">
        <v>46661822</v>
      </c>
      <c r="B4848" s="29" t="s">
        <v>7082</v>
      </c>
      <c r="C4848" s="29" t="s">
        <v>21588</v>
      </c>
      <c r="D4848" s="29" t="s">
        <v>34812</v>
      </c>
      <c r="E4848" s="29" t="s">
        <v>47716</v>
      </c>
      <c r="F4848" s="36" t="s">
        <v>54401</v>
      </c>
      <c r="G4848" s="39">
        <v>4063684</v>
      </c>
      <c r="H4848" s="42">
        <v>211</v>
      </c>
    </row>
    <row r="4849" spans="1:8" ht="15" customHeight="1">
      <c r="A4849" s="26">
        <v>46661889</v>
      </c>
      <c r="B4849" s="29" t="s">
        <v>7083</v>
      </c>
      <c r="C4849" s="26" t="s">
        <v>21589</v>
      </c>
      <c r="D4849" s="26" t="s">
        <v>30376</v>
      </c>
      <c r="E4849" s="26" t="s">
        <v>47717</v>
      </c>
      <c r="F4849" s="37" t="s">
        <v>54401</v>
      </c>
      <c r="G4849" s="39">
        <v>3843199.9</v>
      </c>
      <c r="H4849" s="42">
        <v>211</v>
      </c>
    </row>
    <row r="4850" spans="1:8" ht="15" customHeight="1">
      <c r="A4850" s="26">
        <v>46661890</v>
      </c>
      <c r="B4850" s="29" t="s">
        <v>7084</v>
      </c>
      <c r="C4850" s="29" t="s">
        <v>21590</v>
      </c>
      <c r="D4850" s="29" t="s">
        <v>34813</v>
      </c>
      <c r="E4850" s="29" t="s">
        <v>44550</v>
      </c>
      <c r="F4850" s="36" t="s">
        <v>54401</v>
      </c>
      <c r="G4850" s="39">
        <v>2002220.17</v>
      </c>
      <c r="H4850" s="42">
        <v>211</v>
      </c>
    </row>
    <row r="4851" spans="1:8" ht="15" customHeight="1">
      <c r="A4851" s="26">
        <v>46662009</v>
      </c>
      <c r="B4851" s="29" t="s">
        <v>7085</v>
      </c>
      <c r="C4851" s="29" t="s">
        <v>21591</v>
      </c>
      <c r="D4851" s="29" t="s">
        <v>34814</v>
      </c>
      <c r="E4851" s="29" t="s">
        <v>43926</v>
      </c>
      <c r="F4851" s="36" t="s">
        <v>54401</v>
      </c>
      <c r="G4851" s="39">
        <v>91667.92</v>
      </c>
      <c r="H4851" s="42">
        <v>211</v>
      </c>
    </row>
    <row r="4852" spans="1:8" ht="15" customHeight="1">
      <c r="A4852" s="26">
        <v>46662013</v>
      </c>
      <c r="B4852" s="29" t="s">
        <v>7086</v>
      </c>
      <c r="C4852" s="29" t="s">
        <v>21592</v>
      </c>
      <c r="D4852" s="29" t="s">
        <v>34815</v>
      </c>
      <c r="E4852" s="29" t="s">
        <v>47718</v>
      </c>
      <c r="F4852" s="36" t="s">
        <v>54401</v>
      </c>
      <c r="G4852" s="39">
        <v>122046.73</v>
      </c>
      <c r="H4852" s="42">
        <v>211</v>
      </c>
    </row>
    <row r="4853" spans="1:8" ht="15" customHeight="1">
      <c r="A4853" s="26">
        <v>46662014</v>
      </c>
      <c r="B4853" s="29" t="s">
        <v>7087</v>
      </c>
      <c r="C4853" s="29" t="s">
        <v>21593</v>
      </c>
      <c r="D4853" s="29" t="s">
        <v>34816</v>
      </c>
      <c r="E4853" s="29" t="s">
        <v>44830</v>
      </c>
      <c r="F4853" s="36" t="s">
        <v>54401</v>
      </c>
      <c r="G4853" s="39">
        <v>498322.73</v>
      </c>
      <c r="H4853" s="42">
        <v>211</v>
      </c>
    </row>
    <row r="4854" spans="1:8" ht="15" customHeight="1">
      <c r="A4854" s="26">
        <v>46662015</v>
      </c>
      <c r="B4854" s="29" t="s">
        <v>7088</v>
      </c>
      <c r="C4854" s="29" t="s">
        <v>21594</v>
      </c>
      <c r="D4854" s="29" t="s">
        <v>34817</v>
      </c>
      <c r="E4854" s="29" t="s">
        <v>47719</v>
      </c>
      <c r="F4854" s="36" t="s">
        <v>54401</v>
      </c>
      <c r="G4854" s="39">
        <v>610624.17000000004</v>
      </c>
      <c r="H4854" s="42">
        <v>211</v>
      </c>
    </row>
    <row r="4855" spans="1:8" ht="15" customHeight="1">
      <c r="A4855" s="26">
        <v>46662017</v>
      </c>
      <c r="B4855" s="29" t="s">
        <v>7089</v>
      </c>
      <c r="C4855" s="29" t="s">
        <v>21595</v>
      </c>
      <c r="D4855" s="29" t="s">
        <v>34818</v>
      </c>
      <c r="E4855" s="29" t="s">
        <v>47720</v>
      </c>
      <c r="F4855" s="36" t="s">
        <v>54401</v>
      </c>
      <c r="G4855" s="39">
        <v>83769.09</v>
      </c>
      <c r="H4855" s="42">
        <v>211</v>
      </c>
    </row>
    <row r="4856" spans="1:8" ht="15" customHeight="1">
      <c r="A4856" s="26">
        <v>46662094</v>
      </c>
      <c r="B4856" s="29" t="s">
        <v>7090</v>
      </c>
      <c r="C4856" s="29" t="s">
        <v>21596</v>
      </c>
      <c r="D4856" s="29" t="s">
        <v>34819</v>
      </c>
      <c r="E4856" s="29" t="s">
        <v>47721</v>
      </c>
      <c r="F4856" s="36" t="s">
        <v>54401</v>
      </c>
      <c r="G4856" s="39">
        <v>178843.32</v>
      </c>
      <c r="H4856" s="42">
        <v>211</v>
      </c>
    </row>
    <row r="4857" spans="1:8" ht="15" customHeight="1">
      <c r="A4857" s="26">
        <v>46662106</v>
      </c>
      <c r="B4857" s="29" t="s">
        <v>7091</v>
      </c>
      <c r="C4857" s="29" t="s">
        <v>21597</v>
      </c>
      <c r="D4857" s="29" t="s">
        <v>34820</v>
      </c>
      <c r="E4857" s="29" t="s">
        <v>47722</v>
      </c>
      <c r="F4857" s="36" t="s">
        <v>54401</v>
      </c>
      <c r="G4857" s="39">
        <v>1946459</v>
      </c>
      <c r="H4857" s="42">
        <v>211</v>
      </c>
    </row>
    <row r="4858" spans="1:8" ht="15" customHeight="1">
      <c r="A4858" s="26">
        <v>46662121</v>
      </c>
      <c r="B4858" s="29" t="s">
        <v>7092</v>
      </c>
      <c r="C4858" s="29" t="s">
        <v>21598</v>
      </c>
      <c r="D4858" s="29" t="s">
        <v>34821</v>
      </c>
      <c r="E4858" s="29" t="s">
        <v>47723</v>
      </c>
      <c r="F4858" s="36" t="s">
        <v>54401</v>
      </c>
      <c r="G4858" s="39">
        <v>222841.74</v>
      </c>
      <c r="H4858" s="42">
        <v>211</v>
      </c>
    </row>
    <row r="4859" spans="1:8" ht="15" customHeight="1">
      <c r="A4859" s="26">
        <v>46662230</v>
      </c>
      <c r="B4859" s="29" t="s">
        <v>7093</v>
      </c>
      <c r="C4859" s="29" t="s">
        <v>21599</v>
      </c>
      <c r="D4859" s="29" t="s">
        <v>34822</v>
      </c>
      <c r="E4859" s="29" t="s">
        <v>43926</v>
      </c>
      <c r="F4859" s="36" t="s">
        <v>54401</v>
      </c>
      <c r="G4859" s="39">
        <v>4872</v>
      </c>
      <c r="H4859" s="42">
        <v>211</v>
      </c>
    </row>
    <row r="4860" spans="1:8" ht="15" customHeight="1">
      <c r="A4860" s="26">
        <v>46662265</v>
      </c>
      <c r="B4860" s="29" t="s">
        <v>7094</v>
      </c>
      <c r="C4860" s="29" t="s">
        <v>21600</v>
      </c>
      <c r="D4860" s="29" t="s">
        <v>34823</v>
      </c>
      <c r="E4860" s="29" t="s">
        <v>43926</v>
      </c>
      <c r="F4860" s="36" t="s">
        <v>54401</v>
      </c>
      <c r="G4860" s="39">
        <v>364800.86</v>
      </c>
      <c r="H4860" s="42">
        <v>211</v>
      </c>
    </row>
    <row r="4861" spans="1:8" ht="15" customHeight="1">
      <c r="A4861" s="26">
        <v>46662313</v>
      </c>
      <c r="B4861" s="29" t="s">
        <v>7095</v>
      </c>
      <c r="C4861" s="26" t="s">
        <v>21601</v>
      </c>
      <c r="D4861" s="26" t="s">
        <v>34824</v>
      </c>
      <c r="E4861" s="26" t="s">
        <v>45282</v>
      </c>
      <c r="F4861" s="37" t="s">
        <v>54401</v>
      </c>
      <c r="G4861" s="39">
        <v>2343344.12</v>
      </c>
      <c r="H4861" s="42">
        <v>211</v>
      </c>
    </row>
    <row r="4862" spans="1:8" ht="15" customHeight="1">
      <c r="A4862" s="26">
        <v>46662315</v>
      </c>
      <c r="B4862" s="29" t="s">
        <v>7096</v>
      </c>
      <c r="C4862" s="29" t="s">
        <v>21602</v>
      </c>
      <c r="D4862" s="29" t="s">
        <v>34825</v>
      </c>
      <c r="E4862" s="29" t="s">
        <v>47724</v>
      </c>
      <c r="F4862" s="36" t="s">
        <v>54401</v>
      </c>
      <c r="G4862" s="39">
        <v>4578460</v>
      </c>
      <c r="H4862" s="42">
        <v>211</v>
      </c>
    </row>
    <row r="4863" spans="1:8" ht="15" customHeight="1">
      <c r="A4863" s="26">
        <v>46662352</v>
      </c>
      <c r="B4863" s="29" t="s">
        <v>7097</v>
      </c>
      <c r="C4863" s="29" t="s">
        <v>21603</v>
      </c>
      <c r="D4863" s="29" t="s">
        <v>34826</v>
      </c>
      <c r="E4863" s="29" t="s">
        <v>47725</v>
      </c>
      <c r="F4863" s="36" t="s">
        <v>54401</v>
      </c>
      <c r="G4863" s="39">
        <v>5184771</v>
      </c>
      <c r="H4863" s="42">
        <v>211</v>
      </c>
    </row>
    <row r="4864" spans="1:8" ht="15" customHeight="1">
      <c r="A4864" s="26">
        <v>46662358</v>
      </c>
      <c r="B4864" s="29" t="s">
        <v>7098</v>
      </c>
      <c r="C4864" s="29" t="s">
        <v>21604</v>
      </c>
      <c r="D4864" s="29" t="s">
        <v>34827</v>
      </c>
      <c r="E4864" s="29" t="s">
        <v>45235</v>
      </c>
      <c r="F4864" s="36" t="s">
        <v>54401</v>
      </c>
      <c r="G4864" s="39">
        <v>56080.25</v>
      </c>
      <c r="H4864" s="42">
        <v>211</v>
      </c>
    </row>
    <row r="4865" spans="1:8" ht="15" customHeight="1">
      <c r="A4865" s="26">
        <v>46662389</v>
      </c>
      <c r="B4865" s="29" t="s">
        <v>7099</v>
      </c>
      <c r="C4865" s="29" t="s">
        <v>21605</v>
      </c>
      <c r="D4865" s="29" t="s">
        <v>34828</v>
      </c>
      <c r="E4865" s="29" t="s">
        <v>47726</v>
      </c>
      <c r="F4865" s="36" t="s">
        <v>54401</v>
      </c>
      <c r="G4865" s="39">
        <v>311456.69</v>
      </c>
      <c r="H4865" s="42">
        <v>211</v>
      </c>
    </row>
    <row r="4866" spans="1:8" ht="15" customHeight="1">
      <c r="A4866" s="26">
        <v>46662390</v>
      </c>
      <c r="B4866" s="29" t="s">
        <v>7100</v>
      </c>
      <c r="C4866" s="26" t="s">
        <v>17204</v>
      </c>
      <c r="D4866" s="26" t="s">
        <v>30349</v>
      </c>
      <c r="E4866" s="26" t="s">
        <v>43926</v>
      </c>
      <c r="F4866" s="37" t="s">
        <v>54401</v>
      </c>
      <c r="G4866" s="39">
        <v>232821.43</v>
      </c>
      <c r="H4866" s="42">
        <v>211</v>
      </c>
    </row>
    <row r="4867" spans="1:8" ht="15" customHeight="1">
      <c r="A4867" s="26">
        <v>46662411</v>
      </c>
      <c r="B4867" s="29" t="s">
        <v>7101</v>
      </c>
      <c r="C4867" s="29" t="s">
        <v>21606</v>
      </c>
      <c r="D4867" s="29" t="s">
        <v>34829</v>
      </c>
      <c r="E4867" s="29" t="s">
        <v>47727</v>
      </c>
      <c r="F4867" s="36" t="s">
        <v>54401</v>
      </c>
      <c r="G4867" s="39">
        <v>592132.56000000006</v>
      </c>
      <c r="H4867" s="42">
        <v>211</v>
      </c>
    </row>
    <row r="4868" spans="1:8" ht="15" customHeight="1">
      <c r="A4868" s="26">
        <v>46662435</v>
      </c>
      <c r="B4868" s="29" t="s">
        <v>7102</v>
      </c>
      <c r="C4868" s="26" t="s">
        <v>21607</v>
      </c>
      <c r="D4868" s="26" t="s">
        <v>34830</v>
      </c>
      <c r="E4868" s="26" t="s">
        <v>47728</v>
      </c>
      <c r="F4868" s="37" t="s">
        <v>54401</v>
      </c>
      <c r="G4868" s="39">
        <v>1653124.99</v>
      </c>
      <c r="H4868" s="42">
        <v>211</v>
      </c>
    </row>
    <row r="4869" spans="1:8" ht="15" customHeight="1">
      <c r="A4869" s="26">
        <v>46662539</v>
      </c>
      <c r="B4869" s="29" t="s">
        <v>7103</v>
      </c>
      <c r="C4869" s="29" t="s">
        <v>21608</v>
      </c>
      <c r="D4869" s="29" t="s">
        <v>34831</v>
      </c>
      <c r="E4869" s="29" t="s">
        <v>47729</v>
      </c>
      <c r="F4869" s="36" t="s">
        <v>54401</v>
      </c>
      <c r="G4869" s="39">
        <v>1931593</v>
      </c>
      <c r="H4869" s="42">
        <v>211</v>
      </c>
    </row>
    <row r="4870" spans="1:8" ht="15" customHeight="1">
      <c r="A4870" s="26">
        <v>46662563</v>
      </c>
      <c r="B4870" s="29" t="s">
        <v>7104</v>
      </c>
      <c r="C4870" s="29" t="s">
        <v>21609</v>
      </c>
      <c r="D4870" s="29" t="s">
        <v>34832</v>
      </c>
      <c r="E4870" s="29" t="s">
        <v>47730</v>
      </c>
      <c r="F4870" s="36" t="s">
        <v>54408</v>
      </c>
      <c r="G4870" s="39">
        <v>380607.19</v>
      </c>
      <c r="H4870" s="42">
        <v>211</v>
      </c>
    </row>
    <row r="4871" spans="1:8" ht="15" customHeight="1">
      <c r="A4871" s="26">
        <v>46662573</v>
      </c>
      <c r="B4871" s="29" t="s">
        <v>7105</v>
      </c>
      <c r="C4871" s="29" t="s">
        <v>21610</v>
      </c>
      <c r="D4871" s="29" t="s">
        <v>34833</v>
      </c>
      <c r="E4871" s="29" t="s">
        <v>47731</v>
      </c>
      <c r="F4871" s="36" t="s">
        <v>54401</v>
      </c>
      <c r="G4871" s="39">
        <v>247123.53</v>
      </c>
      <c r="H4871" s="42">
        <v>211</v>
      </c>
    </row>
    <row r="4872" spans="1:8" ht="15" customHeight="1">
      <c r="A4872" s="26">
        <v>46662577</v>
      </c>
      <c r="B4872" s="29" t="s">
        <v>7106</v>
      </c>
      <c r="C4872" s="29" t="s">
        <v>21611</v>
      </c>
      <c r="D4872" s="29" t="s">
        <v>34834</v>
      </c>
      <c r="E4872" s="29" t="s">
        <v>43926</v>
      </c>
      <c r="F4872" s="36" t="s">
        <v>54401</v>
      </c>
      <c r="G4872" s="39">
        <v>66621.84</v>
      </c>
      <c r="H4872" s="42">
        <v>211</v>
      </c>
    </row>
    <row r="4873" spans="1:8" ht="15" customHeight="1">
      <c r="A4873" s="26">
        <v>46662578</v>
      </c>
      <c r="B4873" s="29" t="s">
        <v>7107</v>
      </c>
      <c r="C4873" s="29" t="s">
        <v>21612</v>
      </c>
      <c r="D4873" s="29" t="s">
        <v>34835</v>
      </c>
      <c r="E4873" s="29" t="s">
        <v>47732</v>
      </c>
      <c r="F4873" s="36" t="s">
        <v>54401</v>
      </c>
      <c r="G4873" s="39">
        <v>224988.83</v>
      </c>
      <c r="H4873" s="42">
        <v>211</v>
      </c>
    </row>
    <row r="4874" spans="1:8" ht="15" customHeight="1">
      <c r="A4874" s="26">
        <v>46662582</v>
      </c>
      <c r="B4874" s="29" t="s">
        <v>7108</v>
      </c>
      <c r="C4874" s="29" t="s">
        <v>21613</v>
      </c>
      <c r="D4874" s="29" t="s">
        <v>34836</v>
      </c>
      <c r="E4874" s="29" t="s">
        <v>47733</v>
      </c>
      <c r="F4874" s="36" t="s">
        <v>54401</v>
      </c>
      <c r="G4874" s="39">
        <v>424993.9</v>
      </c>
      <c r="H4874" s="42">
        <v>211</v>
      </c>
    </row>
    <row r="4875" spans="1:8" ht="15" customHeight="1">
      <c r="A4875" s="26">
        <v>46662594</v>
      </c>
      <c r="B4875" s="29" t="s">
        <v>7109</v>
      </c>
      <c r="C4875" s="29" t="s">
        <v>21614</v>
      </c>
      <c r="D4875" s="29" t="s">
        <v>34837</v>
      </c>
      <c r="E4875" s="29" t="s">
        <v>47734</v>
      </c>
      <c r="F4875" s="36" t="s">
        <v>54401</v>
      </c>
      <c r="G4875" s="39">
        <v>211489.1</v>
      </c>
      <c r="H4875" s="42">
        <v>211</v>
      </c>
    </row>
    <row r="4876" spans="1:8" ht="15" customHeight="1">
      <c r="A4876" s="26">
        <v>46662599</v>
      </c>
      <c r="B4876" s="29" t="s">
        <v>7110</v>
      </c>
      <c r="C4876" s="29" t="s">
        <v>21615</v>
      </c>
      <c r="D4876" s="29" t="s">
        <v>34838</v>
      </c>
      <c r="E4876" s="29" t="s">
        <v>47735</v>
      </c>
      <c r="F4876" s="36" t="s">
        <v>54401</v>
      </c>
      <c r="G4876" s="39">
        <v>2255877</v>
      </c>
      <c r="H4876" s="42">
        <v>211</v>
      </c>
    </row>
    <row r="4877" spans="1:8" ht="15" customHeight="1">
      <c r="A4877" s="26">
        <v>46662643</v>
      </c>
      <c r="B4877" s="29" t="s">
        <v>7111</v>
      </c>
      <c r="C4877" s="29" t="s">
        <v>21616</v>
      </c>
      <c r="D4877" s="29" t="s">
        <v>34839</v>
      </c>
      <c r="E4877" s="29" t="s">
        <v>47736</v>
      </c>
      <c r="F4877" s="36" t="s">
        <v>54401</v>
      </c>
      <c r="G4877" s="39">
        <v>17781.509999999998</v>
      </c>
      <c r="H4877" s="42">
        <v>211</v>
      </c>
    </row>
    <row r="4878" spans="1:8" ht="15" customHeight="1">
      <c r="A4878" s="26">
        <v>46662660</v>
      </c>
      <c r="B4878" s="29" t="s">
        <v>7112</v>
      </c>
      <c r="C4878" s="29" t="s">
        <v>21617</v>
      </c>
      <c r="D4878" s="29" t="s">
        <v>34840</v>
      </c>
      <c r="E4878" s="29" t="s">
        <v>47737</v>
      </c>
      <c r="F4878" s="36" t="s">
        <v>54401</v>
      </c>
      <c r="G4878" s="39">
        <v>597655.96</v>
      </c>
      <c r="H4878" s="42">
        <v>211</v>
      </c>
    </row>
    <row r="4879" spans="1:8" ht="15" customHeight="1">
      <c r="A4879" s="26">
        <v>46662680</v>
      </c>
      <c r="B4879" s="29" t="s">
        <v>7113</v>
      </c>
      <c r="C4879" s="29" t="s">
        <v>21618</v>
      </c>
      <c r="D4879" s="29" t="s">
        <v>34841</v>
      </c>
      <c r="E4879" s="29" t="s">
        <v>47738</v>
      </c>
      <c r="F4879" s="36" t="s">
        <v>54401</v>
      </c>
      <c r="G4879" s="39">
        <v>2709011.69</v>
      </c>
      <c r="H4879" s="42">
        <v>211</v>
      </c>
    </row>
    <row r="4880" spans="1:8" ht="15" customHeight="1">
      <c r="A4880" s="26">
        <v>46662685</v>
      </c>
      <c r="B4880" s="29" t="s">
        <v>7114</v>
      </c>
      <c r="C4880" s="29" t="s">
        <v>21619</v>
      </c>
      <c r="D4880" s="29" t="s">
        <v>34842</v>
      </c>
      <c r="E4880" s="29" t="s">
        <v>47739</v>
      </c>
      <c r="F4880" s="36" t="s">
        <v>54401</v>
      </c>
      <c r="G4880" s="39">
        <v>4182295.35</v>
      </c>
      <c r="H4880" s="42">
        <v>211</v>
      </c>
    </row>
    <row r="4881" spans="1:8" ht="15" customHeight="1">
      <c r="A4881" s="26">
        <v>46662705</v>
      </c>
      <c r="B4881" s="29" t="s">
        <v>7115</v>
      </c>
      <c r="C4881" s="29" t="s">
        <v>21620</v>
      </c>
      <c r="D4881" s="29" t="s">
        <v>34843</v>
      </c>
      <c r="E4881" s="29" t="s">
        <v>47740</v>
      </c>
      <c r="F4881" s="36" t="s">
        <v>54401</v>
      </c>
      <c r="G4881" s="39">
        <v>51100.83</v>
      </c>
      <c r="H4881" s="42">
        <v>211</v>
      </c>
    </row>
    <row r="4882" spans="1:8" ht="15" customHeight="1">
      <c r="A4882" s="26">
        <v>46662720</v>
      </c>
      <c r="B4882" s="29" t="s">
        <v>7116</v>
      </c>
      <c r="C4882" s="29" t="s">
        <v>21621</v>
      </c>
      <c r="D4882" s="29" t="s">
        <v>34844</v>
      </c>
      <c r="E4882" s="29" t="s">
        <v>45765</v>
      </c>
      <c r="F4882" s="36" t="s">
        <v>54401</v>
      </c>
      <c r="G4882" s="39">
        <v>412921.74</v>
      </c>
      <c r="H4882" s="42">
        <v>211</v>
      </c>
    </row>
    <row r="4883" spans="1:8" ht="15" customHeight="1">
      <c r="A4883" s="26">
        <v>46662730</v>
      </c>
      <c r="B4883" s="29" t="s">
        <v>7117</v>
      </c>
      <c r="C4883" s="29" t="s">
        <v>21622</v>
      </c>
      <c r="D4883" s="29" t="s">
        <v>34845</v>
      </c>
      <c r="E4883" s="29" t="s">
        <v>47741</v>
      </c>
      <c r="F4883" s="36" t="s">
        <v>54401</v>
      </c>
      <c r="G4883" s="39">
        <v>767736.96</v>
      </c>
      <c r="H4883" s="42">
        <v>211</v>
      </c>
    </row>
    <row r="4884" spans="1:8" ht="15" customHeight="1">
      <c r="A4884" s="26">
        <v>46662755</v>
      </c>
      <c r="B4884" s="29" t="s">
        <v>7118</v>
      </c>
      <c r="C4884" s="29" t="s">
        <v>21623</v>
      </c>
      <c r="D4884" s="29" t="s">
        <v>34846</v>
      </c>
      <c r="E4884" s="29" t="s">
        <v>47742</v>
      </c>
      <c r="F4884" s="36" t="s">
        <v>54401</v>
      </c>
      <c r="G4884" s="39">
        <v>1223698.58</v>
      </c>
      <c r="H4884" s="42">
        <v>211</v>
      </c>
    </row>
    <row r="4885" spans="1:8" ht="15" customHeight="1">
      <c r="A4885" s="26">
        <v>46662758</v>
      </c>
      <c r="B4885" s="29" t="s">
        <v>7119</v>
      </c>
      <c r="C4885" s="29" t="s">
        <v>21624</v>
      </c>
      <c r="D4885" s="29" t="s">
        <v>34847</v>
      </c>
      <c r="E4885" s="29" t="s">
        <v>47743</v>
      </c>
      <c r="F4885" s="36" t="s">
        <v>54401</v>
      </c>
      <c r="G4885" s="39">
        <v>164174.39999999999</v>
      </c>
      <c r="H4885" s="42">
        <v>211</v>
      </c>
    </row>
    <row r="4886" spans="1:8" ht="15" customHeight="1">
      <c r="A4886" s="26">
        <v>46662812</v>
      </c>
      <c r="B4886" s="29" t="s">
        <v>7120</v>
      </c>
      <c r="C4886" s="29" t="s">
        <v>21625</v>
      </c>
      <c r="D4886" s="29" t="s">
        <v>34848</v>
      </c>
      <c r="E4886" s="29" t="s">
        <v>47744</v>
      </c>
      <c r="F4886" s="36" t="s">
        <v>54401</v>
      </c>
      <c r="G4886" s="39">
        <v>152472.57</v>
      </c>
      <c r="H4886" s="42">
        <v>211</v>
      </c>
    </row>
    <row r="4887" spans="1:8" ht="15" customHeight="1">
      <c r="A4887" s="26">
        <v>46662829</v>
      </c>
      <c r="B4887" s="29" t="s">
        <v>7121</v>
      </c>
      <c r="C4887" s="29" t="s">
        <v>21626</v>
      </c>
      <c r="D4887" s="29" t="s">
        <v>34849</v>
      </c>
      <c r="E4887" s="29" t="s">
        <v>44239</v>
      </c>
      <c r="F4887" s="36" t="s">
        <v>54401</v>
      </c>
      <c r="G4887" s="39">
        <v>23554.62</v>
      </c>
      <c r="H4887" s="42">
        <v>211</v>
      </c>
    </row>
    <row r="4888" spans="1:8" ht="15" customHeight="1">
      <c r="A4888" s="26">
        <v>46662851</v>
      </c>
      <c r="B4888" s="29" t="s">
        <v>7122</v>
      </c>
      <c r="C4888" s="29" t="s">
        <v>21627</v>
      </c>
      <c r="D4888" s="29" t="s">
        <v>34850</v>
      </c>
      <c r="E4888" s="29" t="s">
        <v>47745</v>
      </c>
      <c r="F4888" s="36" t="s">
        <v>54401</v>
      </c>
      <c r="G4888" s="39">
        <v>2540733.8199999998</v>
      </c>
      <c r="H4888" s="42">
        <v>211</v>
      </c>
    </row>
    <row r="4889" spans="1:8" ht="15" customHeight="1">
      <c r="A4889" s="26">
        <v>46662886</v>
      </c>
      <c r="B4889" s="29" t="s">
        <v>7123</v>
      </c>
      <c r="C4889" s="29" t="s">
        <v>21628</v>
      </c>
      <c r="D4889" s="29" t="s">
        <v>34851</v>
      </c>
      <c r="E4889" s="29" t="s">
        <v>46370</v>
      </c>
      <c r="F4889" s="36" t="s">
        <v>54401</v>
      </c>
      <c r="G4889" s="39">
        <v>575609.36</v>
      </c>
      <c r="H4889" s="42">
        <v>211</v>
      </c>
    </row>
    <row r="4890" spans="1:8" ht="15" customHeight="1">
      <c r="A4890" s="26">
        <v>46662900</v>
      </c>
      <c r="B4890" s="29" t="s">
        <v>7124</v>
      </c>
      <c r="C4890" s="29" t="s">
        <v>21629</v>
      </c>
      <c r="D4890" s="29" t="s">
        <v>34852</v>
      </c>
      <c r="E4890" s="29" t="s">
        <v>45369</v>
      </c>
      <c r="F4890" s="36" t="s">
        <v>54401</v>
      </c>
      <c r="G4890" s="39">
        <v>108100</v>
      </c>
      <c r="H4890" s="42">
        <v>211</v>
      </c>
    </row>
    <row r="4891" spans="1:8" ht="15" customHeight="1">
      <c r="A4891" s="26">
        <v>46662916</v>
      </c>
      <c r="B4891" s="29" t="s">
        <v>7125</v>
      </c>
      <c r="C4891" s="29" t="s">
        <v>21630</v>
      </c>
      <c r="D4891" s="29" t="s">
        <v>34853</v>
      </c>
      <c r="E4891" s="29" t="s">
        <v>47746</v>
      </c>
      <c r="F4891" s="36" t="s">
        <v>54401</v>
      </c>
      <c r="G4891" s="39">
        <v>3654369</v>
      </c>
      <c r="H4891" s="42">
        <v>211</v>
      </c>
    </row>
    <row r="4892" spans="1:8" ht="15" customHeight="1">
      <c r="A4892" s="26">
        <v>46663036</v>
      </c>
      <c r="B4892" s="29" t="s">
        <v>7126</v>
      </c>
      <c r="C4892" s="29" t="s">
        <v>21631</v>
      </c>
      <c r="D4892" s="29" t="s">
        <v>34854</v>
      </c>
      <c r="E4892" s="29" t="s">
        <v>44783</v>
      </c>
      <c r="F4892" s="36" t="s">
        <v>54401</v>
      </c>
      <c r="G4892" s="39">
        <v>3865992</v>
      </c>
      <c r="H4892" s="42">
        <v>211</v>
      </c>
    </row>
    <row r="4893" spans="1:8" ht="15" customHeight="1">
      <c r="A4893" s="26">
        <v>46663039</v>
      </c>
      <c r="B4893" s="29" t="s">
        <v>7127</v>
      </c>
      <c r="C4893" s="29" t="s">
        <v>17204</v>
      </c>
      <c r="D4893" s="29" t="s">
        <v>34855</v>
      </c>
      <c r="E4893" s="29" t="s">
        <v>43926</v>
      </c>
      <c r="F4893" s="36" t="s">
        <v>54401</v>
      </c>
      <c r="G4893" s="39">
        <v>39094.29</v>
      </c>
      <c r="H4893" s="42">
        <v>211</v>
      </c>
    </row>
    <row r="4894" spans="1:8" ht="15" customHeight="1">
      <c r="A4894" s="26">
        <v>46663055</v>
      </c>
      <c r="B4894" s="29" t="s">
        <v>7128</v>
      </c>
      <c r="C4894" s="29" t="s">
        <v>17204</v>
      </c>
      <c r="D4894" s="29" t="s">
        <v>34856</v>
      </c>
      <c r="E4894" s="29" t="s">
        <v>43926</v>
      </c>
      <c r="F4894" s="36" t="s">
        <v>54401</v>
      </c>
      <c r="G4894" s="39">
        <v>89833.43</v>
      </c>
      <c r="H4894" s="42">
        <v>211</v>
      </c>
    </row>
    <row r="4895" spans="1:8" ht="15" customHeight="1">
      <c r="A4895" s="26">
        <v>46663057</v>
      </c>
      <c r="B4895" s="29" t="s">
        <v>7129</v>
      </c>
      <c r="C4895" s="29" t="s">
        <v>21632</v>
      </c>
      <c r="D4895" s="29" t="s">
        <v>34857</v>
      </c>
      <c r="E4895" s="29" t="s">
        <v>43926</v>
      </c>
      <c r="F4895" s="36" t="s">
        <v>54401</v>
      </c>
      <c r="G4895" s="39">
        <v>44230.8</v>
      </c>
      <c r="H4895" s="42">
        <v>211</v>
      </c>
    </row>
    <row r="4896" spans="1:8" ht="15" customHeight="1">
      <c r="A4896" s="26">
        <v>46663090</v>
      </c>
      <c r="B4896" s="29" t="s">
        <v>7130</v>
      </c>
      <c r="C4896" s="29" t="s">
        <v>17204</v>
      </c>
      <c r="D4896" s="29" t="s">
        <v>30349</v>
      </c>
      <c r="E4896" s="29" t="s">
        <v>43926</v>
      </c>
      <c r="F4896" s="36" t="s">
        <v>54401</v>
      </c>
      <c r="G4896" s="39">
        <v>35350.019999999997</v>
      </c>
      <c r="H4896" s="42">
        <v>211</v>
      </c>
    </row>
    <row r="4897" spans="1:8" ht="15" customHeight="1">
      <c r="A4897" s="26">
        <v>46663098</v>
      </c>
      <c r="B4897" s="29" t="s">
        <v>7131</v>
      </c>
      <c r="C4897" s="29" t="s">
        <v>21633</v>
      </c>
      <c r="D4897" s="29" t="s">
        <v>34858</v>
      </c>
      <c r="E4897" s="29" t="s">
        <v>47747</v>
      </c>
      <c r="F4897" s="36" t="s">
        <v>54401</v>
      </c>
      <c r="G4897" s="39">
        <v>3348164</v>
      </c>
      <c r="H4897" s="42">
        <v>211</v>
      </c>
    </row>
    <row r="4898" spans="1:8" ht="15" customHeight="1">
      <c r="A4898" s="26">
        <v>46663109</v>
      </c>
      <c r="B4898" s="29" t="s">
        <v>7132</v>
      </c>
      <c r="C4898" s="29" t="s">
        <v>18314</v>
      </c>
      <c r="D4898" s="29" t="s">
        <v>34859</v>
      </c>
      <c r="E4898" s="29" t="s">
        <v>44922</v>
      </c>
      <c r="F4898" s="36" t="s">
        <v>54401</v>
      </c>
      <c r="G4898" s="39">
        <v>1601130.84</v>
      </c>
      <c r="H4898" s="42">
        <v>211</v>
      </c>
    </row>
    <row r="4899" spans="1:8" ht="15" customHeight="1">
      <c r="A4899" s="26">
        <v>46663150</v>
      </c>
      <c r="B4899" s="29" t="s">
        <v>7133</v>
      </c>
      <c r="C4899" s="29" t="s">
        <v>21634</v>
      </c>
      <c r="D4899" s="29" t="s">
        <v>34860</v>
      </c>
      <c r="E4899" s="29" t="s">
        <v>47748</v>
      </c>
      <c r="F4899" s="36" t="s">
        <v>54401</v>
      </c>
      <c r="G4899" s="39">
        <v>2575564</v>
      </c>
      <c r="H4899" s="42">
        <v>211</v>
      </c>
    </row>
    <row r="4900" spans="1:8" ht="15" customHeight="1">
      <c r="A4900" s="26">
        <v>46663156</v>
      </c>
      <c r="B4900" s="29" t="s">
        <v>7134</v>
      </c>
      <c r="C4900" s="29" t="s">
        <v>21635</v>
      </c>
      <c r="D4900" s="29" t="s">
        <v>34861</v>
      </c>
      <c r="E4900" s="29" t="s">
        <v>43926</v>
      </c>
      <c r="F4900" s="36" t="s">
        <v>54401</v>
      </c>
      <c r="G4900" s="39">
        <v>896921.38</v>
      </c>
      <c r="H4900" s="42">
        <v>211</v>
      </c>
    </row>
    <row r="4901" spans="1:8" ht="15" customHeight="1">
      <c r="A4901" s="26">
        <v>46663177</v>
      </c>
      <c r="B4901" s="29" t="s">
        <v>7135</v>
      </c>
      <c r="C4901" s="29" t="s">
        <v>21636</v>
      </c>
      <c r="D4901" s="29" t="s">
        <v>30349</v>
      </c>
      <c r="E4901" s="29" t="s">
        <v>47749</v>
      </c>
      <c r="F4901" s="36" t="s">
        <v>54401</v>
      </c>
      <c r="G4901" s="39">
        <v>123823.99</v>
      </c>
      <c r="H4901" s="42">
        <v>211</v>
      </c>
    </row>
    <row r="4902" spans="1:8" ht="15" customHeight="1">
      <c r="A4902" s="26">
        <v>46663180</v>
      </c>
      <c r="B4902" s="29" t="s">
        <v>7136</v>
      </c>
      <c r="C4902" s="29" t="s">
        <v>21637</v>
      </c>
      <c r="D4902" s="29" t="s">
        <v>34862</v>
      </c>
      <c r="E4902" s="29" t="s">
        <v>45357</v>
      </c>
      <c r="F4902" s="36" t="s">
        <v>54401</v>
      </c>
      <c r="G4902" s="39">
        <v>597797.42000000004</v>
      </c>
      <c r="H4902" s="42">
        <v>211</v>
      </c>
    </row>
    <row r="4903" spans="1:8" ht="15" customHeight="1">
      <c r="A4903" s="26">
        <v>46663191</v>
      </c>
      <c r="B4903" s="29" t="s">
        <v>7137</v>
      </c>
      <c r="C4903" s="29" t="s">
        <v>21638</v>
      </c>
      <c r="D4903" s="29" t="s">
        <v>34863</v>
      </c>
      <c r="E4903" s="29" t="s">
        <v>46335</v>
      </c>
      <c r="F4903" s="36" t="s">
        <v>54401</v>
      </c>
      <c r="G4903" s="39">
        <v>1540739.14</v>
      </c>
      <c r="H4903" s="42">
        <v>211</v>
      </c>
    </row>
    <row r="4904" spans="1:8" ht="15" customHeight="1">
      <c r="A4904" s="26">
        <v>46663196</v>
      </c>
      <c r="B4904" s="29" t="s">
        <v>7138</v>
      </c>
      <c r="C4904" s="29" t="s">
        <v>21639</v>
      </c>
      <c r="D4904" s="29" t="s">
        <v>34864</v>
      </c>
      <c r="E4904" s="29" t="s">
        <v>47750</v>
      </c>
      <c r="F4904" s="36" t="s">
        <v>54401</v>
      </c>
      <c r="G4904" s="39">
        <v>166055.07</v>
      </c>
      <c r="H4904" s="42">
        <v>211</v>
      </c>
    </row>
    <row r="4905" spans="1:8" ht="15" customHeight="1">
      <c r="A4905" s="26">
        <v>46663217</v>
      </c>
      <c r="B4905" s="29" t="s">
        <v>7139</v>
      </c>
      <c r="C4905" s="29" t="s">
        <v>21640</v>
      </c>
      <c r="D4905" s="29" t="s">
        <v>34865</v>
      </c>
      <c r="E4905" s="29" t="s">
        <v>47751</v>
      </c>
      <c r="F4905" s="36" t="s">
        <v>54401</v>
      </c>
      <c r="G4905" s="39">
        <v>1459625.67</v>
      </c>
      <c r="H4905" s="42">
        <v>211</v>
      </c>
    </row>
    <row r="4906" spans="1:8" ht="15" customHeight="1">
      <c r="A4906" s="26">
        <v>46663219</v>
      </c>
      <c r="B4906" s="29" t="s">
        <v>7140</v>
      </c>
      <c r="C4906" s="29" t="s">
        <v>21641</v>
      </c>
      <c r="D4906" s="29" t="s">
        <v>34866</v>
      </c>
      <c r="E4906" s="29" t="s">
        <v>47752</v>
      </c>
      <c r="F4906" s="36" t="s">
        <v>54401</v>
      </c>
      <c r="G4906" s="39">
        <v>104809.16</v>
      </c>
      <c r="H4906" s="42">
        <v>211</v>
      </c>
    </row>
    <row r="4907" spans="1:8" ht="15" customHeight="1">
      <c r="A4907" s="26">
        <v>46663274</v>
      </c>
      <c r="B4907" s="29" t="s">
        <v>7141</v>
      </c>
      <c r="C4907" s="29" t="s">
        <v>21642</v>
      </c>
      <c r="D4907" s="29" t="s">
        <v>34867</v>
      </c>
      <c r="E4907" s="29" t="s">
        <v>47753</v>
      </c>
      <c r="F4907" s="36" t="s">
        <v>54401</v>
      </c>
      <c r="G4907" s="39">
        <v>284943.06</v>
      </c>
      <c r="H4907" s="42">
        <v>211</v>
      </c>
    </row>
    <row r="4908" spans="1:8" ht="15" customHeight="1">
      <c r="A4908" s="26">
        <v>46663285</v>
      </c>
      <c r="B4908" s="29" t="s">
        <v>7142</v>
      </c>
      <c r="C4908" s="29" t="s">
        <v>17204</v>
      </c>
      <c r="D4908" s="29" t="s">
        <v>30349</v>
      </c>
      <c r="E4908" s="29" t="s">
        <v>43926</v>
      </c>
      <c r="F4908" s="36" t="s">
        <v>54401</v>
      </c>
      <c r="G4908" s="39">
        <v>129800.42</v>
      </c>
      <c r="H4908" s="42">
        <v>211</v>
      </c>
    </row>
    <row r="4909" spans="1:8" ht="15" customHeight="1">
      <c r="A4909" s="26">
        <v>46663317</v>
      </c>
      <c r="B4909" s="29" t="s">
        <v>7143</v>
      </c>
      <c r="C4909" s="29" t="s">
        <v>21643</v>
      </c>
      <c r="D4909" s="29" t="s">
        <v>34868</v>
      </c>
      <c r="E4909" s="29" t="s">
        <v>44802</v>
      </c>
      <c r="F4909" s="36" t="s">
        <v>54401</v>
      </c>
      <c r="G4909" s="39">
        <v>160391.04000000001</v>
      </c>
      <c r="H4909" s="42">
        <v>211</v>
      </c>
    </row>
    <row r="4910" spans="1:8" ht="15" customHeight="1">
      <c r="A4910" s="26">
        <v>46663318</v>
      </c>
      <c r="B4910" s="29" t="s">
        <v>7144</v>
      </c>
      <c r="C4910" s="29" t="s">
        <v>21644</v>
      </c>
      <c r="D4910" s="29" t="s">
        <v>34869</v>
      </c>
      <c r="E4910" s="29" t="s">
        <v>47754</v>
      </c>
      <c r="F4910" s="36" t="s">
        <v>54406</v>
      </c>
      <c r="G4910" s="39">
        <v>1897394</v>
      </c>
      <c r="H4910" s="42">
        <v>211</v>
      </c>
    </row>
    <row r="4911" spans="1:8" ht="15" customHeight="1">
      <c r="A4911" s="26">
        <v>46663330</v>
      </c>
      <c r="B4911" s="29" t="s">
        <v>7145</v>
      </c>
      <c r="C4911" s="29" t="s">
        <v>21645</v>
      </c>
      <c r="D4911" s="29" t="s">
        <v>34870</v>
      </c>
      <c r="E4911" s="29" t="s">
        <v>47755</v>
      </c>
      <c r="F4911" s="36" t="s">
        <v>54401</v>
      </c>
      <c r="G4911" s="39">
        <v>4865471</v>
      </c>
      <c r="H4911" s="42">
        <v>211</v>
      </c>
    </row>
    <row r="4912" spans="1:8" ht="15" customHeight="1">
      <c r="A4912" s="26">
        <v>46663337</v>
      </c>
      <c r="B4912" s="29" t="s">
        <v>7146</v>
      </c>
      <c r="C4912" s="29" t="s">
        <v>21646</v>
      </c>
      <c r="D4912" s="29" t="s">
        <v>34871</v>
      </c>
      <c r="E4912" s="29" t="s">
        <v>47756</v>
      </c>
      <c r="F4912" s="36" t="s">
        <v>54401</v>
      </c>
      <c r="G4912" s="39">
        <v>128387.06</v>
      </c>
      <c r="H4912" s="42">
        <v>211</v>
      </c>
    </row>
    <row r="4913" spans="1:8" ht="15" customHeight="1">
      <c r="A4913" s="26">
        <v>46663356</v>
      </c>
      <c r="B4913" s="29" t="s">
        <v>7147</v>
      </c>
      <c r="C4913" s="29" t="s">
        <v>21647</v>
      </c>
      <c r="D4913" s="29" t="s">
        <v>34872</v>
      </c>
      <c r="E4913" s="29" t="s">
        <v>47757</v>
      </c>
      <c r="F4913" s="36" t="s">
        <v>54401</v>
      </c>
      <c r="G4913" s="39">
        <v>584946.35</v>
      </c>
      <c r="H4913" s="42">
        <v>211</v>
      </c>
    </row>
    <row r="4914" spans="1:8" ht="15" customHeight="1">
      <c r="A4914" s="26">
        <v>46663358</v>
      </c>
      <c r="B4914" s="29" t="s">
        <v>7148</v>
      </c>
      <c r="C4914" s="29" t="s">
        <v>21648</v>
      </c>
      <c r="D4914" s="29" t="s">
        <v>34873</v>
      </c>
      <c r="E4914" s="29" t="s">
        <v>47758</v>
      </c>
      <c r="F4914" s="36" t="s">
        <v>54401</v>
      </c>
      <c r="G4914" s="39">
        <v>1519431.87</v>
      </c>
      <c r="H4914" s="42">
        <v>211</v>
      </c>
    </row>
    <row r="4915" spans="1:8" ht="15" customHeight="1">
      <c r="A4915" s="26">
        <v>46663382</v>
      </c>
      <c r="B4915" s="29" t="s">
        <v>7149</v>
      </c>
      <c r="C4915" s="29" t="s">
        <v>21649</v>
      </c>
      <c r="D4915" s="29" t="s">
        <v>34874</v>
      </c>
      <c r="E4915" s="29" t="s">
        <v>47759</v>
      </c>
      <c r="F4915" s="36" t="s">
        <v>54401</v>
      </c>
      <c r="G4915" s="39">
        <v>197902.86</v>
      </c>
      <c r="H4915" s="42">
        <v>211</v>
      </c>
    </row>
    <row r="4916" spans="1:8" ht="15" customHeight="1">
      <c r="A4916" s="26">
        <v>46663449</v>
      </c>
      <c r="B4916" s="29" t="s">
        <v>7150</v>
      </c>
      <c r="C4916" s="29" t="s">
        <v>21650</v>
      </c>
      <c r="D4916" s="29" t="s">
        <v>34875</v>
      </c>
      <c r="E4916" s="29" t="s">
        <v>47760</v>
      </c>
      <c r="F4916" s="36" t="s">
        <v>54401</v>
      </c>
      <c r="G4916" s="39">
        <v>4144514.02</v>
      </c>
      <c r="H4916" s="42">
        <v>211</v>
      </c>
    </row>
    <row r="4917" spans="1:8" ht="15" customHeight="1">
      <c r="A4917" s="26">
        <v>46663456</v>
      </c>
      <c r="B4917" s="29" t="s">
        <v>7151</v>
      </c>
      <c r="C4917" s="29" t="s">
        <v>21651</v>
      </c>
      <c r="D4917" s="29" t="s">
        <v>34876</v>
      </c>
      <c r="E4917" s="29" t="s">
        <v>44002</v>
      </c>
      <c r="F4917" s="36" t="s">
        <v>54409</v>
      </c>
      <c r="G4917" s="39">
        <v>10995667</v>
      </c>
      <c r="H4917" s="42">
        <v>211</v>
      </c>
    </row>
    <row r="4918" spans="1:8" ht="15" customHeight="1">
      <c r="A4918" s="26">
        <v>46663460</v>
      </c>
      <c r="B4918" s="29" t="s">
        <v>7152</v>
      </c>
      <c r="C4918" s="29" t="s">
        <v>21652</v>
      </c>
      <c r="D4918" s="29" t="s">
        <v>34877</v>
      </c>
      <c r="E4918" s="29" t="s">
        <v>47162</v>
      </c>
      <c r="F4918" s="36" t="s">
        <v>54401</v>
      </c>
      <c r="G4918" s="39">
        <v>2602114</v>
      </c>
      <c r="H4918" s="42">
        <v>211</v>
      </c>
    </row>
    <row r="4919" spans="1:8" ht="15" customHeight="1">
      <c r="A4919" s="26">
        <v>46663469</v>
      </c>
      <c r="B4919" s="29" t="s">
        <v>7153</v>
      </c>
      <c r="C4919" s="29" t="s">
        <v>17204</v>
      </c>
      <c r="D4919" s="29" t="s">
        <v>30349</v>
      </c>
      <c r="E4919" s="29" t="s">
        <v>43926</v>
      </c>
      <c r="F4919" s="36" t="s">
        <v>54401</v>
      </c>
      <c r="G4919" s="39">
        <v>5382.38</v>
      </c>
      <c r="H4919" s="42">
        <v>211</v>
      </c>
    </row>
    <row r="4920" spans="1:8" ht="15" customHeight="1">
      <c r="A4920" s="26">
        <v>46663480</v>
      </c>
      <c r="B4920" s="29" t="s">
        <v>7154</v>
      </c>
      <c r="C4920" s="29" t="s">
        <v>21653</v>
      </c>
      <c r="D4920" s="29" t="s">
        <v>34878</v>
      </c>
      <c r="E4920" s="29" t="s">
        <v>47761</v>
      </c>
      <c r="F4920" s="36" t="s">
        <v>54401</v>
      </c>
      <c r="G4920" s="39">
        <v>590012.62</v>
      </c>
      <c r="H4920" s="42">
        <v>211</v>
      </c>
    </row>
    <row r="4921" spans="1:8" ht="15" customHeight="1">
      <c r="A4921" s="26">
        <v>46663536</v>
      </c>
      <c r="B4921" s="29" t="s">
        <v>7155</v>
      </c>
      <c r="C4921" s="29" t="s">
        <v>21654</v>
      </c>
      <c r="D4921" s="29" t="s">
        <v>34879</v>
      </c>
      <c r="E4921" s="29" t="s">
        <v>47762</v>
      </c>
      <c r="F4921" s="36" t="s">
        <v>54401</v>
      </c>
      <c r="G4921" s="39">
        <v>4173654.98</v>
      </c>
      <c r="H4921" s="42">
        <v>211</v>
      </c>
    </row>
    <row r="4922" spans="1:8" ht="15" customHeight="1">
      <c r="A4922" s="26">
        <v>46663567</v>
      </c>
      <c r="B4922" s="29" t="s">
        <v>7156</v>
      </c>
      <c r="C4922" s="29" t="s">
        <v>21655</v>
      </c>
      <c r="D4922" s="29" t="s">
        <v>34880</v>
      </c>
      <c r="E4922" s="29" t="s">
        <v>47763</v>
      </c>
      <c r="F4922" s="36" t="s">
        <v>54401</v>
      </c>
      <c r="G4922" s="39">
        <v>3576591</v>
      </c>
      <c r="H4922" s="42">
        <v>211</v>
      </c>
    </row>
    <row r="4923" spans="1:8" ht="15" customHeight="1">
      <c r="A4923" s="26">
        <v>46663596</v>
      </c>
      <c r="B4923" s="29" t="s">
        <v>7157</v>
      </c>
      <c r="C4923" s="29" t="s">
        <v>21656</v>
      </c>
      <c r="D4923" s="29" t="s">
        <v>34881</v>
      </c>
      <c r="E4923" s="29" t="s">
        <v>47764</v>
      </c>
      <c r="F4923" s="36" t="s">
        <v>54401</v>
      </c>
      <c r="G4923" s="39">
        <v>30498.32</v>
      </c>
      <c r="H4923" s="42">
        <v>211</v>
      </c>
    </row>
    <row r="4924" spans="1:8" ht="15" customHeight="1">
      <c r="A4924" s="26">
        <v>46663639</v>
      </c>
      <c r="B4924" s="29" t="s">
        <v>7158</v>
      </c>
      <c r="C4924" s="26" t="s">
        <v>21657</v>
      </c>
      <c r="D4924" s="26" t="s">
        <v>34882</v>
      </c>
      <c r="E4924" s="26" t="s">
        <v>47765</v>
      </c>
      <c r="F4924" s="37" t="s">
        <v>54401</v>
      </c>
      <c r="G4924" s="39">
        <v>526950.48</v>
      </c>
      <c r="H4924" s="42">
        <v>211</v>
      </c>
    </row>
    <row r="4925" spans="1:8" ht="15" customHeight="1">
      <c r="A4925" s="26">
        <v>46663665</v>
      </c>
      <c r="B4925" s="29" t="s">
        <v>7159</v>
      </c>
      <c r="C4925" s="29" t="s">
        <v>17204</v>
      </c>
      <c r="D4925" s="29" t="s">
        <v>34883</v>
      </c>
      <c r="E4925" s="29" t="s">
        <v>43926</v>
      </c>
      <c r="F4925" s="36" t="s">
        <v>54401</v>
      </c>
      <c r="G4925" s="39">
        <v>2383966.4700000002</v>
      </c>
      <c r="H4925" s="42">
        <v>211</v>
      </c>
    </row>
    <row r="4926" spans="1:8" ht="15" customHeight="1">
      <c r="A4926" s="26">
        <v>46663689</v>
      </c>
      <c r="B4926" s="29" t="s">
        <v>7160</v>
      </c>
      <c r="C4926" s="29" t="s">
        <v>21658</v>
      </c>
      <c r="D4926" s="29" t="s">
        <v>34884</v>
      </c>
      <c r="E4926" s="29" t="s">
        <v>47766</v>
      </c>
      <c r="F4926" s="36" t="s">
        <v>54401</v>
      </c>
      <c r="G4926" s="39">
        <v>815583.24</v>
      </c>
      <c r="H4926" s="42">
        <v>211</v>
      </c>
    </row>
    <row r="4927" spans="1:8" ht="15" customHeight="1">
      <c r="A4927" s="26">
        <v>46663765</v>
      </c>
      <c r="B4927" s="29" t="s">
        <v>7161</v>
      </c>
      <c r="C4927" s="29" t="s">
        <v>21659</v>
      </c>
      <c r="D4927" s="29" t="s">
        <v>30376</v>
      </c>
      <c r="E4927" s="29" t="s">
        <v>47767</v>
      </c>
      <c r="F4927" s="36" t="s">
        <v>54401</v>
      </c>
      <c r="G4927" s="39">
        <v>2749178.59</v>
      </c>
      <c r="H4927" s="42">
        <v>211</v>
      </c>
    </row>
    <row r="4928" spans="1:8" ht="15" customHeight="1">
      <c r="A4928" s="26">
        <v>46663809</v>
      </c>
      <c r="B4928" s="29" t="s">
        <v>7162</v>
      </c>
      <c r="C4928" s="29" t="s">
        <v>21660</v>
      </c>
      <c r="D4928" s="29" t="s">
        <v>34885</v>
      </c>
      <c r="E4928" s="29" t="s">
        <v>47768</v>
      </c>
      <c r="F4928" s="36" t="s">
        <v>54401</v>
      </c>
      <c r="G4928" s="39">
        <v>67339.88</v>
      </c>
      <c r="H4928" s="42">
        <v>211</v>
      </c>
    </row>
    <row r="4929" spans="1:8" ht="15" customHeight="1">
      <c r="A4929" s="26">
        <v>46663811</v>
      </c>
      <c r="B4929" s="29" t="s">
        <v>7163</v>
      </c>
      <c r="C4929" s="29" t="s">
        <v>21661</v>
      </c>
      <c r="D4929" s="29" t="s">
        <v>34886</v>
      </c>
      <c r="E4929" s="29" t="s">
        <v>47769</v>
      </c>
      <c r="F4929" s="36" t="s">
        <v>54423</v>
      </c>
      <c r="G4929" s="39">
        <v>44116434.270000003</v>
      </c>
      <c r="H4929" s="42">
        <v>211</v>
      </c>
    </row>
    <row r="4930" spans="1:8" ht="15" customHeight="1">
      <c r="A4930" s="26">
        <v>46663816</v>
      </c>
      <c r="B4930" s="29" t="s">
        <v>7164</v>
      </c>
      <c r="C4930" s="29" t="s">
        <v>21662</v>
      </c>
      <c r="D4930" s="29" t="s">
        <v>34887</v>
      </c>
      <c r="E4930" s="29" t="s">
        <v>43948</v>
      </c>
      <c r="F4930" s="36" t="s">
        <v>54401</v>
      </c>
      <c r="G4930" s="39">
        <v>3127944</v>
      </c>
      <c r="H4930" s="42">
        <v>211</v>
      </c>
    </row>
    <row r="4931" spans="1:8" ht="15" customHeight="1">
      <c r="A4931" s="26">
        <v>46663831</v>
      </c>
      <c r="B4931" s="29" t="s">
        <v>7165</v>
      </c>
      <c r="C4931" s="29" t="s">
        <v>21663</v>
      </c>
      <c r="D4931" s="29" t="s">
        <v>34888</v>
      </c>
      <c r="E4931" s="29" t="s">
        <v>44452</v>
      </c>
      <c r="F4931" s="36" t="s">
        <v>54401</v>
      </c>
      <c r="G4931" s="39">
        <v>650133.59</v>
      </c>
      <c r="H4931" s="42">
        <v>211</v>
      </c>
    </row>
    <row r="4932" spans="1:8" ht="15" customHeight="1">
      <c r="A4932" s="26">
        <v>46663836</v>
      </c>
      <c r="B4932" s="29" t="s">
        <v>7166</v>
      </c>
      <c r="C4932" s="26" t="s">
        <v>21664</v>
      </c>
      <c r="D4932" s="26" t="s">
        <v>34889</v>
      </c>
      <c r="E4932" s="26" t="s">
        <v>47770</v>
      </c>
      <c r="F4932" s="37" t="s">
        <v>54401</v>
      </c>
      <c r="G4932" s="39">
        <v>180266.59</v>
      </c>
      <c r="H4932" s="42">
        <v>211</v>
      </c>
    </row>
    <row r="4933" spans="1:8" ht="15" customHeight="1">
      <c r="A4933" s="26">
        <v>46663879</v>
      </c>
      <c r="B4933" s="29" t="s">
        <v>7167</v>
      </c>
      <c r="C4933" s="29" t="s">
        <v>17204</v>
      </c>
      <c r="D4933" s="29" t="s">
        <v>30349</v>
      </c>
      <c r="E4933" s="29" t="s">
        <v>43926</v>
      </c>
      <c r="F4933" s="36" t="s">
        <v>54401</v>
      </c>
      <c r="G4933" s="39">
        <v>88350.11</v>
      </c>
      <c r="H4933" s="42">
        <v>211</v>
      </c>
    </row>
    <row r="4934" spans="1:8" ht="15" customHeight="1">
      <c r="A4934" s="26">
        <v>46663886</v>
      </c>
      <c r="B4934" s="29" t="s">
        <v>7168</v>
      </c>
      <c r="C4934" s="29" t="s">
        <v>21665</v>
      </c>
      <c r="D4934" s="29" t="s">
        <v>34890</v>
      </c>
      <c r="E4934" s="29" t="s">
        <v>43926</v>
      </c>
      <c r="F4934" s="36" t="s">
        <v>54401</v>
      </c>
      <c r="G4934" s="39">
        <v>202050.18</v>
      </c>
      <c r="H4934" s="42">
        <v>211</v>
      </c>
    </row>
    <row r="4935" spans="1:8" ht="15" customHeight="1">
      <c r="A4935" s="26">
        <v>46663889</v>
      </c>
      <c r="B4935" s="29" t="s">
        <v>7169</v>
      </c>
      <c r="C4935" s="29" t="s">
        <v>21666</v>
      </c>
      <c r="D4935" s="29" t="s">
        <v>34891</v>
      </c>
      <c r="E4935" s="29" t="s">
        <v>47771</v>
      </c>
      <c r="F4935" s="36" t="s">
        <v>54401</v>
      </c>
      <c r="G4935" s="39">
        <v>2297820.77</v>
      </c>
      <c r="H4935" s="42">
        <v>211</v>
      </c>
    </row>
    <row r="4936" spans="1:8" ht="15" customHeight="1">
      <c r="A4936" s="26">
        <v>46663945</v>
      </c>
      <c r="B4936" s="29" t="s">
        <v>7170</v>
      </c>
      <c r="C4936" s="29" t="s">
        <v>21667</v>
      </c>
      <c r="D4936" s="29" t="s">
        <v>34892</v>
      </c>
      <c r="E4936" s="29" t="s">
        <v>47772</v>
      </c>
      <c r="F4936" s="36" t="s">
        <v>54401</v>
      </c>
      <c r="G4936" s="39">
        <v>5460882</v>
      </c>
      <c r="H4936" s="42">
        <v>211</v>
      </c>
    </row>
    <row r="4937" spans="1:8" ht="15" customHeight="1">
      <c r="A4937" s="26">
        <v>46663956</v>
      </c>
      <c r="B4937" s="29" t="s">
        <v>7171</v>
      </c>
      <c r="C4937" s="29" t="s">
        <v>21668</v>
      </c>
      <c r="D4937" s="29" t="s">
        <v>34893</v>
      </c>
      <c r="E4937" s="29" t="s">
        <v>47773</v>
      </c>
      <c r="F4937" s="36" t="s">
        <v>54401</v>
      </c>
      <c r="G4937" s="39">
        <v>93402.16</v>
      </c>
      <c r="H4937" s="42">
        <v>211</v>
      </c>
    </row>
    <row r="4938" spans="1:8" ht="15" customHeight="1">
      <c r="A4938" s="26">
        <v>46663962</v>
      </c>
      <c r="B4938" s="29" t="s">
        <v>7172</v>
      </c>
      <c r="C4938" s="29" t="s">
        <v>21669</v>
      </c>
      <c r="D4938" s="29" t="s">
        <v>34894</v>
      </c>
      <c r="E4938" s="29" t="s">
        <v>45052</v>
      </c>
      <c r="F4938" s="36" t="s">
        <v>54401</v>
      </c>
      <c r="G4938" s="39">
        <v>1411797.12</v>
      </c>
      <c r="H4938" s="42">
        <v>211</v>
      </c>
    </row>
    <row r="4939" spans="1:8" ht="15" customHeight="1">
      <c r="A4939" s="26">
        <v>46663969</v>
      </c>
      <c r="B4939" s="29" t="s">
        <v>7173</v>
      </c>
      <c r="C4939" s="26" t="s">
        <v>21670</v>
      </c>
      <c r="D4939" s="26" t="s">
        <v>34895</v>
      </c>
      <c r="E4939" s="26" t="s">
        <v>47774</v>
      </c>
      <c r="F4939" s="37" t="s">
        <v>54401</v>
      </c>
      <c r="G4939" s="39">
        <v>1391875.37</v>
      </c>
      <c r="H4939" s="42">
        <v>211</v>
      </c>
    </row>
    <row r="4940" spans="1:8" ht="15" customHeight="1">
      <c r="A4940" s="26">
        <v>46663994</v>
      </c>
      <c r="B4940" s="29" t="s">
        <v>7174</v>
      </c>
      <c r="C4940" s="29" t="s">
        <v>21671</v>
      </c>
      <c r="D4940" s="29" t="s">
        <v>30349</v>
      </c>
      <c r="E4940" s="29" t="s">
        <v>47775</v>
      </c>
      <c r="F4940" s="36" t="s">
        <v>54401</v>
      </c>
      <c r="G4940" s="39">
        <v>193578.61</v>
      </c>
      <c r="H4940" s="42">
        <v>211</v>
      </c>
    </row>
    <row r="4941" spans="1:8" ht="15" customHeight="1">
      <c r="A4941" s="26">
        <v>46663999</v>
      </c>
      <c r="B4941" s="29" t="s">
        <v>7175</v>
      </c>
      <c r="C4941" s="29" t="s">
        <v>21672</v>
      </c>
      <c r="D4941" s="29" t="s">
        <v>34896</v>
      </c>
      <c r="E4941" s="29" t="s">
        <v>47776</v>
      </c>
      <c r="F4941" s="36" t="s">
        <v>54401</v>
      </c>
      <c r="G4941" s="39">
        <v>297000</v>
      </c>
      <c r="H4941" s="42">
        <v>211</v>
      </c>
    </row>
    <row r="4942" spans="1:8" ht="15" customHeight="1">
      <c r="A4942" s="26">
        <v>46664011</v>
      </c>
      <c r="B4942" s="29" t="s">
        <v>7176</v>
      </c>
      <c r="C4942" s="29" t="s">
        <v>21673</v>
      </c>
      <c r="D4942" s="29" t="s">
        <v>34897</v>
      </c>
      <c r="E4942" s="29" t="s">
        <v>47777</v>
      </c>
      <c r="F4942" s="36" t="s">
        <v>54401</v>
      </c>
      <c r="G4942" s="39">
        <v>70492.66</v>
      </c>
      <c r="H4942" s="42">
        <v>211</v>
      </c>
    </row>
    <row r="4943" spans="1:8" ht="15" customHeight="1">
      <c r="A4943" s="26">
        <v>46664106</v>
      </c>
      <c r="B4943" s="29" t="s">
        <v>7177</v>
      </c>
      <c r="C4943" s="29" t="s">
        <v>21674</v>
      </c>
      <c r="D4943" s="29" t="s">
        <v>34898</v>
      </c>
      <c r="E4943" s="29" t="s">
        <v>47778</v>
      </c>
      <c r="F4943" s="36" t="s">
        <v>54401</v>
      </c>
      <c r="G4943" s="39">
        <v>3442178.08</v>
      </c>
      <c r="H4943" s="42">
        <v>211</v>
      </c>
    </row>
    <row r="4944" spans="1:8" ht="15" customHeight="1">
      <c r="A4944" s="26">
        <v>46664109</v>
      </c>
      <c r="B4944" s="29" t="s">
        <v>7178</v>
      </c>
      <c r="C4944" s="29" t="s">
        <v>21675</v>
      </c>
      <c r="D4944" s="29" t="s">
        <v>34899</v>
      </c>
      <c r="E4944" s="29" t="s">
        <v>43926</v>
      </c>
      <c r="F4944" s="36" t="s">
        <v>54401</v>
      </c>
      <c r="G4944" s="39">
        <v>83071.710000000006</v>
      </c>
      <c r="H4944" s="42">
        <v>211</v>
      </c>
    </row>
    <row r="4945" spans="1:8" ht="15" customHeight="1">
      <c r="A4945" s="26">
        <v>46664117</v>
      </c>
      <c r="B4945" s="29" t="s">
        <v>7179</v>
      </c>
      <c r="C4945" s="29" t="s">
        <v>21676</v>
      </c>
      <c r="D4945" s="29" t="s">
        <v>34900</v>
      </c>
      <c r="E4945" s="29" t="s">
        <v>47779</v>
      </c>
      <c r="F4945" s="36" t="s">
        <v>54412</v>
      </c>
      <c r="G4945" s="39">
        <v>338553.66</v>
      </c>
      <c r="H4945" s="42">
        <v>211</v>
      </c>
    </row>
    <row r="4946" spans="1:8" ht="15" customHeight="1">
      <c r="A4946" s="26">
        <v>46664150</v>
      </c>
      <c r="B4946" s="29" t="s">
        <v>7180</v>
      </c>
      <c r="C4946" s="26" t="s">
        <v>21677</v>
      </c>
      <c r="D4946" s="26" t="s">
        <v>34901</v>
      </c>
      <c r="E4946" s="26" t="s">
        <v>47780</v>
      </c>
      <c r="F4946" s="37" t="s">
        <v>54409</v>
      </c>
      <c r="G4946" s="39">
        <v>3578890</v>
      </c>
      <c r="H4946" s="42">
        <v>211</v>
      </c>
    </row>
    <row r="4947" spans="1:8" ht="15" customHeight="1">
      <c r="A4947" s="26">
        <v>46664152</v>
      </c>
      <c r="B4947" s="29" t="s">
        <v>7181</v>
      </c>
      <c r="C4947" s="29" t="s">
        <v>17204</v>
      </c>
      <c r="D4947" s="29" t="s">
        <v>34902</v>
      </c>
      <c r="E4947" s="29" t="s">
        <v>43926</v>
      </c>
      <c r="F4947" s="36" t="s">
        <v>54401</v>
      </c>
      <c r="G4947" s="39">
        <v>131315.57999999999</v>
      </c>
      <c r="H4947" s="42">
        <v>211</v>
      </c>
    </row>
    <row r="4948" spans="1:8" ht="15" customHeight="1">
      <c r="A4948" s="26">
        <v>46664155</v>
      </c>
      <c r="B4948" s="29" t="s">
        <v>7182</v>
      </c>
      <c r="C4948" s="29" t="s">
        <v>21678</v>
      </c>
      <c r="D4948" s="29" t="s">
        <v>34903</v>
      </c>
      <c r="E4948" s="29" t="s">
        <v>47781</v>
      </c>
      <c r="F4948" s="36" t="s">
        <v>54401</v>
      </c>
      <c r="G4948" s="39">
        <v>5334513.1900000004</v>
      </c>
      <c r="H4948" s="42">
        <v>211</v>
      </c>
    </row>
    <row r="4949" spans="1:8" ht="15" customHeight="1">
      <c r="A4949" s="26">
        <v>46664204</v>
      </c>
      <c r="B4949" s="29" t="s">
        <v>7183</v>
      </c>
      <c r="C4949" s="29" t="s">
        <v>21679</v>
      </c>
      <c r="D4949" s="29" t="s">
        <v>34904</v>
      </c>
      <c r="E4949" s="29" t="s">
        <v>47782</v>
      </c>
      <c r="F4949" s="36" t="s">
        <v>54401</v>
      </c>
      <c r="G4949" s="39">
        <v>1191139.9099999999</v>
      </c>
      <c r="H4949" s="42">
        <v>211</v>
      </c>
    </row>
    <row r="4950" spans="1:8" ht="15" customHeight="1">
      <c r="A4950" s="26">
        <v>46664232</v>
      </c>
      <c r="B4950" s="29" t="s">
        <v>7184</v>
      </c>
      <c r="C4950" s="29" t="s">
        <v>21680</v>
      </c>
      <c r="D4950" s="29" t="s">
        <v>34905</v>
      </c>
      <c r="E4950" s="29" t="s">
        <v>47783</v>
      </c>
      <c r="F4950" s="36" t="s">
        <v>54401</v>
      </c>
      <c r="G4950" s="39">
        <v>2884466.09</v>
      </c>
      <c r="H4950" s="42">
        <v>211</v>
      </c>
    </row>
    <row r="4951" spans="1:8" ht="15" customHeight="1">
      <c r="A4951" s="26">
        <v>46664243</v>
      </c>
      <c r="B4951" s="29" t="s">
        <v>7185</v>
      </c>
      <c r="C4951" s="29" t="s">
        <v>21681</v>
      </c>
      <c r="D4951" s="29" t="s">
        <v>34906</v>
      </c>
      <c r="E4951" s="29" t="s">
        <v>47784</v>
      </c>
      <c r="F4951" s="36" t="s">
        <v>54401</v>
      </c>
      <c r="G4951" s="39">
        <v>278107.90999999997</v>
      </c>
      <c r="H4951" s="42">
        <v>211</v>
      </c>
    </row>
    <row r="4952" spans="1:8" ht="15" customHeight="1">
      <c r="A4952" s="26">
        <v>46664245</v>
      </c>
      <c r="B4952" s="29" t="s">
        <v>7186</v>
      </c>
      <c r="C4952" s="26" t="s">
        <v>21682</v>
      </c>
      <c r="D4952" s="26" t="s">
        <v>34907</v>
      </c>
      <c r="E4952" s="26" t="s">
        <v>47785</v>
      </c>
      <c r="F4952" s="37" t="s">
        <v>54401</v>
      </c>
      <c r="G4952" s="39">
        <v>51211.74</v>
      </c>
      <c r="H4952" s="42">
        <v>211</v>
      </c>
    </row>
    <row r="4953" spans="1:8" ht="15" customHeight="1">
      <c r="A4953" s="26">
        <v>46664247</v>
      </c>
      <c r="B4953" s="29" t="s">
        <v>7187</v>
      </c>
      <c r="C4953" s="29" t="s">
        <v>17204</v>
      </c>
      <c r="D4953" s="29" t="s">
        <v>30349</v>
      </c>
      <c r="E4953" s="29" t="s">
        <v>43926</v>
      </c>
      <c r="F4953" s="36" t="s">
        <v>54401</v>
      </c>
      <c r="G4953" s="39">
        <v>418796.68</v>
      </c>
      <c r="H4953" s="42">
        <v>211</v>
      </c>
    </row>
    <row r="4954" spans="1:8" ht="15" customHeight="1">
      <c r="A4954" s="26">
        <v>46664252</v>
      </c>
      <c r="B4954" s="29" t="s">
        <v>7188</v>
      </c>
      <c r="C4954" s="29" t="s">
        <v>21683</v>
      </c>
      <c r="D4954" s="29" t="s">
        <v>34908</v>
      </c>
      <c r="E4954" s="29" t="s">
        <v>47786</v>
      </c>
      <c r="F4954" s="36" t="s">
        <v>54401</v>
      </c>
      <c r="G4954" s="39">
        <v>7025071.1100000003</v>
      </c>
      <c r="H4954" s="42">
        <v>211</v>
      </c>
    </row>
    <row r="4955" spans="1:8" ht="15" customHeight="1">
      <c r="A4955" s="26">
        <v>46664329</v>
      </c>
      <c r="B4955" s="29" t="s">
        <v>7189</v>
      </c>
      <c r="C4955" s="29" t="s">
        <v>17204</v>
      </c>
      <c r="D4955" s="29" t="s">
        <v>30349</v>
      </c>
      <c r="E4955" s="29" t="s">
        <v>43926</v>
      </c>
      <c r="F4955" s="36" t="s">
        <v>54401</v>
      </c>
      <c r="G4955" s="39">
        <v>27021.93</v>
      </c>
      <c r="H4955" s="42">
        <v>211</v>
      </c>
    </row>
    <row r="4956" spans="1:8" ht="15" customHeight="1">
      <c r="A4956" s="26">
        <v>46664398</v>
      </c>
      <c r="B4956" s="29" t="s">
        <v>7190</v>
      </c>
      <c r="C4956" s="29" t="s">
        <v>21684</v>
      </c>
      <c r="D4956" s="29" t="s">
        <v>30376</v>
      </c>
      <c r="E4956" s="29" t="s">
        <v>47787</v>
      </c>
      <c r="F4956" s="36" t="s">
        <v>54401</v>
      </c>
      <c r="G4956" s="39">
        <v>46348.04</v>
      </c>
      <c r="H4956" s="42">
        <v>211</v>
      </c>
    </row>
    <row r="4957" spans="1:8" ht="15" customHeight="1">
      <c r="A4957" s="26">
        <v>46664426</v>
      </c>
      <c r="B4957" s="29" t="s">
        <v>7191</v>
      </c>
      <c r="C4957" s="29" t="s">
        <v>21685</v>
      </c>
      <c r="D4957" s="29" t="s">
        <v>34909</v>
      </c>
      <c r="E4957" s="29" t="s">
        <v>43944</v>
      </c>
      <c r="F4957" s="36" t="s">
        <v>54401</v>
      </c>
      <c r="G4957" s="39">
        <v>637512.26</v>
      </c>
      <c r="H4957" s="42">
        <v>211</v>
      </c>
    </row>
    <row r="4958" spans="1:8" ht="15" customHeight="1">
      <c r="A4958" s="26">
        <v>46664445</v>
      </c>
      <c r="B4958" s="29" t="s">
        <v>7192</v>
      </c>
      <c r="C4958" s="29" t="s">
        <v>17204</v>
      </c>
      <c r="D4958" s="29" t="s">
        <v>30349</v>
      </c>
      <c r="E4958" s="29" t="s">
        <v>43926</v>
      </c>
      <c r="F4958" s="36" t="s">
        <v>54401</v>
      </c>
      <c r="G4958" s="39">
        <v>113623.17</v>
      </c>
      <c r="H4958" s="42">
        <v>211</v>
      </c>
    </row>
    <row r="4959" spans="1:8" ht="15" customHeight="1">
      <c r="A4959" s="26">
        <v>46664458</v>
      </c>
      <c r="B4959" s="29" t="s">
        <v>7193</v>
      </c>
      <c r="C4959" s="29" t="s">
        <v>21686</v>
      </c>
      <c r="D4959" s="29" t="s">
        <v>34910</v>
      </c>
      <c r="E4959" s="29" t="s">
        <v>47788</v>
      </c>
      <c r="F4959" s="36" t="s">
        <v>54401</v>
      </c>
      <c r="G4959" s="39">
        <v>121304.4</v>
      </c>
      <c r="H4959" s="42">
        <v>211</v>
      </c>
    </row>
    <row r="4960" spans="1:8" ht="15" customHeight="1">
      <c r="A4960" s="26">
        <v>46664465</v>
      </c>
      <c r="B4960" s="29" t="s">
        <v>7194</v>
      </c>
      <c r="C4960" s="29" t="s">
        <v>21687</v>
      </c>
      <c r="D4960" s="29" t="s">
        <v>34911</v>
      </c>
      <c r="E4960" s="29" t="s">
        <v>47789</v>
      </c>
      <c r="F4960" s="36" t="s">
        <v>54401</v>
      </c>
      <c r="G4960" s="39">
        <v>16075502</v>
      </c>
      <c r="H4960" s="42">
        <v>211</v>
      </c>
    </row>
    <row r="4961" spans="1:8" ht="15" customHeight="1">
      <c r="A4961" s="26">
        <v>46664468</v>
      </c>
      <c r="B4961" s="29" t="s">
        <v>7195</v>
      </c>
      <c r="C4961" s="29" t="s">
        <v>21688</v>
      </c>
      <c r="D4961" s="29" t="s">
        <v>34912</v>
      </c>
      <c r="E4961" s="29" t="s">
        <v>44963</v>
      </c>
      <c r="F4961" s="36" t="s">
        <v>54401</v>
      </c>
      <c r="G4961" s="39">
        <v>88118.13</v>
      </c>
      <c r="H4961" s="42">
        <v>211</v>
      </c>
    </row>
    <row r="4962" spans="1:8" ht="15" customHeight="1">
      <c r="A4962" s="26">
        <v>46664475</v>
      </c>
      <c r="B4962" s="29" t="s">
        <v>7196</v>
      </c>
      <c r="C4962" s="29" t="s">
        <v>21689</v>
      </c>
      <c r="D4962" s="29" t="s">
        <v>34913</v>
      </c>
      <c r="E4962" s="29" t="s">
        <v>47790</v>
      </c>
      <c r="F4962" s="36" t="s">
        <v>54401</v>
      </c>
      <c r="G4962" s="39">
        <v>218753.49</v>
      </c>
      <c r="H4962" s="42">
        <v>211</v>
      </c>
    </row>
    <row r="4963" spans="1:8" ht="15" customHeight="1">
      <c r="A4963" s="26">
        <v>46664502</v>
      </c>
      <c r="B4963" s="29" t="s">
        <v>7197</v>
      </c>
      <c r="C4963" s="26" t="s">
        <v>21690</v>
      </c>
      <c r="D4963" s="26" t="s">
        <v>34914</v>
      </c>
      <c r="E4963" s="26" t="s">
        <v>47791</v>
      </c>
      <c r="F4963" s="37" t="s">
        <v>54401</v>
      </c>
      <c r="G4963" s="39">
        <v>386179.38</v>
      </c>
      <c r="H4963" s="42">
        <v>211</v>
      </c>
    </row>
    <row r="4964" spans="1:8" ht="15" customHeight="1">
      <c r="A4964" s="26">
        <v>46664556</v>
      </c>
      <c r="B4964" s="29" t="s">
        <v>7198</v>
      </c>
      <c r="C4964" s="26" t="s">
        <v>21691</v>
      </c>
      <c r="D4964" s="26" t="s">
        <v>34915</v>
      </c>
      <c r="E4964" s="26" t="s">
        <v>47792</v>
      </c>
      <c r="F4964" s="37" t="s">
        <v>54401</v>
      </c>
      <c r="G4964" s="39">
        <v>5133481.1900000004</v>
      </c>
      <c r="H4964" s="42">
        <v>211</v>
      </c>
    </row>
    <row r="4965" spans="1:8" ht="15" customHeight="1">
      <c r="A4965" s="26">
        <v>46664585</v>
      </c>
      <c r="B4965" s="29" t="s">
        <v>7199</v>
      </c>
      <c r="C4965" s="29" t="s">
        <v>21692</v>
      </c>
      <c r="D4965" s="29" t="s">
        <v>34916</v>
      </c>
      <c r="E4965" s="29" t="s">
        <v>44413</v>
      </c>
      <c r="F4965" s="36" t="s">
        <v>54401</v>
      </c>
      <c r="G4965" s="39">
        <v>2956966</v>
      </c>
      <c r="H4965" s="42">
        <v>211</v>
      </c>
    </row>
    <row r="4966" spans="1:8" ht="15" customHeight="1">
      <c r="A4966" s="26">
        <v>46664591</v>
      </c>
      <c r="B4966" s="29" t="s">
        <v>7200</v>
      </c>
      <c r="C4966" s="29" t="s">
        <v>21693</v>
      </c>
      <c r="D4966" s="29" t="s">
        <v>34917</v>
      </c>
      <c r="E4966" s="29" t="s">
        <v>43926</v>
      </c>
      <c r="F4966" s="36" t="s">
        <v>54401</v>
      </c>
      <c r="G4966" s="39">
        <v>161978.04</v>
      </c>
      <c r="H4966" s="42">
        <v>211</v>
      </c>
    </row>
    <row r="4967" spans="1:8" ht="15" customHeight="1">
      <c r="A4967" s="26">
        <v>46664592</v>
      </c>
      <c r="B4967" s="29" t="s">
        <v>7201</v>
      </c>
      <c r="C4967" s="29" t="s">
        <v>21694</v>
      </c>
      <c r="D4967" s="29" t="s">
        <v>34918</v>
      </c>
      <c r="E4967" s="29" t="s">
        <v>47793</v>
      </c>
      <c r="F4967" s="36" t="s">
        <v>54401</v>
      </c>
      <c r="G4967" s="39">
        <v>887631.35</v>
      </c>
      <c r="H4967" s="42">
        <v>211</v>
      </c>
    </row>
    <row r="4968" spans="1:8" ht="15" customHeight="1">
      <c r="A4968" s="26">
        <v>46664611</v>
      </c>
      <c r="B4968" s="29" t="s">
        <v>7202</v>
      </c>
      <c r="C4968" s="29" t="s">
        <v>21695</v>
      </c>
      <c r="D4968" s="29" t="s">
        <v>34919</v>
      </c>
      <c r="E4968" s="29" t="s">
        <v>47794</v>
      </c>
      <c r="F4968" s="36" t="s">
        <v>54401</v>
      </c>
      <c r="G4968" s="39">
        <v>386187.89</v>
      </c>
      <c r="H4968" s="42">
        <v>211</v>
      </c>
    </row>
    <row r="4969" spans="1:8" ht="15" customHeight="1">
      <c r="A4969" s="26">
        <v>46664612</v>
      </c>
      <c r="B4969" s="29" t="s">
        <v>7203</v>
      </c>
      <c r="C4969" s="29" t="s">
        <v>21696</v>
      </c>
      <c r="D4969" s="29" t="s">
        <v>34920</v>
      </c>
      <c r="E4969" s="29" t="s">
        <v>47795</v>
      </c>
      <c r="F4969" s="36" t="s">
        <v>54401</v>
      </c>
      <c r="G4969" s="39">
        <v>81112.350000000006</v>
      </c>
      <c r="H4969" s="42">
        <v>211</v>
      </c>
    </row>
    <row r="4970" spans="1:8" ht="15" customHeight="1">
      <c r="A4970" s="26">
        <v>46664623</v>
      </c>
      <c r="B4970" s="29" t="s">
        <v>7204</v>
      </c>
      <c r="C4970" s="29" t="s">
        <v>21697</v>
      </c>
      <c r="D4970" s="29" t="s">
        <v>34921</v>
      </c>
      <c r="E4970" s="29" t="s">
        <v>43926</v>
      </c>
      <c r="F4970" s="36" t="s">
        <v>54401</v>
      </c>
      <c r="G4970" s="39">
        <v>369173.91</v>
      </c>
      <c r="H4970" s="42">
        <v>211</v>
      </c>
    </row>
    <row r="4971" spans="1:8" ht="15" customHeight="1">
      <c r="A4971" s="26">
        <v>46664652</v>
      </c>
      <c r="B4971" s="29" t="s">
        <v>7205</v>
      </c>
      <c r="C4971" s="29" t="s">
        <v>21698</v>
      </c>
      <c r="D4971" s="29" t="s">
        <v>34922</v>
      </c>
      <c r="E4971" s="29" t="s">
        <v>44802</v>
      </c>
      <c r="F4971" s="36" t="s">
        <v>54401</v>
      </c>
      <c r="G4971" s="39">
        <v>270125.64</v>
      </c>
      <c r="H4971" s="42">
        <v>211</v>
      </c>
    </row>
    <row r="4972" spans="1:8" ht="15" customHeight="1">
      <c r="A4972" s="26">
        <v>46664701</v>
      </c>
      <c r="B4972" s="29" t="s">
        <v>7206</v>
      </c>
      <c r="C4972" s="29" t="s">
        <v>18385</v>
      </c>
      <c r="D4972" s="29" t="s">
        <v>34923</v>
      </c>
      <c r="E4972" s="29" t="s">
        <v>47796</v>
      </c>
      <c r="F4972" s="36" t="s">
        <v>54401</v>
      </c>
      <c r="G4972" s="39">
        <v>5985787.1600000001</v>
      </c>
      <c r="H4972" s="42">
        <v>211</v>
      </c>
    </row>
    <row r="4973" spans="1:8" ht="15" customHeight="1">
      <c r="A4973" s="26">
        <v>46664703</v>
      </c>
      <c r="B4973" s="29" t="s">
        <v>7207</v>
      </c>
      <c r="C4973" s="29" t="s">
        <v>21699</v>
      </c>
      <c r="D4973" s="29" t="s">
        <v>34924</v>
      </c>
      <c r="E4973" s="29" t="s">
        <v>47797</v>
      </c>
      <c r="F4973" s="36" t="s">
        <v>54401</v>
      </c>
      <c r="G4973" s="39">
        <v>109094.17</v>
      </c>
      <c r="H4973" s="42">
        <v>211</v>
      </c>
    </row>
    <row r="4974" spans="1:8" ht="15" customHeight="1">
      <c r="A4974" s="26">
        <v>46664726</v>
      </c>
      <c r="B4974" s="29" t="s">
        <v>7208</v>
      </c>
      <c r="C4974" s="29" t="s">
        <v>21700</v>
      </c>
      <c r="D4974" s="29" t="s">
        <v>34925</v>
      </c>
      <c r="E4974" s="29" t="s">
        <v>47798</v>
      </c>
      <c r="F4974" s="36" t="s">
        <v>54401</v>
      </c>
      <c r="G4974" s="39">
        <v>214028.47</v>
      </c>
      <c r="H4974" s="42">
        <v>211</v>
      </c>
    </row>
    <row r="4975" spans="1:8" ht="15" customHeight="1">
      <c r="A4975" s="26">
        <v>46664728</v>
      </c>
      <c r="B4975" s="29" t="s">
        <v>7209</v>
      </c>
      <c r="C4975" s="29" t="s">
        <v>21701</v>
      </c>
      <c r="D4975" s="29" t="s">
        <v>34926</v>
      </c>
      <c r="E4975" s="29" t="s">
        <v>44345</v>
      </c>
      <c r="F4975" s="36" t="s">
        <v>54401</v>
      </c>
      <c r="G4975" s="39">
        <v>224814.2</v>
      </c>
      <c r="H4975" s="42">
        <v>211</v>
      </c>
    </row>
    <row r="4976" spans="1:8" ht="15" customHeight="1">
      <c r="A4976" s="26">
        <v>46664742</v>
      </c>
      <c r="B4976" s="29" t="s">
        <v>7210</v>
      </c>
      <c r="C4976" s="29" t="s">
        <v>21702</v>
      </c>
      <c r="D4976" s="29" t="s">
        <v>34927</v>
      </c>
      <c r="E4976" s="29" t="s">
        <v>47799</v>
      </c>
      <c r="F4976" s="36" t="s">
        <v>54401</v>
      </c>
      <c r="G4976" s="39">
        <v>5424866</v>
      </c>
      <c r="H4976" s="42">
        <v>211</v>
      </c>
    </row>
    <row r="4977" spans="1:8" ht="15" customHeight="1">
      <c r="A4977" s="26">
        <v>46664751</v>
      </c>
      <c r="B4977" s="29" t="s">
        <v>7211</v>
      </c>
      <c r="C4977" s="29" t="s">
        <v>21703</v>
      </c>
      <c r="D4977" s="29" t="s">
        <v>34928</v>
      </c>
      <c r="E4977" s="29" t="s">
        <v>47800</v>
      </c>
      <c r="F4977" s="36" t="s">
        <v>54401</v>
      </c>
      <c r="G4977" s="39">
        <v>411341.22</v>
      </c>
      <c r="H4977" s="42">
        <v>211</v>
      </c>
    </row>
    <row r="4978" spans="1:8" ht="15" customHeight="1">
      <c r="A4978" s="26">
        <v>46664773</v>
      </c>
      <c r="B4978" s="29" t="s">
        <v>7212</v>
      </c>
      <c r="C4978" s="29" t="s">
        <v>21704</v>
      </c>
      <c r="D4978" s="29" t="s">
        <v>34929</v>
      </c>
      <c r="E4978" s="29" t="s">
        <v>43948</v>
      </c>
      <c r="F4978" s="36" t="s">
        <v>54401</v>
      </c>
      <c r="G4978" s="39">
        <v>214983.81</v>
      </c>
      <c r="H4978" s="42">
        <v>211</v>
      </c>
    </row>
    <row r="4979" spans="1:8" ht="15" customHeight="1">
      <c r="A4979" s="26">
        <v>46664783</v>
      </c>
      <c r="B4979" s="29" t="s">
        <v>7213</v>
      </c>
      <c r="C4979" s="29" t="s">
        <v>21705</v>
      </c>
      <c r="D4979" s="29" t="s">
        <v>34930</v>
      </c>
      <c r="E4979" s="29" t="s">
        <v>47801</v>
      </c>
      <c r="F4979" s="36" t="s">
        <v>54401</v>
      </c>
      <c r="G4979" s="39">
        <v>250759.95</v>
      </c>
      <c r="H4979" s="42">
        <v>211</v>
      </c>
    </row>
    <row r="4980" spans="1:8" ht="15" customHeight="1">
      <c r="A4980" s="26">
        <v>46664788</v>
      </c>
      <c r="B4980" s="29" t="s">
        <v>7214</v>
      </c>
      <c r="C4980" s="29" t="s">
        <v>21706</v>
      </c>
      <c r="D4980" s="29" t="s">
        <v>34931</v>
      </c>
      <c r="E4980" s="29" t="s">
        <v>47802</v>
      </c>
      <c r="F4980" s="36" t="s">
        <v>54401</v>
      </c>
      <c r="G4980" s="39">
        <v>623221.43000000005</v>
      </c>
      <c r="H4980" s="42">
        <v>211</v>
      </c>
    </row>
    <row r="4981" spans="1:8" ht="15" customHeight="1">
      <c r="A4981" s="26">
        <v>46664809</v>
      </c>
      <c r="B4981" s="29" t="s">
        <v>7215</v>
      </c>
      <c r="C4981" s="26" t="s">
        <v>21707</v>
      </c>
      <c r="D4981" s="26" t="s">
        <v>34932</v>
      </c>
      <c r="E4981" s="26" t="s">
        <v>47803</v>
      </c>
      <c r="F4981" s="37" t="s">
        <v>54401</v>
      </c>
      <c r="G4981" s="39">
        <v>12680</v>
      </c>
      <c r="H4981" s="42">
        <v>211</v>
      </c>
    </row>
    <row r="4982" spans="1:8" ht="15" customHeight="1">
      <c r="A4982" s="26">
        <v>46664828</v>
      </c>
      <c r="B4982" s="29" t="s">
        <v>7216</v>
      </c>
      <c r="C4982" s="29" t="s">
        <v>21708</v>
      </c>
      <c r="D4982" s="29" t="s">
        <v>34933</v>
      </c>
      <c r="E4982" s="29" t="s">
        <v>47804</v>
      </c>
      <c r="F4982" s="36" t="s">
        <v>54401</v>
      </c>
      <c r="G4982" s="39">
        <v>172067.7</v>
      </c>
      <c r="H4982" s="42">
        <v>211</v>
      </c>
    </row>
    <row r="4983" spans="1:8" ht="15" customHeight="1">
      <c r="A4983" s="26">
        <v>46664884</v>
      </c>
      <c r="B4983" s="29" t="s">
        <v>7217</v>
      </c>
      <c r="C4983" s="29" t="s">
        <v>21709</v>
      </c>
      <c r="D4983" s="29" t="s">
        <v>34934</v>
      </c>
      <c r="E4983" s="29" t="s">
        <v>47805</v>
      </c>
      <c r="F4983" s="36" t="s">
        <v>54401</v>
      </c>
      <c r="G4983" s="39">
        <v>1981902</v>
      </c>
      <c r="H4983" s="42">
        <v>211</v>
      </c>
    </row>
    <row r="4984" spans="1:8" ht="15" customHeight="1">
      <c r="A4984" s="26">
        <v>46664892</v>
      </c>
      <c r="B4984" s="29" t="s">
        <v>7218</v>
      </c>
      <c r="C4984" s="29" t="s">
        <v>21710</v>
      </c>
      <c r="D4984" s="29" t="s">
        <v>34935</v>
      </c>
      <c r="E4984" s="29" t="s">
        <v>47806</v>
      </c>
      <c r="F4984" s="36" t="s">
        <v>54401</v>
      </c>
      <c r="G4984" s="39">
        <v>330323.03999999998</v>
      </c>
      <c r="H4984" s="42">
        <v>211</v>
      </c>
    </row>
    <row r="4985" spans="1:8" ht="15" customHeight="1">
      <c r="A4985" s="26">
        <v>46664899</v>
      </c>
      <c r="B4985" s="29" t="s">
        <v>7219</v>
      </c>
      <c r="C4985" s="29" t="s">
        <v>21711</v>
      </c>
      <c r="D4985" s="29" t="s">
        <v>34936</v>
      </c>
      <c r="E4985" s="29" t="s">
        <v>731</v>
      </c>
      <c r="F4985" s="36" t="s">
        <v>54401</v>
      </c>
      <c r="G4985" s="39">
        <v>4993825.51</v>
      </c>
      <c r="H4985" s="42">
        <v>211</v>
      </c>
    </row>
    <row r="4986" spans="1:8" ht="15" customHeight="1">
      <c r="A4986" s="26">
        <v>46664903</v>
      </c>
      <c r="B4986" s="29" t="s">
        <v>7220</v>
      </c>
      <c r="C4986" s="29" t="s">
        <v>21712</v>
      </c>
      <c r="D4986" s="29" t="s">
        <v>34937</v>
      </c>
      <c r="E4986" s="29" t="s">
        <v>47807</v>
      </c>
      <c r="F4986" s="36" t="s">
        <v>54401</v>
      </c>
      <c r="G4986" s="39">
        <v>2245281</v>
      </c>
      <c r="H4986" s="42">
        <v>211</v>
      </c>
    </row>
    <row r="4987" spans="1:8" ht="15" customHeight="1">
      <c r="A4987" s="26">
        <v>46664909</v>
      </c>
      <c r="B4987" s="29" t="s">
        <v>7221</v>
      </c>
      <c r="C4987" s="29" t="s">
        <v>21713</v>
      </c>
      <c r="D4987" s="29" t="s">
        <v>34938</v>
      </c>
      <c r="E4987" s="29" t="s">
        <v>43926</v>
      </c>
      <c r="F4987" s="36" t="s">
        <v>54401</v>
      </c>
      <c r="G4987" s="39">
        <v>64281.06</v>
      </c>
      <c r="H4987" s="42">
        <v>211</v>
      </c>
    </row>
    <row r="4988" spans="1:8" ht="15" customHeight="1">
      <c r="A4988" s="26">
        <v>46665001</v>
      </c>
      <c r="B4988" s="29" t="s">
        <v>7222</v>
      </c>
      <c r="C4988" s="29" t="s">
        <v>21714</v>
      </c>
      <c r="D4988" s="29" t="s">
        <v>30376</v>
      </c>
      <c r="E4988" s="29" t="s">
        <v>47808</v>
      </c>
      <c r="F4988" s="36" t="s">
        <v>54402</v>
      </c>
      <c r="G4988" s="39">
        <v>96243.61</v>
      </c>
      <c r="H4988" s="42">
        <v>211</v>
      </c>
    </row>
    <row r="4989" spans="1:8" ht="15" customHeight="1">
      <c r="A4989" s="26">
        <v>46665010</v>
      </c>
      <c r="B4989" s="29" t="s">
        <v>7223</v>
      </c>
      <c r="C4989" s="29" t="s">
        <v>21715</v>
      </c>
      <c r="D4989" s="29" t="s">
        <v>34939</v>
      </c>
      <c r="E4989" s="29" t="s">
        <v>47809</v>
      </c>
      <c r="F4989" s="36" t="s">
        <v>54401</v>
      </c>
      <c r="G4989" s="39">
        <v>250610.59</v>
      </c>
      <c r="H4989" s="42">
        <v>211</v>
      </c>
    </row>
    <row r="4990" spans="1:8" ht="15" customHeight="1">
      <c r="A4990" s="26">
        <v>46665030</v>
      </c>
      <c r="B4990" s="29" t="s">
        <v>7224</v>
      </c>
      <c r="C4990" s="29" t="s">
        <v>21716</v>
      </c>
      <c r="D4990" s="29" t="s">
        <v>34940</v>
      </c>
      <c r="E4990" s="29" t="s">
        <v>47810</v>
      </c>
      <c r="F4990" s="36" t="s">
        <v>54401</v>
      </c>
      <c r="G4990" s="39">
        <v>254236.24</v>
      </c>
      <c r="H4990" s="42">
        <v>211</v>
      </c>
    </row>
    <row r="4991" spans="1:8" ht="15" customHeight="1">
      <c r="A4991" s="26">
        <v>46665040</v>
      </c>
      <c r="B4991" s="29" t="s">
        <v>7225</v>
      </c>
      <c r="C4991" s="29" t="s">
        <v>21717</v>
      </c>
      <c r="D4991" s="29" t="s">
        <v>34941</v>
      </c>
      <c r="E4991" s="29" t="s">
        <v>47811</v>
      </c>
      <c r="F4991" s="36" t="s">
        <v>54401</v>
      </c>
      <c r="G4991" s="39">
        <v>1039106.62</v>
      </c>
      <c r="H4991" s="42">
        <v>211</v>
      </c>
    </row>
    <row r="4992" spans="1:8" ht="15" customHeight="1">
      <c r="A4992" s="26">
        <v>46665071</v>
      </c>
      <c r="B4992" s="29" t="s">
        <v>7226</v>
      </c>
      <c r="C4992" s="29" t="s">
        <v>21718</v>
      </c>
      <c r="D4992" s="29" t="s">
        <v>34942</v>
      </c>
      <c r="E4992" s="29" t="s">
        <v>46258</v>
      </c>
      <c r="F4992" s="36" t="s">
        <v>54401</v>
      </c>
      <c r="G4992" s="39">
        <v>1709079.39</v>
      </c>
      <c r="H4992" s="42">
        <v>211</v>
      </c>
    </row>
    <row r="4993" spans="1:8" ht="15" customHeight="1">
      <c r="A4993" s="26">
        <v>46665120</v>
      </c>
      <c r="B4993" s="29" t="s">
        <v>7227</v>
      </c>
      <c r="C4993" s="29" t="s">
        <v>21719</v>
      </c>
      <c r="D4993" s="29" t="s">
        <v>34943</v>
      </c>
      <c r="E4993" s="29" t="s">
        <v>47812</v>
      </c>
      <c r="F4993" s="36" t="s">
        <v>54401</v>
      </c>
      <c r="G4993" s="39">
        <v>4255369</v>
      </c>
      <c r="H4993" s="42">
        <v>211</v>
      </c>
    </row>
    <row r="4994" spans="1:8" ht="15" customHeight="1">
      <c r="A4994" s="26">
        <v>46665126</v>
      </c>
      <c r="B4994" s="29" t="s">
        <v>7228</v>
      </c>
      <c r="C4994" s="29" t="s">
        <v>21720</v>
      </c>
      <c r="D4994" s="29" t="s">
        <v>34944</v>
      </c>
      <c r="E4994" s="29" t="s">
        <v>47813</v>
      </c>
      <c r="F4994" s="36" t="s">
        <v>54401</v>
      </c>
      <c r="G4994" s="39">
        <v>5068197</v>
      </c>
      <c r="H4994" s="42">
        <v>211</v>
      </c>
    </row>
    <row r="4995" spans="1:8" ht="15" customHeight="1">
      <c r="A4995" s="26">
        <v>46665135</v>
      </c>
      <c r="B4995" s="29" t="s">
        <v>7229</v>
      </c>
      <c r="C4995" s="29" t="s">
        <v>21721</v>
      </c>
      <c r="D4995" s="29" t="s">
        <v>34945</v>
      </c>
      <c r="E4995" s="29" t="s">
        <v>47814</v>
      </c>
      <c r="F4995" s="36" t="s">
        <v>54401</v>
      </c>
      <c r="G4995" s="39">
        <v>527120.1</v>
      </c>
      <c r="H4995" s="42">
        <v>211</v>
      </c>
    </row>
    <row r="4996" spans="1:8" ht="15" customHeight="1">
      <c r="A4996" s="26">
        <v>46665145</v>
      </c>
      <c r="B4996" s="29" t="s">
        <v>7230</v>
      </c>
      <c r="C4996" s="29" t="s">
        <v>21722</v>
      </c>
      <c r="D4996" s="29" t="s">
        <v>34946</v>
      </c>
      <c r="E4996" s="29" t="s">
        <v>47815</v>
      </c>
      <c r="F4996" s="36" t="s">
        <v>54401</v>
      </c>
      <c r="G4996" s="39">
        <v>3906541</v>
      </c>
      <c r="H4996" s="42">
        <v>211</v>
      </c>
    </row>
    <row r="4997" spans="1:8" ht="15" customHeight="1">
      <c r="A4997" s="26">
        <v>46665152</v>
      </c>
      <c r="B4997" s="29" t="s">
        <v>7231</v>
      </c>
      <c r="C4997" s="29" t="s">
        <v>21723</v>
      </c>
      <c r="D4997" s="29" t="s">
        <v>34947</v>
      </c>
      <c r="E4997" s="29" t="s">
        <v>47816</v>
      </c>
      <c r="F4997" s="36" t="s">
        <v>54401</v>
      </c>
      <c r="G4997" s="39">
        <v>3633263</v>
      </c>
      <c r="H4997" s="42">
        <v>211</v>
      </c>
    </row>
    <row r="4998" spans="1:8" ht="15" customHeight="1">
      <c r="A4998" s="26">
        <v>46665156</v>
      </c>
      <c r="B4998" s="29" t="s">
        <v>7232</v>
      </c>
      <c r="C4998" s="29" t="s">
        <v>21724</v>
      </c>
      <c r="D4998" s="29" t="s">
        <v>34948</v>
      </c>
      <c r="E4998" s="29" t="s">
        <v>47817</v>
      </c>
      <c r="F4998" s="36" t="s">
        <v>54401</v>
      </c>
      <c r="G4998" s="39">
        <v>178675.04</v>
      </c>
      <c r="H4998" s="42">
        <v>211</v>
      </c>
    </row>
    <row r="4999" spans="1:8" ht="15" customHeight="1">
      <c r="A4999" s="26">
        <v>46665181</v>
      </c>
      <c r="B4999" s="29" t="s">
        <v>7233</v>
      </c>
      <c r="C4999" s="29" t="s">
        <v>21725</v>
      </c>
      <c r="D4999" s="29" t="s">
        <v>34949</v>
      </c>
      <c r="E4999" s="29" t="s">
        <v>43926</v>
      </c>
      <c r="F4999" s="36" t="s">
        <v>54401</v>
      </c>
      <c r="G4999" s="39">
        <v>128347.24</v>
      </c>
      <c r="H4999" s="42">
        <v>211</v>
      </c>
    </row>
    <row r="5000" spans="1:8" ht="15" customHeight="1">
      <c r="A5000" s="26">
        <v>46665189</v>
      </c>
      <c r="B5000" s="29" t="s">
        <v>7234</v>
      </c>
      <c r="C5000" s="29" t="s">
        <v>21726</v>
      </c>
      <c r="D5000" s="29" t="s">
        <v>34950</v>
      </c>
      <c r="E5000" s="29" t="s">
        <v>47818</v>
      </c>
      <c r="F5000" s="36" t="s">
        <v>54401</v>
      </c>
      <c r="G5000" s="39">
        <v>18724.849999999999</v>
      </c>
      <c r="H5000" s="42">
        <v>211</v>
      </c>
    </row>
    <row r="5001" spans="1:8" ht="15" customHeight="1">
      <c r="A5001" s="26">
        <v>46665190</v>
      </c>
      <c r="B5001" s="29" t="s">
        <v>7235</v>
      </c>
      <c r="C5001" s="29" t="s">
        <v>21727</v>
      </c>
      <c r="D5001" s="29" t="s">
        <v>34951</v>
      </c>
      <c r="E5001" s="29" t="s">
        <v>47819</v>
      </c>
      <c r="F5001" s="36" t="s">
        <v>54401</v>
      </c>
      <c r="G5001" s="39">
        <v>6788121</v>
      </c>
      <c r="H5001" s="42">
        <v>211</v>
      </c>
    </row>
    <row r="5002" spans="1:8" ht="15" customHeight="1">
      <c r="A5002" s="26">
        <v>46665193</v>
      </c>
      <c r="B5002" s="29" t="s">
        <v>7236</v>
      </c>
      <c r="C5002" s="29" t="s">
        <v>21728</v>
      </c>
      <c r="D5002" s="29" t="s">
        <v>34952</v>
      </c>
      <c r="E5002" s="29" t="s">
        <v>47820</v>
      </c>
      <c r="F5002" s="36" t="s">
        <v>54401</v>
      </c>
      <c r="G5002" s="39">
        <v>8525461</v>
      </c>
      <c r="H5002" s="42">
        <v>211</v>
      </c>
    </row>
    <row r="5003" spans="1:8" ht="15" customHeight="1">
      <c r="A5003" s="26">
        <v>46665217</v>
      </c>
      <c r="B5003" s="29" t="s">
        <v>7237</v>
      </c>
      <c r="C5003" s="29" t="s">
        <v>21729</v>
      </c>
      <c r="D5003" s="29" t="s">
        <v>34953</v>
      </c>
      <c r="E5003" s="29" t="s">
        <v>47821</v>
      </c>
      <c r="F5003" s="36" t="s">
        <v>54401</v>
      </c>
      <c r="G5003" s="39">
        <v>618082.61</v>
      </c>
      <c r="H5003" s="42">
        <v>211</v>
      </c>
    </row>
    <row r="5004" spans="1:8" ht="15" customHeight="1">
      <c r="A5004" s="26">
        <v>46665222</v>
      </c>
      <c r="B5004" s="29" t="s">
        <v>7238</v>
      </c>
      <c r="C5004" s="26" t="s">
        <v>21730</v>
      </c>
      <c r="D5004" s="26" t="s">
        <v>34954</v>
      </c>
      <c r="E5004" s="26" t="s">
        <v>47822</v>
      </c>
      <c r="F5004" s="37" t="s">
        <v>54401</v>
      </c>
      <c r="G5004" s="39">
        <v>4528749</v>
      </c>
      <c r="H5004" s="42">
        <v>211</v>
      </c>
    </row>
    <row r="5005" spans="1:8" ht="15" customHeight="1">
      <c r="A5005" s="26">
        <v>46665232</v>
      </c>
      <c r="B5005" s="29" t="s">
        <v>7239</v>
      </c>
      <c r="C5005" s="29" t="s">
        <v>17204</v>
      </c>
      <c r="D5005" s="29" t="s">
        <v>30349</v>
      </c>
      <c r="E5005" s="29" t="s">
        <v>43926</v>
      </c>
      <c r="F5005" s="36" t="s">
        <v>54401</v>
      </c>
      <c r="G5005" s="39">
        <v>268024.67</v>
      </c>
      <c r="H5005" s="42">
        <v>211</v>
      </c>
    </row>
    <row r="5006" spans="1:8" ht="15" customHeight="1">
      <c r="A5006" s="26">
        <v>46665257</v>
      </c>
      <c r="B5006" s="29" t="s">
        <v>7240</v>
      </c>
      <c r="C5006" s="29" t="s">
        <v>21731</v>
      </c>
      <c r="D5006" s="29" t="s">
        <v>34955</v>
      </c>
      <c r="E5006" s="29" t="s">
        <v>43926</v>
      </c>
      <c r="F5006" s="36" t="s">
        <v>54401</v>
      </c>
      <c r="G5006" s="39">
        <v>894739.69</v>
      </c>
      <c r="H5006" s="42">
        <v>211</v>
      </c>
    </row>
    <row r="5007" spans="1:8" ht="15" customHeight="1">
      <c r="A5007" s="26">
        <v>46665268</v>
      </c>
      <c r="B5007" s="29" t="s">
        <v>7241</v>
      </c>
      <c r="C5007" s="29" t="s">
        <v>21732</v>
      </c>
      <c r="D5007" s="29" t="s">
        <v>34956</v>
      </c>
      <c r="E5007" s="29" t="s">
        <v>47823</v>
      </c>
      <c r="F5007" s="36" t="s">
        <v>54401</v>
      </c>
      <c r="G5007" s="39">
        <v>675473.18</v>
      </c>
      <c r="H5007" s="42">
        <v>211</v>
      </c>
    </row>
    <row r="5008" spans="1:8" ht="15" customHeight="1">
      <c r="A5008" s="26">
        <v>46665272</v>
      </c>
      <c r="B5008" s="29" t="s">
        <v>7242</v>
      </c>
      <c r="C5008" s="29" t="s">
        <v>21733</v>
      </c>
      <c r="D5008" s="29" t="s">
        <v>34957</v>
      </c>
      <c r="E5008" s="29" t="s">
        <v>47824</v>
      </c>
      <c r="F5008" s="36" t="s">
        <v>54401</v>
      </c>
      <c r="G5008" s="39">
        <v>32708.959999999999</v>
      </c>
      <c r="H5008" s="42">
        <v>211</v>
      </c>
    </row>
    <row r="5009" spans="1:8" ht="15" customHeight="1">
      <c r="A5009" s="26">
        <v>46665279</v>
      </c>
      <c r="B5009" s="29" t="s">
        <v>7243</v>
      </c>
      <c r="C5009" s="26" t="s">
        <v>17204</v>
      </c>
      <c r="D5009" s="26" t="s">
        <v>34958</v>
      </c>
      <c r="E5009" s="26" t="s">
        <v>43926</v>
      </c>
      <c r="F5009" s="37" t="s">
        <v>54401</v>
      </c>
      <c r="G5009" s="39">
        <v>12210.08</v>
      </c>
      <c r="H5009" s="42">
        <v>211</v>
      </c>
    </row>
    <row r="5010" spans="1:8" ht="15" customHeight="1">
      <c r="A5010" s="26">
        <v>46665300</v>
      </c>
      <c r="B5010" s="29" t="s">
        <v>7244</v>
      </c>
      <c r="C5010" s="29" t="s">
        <v>17337</v>
      </c>
      <c r="D5010" s="29" t="s">
        <v>34959</v>
      </c>
      <c r="E5010" s="29" t="s">
        <v>43926</v>
      </c>
      <c r="F5010" s="36" t="s">
        <v>54401</v>
      </c>
      <c r="G5010" s="39">
        <v>256346.44</v>
      </c>
      <c r="H5010" s="42">
        <v>211</v>
      </c>
    </row>
    <row r="5011" spans="1:8" ht="15" customHeight="1">
      <c r="A5011" s="26">
        <v>46665398</v>
      </c>
      <c r="B5011" s="29" t="s">
        <v>7245</v>
      </c>
      <c r="C5011" s="29" t="s">
        <v>17204</v>
      </c>
      <c r="D5011" s="29" t="s">
        <v>30349</v>
      </c>
      <c r="E5011" s="29" t="s">
        <v>43926</v>
      </c>
      <c r="F5011" s="36" t="s">
        <v>54401</v>
      </c>
      <c r="G5011" s="39">
        <v>178880.64000000001</v>
      </c>
      <c r="H5011" s="42">
        <v>211</v>
      </c>
    </row>
    <row r="5012" spans="1:8" ht="15" customHeight="1">
      <c r="A5012" s="26">
        <v>46665442</v>
      </c>
      <c r="B5012" s="29" t="s">
        <v>7246</v>
      </c>
      <c r="C5012" s="29" t="s">
        <v>21734</v>
      </c>
      <c r="D5012" s="29" t="s">
        <v>34960</v>
      </c>
      <c r="E5012" s="29" t="s">
        <v>47825</v>
      </c>
      <c r="F5012" s="36" t="s">
        <v>54401</v>
      </c>
      <c r="G5012" s="39">
        <v>2226536.59</v>
      </c>
      <c r="H5012" s="42">
        <v>211</v>
      </c>
    </row>
    <row r="5013" spans="1:8" ht="15" customHeight="1">
      <c r="A5013" s="26">
        <v>46665471</v>
      </c>
      <c r="B5013" s="29" t="s">
        <v>7247</v>
      </c>
      <c r="C5013" s="29" t="s">
        <v>21735</v>
      </c>
      <c r="D5013" s="29" t="s">
        <v>34961</v>
      </c>
      <c r="E5013" s="29" t="s">
        <v>47826</v>
      </c>
      <c r="F5013" s="36" t="s">
        <v>54401</v>
      </c>
      <c r="G5013" s="39">
        <v>7718522</v>
      </c>
      <c r="H5013" s="42">
        <v>211</v>
      </c>
    </row>
    <row r="5014" spans="1:8" ht="15" customHeight="1">
      <c r="A5014" s="26">
        <v>46665472</v>
      </c>
      <c r="B5014" s="29" t="s">
        <v>7248</v>
      </c>
      <c r="C5014" s="29" t="s">
        <v>21736</v>
      </c>
      <c r="D5014" s="29" t="s">
        <v>34962</v>
      </c>
      <c r="E5014" s="29" t="s">
        <v>47827</v>
      </c>
      <c r="F5014" s="36" t="s">
        <v>54401</v>
      </c>
      <c r="G5014" s="39">
        <v>3839775.42</v>
      </c>
      <c r="H5014" s="42">
        <v>211</v>
      </c>
    </row>
    <row r="5015" spans="1:8" ht="15" customHeight="1">
      <c r="A5015" s="26">
        <v>46665489</v>
      </c>
      <c r="B5015" s="29" t="s">
        <v>7249</v>
      </c>
      <c r="C5015" s="29" t="s">
        <v>21737</v>
      </c>
      <c r="D5015" s="29" t="s">
        <v>34963</v>
      </c>
      <c r="E5015" s="29" t="s">
        <v>47828</v>
      </c>
      <c r="F5015" s="36" t="s">
        <v>54401</v>
      </c>
      <c r="G5015" s="39">
        <v>835693.34</v>
      </c>
      <c r="H5015" s="42">
        <v>211</v>
      </c>
    </row>
    <row r="5016" spans="1:8" ht="15" customHeight="1">
      <c r="A5016" s="26">
        <v>46665549</v>
      </c>
      <c r="B5016" s="29" t="s">
        <v>7250</v>
      </c>
      <c r="C5016" s="29" t="s">
        <v>21738</v>
      </c>
      <c r="D5016" s="29" t="s">
        <v>34964</v>
      </c>
      <c r="E5016" s="29" t="s">
        <v>47829</v>
      </c>
      <c r="F5016" s="36" t="s">
        <v>54401</v>
      </c>
      <c r="G5016" s="39">
        <v>2390471.8199999998</v>
      </c>
      <c r="H5016" s="42">
        <v>211</v>
      </c>
    </row>
    <row r="5017" spans="1:8" ht="15" customHeight="1">
      <c r="A5017" s="26">
        <v>46665559</v>
      </c>
      <c r="B5017" s="29" t="s">
        <v>7251</v>
      </c>
      <c r="C5017" s="29" t="s">
        <v>21739</v>
      </c>
      <c r="D5017" s="29" t="s">
        <v>34965</v>
      </c>
      <c r="E5017" s="29" t="s">
        <v>47830</v>
      </c>
      <c r="F5017" s="36" t="s">
        <v>54401</v>
      </c>
      <c r="G5017" s="39">
        <v>158781.62</v>
      </c>
      <c r="H5017" s="42">
        <v>211</v>
      </c>
    </row>
    <row r="5018" spans="1:8" ht="15" customHeight="1">
      <c r="A5018" s="26">
        <v>46665562</v>
      </c>
      <c r="B5018" s="29" t="s">
        <v>7252</v>
      </c>
      <c r="C5018" s="29" t="s">
        <v>21740</v>
      </c>
      <c r="D5018" s="29" t="s">
        <v>34966</v>
      </c>
      <c r="E5018" s="29" t="s">
        <v>47831</v>
      </c>
      <c r="F5018" s="36" t="s">
        <v>54401</v>
      </c>
      <c r="G5018" s="39">
        <v>225152.08</v>
      </c>
      <c r="H5018" s="42">
        <v>211</v>
      </c>
    </row>
    <row r="5019" spans="1:8" ht="15" customHeight="1">
      <c r="A5019" s="26">
        <v>46665596</v>
      </c>
      <c r="B5019" s="29" t="s">
        <v>7253</v>
      </c>
      <c r="C5019" s="29" t="s">
        <v>21741</v>
      </c>
      <c r="D5019" s="29" t="s">
        <v>34967</v>
      </c>
      <c r="E5019" s="29" t="s">
        <v>47832</v>
      </c>
      <c r="F5019" s="36" t="s">
        <v>54401</v>
      </c>
      <c r="G5019" s="39">
        <v>17296.310000000001</v>
      </c>
      <c r="H5019" s="42">
        <v>211</v>
      </c>
    </row>
    <row r="5020" spans="1:8" ht="15" customHeight="1">
      <c r="A5020" s="26">
        <v>46665600</v>
      </c>
      <c r="B5020" s="29" t="s">
        <v>7254</v>
      </c>
      <c r="C5020" s="29" t="s">
        <v>21742</v>
      </c>
      <c r="D5020" s="29" t="s">
        <v>34968</v>
      </c>
      <c r="E5020" s="29" t="s">
        <v>47833</v>
      </c>
      <c r="F5020" s="36" t="s">
        <v>54401</v>
      </c>
      <c r="G5020" s="39">
        <v>6044933</v>
      </c>
      <c r="H5020" s="42">
        <v>211</v>
      </c>
    </row>
    <row r="5021" spans="1:8" ht="15" customHeight="1">
      <c r="A5021" s="26">
        <v>46665612</v>
      </c>
      <c r="B5021" s="29" t="s">
        <v>7255</v>
      </c>
      <c r="C5021" s="26" t="s">
        <v>17204</v>
      </c>
      <c r="D5021" s="26" t="s">
        <v>34969</v>
      </c>
      <c r="E5021" s="26" t="s">
        <v>43926</v>
      </c>
      <c r="F5021" s="37" t="s">
        <v>54401</v>
      </c>
      <c r="G5021" s="39">
        <v>45053.49</v>
      </c>
      <c r="H5021" s="42">
        <v>211</v>
      </c>
    </row>
    <row r="5022" spans="1:8" ht="15" customHeight="1">
      <c r="A5022" s="26">
        <v>46665664</v>
      </c>
      <c r="B5022" s="29" t="s">
        <v>7256</v>
      </c>
      <c r="C5022" s="29" t="s">
        <v>21743</v>
      </c>
      <c r="D5022" s="29" t="s">
        <v>34970</v>
      </c>
      <c r="E5022" s="29" t="s">
        <v>47834</v>
      </c>
      <c r="F5022" s="36" t="s">
        <v>54401</v>
      </c>
      <c r="G5022" s="39">
        <v>125038.92</v>
      </c>
      <c r="H5022" s="42">
        <v>211</v>
      </c>
    </row>
    <row r="5023" spans="1:8" ht="15" customHeight="1">
      <c r="A5023" s="26">
        <v>46665665</v>
      </c>
      <c r="B5023" s="29" t="s">
        <v>7257</v>
      </c>
      <c r="C5023" s="29" t="s">
        <v>21744</v>
      </c>
      <c r="D5023" s="29" t="s">
        <v>34971</v>
      </c>
      <c r="E5023" s="29" t="s">
        <v>47665</v>
      </c>
      <c r="F5023" s="36" t="s">
        <v>54401</v>
      </c>
      <c r="G5023" s="39">
        <v>73862.62</v>
      </c>
      <c r="H5023" s="42">
        <v>211</v>
      </c>
    </row>
    <row r="5024" spans="1:8" ht="15" customHeight="1">
      <c r="A5024" s="26">
        <v>46665666</v>
      </c>
      <c r="B5024" s="29" t="s">
        <v>7258</v>
      </c>
      <c r="C5024" s="29" t="s">
        <v>21745</v>
      </c>
      <c r="D5024" s="29" t="s">
        <v>34972</v>
      </c>
      <c r="E5024" s="29" t="s">
        <v>47835</v>
      </c>
      <c r="F5024" s="36" t="s">
        <v>54401</v>
      </c>
      <c r="G5024" s="39">
        <v>56142.53</v>
      </c>
      <c r="H5024" s="42">
        <v>211</v>
      </c>
    </row>
    <row r="5025" spans="1:8" ht="15" customHeight="1">
      <c r="A5025" s="26">
        <v>46665704</v>
      </c>
      <c r="B5025" s="29" t="s">
        <v>7259</v>
      </c>
      <c r="C5025" s="29" t="s">
        <v>21746</v>
      </c>
      <c r="D5025" s="29" t="s">
        <v>34973</v>
      </c>
      <c r="E5025" s="29" t="s">
        <v>47836</v>
      </c>
      <c r="F5025" s="36" t="s">
        <v>54401</v>
      </c>
      <c r="G5025" s="39">
        <v>456708.83</v>
      </c>
      <c r="H5025" s="42">
        <v>211</v>
      </c>
    </row>
    <row r="5026" spans="1:8" ht="15" customHeight="1">
      <c r="A5026" s="26">
        <v>46665727</v>
      </c>
      <c r="B5026" s="29" t="s">
        <v>7260</v>
      </c>
      <c r="C5026" s="29" t="s">
        <v>21747</v>
      </c>
      <c r="D5026" s="29" t="s">
        <v>34974</v>
      </c>
      <c r="E5026" s="29" t="s">
        <v>47837</v>
      </c>
      <c r="F5026" s="36" t="s">
        <v>54401</v>
      </c>
      <c r="G5026" s="39">
        <v>192371.18</v>
      </c>
      <c r="H5026" s="42">
        <v>211</v>
      </c>
    </row>
    <row r="5027" spans="1:8" ht="15" customHeight="1">
      <c r="A5027" s="26">
        <v>46665734</v>
      </c>
      <c r="B5027" s="29" t="s">
        <v>7261</v>
      </c>
      <c r="C5027" s="29" t="s">
        <v>21748</v>
      </c>
      <c r="D5027" s="29" t="s">
        <v>34975</v>
      </c>
      <c r="E5027" s="29" t="s">
        <v>47838</v>
      </c>
      <c r="F5027" s="36" t="s">
        <v>54401</v>
      </c>
      <c r="G5027" s="39">
        <v>6660312.0800000001</v>
      </c>
      <c r="H5027" s="42">
        <v>211</v>
      </c>
    </row>
    <row r="5028" spans="1:8" ht="15" customHeight="1">
      <c r="A5028" s="26">
        <v>46665758</v>
      </c>
      <c r="B5028" s="29" t="s">
        <v>7262</v>
      </c>
      <c r="C5028" s="29" t="s">
        <v>21749</v>
      </c>
      <c r="D5028" s="29" t="s">
        <v>34976</v>
      </c>
      <c r="E5028" s="29" t="s">
        <v>47839</v>
      </c>
      <c r="F5028" s="36" t="s">
        <v>54401</v>
      </c>
      <c r="G5028" s="39">
        <v>108128.86</v>
      </c>
      <c r="H5028" s="42">
        <v>211</v>
      </c>
    </row>
    <row r="5029" spans="1:8" ht="15" customHeight="1">
      <c r="A5029" s="26">
        <v>46665765</v>
      </c>
      <c r="B5029" s="29" t="s">
        <v>7263</v>
      </c>
      <c r="C5029" s="29" t="s">
        <v>21750</v>
      </c>
      <c r="D5029" s="29" t="s">
        <v>34977</v>
      </c>
      <c r="E5029" s="29" t="s">
        <v>47840</v>
      </c>
      <c r="F5029" s="36" t="s">
        <v>54401</v>
      </c>
      <c r="G5029" s="39">
        <v>16317.76</v>
      </c>
      <c r="H5029" s="42">
        <v>211</v>
      </c>
    </row>
    <row r="5030" spans="1:8" ht="15" customHeight="1">
      <c r="A5030" s="26">
        <v>46665808</v>
      </c>
      <c r="B5030" s="29" t="s">
        <v>7264</v>
      </c>
      <c r="C5030" s="29" t="s">
        <v>21751</v>
      </c>
      <c r="D5030" s="29" t="s">
        <v>34978</v>
      </c>
      <c r="E5030" s="29" t="s">
        <v>46342</v>
      </c>
      <c r="F5030" s="36" t="s">
        <v>54401</v>
      </c>
      <c r="G5030" s="39">
        <v>381015.19</v>
      </c>
      <c r="H5030" s="42">
        <v>211</v>
      </c>
    </row>
    <row r="5031" spans="1:8" ht="15" customHeight="1">
      <c r="A5031" s="26">
        <v>46665851</v>
      </c>
      <c r="B5031" s="29" t="s">
        <v>7265</v>
      </c>
      <c r="C5031" s="29" t="s">
        <v>21752</v>
      </c>
      <c r="D5031" s="29" t="s">
        <v>34979</v>
      </c>
      <c r="E5031" s="29" t="s">
        <v>47841</v>
      </c>
      <c r="F5031" s="36" t="s">
        <v>54401</v>
      </c>
      <c r="G5031" s="39">
        <v>82819.89</v>
      </c>
      <c r="H5031" s="42">
        <v>211</v>
      </c>
    </row>
    <row r="5032" spans="1:8" ht="15" customHeight="1">
      <c r="A5032" s="26">
        <v>46665860</v>
      </c>
      <c r="B5032" s="29" t="s">
        <v>7266</v>
      </c>
      <c r="C5032" s="29" t="s">
        <v>21753</v>
      </c>
      <c r="D5032" s="29" t="s">
        <v>34980</v>
      </c>
      <c r="E5032" s="29" t="s">
        <v>47842</v>
      </c>
      <c r="F5032" s="36" t="s">
        <v>54401</v>
      </c>
      <c r="G5032" s="39">
        <v>79275.83</v>
      </c>
      <c r="H5032" s="42">
        <v>211</v>
      </c>
    </row>
    <row r="5033" spans="1:8" ht="15" customHeight="1">
      <c r="A5033" s="26">
        <v>46665896</v>
      </c>
      <c r="B5033" s="29" t="s">
        <v>7267</v>
      </c>
      <c r="C5033" s="29" t="s">
        <v>21754</v>
      </c>
      <c r="D5033" s="29" t="s">
        <v>34981</v>
      </c>
      <c r="E5033" s="29" t="s">
        <v>44452</v>
      </c>
      <c r="F5033" s="36" t="s">
        <v>54401</v>
      </c>
      <c r="G5033" s="39">
        <v>6358561</v>
      </c>
      <c r="H5033" s="42">
        <v>211</v>
      </c>
    </row>
    <row r="5034" spans="1:8" ht="15" customHeight="1">
      <c r="A5034" s="26">
        <v>46665899</v>
      </c>
      <c r="B5034" s="29" t="s">
        <v>7268</v>
      </c>
      <c r="C5034" s="29" t="s">
        <v>21755</v>
      </c>
      <c r="D5034" s="29" t="s">
        <v>34982</v>
      </c>
      <c r="E5034" s="29" t="s">
        <v>47843</v>
      </c>
      <c r="F5034" s="36" t="s">
        <v>54401</v>
      </c>
      <c r="G5034" s="39">
        <v>401681.63</v>
      </c>
      <c r="H5034" s="42">
        <v>211</v>
      </c>
    </row>
    <row r="5035" spans="1:8" ht="15" customHeight="1">
      <c r="A5035" s="26">
        <v>46665907</v>
      </c>
      <c r="B5035" s="29" t="s">
        <v>7269</v>
      </c>
      <c r="C5035" s="26" t="s">
        <v>21756</v>
      </c>
      <c r="D5035" s="26" t="s">
        <v>30376</v>
      </c>
      <c r="E5035" s="26" t="s">
        <v>47844</v>
      </c>
      <c r="F5035" s="37" t="s">
        <v>54401</v>
      </c>
      <c r="G5035" s="39">
        <v>963054.56</v>
      </c>
      <c r="H5035" s="42">
        <v>211</v>
      </c>
    </row>
    <row r="5036" spans="1:8" ht="15" customHeight="1">
      <c r="A5036" s="26">
        <v>46665932</v>
      </c>
      <c r="B5036" s="29" t="s">
        <v>7270</v>
      </c>
      <c r="C5036" s="29" t="s">
        <v>21757</v>
      </c>
      <c r="D5036" s="29" t="s">
        <v>34983</v>
      </c>
      <c r="E5036" s="29" t="s">
        <v>47845</v>
      </c>
      <c r="F5036" s="36" t="s">
        <v>54401</v>
      </c>
      <c r="G5036" s="39">
        <v>4889281</v>
      </c>
      <c r="H5036" s="42">
        <v>211</v>
      </c>
    </row>
    <row r="5037" spans="1:8" ht="15" customHeight="1">
      <c r="A5037" s="26">
        <v>46665945</v>
      </c>
      <c r="B5037" s="29" t="s">
        <v>7271</v>
      </c>
      <c r="C5037" s="29" t="s">
        <v>21758</v>
      </c>
      <c r="D5037" s="29" t="s">
        <v>34984</v>
      </c>
      <c r="E5037" s="29" t="s">
        <v>47846</v>
      </c>
      <c r="F5037" s="36" t="s">
        <v>54401</v>
      </c>
      <c r="G5037" s="39">
        <v>754969.25</v>
      </c>
      <c r="H5037" s="42">
        <v>211</v>
      </c>
    </row>
    <row r="5038" spans="1:8" ht="15" customHeight="1">
      <c r="A5038" s="26">
        <v>46665949</v>
      </c>
      <c r="B5038" s="29" t="s">
        <v>7272</v>
      </c>
      <c r="C5038" s="29" t="s">
        <v>21759</v>
      </c>
      <c r="D5038" s="29" t="s">
        <v>34985</v>
      </c>
      <c r="E5038" s="29" t="s">
        <v>47847</v>
      </c>
      <c r="F5038" s="36" t="s">
        <v>54401</v>
      </c>
      <c r="G5038" s="39">
        <v>2039569</v>
      </c>
      <c r="H5038" s="42">
        <v>211</v>
      </c>
    </row>
    <row r="5039" spans="1:8" ht="15" customHeight="1">
      <c r="A5039" s="26">
        <v>46665968</v>
      </c>
      <c r="B5039" s="29" t="s">
        <v>7273</v>
      </c>
      <c r="C5039" s="29" t="s">
        <v>21760</v>
      </c>
      <c r="D5039" s="29" t="s">
        <v>34986</v>
      </c>
      <c r="E5039" s="29" t="s">
        <v>47848</v>
      </c>
      <c r="F5039" s="36" t="s">
        <v>54401</v>
      </c>
      <c r="G5039" s="39">
        <v>91583.58</v>
      </c>
      <c r="H5039" s="42">
        <v>211</v>
      </c>
    </row>
    <row r="5040" spans="1:8" ht="15" customHeight="1">
      <c r="A5040" s="26">
        <v>46665977</v>
      </c>
      <c r="B5040" s="29" t="s">
        <v>7274</v>
      </c>
      <c r="C5040" s="29" t="s">
        <v>21761</v>
      </c>
      <c r="D5040" s="29" t="s">
        <v>34987</v>
      </c>
      <c r="E5040" s="29" t="s">
        <v>47849</v>
      </c>
      <c r="F5040" s="36" t="s">
        <v>54401</v>
      </c>
      <c r="G5040" s="39">
        <v>3727338</v>
      </c>
      <c r="H5040" s="42">
        <v>211</v>
      </c>
    </row>
    <row r="5041" spans="1:8" ht="15" customHeight="1">
      <c r="A5041" s="26">
        <v>46665979</v>
      </c>
      <c r="B5041" s="29" t="s">
        <v>7275</v>
      </c>
      <c r="C5041" s="29" t="s">
        <v>21762</v>
      </c>
      <c r="D5041" s="29" t="s">
        <v>34988</v>
      </c>
      <c r="E5041" s="29" t="s">
        <v>47850</v>
      </c>
      <c r="F5041" s="36" t="s">
        <v>54401</v>
      </c>
      <c r="G5041" s="39">
        <v>65066.11</v>
      </c>
      <c r="H5041" s="42">
        <v>211</v>
      </c>
    </row>
    <row r="5042" spans="1:8" ht="15" customHeight="1">
      <c r="A5042" s="26">
        <v>46665996</v>
      </c>
      <c r="B5042" s="29" t="s">
        <v>7276</v>
      </c>
      <c r="C5042" s="29" t="s">
        <v>17204</v>
      </c>
      <c r="D5042" s="29" t="s">
        <v>34989</v>
      </c>
      <c r="E5042" s="29" t="s">
        <v>43926</v>
      </c>
      <c r="F5042" s="36" t="s">
        <v>54401</v>
      </c>
      <c r="G5042" s="39">
        <v>3476294.2</v>
      </c>
      <c r="H5042" s="42">
        <v>211</v>
      </c>
    </row>
    <row r="5043" spans="1:8" ht="15" customHeight="1">
      <c r="A5043" s="26">
        <v>46666007</v>
      </c>
      <c r="B5043" s="29" t="s">
        <v>7277</v>
      </c>
      <c r="C5043" s="29" t="s">
        <v>21763</v>
      </c>
      <c r="D5043" s="29" t="s">
        <v>34990</v>
      </c>
      <c r="E5043" s="29" t="s">
        <v>47851</v>
      </c>
      <c r="F5043" s="36" t="s">
        <v>54401</v>
      </c>
      <c r="G5043" s="39">
        <v>501896.83</v>
      </c>
      <c r="H5043" s="42">
        <v>211</v>
      </c>
    </row>
    <row r="5044" spans="1:8" ht="15" customHeight="1">
      <c r="A5044" s="26">
        <v>46666021</v>
      </c>
      <c r="B5044" s="29" t="s">
        <v>7278</v>
      </c>
      <c r="C5044" s="29" t="s">
        <v>21764</v>
      </c>
      <c r="D5044" s="29" t="s">
        <v>34991</v>
      </c>
      <c r="E5044" s="29" t="s">
        <v>47852</v>
      </c>
      <c r="F5044" s="36" t="s">
        <v>54401</v>
      </c>
      <c r="G5044" s="39">
        <v>428888.44</v>
      </c>
      <c r="H5044" s="42">
        <v>211</v>
      </c>
    </row>
    <row r="5045" spans="1:8" ht="15" customHeight="1">
      <c r="A5045" s="26">
        <v>46666030</v>
      </c>
      <c r="B5045" s="29" t="s">
        <v>7279</v>
      </c>
      <c r="C5045" s="29" t="s">
        <v>21765</v>
      </c>
      <c r="D5045" s="29" t="s">
        <v>34992</v>
      </c>
      <c r="E5045" s="29" t="s">
        <v>47853</v>
      </c>
      <c r="F5045" s="36" t="s">
        <v>54401</v>
      </c>
      <c r="G5045" s="39">
        <v>6981363.4000000004</v>
      </c>
      <c r="H5045" s="42">
        <v>211</v>
      </c>
    </row>
    <row r="5046" spans="1:8" ht="15" customHeight="1">
      <c r="A5046" s="26">
        <v>46666071</v>
      </c>
      <c r="B5046" s="29" t="s">
        <v>7280</v>
      </c>
      <c r="C5046" s="29" t="s">
        <v>21766</v>
      </c>
      <c r="D5046" s="29" t="s">
        <v>34993</v>
      </c>
      <c r="E5046" s="29" t="s">
        <v>47854</v>
      </c>
      <c r="F5046" s="36" t="s">
        <v>54401</v>
      </c>
      <c r="G5046" s="39">
        <v>4664484.78</v>
      </c>
      <c r="H5046" s="42">
        <v>211</v>
      </c>
    </row>
    <row r="5047" spans="1:8" ht="15" customHeight="1">
      <c r="A5047" s="26">
        <v>46666075</v>
      </c>
      <c r="B5047" s="29" t="s">
        <v>7281</v>
      </c>
      <c r="C5047" s="29" t="s">
        <v>21767</v>
      </c>
      <c r="D5047" s="29" t="s">
        <v>34994</v>
      </c>
      <c r="E5047" s="29" t="s">
        <v>47855</v>
      </c>
      <c r="F5047" s="36" t="s">
        <v>54401</v>
      </c>
      <c r="G5047" s="39">
        <v>1560988.31</v>
      </c>
      <c r="H5047" s="42">
        <v>211</v>
      </c>
    </row>
    <row r="5048" spans="1:8" ht="15" customHeight="1">
      <c r="A5048" s="26">
        <v>46666098</v>
      </c>
      <c r="B5048" s="29" t="s">
        <v>7282</v>
      </c>
      <c r="C5048" s="29" t="s">
        <v>21768</v>
      </c>
      <c r="D5048" s="29" t="s">
        <v>34995</v>
      </c>
      <c r="E5048" s="29" t="s">
        <v>47856</v>
      </c>
      <c r="F5048" s="36" t="s">
        <v>54401</v>
      </c>
      <c r="G5048" s="39">
        <v>3459109.91</v>
      </c>
      <c r="H5048" s="42">
        <v>211</v>
      </c>
    </row>
    <row r="5049" spans="1:8" ht="15" customHeight="1">
      <c r="A5049" s="26">
        <v>46666099</v>
      </c>
      <c r="B5049" s="29" t="s">
        <v>7283</v>
      </c>
      <c r="C5049" s="29" t="s">
        <v>21769</v>
      </c>
      <c r="D5049" s="29" t="s">
        <v>34996</v>
      </c>
      <c r="E5049" s="29" t="s">
        <v>44802</v>
      </c>
      <c r="F5049" s="36" t="s">
        <v>54401</v>
      </c>
      <c r="G5049" s="39">
        <v>13949.58</v>
      </c>
      <c r="H5049" s="42">
        <v>211</v>
      </c>
    </row>
    <row r="5050" spans="1:8" ht="15" customHeight="1">
      <c r="A5050" s="26">
        <v>46666111</v>
      </c>
      <c r="B5050" s="29" t="s">
        <v>7284</v>
      </c>
      <c r="C5050" s="29" t="s">
        <v>21770</v>
      </c>
      <c r="D5050" s="29" t="s">
        <v>34997</v>
      </c>
      <c r="E5050" s="29" t="s">
        <v>47857</v>
      </c>
      <c r="F5050" s="36" t="s">
        <v>54401</v>
      </c>
      <c r="G5050" s="39">
        <v>72225.39</v>
      </c>
      <c r="H5050" s="42">
        <v>211</v>
      </c>
    </row>
    <row r="5051" spans="1:8" ht="15" customHeight="1">
      <c r="A5051" s="26">
        <v>46666147</v>
      </c>
      <c r="B5051" s="29" t="s">
        <v>7285</v>
      </c>
      <c r="C5051" s="29" t="s">
        <v>21771</v>
      </c>
      <c r="D5051" s="29" t="s">
        <v>34998</v>
      </c>
      <c r="E5051" s="29" t="s">
        <v>47858</v>
      </c>
      <c r="F5051" s="36" t="s">
        <v>54409</v>
      </c>
      <c r="G5051" s="39">
        <v>4812885</v>
      </c>
      <c r="H5051" s="42">
        <v>211</v>
      </c>
    </row>
    <row r="5052" spans="1:8" ht="15" customHeight="1">
      <c r="A5052" s="26">
        <v>46666211</v>
      </c>
      <c r="B5052" s="29" t="s">
        <v>7286</v>
      </c>
      <c r="C5052" s="29" t="s">
        <v>21772</v>
      </c>
      <c r="D5052" s="29" t="s">
        <v>34999</v>
      </c>
      <c r="E5052" s="29" t="s">
        <v>47859</v>
      </c>
      <c r="F5052" s="36" t="s">
        <v>54401</v>
      </c>
      <c r="G5052" s="39">
        <v>2718867</v>
      </c>
      <c r="H5052" s="42">
        <v>211</v>
      </c>
    </row>
    <row r="5053" spans="1:8" ht="15" customHeight="1">
      <c r="A5053" s="26">
        <v>46666226</v>
      </c>
      <c r="B5053" s="29" t="s">
        <v>7287</v>
      </c>
      <c r="C5053" s="26" t="s">
        <v>21773</v>
      </c>
      <c r="D5053" s="26" t="s">
        <v>35000</v>
      </c>
      <c r="E5053" s="26" t="s">
        <v>43926</v>
      </c>
      <c r="F5053" s="37" t="s">
        <v>54401</v>
      </c>
      <c r="G5053" s="39">
        <v>104141.85</v>
      </c>
      <c r="H5053" s="42">
        <v>211</v>
      </c>
    </row>
    <row r="5054" spans="1:8" ht="15" customHeight="1">
      <c r="A5054" s="26">
        <v>46666233</v>
      </c>
      <c r="B5054" s="29" t="s">
        <v>7288</v>
      </c>
      <c r="C5054" s="29" t="s">
        <v>21774</v>
      </c>
      <c r="D5054" s="29" t="s">
        <v>35001</v>
      </c>
      <c r="E5054" s="29" t="s">
        <v>47860</v>
      </c>
      <c r="F5054" s="36" t="s">
        <v>54401</v>
      </c>
      <c r="G5054" s="39">
        <v>1836349.38</v>
      </c>
      <c r="H5054" s="42">
        <v>211</v>
      </c>
    </row>
    <row r="5055" spans="1:8" ht="15" customHeight="1">
      <c r="A5055" s="26">
        <v>46666236</v>
      </c>
      <c r="B5055" s="29" t="s">
        <v>7289</v>
      </c>
      <c r="C5055" s="29" t="s">
        <v>21775</v>
      </c>
      <c r="D5055" s="29" t="s">
        <v>35002</v>
      </c>
      <c r="E5055" s="29" t="s">
        <v>47861</v>
      </c>
      <c r="F5055" s="36" t="s">
        <v>54401</v>
      </c>
      <c r="G5055" s="39">
        <v>550000</v>
      </c>
      <c r="H5055" s="42">
        <v>211</v>
      </c>
    </row>
    <row r="5056" spans="1:8" ht="15" customHeight="1">
      <c r="A5056" s="26">
        <v>46666248</v>
      </c>
      <c r="B5056" s="29" t="s">
        <v>7290</v>
      </c>
      <c r="C5056" s="29" t="s">
        <v>21776</v>
      </c>
      <c r="D5056" s="29" t="s">
        <v>35003</v>
      </c>
      <c r="E5056" s="29" t="s">
        <v>47862</v>
      </c>
      <c r="F5056" s="36" t="s">
        <v>54401</v>
      </c>
      <c r="G5056" s="39">
        <v>294246.19</v>
      </c>
      <c r="H5056" s="42">
        <v>211</v>
      </c>
    </row>
    <row r="5057" spans="1:8" ht="15" customHeight="1">
      <c r="A5057" s="26">
        <v>46666296</v>
      </c>
      <c r="B5057" s="29" t="s">
        <v>7291</v>
      </c>
      <c r="C5057" s="29" t="s">
        <v>21777</v>
      </c>
      <c r="D5057" s="29" t="s">
        <v>35004</v>
      </c>
      <c r="E5057" s="29" t="s">
        <v>47863</v>
      </c>
      <c r="F5057" s="36" t="s">
        <v>54401</v>
      </c>
      <c r="G5057" s="39">
        <v>39308.82</v>
      </c>
      <c r="H5057" s="42">
        <v>211</v>
      </c>
    </row>
    <row r="5058" spans="1:8" ht="15" customHeight="1">
      <c r="A5058" s="26">
        <v>46666341</v>
      </c>
      <c r="B5058" s="29" t="s">
        <v>7292</v>
      </c>
      <c r="C5058" s="29" t="s">
        <v>21778</v>
      </c>
      <c r="D5058" s="29" t="s">
        <v>35005</v>
      </c>
      <c r="E5058" s="29" t="s">
        <v>47864</v>
      </c>
      <c r="F5058" s="36" t="s">
        <v>54401</v>
      </c>
      <c r="G5058" s="39">
        <v>2741769</v>
      </c>
      <c r="H5058" s="42">
        <v>211</v>
      </c>
    </row>
    <row r="5059" spans="1:8" ht="15" customHeight="1">
      <c r="A5059" s="26">
        <v>46666359</v>
      </c>
      <c r="B5059" s="29" t="s">
        <v>7293</v>
      </c>
      <c r="C5059" s="29" t="s">
        <v>21779</v>
      </c>
      <c r="D5059" s="29" t="s">
        <v>35006</v>
      </c>
      <c r="E5059" s="29" t="s">
        <v>47865</v>
      </c>
      <c r="F5059" s="36" t="s">
        <v>54417</v>
      </c>
      <c r="G5059" s="39">
        <v>11831.93</v>
      </c>
      <c r="H5059" s="42">
        <v>211</v>
      </c>
    </row>
    <row r="5060" spans="1:8" ht="15" customHeight="1">
      <c r="A5060" s="26">
        <v>46666369</v>
      </c>
      <c r="B5060" s="29" t="s">
        <v>7294</v>
      </c>
      <c r="C5060" s="29" t="s">
        <v>21780</v>
      </c>
      <c r="D5060" s="29" t="s">
        <v>35007</v>
      </c>
      <c r="E5060" s="29" t="s">
        <v>47866</v>
      </c>
      <c r="F5060" s="36" t="s">
        <v>54401</v>
      </c>
      <c r="G5060" s="39">
        <v>107393.82</v>
      </c>
      <c r="H5060" s="42">
        <v>211</v>
      </c>
    </row>
    <row r="5061" spans="1:8" ht="15" customHeight="1">
      <c r="A5061" s="26">
        <v>46666402</v>
      </c>
      <c r="B5061" s="29" t="s">
        <v>7295</v>
      </c>
      <c r="C5061" s="29" t="s">
        <v>21781</v>
      </c>
      <c r="D5061" s="29" t="s">
        <v>35008</v>
      </c>
      <c r="E5061" s="29" t="s">
        <v>47867</v>
      </c>
      <c r="F5061" s="36" t="s">
        <v>54401</v>
      </c>
      <c r="G5061" s="39">
        <v>90226.51</v>
      </c>
      <c r="H5061" s="42">
        <v>211</v>
      </c>
    </row>
    <row r="5062" spans="1:8" ht="15" customHeight="1">
      <c r="A5062" s="26">
        <v>46666414</v>
      </c>
      <c r="B5062" s="29" t="s">
        <v>7296</v>
      </c>
      <c r="C5062" s="29" t="s">
        <v>21782</v>
      </c>
      <c r="D5062" s="29" t="s">
        <v>35009</v>
      </c>
      <c r="E5062" s="29" t="s">
        <v>47868</v>
      </c>
      <c r="F5062" s="36" t="s">
        <v>54423</v>
      </c>
      <c r="G5062" s="39">
        <v>8456877.0099999998</v>
      </c>
      <c r="H5062" s="42">
        <v>211</v>
      </c>
    </row>
    <row r="5063" spans="1:8" ht="15" customHeight="1">
      <c r="A5063" s="26">
        <v>46666420</v>
      </c>
      <c r="B5063" s="29" t="s">
        <v>7297</v>
      </c>
      <c r="C5063" s="29" t="s">
        <v>17204</v>
      </c>
      <c r="D5063" s="29" t="s">
        <v>30349</v>
      </c>
      <c r="E5063" s="29" t="s">
        <v>43926</v>
      </c>
      <c r="F5063" s="36" t="s">
        <v>54401</v>
      </c>
      <c r="G5063" s="39">
        <v>450722.41</v>
      </c>
      <c r="H5063" s="42">
        <v>211</v>
      </c>
    </row>
    <row r="5064" spans="1:8" ht="15" customHeight="1">
      <c r="A5064" s="26">
        <v>46666421</v>
      </c>
      <c r="B5064" s="29" t="s">
        <v>7298</v>
      </c>
      <c r="C5064" s="29" t="s">
        <v>21783</v>
      </c>
      <c r="D5064" s="29" t="s">
        <v>35010</v>
      </c>
      <c r="E5064" s="29" t="s">
        <v>47869</v>
      </c>
      <c r="F5064" s="36" t="s">
        <v>54406</v>
      </c>
      <c r="G5064" s="39">
        <v>1471786.66</v>
      </c>
      <c r="H5064" s="42">
        <v>211</v>
      </c>
    </row>
    <row r="5065" spans="1:8" ht="15" customHeight="1">
      <c r="A5065" s="26">
        <v>46666461</v>
      </c>
      <c r="B5065" s="29" t="s">
        <v>7299</v>
      </c>
      <c r="C5065" s="29" t="s">
        <v>21784</v>
      </c>
      <c r="D5065" s="29" t="s">
        <v>35011</v>
      </c>
      <c r="E5065" s="29" t="s">
        <v>47870</v>
      </c>
      <c r="F5065" s="36" t="s">
        <v>54401</v>
      </c>
      <c r="G5065" s="39">
        <v>443798.25</v>
      </c>
      <c r="H5065" s="42">
        <v>211</v>
      </c>
    </row>
    <row r="5066" spans="1:8" ht="15" customHeight="1">
      <c r="A5066" s="26">
        <v>46666471</v>
      </c>
      <c r="B5066" s="29" t="s">
        <v>7300</v>
      </c>
      <c r="C5066" s="29" t="s">
        <v>21785</v>
      </c>
      <c r="D5066" s="29" t="s">
        <v>35012</v>
      </c>
      <c r="E5066" s="29" t="s">
        <v>44005</v>
      </c>
      <c r="F5066" s="36" t="s">
        <v>54401</v>
      </c>
      <c r="G5066" s="39">
        <v>299123.26</v>
      </c>
      <c r="H5066" s="42">
        <v>211</v>
      </c>
    </row>
    <row r="5067" spans="1:8" ht="15" customHeight="1">
      <c r="A5067" s="26">
        <v>46666507</v>
      </c>
      <c r="B5067" s="29" t="s">
        <v>7301</v>
      </c>
      <c r="C5067" s="29" t="s">
        <v>21786</v>
      </c>
      <c r="D5067" s="29" t="s">
        <v>35013</v>
      </c>
      <c r="E5067" s="29" t="s">
        <v>47871</v>
      </c>
      <c r="F5067" s="36" t="s">
        <v>54401</v>
      </c>
      <c r="G5067" s="39">
        <v>6066020.8399999999</v>
      </c>
      <c r="H5067" s="42">
        <v>211</v>
      </c>
    </row>
    <row r="5068" spans="1:8" ht="15" customHeight="1">
      <c r="A5068" s="26">
        <v>46666516</v>
      </c>
      <c r="B5068" s="29" t="s">
        <v>7302</v>
      </c>
      <c r="C5068" s="26" t="s">
        <v>21787</v>
      </c>
      <c r="D5068" s="26" t="s">
        <v>35014</v>
      </c>
      <c r="E5068" s="26" t="s">
        <v>47872</v>
      </c>
      <c r="F5068" s="37" t="s">
        <v>54401</v>
      </c>
      <c r="G5068" s="39">
        <v>49084.79</v>
      </c>
      <c r="H5068" s="42">
        <v>211</v>
      </c>
    </row>
    <row r="5069" spans="1:8" ht="15" customHeight="1">
      <c r="A5069" s="26">
        <v>46666538</v>
      </c>
      <c r="B5069" s="29" t="s">
        <v>7303</v>
      </c>
      <c r="C5069" s="29" t="s">
        <v>21788</v>
      </c>
      <c r="D5069" s="29" t="s">
        <v>35015</v>
      </c>
      <c r="E5069" s="29" t="s">
        <v>47873</v>
      </c>
      <c r="F5069" s="36" t="s">
        <v>54401</v>
      </c>
      <c r="G5069" s="39">
        <v>743677.76</v>
      </c>
      <c r="H5069" s="42">
        <v>211</v>
      </c>
    </row>
    <row r="5070" spans="1:8" ht="15" customHeight="1">
      <c r="A5070" s="26">
        <v>46666542</v>
      </c>
      <c r="B5070" s="29" t="s">
        <v>2962</v>
      </c>
      <c r="C5070" s="29" t="s">
        <v>21789</v>
      </c>
      <c r="D5070" s="29" t="s">
        <v>31001</v>
      </c>
      <c r="E5070" s="29" t="s">
        <v>47874</v>
      </c>
      <c r="F5070" s="36" t="s">
        <v>54401</v>
      </c>
      <c r="G5070" s="39">
        <v>531023.15</v>
      </c>
      <c r="H5070" s="42">
        <v>211</v>
      </c>
    </row>
    <row r="5071" spans="1:8" ht="15" customHeight="1">
      <c r="A5071" s="26">
        <v>46666547</v>
      </c>
      <c r="B5071" s="29" t="s">
        <v>7304</v>
      </c>
      <c r="C5071" s="29" t="s">
        <v>21790</v>
      </c>
      <c r="D5071" s="29" t="s">
        <v>35016</v>
      </c>
      <c r="E5071" s="29" t="s">
        <v>47875</v>
      </c>
      <c r="F5071" s="36" t="s">
        <v>54401</v>
      </c>
      <c r="G5071" s="39">
        <v>164880.14000000001</v>
      </c>
      <c r="H5071" s="42">
        <v>211</v>
      </c>
    </row>
    <row r="5072" spans="1:8" ht="15" customHeight="1">
      <c r="A5072" s="26">
        <v>46666559</v>
      </c>
      <c r="B5072" s="29" t="s">
        <v>7305</v>
      </c>
      <c r="C5072" s="29" t="s">
        <v>21791</v>
      </c>
      <c r="D5072" s="29" t="s">
        <v>35017</v>
      </c>
      <c r="E5072" s="29" t="s">
        <v>47876</v>
      </c>
      <c r="F5072" s="36" t="s">
        <v>54401</v>
      </c>
      <c r="G5072" s="39">
        <v>29745.82</v>
      </c>
      <c r="H5072" s="42">
        <v>211</v>
      </c>
    </row>
    <row r="5073" spans="1:8" ht="15" customHeight="1">
      <c r="A5073" s="26">
        <v>46666560</v>
      </c>
      <c r="B5073" s="29" t="s">
        <v>7306</v>
      </c>
      <c r="C5073" s="29" t="s">
        <v>21792</v>
      </c>
      <c r="D5073" s="29" t="s">
        <v>35018</v>
      </c>
      <c r="E5073" s="29" t="s">
        <v>47877</v>
      </c>
      <c r="F5073" s="36" t="s">
        <v>54401</v>
      </c>
      <c r="G5073" s="39">
        <v>196019.59</v>
      </c>
      <c r="H5073" s="42">
        <v>211</v>
      </c>
    </row>
    <row r="5074" spans="1:8" ht="15" customHeight="1">
      <c r="A5074" s="26">
        <v>46666590</v>
      </c>
      <c r="B5074" s="29" t="s">
        <v>7307</v>
      </c>
      <c r="C5074" s="29" t="s">
        <v>21793</v>
      </c>
      <c r="D5074" s="29" t="s">
        <v>35019</v>
      </c>
      <c r="E5074" s="29" t="s">
        <v>47878</v>
      </c>
      <c r="F5074" s="36" t="s">
        <v>54401</v>
      </c>
      <c r="G5074" s="39">
        <v>362392.79</v>
      </c>
      <c r="H5074" s="42">
        <v>211</v>
      </c>
    </row>
    <row r="5075" spans="1:8" ht="15" customHeight="1">
      <c r="A5075" s="26">
        <v>46666592</v>
      </c>
      <c r="B5075" s="29" t="s">
        <v>7308</v>
      </c>
      <c r="C5075" s="29" t="s">
        <v>17204</v>
      </c>
      <c r="D5075" s="29" t="s">
        <v>35020</v>
      </c>
      <c r="E5075" s="29" t="s">
        <v>43926</v>
      </c>
      <c r="F5075" s="36" t="s">
        <v>54401</v>
      </c>
      <c r="G5075" s="39">
        <v>1894166</v>
      </c>
      <c r="H5075" s="42">
        <v>211</v>
      </c>
    </row>
    <row r="5076" spans="1:8" ht="15" customHeight="1">
      <c r="A5076" s="26">
        <v>46666606</v>
      </c>
      <c r="B5076" s="29" t="s">
        <v>7309</v>
      </c>
      <c r="C5076" s="29" t="s">
        <v>21794</v>
      </c>
      <c r="D5076" s="29" t="s">
        <v>35021</v>
      </c>
      <c r="E5076" s="29" t="s">
        <v>47879</v>
      </c>
      <c r="F5076" s="36" t="s">
        <v>54401</v>
      </c>
      <c r="G5076" s="39">
        <v>25184.87</v>
      </c>
      <c r="H5076" s="42">
        <v>211</v>
      </c>
    </row>
    <row r="5077" spans="1:8" ht="15" customHeight="1">
      <c r="A5077" s="26">
        <v>46666633</v>
      </c>
      <c r="B5077" s="29" t="s">
        <v>7310</v>
      </c>
      <c r="C5077" s="26" t="s">
        <v>21795</v>
      </c>
      <c r="D5077" s="26" t="s">
        <v>35022</v>
      </c>
      <c r="E5077" s="26" t="s">
        <v>47880</v>
      </c>
      <c r="F5077" s="37" t="s">
        <v>54401</v>
      </c>
      <c r="G5077" s="39">
        <v>468181.01</v>
      </c>
      <c r="H5077" s="42">
        <v>211</v>
      </c>
    </row>
    <row r="5078" spans="1:8" ht="15" customHeight="1">
      <c r="A5078" s="26">
        <v>46666654</v>
      </c>
      <c r="B5078" s="29" t="s">
        <v>7311</v>
      </c>
      <c r="C5078" s="29" t="s">
        <v>21796</v>
      </c>
      <c r="D5078" s="29" t="s">
        <v>35023</v>
      </c>
      <c r="E5078" s="29" t="s">
        <v>44023</v>
      </c>
      <c r="F5078" s="36" t="s">
        <v>54401</v>
      </c>
      <c r="G5078" s="39">
        <v>738188.4</v>
      </c>
      <c r="H5078" s="42">
        <v>211</v>
      </c>
    </row>
    <row r="5079" spans="1:8" ht="15" customHeight="1">
      <c r="A5079" s="26">
        <v>46666665</v>
      </c>
      <c r="B5079" s="29" t="s">
        <v>7312</v>
      </c>
      <c r="C5079" s="29" t="s">
        <v>21797</v>
      </c>
      <c r="D5079" s="29" t="s">
        <v>35024</v>
      </c>
      <c r="E5079" s="29" t="s">
        <v>47881</v>
      </c>
      <c r="F5079" s="36" t="s">
        <v>54401</v>
      </c>
      <c r="G5079" s="39">
        <v>91422.49</v>
      </c>
      <c r="H5079" s="42">
        <v>211</v>
      </c>
    </row>
    <row r="5080" spans="1:8" ht="15" customHeight="1">
      <c r="A5080" s="26">
        <v>46666676</v>
      </c>
      <c r="B5080" s="29" t="s">
        <v>7313</v>
      </c>
      <c r="C5080" s="26" t="s">
        <v>17204</v>
      </c>
      <c r="D5080" s="26" t="s">
        <v>30349</v>
      </c>
      <c r="E5080" s="26" t="s">
        <v>43926</v>
      </c>
      <c r="F5080" s="37" t="s">
        <v>54401</v>
      </c>
      <c r="G5080" s="39">
        <v>17181.11</v>
      </c>
      <c r="H5080" s="42">
        <v>211</v>
      </c>
    </row>
    <row r="5081" spans="1:8" ht="15" customHeight="1">
      <c r="A5081" s="26">
        <v>46666685</v>
      </c>
      <c r="B5081" s="29" t="s">
        <v>7314</v>
      </c>
      <c r="C5081" s="29" t="s">
        <v>21798</v>
      </c>
      <c r="D5081" s="29" t="s">
        <v>35025</v>
      </c>
      <c r="E5081" s="29" t="s">
        <v>47882</v>
      </c>
      <c r="F5081" s="36" t="s">
        <v>54401</v>
      </c>
      <c r="G5081" s="39">
        <v>1813379.34</v>
      </c>
      <c r="H5081" s="42">
        <v>211</v>
      </c>
    </row>
    <row r="5082" spans="1:8" ht="15" customHeight="1">
      <c r="A5082" s="26">
        <v>46666703</v>
      </c>
      <c r="B5082" s="29" t="s">
        <v>7315</v>
      </c>
      <c r="C5082" s="29" t="s">
        <v>21799</v>
      </c>
      <c r="D5082" s="29" t="s">
        <v>35026</v>
      </c>
      <c r="E5082" s="29" t="s">
        <v>47883</v>
      </c>
      <c r="F5082" s="36" t="s">
        <v>54401</v>
      </c>
      <c r="G5082" s="39">
        <v>98976.960000000006</v>
      </c>
      <c r="H5082" s="42">
        <v>211</v>
      </c>
    </row>
    <row r="5083" spans="1:8" ht="15" customHeight="1">
      <c r="A5083" s="26">
        <v>46666721</v>
      </c>
      <c r="B5083" s="29" t="s">
        <v>7316</v>
      </c>
      <c r="C5083" s="29" t="s">
        <v>21800</v>
      </c>
      <c r="D5083" s="29" t="s">
        <v>35027</v>
      </c>
      <c r="E5083" s="29" t="s">
        <v>47884</v>
      </c>
      <c r="F5083" s="36" t="s">
        <v>54401</v>
      </c>
      <c r="G5083" s="39">
        <v>5868280.9000000004</v>
      </c>
      <c r="H5083" s="42">
        <v>211</v>
      </c>
    </row>
    <row r="5084" spans="1:8" ht="15" customHeight="1">
      <c r="A5084" s="26">
        <v>46666723</v>
      </c>
      <c r="B5084" s="29" t="s">
        <v>7317</v>
      </c>
      <c r="C5084" s="26" t="s">
        <v>21801</v>
      </c>
      <c r="D5084" s="26" t="s">
        <v>35028</v>
      </c>
      <c r="E5084" s="26" t="s">
        <v>47885</v>
      </c>
      <c r="F5084" s="37" t="s">
        <v>54401</v>
      </c>
      <c r="G5084" s="39">
        <v>53587.37</v>
      </c>
      <c r="H5084" s="42">
        <v>211</v>
      </c>
    </row>
    <row r="5085" spans="1:8" ht="15" customHeight="1">
      <c r="A5085" s="26">
        <v>46666744</v>
      </c>
      <c r="B5085" s="29" t="s">
        <v>7318</v>
      </c>
      <c r="C5085" s="26" t="s">
        <v>21802</v>
      </c>
      <c r="D5085" s="26" t="s">
        <v>35029</v>
      </c>
      <c r="E5085" s="26" t="s">
        <v>47886</v>
      </c>
      <c r="F5085" s="37" t="s">
        <v>54401</v>
      </c>
      <c r="G5085" s="39">
        <v>803495.6</v>
      </c>
      <c r="H5085" s="42">
        <v>211</v>
      </c>
    </row>
    <row r="5086" spans="1:8" ht="15" customHeight="1">
      <c r="A5086" s="26">
        <v>46666754</v>
      </c>
      <c r="B5086" s="29" t="s">
        <v>7319</v>
      </c>
      <c r="C5086" s="29" t="s">
        <v>21803</v>
      </c>
      <c r="D5086" s="29" t="s">
        <v>35030</v>
      </c>
      <c r="E5086" s="29" t="s">
        <v>47887</v>
      </c>
      <c r="F5086" s="36" t="s">
        <v>54401</v>
      </c>
      <c r="G5086" s="39">
        <v>562226.89</v>
      </c>
      <c r="H5086" s="42">
        <v>211</v>
      </c>
    </row>
    <row r="5087" spans="1:8" ht="15" customHeight="1">
      <c r="A5087" s="26">
        <v>46666764</v>
      </c>
      <c r="B5087" s="29" t="s">
        <v>7320</v>
      </c>
      <c r="C5087" s="29" t="s">
        <v>21804</v>
      </c>
      <c r="D5087" s="29" t="s">
        <v>35031</v>
      </c>
      <c r="E5087" s="29" t="s">
        <v>47888</v>
      </c>
      <c r="F5087" s="36" t="s">
        <v>54401</v>
      </c>
      <c r="G5087" s="39">
        <v>312879.77</v>
      </c>
      <c r="H5087" s="42">
        <v>211</v>
      </c>
    </row>
    <row r="5088" spans="1:8" ht="15" customHeight="1">
      <c r="A5088" s="26">
        <v>46666775</v>
      </c>
      <c r="B5088" s="29" t="s">
        <v>7321</v>
      </c>
      <c r="C5088" s="29" t="s">
        <v>21805</v>
      </c>
      <c r="D5088" s="29" t="s">
        <v>35032</v>
      </c>
      <c r="E5088" s="29" t="s">
        <v>47889</v>
      </c>
      <c r="F5088" s="36" t="s">
        <v>54401</v>
      </c>
      <c r="G5088" s="39">
        <v>34830392</v>
      </c>
      <c r="H5088" s="42">
        <v>211</v>
      </c>
    </row>
    <row r="5089" spans="1:8" ht="15" customHeight="1">
      <c r="A5089" s="26">
        <v>46666805</v>
      </c>
      <c r="B5089" s="29" t="s">
        <v>7322</v>
      </c>
      <c r="C5089" s="29" t="s">
        <v>21806</v>
      </c>
      <c r="D5089" s="29" t="s">
        <v>35033</v>
      </c>
      <c r="E5089" s="29" t="s">
        <v>47890</v>
      </c>
      <c r="F5089" s="36" t="s">
        <v>54406</v>
      </c>
      <c r="G5089" s="39">
        <v>691709.52</v>
      </c>
      <c r="H5089" s="42">
        <v>211</v>
      </c>
    </row>
    <row r="5090" spans="1:8" ht="15" customHeight="1">
      <c r="A5090" s="26">
        <v>46666816</v>
      </c>
      <c r="B5090" s="29" t="s">
        <v>7323</v>
      </c>
      <c r="C5090" s="29" t="s">
        <v>21807</v>
      </c>
      <c r="D5090" s="29" t="s">
        <v>35034</v>
      </c>
      <c r="E5090" s="29" t="s">
        <v>47891</v>
      </c>
      <c r="F5090" s="36" t="s">
        <v>54401</v>
      </c>
      <c r="G5090" s="39">
        <v>405930.1</v>
      </c>
      <c r="H5090" s="42">
        <v>211</v>
      </c>
    </row>
    <row r="5091" spans="1:8" ht="15" customHeight="1">
      <c r="A5091" s="26">
        <v>46666819</v>
      </c>
      <c r="B5091" s="29" t="s">
        <v>7324</v>
      </c>
      <c r="C5091" s="29" t="s">
        <v>21808</v>
      </c>
      <c r="D5091" s="29" t="s">
        <v>35035</v>
      </c>
      <c r="E5091" s="29" t="s">
        <v>47892</v>
      </c>
      <c r="F5091" s="36" t="s">
        <v>54401</v>
      </c>
      <c r="G5091" s="39">
        <v>2806001</v>
      </c>
      <c r="H5091" s="42">
        <v>211</v>
      </c>
    </row>
    <row r="5092" spans="1:8" ht="15" customHeight="1">
      <c r="A5092" s="26">
        <v>46666827</v>
      </c>
      <c r="B5092" s="29" t="s">
        <v>7325</v>
      </c>
      <c r="C5092" s="29" t="s">
        <v>21809</v>
      </c>
      <c r="D5092" s="29" t="s">
        <v>35036</v>
      </c>
      <c r="E5092" s="29" t="s">
        <v>47893</v>
      </c>
      <c r="F5092" s="36" t="s">
        <v>54401</v>
      </c>
      <c r="G5092" s="39">
        <v>1959362</v>
      </c>
      <c r="H5092" s="42">
        <v>211</v>
      </c>
    </row>
    <row r="5093" spans="1:8" ht="15" customHeight="1">
      <c r="A5093" s="26">
        <v>46666851</v>
      </c>
      <c r="B5093" s="29" t="s">
        <v>7326</v>
      </c>
      <c r="C5093" s="29" t="s">
        <v>17204</v>
      </c>
      <c r="D5093" s="29" t="s">
        <v>30349</v>
      </c>
      <c r="E5093" s="29" t="s">
        <v>43926</v>
      </c>
      <c r="F5093" s="36" t="s">
        <v>54401</v>
      </c>
      <c r="G5093" s="39">
        <v>299553.06</v>
      </c>
      <c r="H5093" s="42">
        <v>211</v>
      </c>
    </row>
    <row r="5094" spans="1:8" ht="15" customHeight="1">
      <c r="A5094" s="26">
        <v>46666877</v>
      </c>
      <c r="B5094" s="29" t="s">
        <v>7327</v>
      </c>
      <c r="C5094" s="29" t="s">
        <v>21810</v>
      </c>
      <c r="D5094" s="29" t="s">
        <v>35037</v>
      </c>
      <c r="E5094" s="29" t="s">
        <v>47894</v>
      </c>
      <c r="F5094" s="36" t="s">
        <v>54401</v>
      </c>
      <c r="G5094" s="39">
        <v>119205.79</v>
      </c>
      <c r="H5094" s="42">
        <v>211</v>
      </c>
    </row>
    <row r="5095" spans="1:8" ht="15" customHeight="1">
      <c r="A5095" s="26">
        <v>46666881</v>
      </c>
      <c r="B5095" s="29" t="s">
        <v>7328</v>
      </c>
      <c r="C5095" s="29" t="s">
        <v>21811</v>
      </c>
      <c r="D5095" s="29" t="s">
        <v>35038</v>
      </c>
      <c r="E5095" s="29" t="s">
        <v>47895</v>
      </c>
      <c r="F5095" s="36" t="s">
        <v>54401</v>
      </c>
      <c r="G5095" s="39">
        <v>3300136.66</v>
      </c>
      <c r="H5095" s="42">
        <v>211</v>
      </c>
    </row>
    <row r="5096" spans="1:8" ht="15" customHeight="1">
      <c r="A5096" s="26">
        <v>46666886</v>
      </c>
      <c r="B5096" s="29" t="s">
        <v>7329</v>
      </c>
      <c r="C5096" s="29" t="s">
        <v>21812</v>
      </c>
      <c r="D5096" s="29" t="s">
        <v>35039</v>
      </c>
      <c r="E5096" s="29" t="s">
        <v>47896</v>
      </c>
      <c r="F5096" s="36" t="s">
        <v>54401</v>
      </c>
      <c r="G5096" s="39">
        <v>233642.45</v>
      </c>
      <c r="H5096" s="42">
        <v>211</v>
      </c>
    </row>
    <row r="5097" spans="1:8" ht="15" customHeight="1">
      <c r="A5097" s="26">
        <v>46666912</v>
      </c>
      <c r="B5097" s="29" t="s">
        <v>7330</v>
      </c>
      <c r="C5097" s="29" t="s">
        <v>21813</v>
      </c>
      <c r="D5097" s="29" t="s">
        <v>35040</v>
      </c>
      <c r="E5097" s="29" t="s">
        <v>47897</v>
      </c>
      <c r="F5097" s="36" t="s">
        <v>54401</v>
      </c>
      <c r="G5097" s="39">
        <v>2934311</v>
      </c>
      <c r="H5097" s="42">
        <v>211</v>
      </c>
    </row>
    <row r="5098" spans="1:8" ht="15" customHeight="1">
      <c r="A5098" s="26">
        <v>46666921</v>
      </c>
      <c r="B5098" s="29" t="s">
        <v>7331</v>
      </c>
      <c r="C5098" s="29" t="s">
        <v>21814</v>
      </c>
      <c r="D5098" s="29" t="s">
        <v>35041</v>
      </c>
      <c r="E5098" s="29" t="s">
        <v>47898</v>
      </c>
      <c r="F5098" s="36" t="s">
        <v>54401</v>
      </c>
      <c r="G5098" s="39">
        <v>2692412</v>
      </c>
      <c r="H5098" s="42">
        <v>211</v>
      </c>
    </row>
    <row r="5099" spans="1:8" ht="15" customHeight="1">
      <c r="A5099" s="26">
        <v>46666959</v>
      </c>
      <c r="B5099" s="29" t="s">
        <v>7332</v>
      </c>
      <c r="C5099" s="29" t="s">
        <v>21815</v>
      </c>
      <c r="D5099" s="29" t="s">
        <v>35042</v>
      </c>
      <c r="E5099" s="29" t="s">
        <v>43926</v>
      </c>
      <c r="F5099" s="36" t="s">
        <v>54401</v>
      </c>
      <c r="G5099" s="39">
        <v>1498208.49</v>
      </c>
      <c r="H5099" s="42">
        <v>211</v>
      </c>
    </row>
    <row r="5100" spans="1:8" ht="15" customHeight="1">
      <c r="A5100" s="26">
        <v>46667010</v>
      </c>
      <c r="B5100" s="29" t="s">
        <v>7333</v>
      </c>
      <c r="C5100" s="29" t="s">
        <v>21816</v>
      </c>
      <c r="D5100" s="29" t="s">
        <v>35043</v>
      </c>
      <c r="E5100" s="29" t="s">
        <v>47899</v>
      </c>
      <c r="F5100" s="36" t="s">
        <v>54401</v>
      </c>
      <c r="G5100" s="39">
        <v>1067530.77</v>
      </c>
      <c r="H5100" s="42">
        <v>211</v>
      </c>
    </row>
    <row r="5101" spans="1:8" ht="15" customHeight="1">
      <c r="A5101" s="26">
        <v>46667026</v>
      </c>
      <c r="B5101" s="29" t="s">
        <v>7334</v>
      </c>
      <c r="C5101" s="26" t="s">
        <v>21817</v>
      </c>
      <c r="D5101" s="26" t="s">
        <v>35044</v>
      </c>
      <c r="E5101" s="26" t="s">
        <v>47900</v>
      </c>
      <c r="F5101" s="37" t="s">
        <v>54401</v>
      </c>
      <c r="G5101" s="39">
        <v>2765846.52</v>
      </c>
      <c r="H5101" s="42">
        <v>211</v>
      </c>
    </row>
    <row r="5102" spans="1:8" ht="15" customHeight="1">
      <c r="A5102" s="26">
        <v>46667041</v>
      </c>
      <c r="B5102" s="29" t="s">
        <v>7335</v>
      </c>
      <c r="C5102" s="26" t="s">
        <v>21818</v>
      </c>
      <c r="D5102" s="26" t="s">
        <v>35045</v>
      </c>
      <c r="E5102" s="26" t="s">
        <v>44025</v>
      </c>
      <c r="F5102" s="37" t="s">
        <v>54401</v>
      </c>
      <c r="G5102" s="39">
        <v>162763.99</v>
      </c>
      <c r="H5102" s="42">
        <v>211</v>
      </c>
    </row>
    <row r="5103" spans="1:8" ht="15" customHeight="1">
      <c r="A5103" s="26">
        <v>46667052</v>
      </c>
      <c r="B5103" s="29" t="s">
        <v>7336</v>
      </c>
      <c r="C5103" s="29" t="s">
        <v>21819</v>
      </c>
      <c r="D5103" s="29" t="s">
        <v>35046</v>
      </c>
      <c r="E5103" s="29" t="s">
        <v>47901</v>
      </c>
      <c r="F5103" s="36" t="s">
        <v>54401</v>
      </c>
      <c r="G5103" s="39">
        <v>1518699.04</v>
      </c>
      <c r="H5103" s="42">
        <v>211</v>
      </c>
    </row>
    <row r="5104" spans="1:8" ht="15" customHeight="1">
      <c r="A5104" s="26">
        <v>46667057</v>
      </c>
      <c r="B5104" s="29" t="s">
        <v>7337</v>
      </c>
      <c r="C5104" s="29" t="s">
        <v>21820</v>
      </c>
      <c r="D5104" s="29" t="s">
        <v>35047</v>
      </c>
      <c r="E5104" s="29" t="s">
        <v>47902</v>
      </c>
      <c r="F5104" s="36" t="s">
        <v>54401</v>
      </c>
      <c r="G5104" s="39">
        <v>261061.21</v>
      </c>
      <c r="H5104" s="42">
        <v>211</v>
      </c>
    </row>
    <row r="5105" spans="1:8" ht="15" customHeight="1">
      <c r="A5105" s="26">
        <v>46667095</v>
      </c>
      <c r="B5105" s="29" t="s">
        <v>7338</v>
      </c>
      <c r="C5105" s="29" t="s">
        <v>21821</v>
      </c>
      <c r="D5105" s="29" t="s">
        <v>30376</v>
      </c>
      <c r="E5105" s="29" t="s">
        <v>43926</v>
      </c>
      <c r="F5105" s="36" t="s">
        <v>54401</v>
      </c>
      <c r="G5105" s="39">
        <v>10754200</v>
      </c>
      <c r="H5105" s="42">
        <v>211</v>
      </c>
    </row>
    <row r="5106" spans="1:8" ht="15" customHeight="1">
      <c r="A5106" s="26">
        <v>46667116</v>
      </c>
      <c r="B5106" s="29" t="s">
        <v>7339</v>
      </c>
      <c r="C5106" s="29" t="s">
        <v>21822</v>
      </c>
      <c r="D5106" s="29" t="s">
        <v>35048</v>
      </c>
      <c r="E5106" s="29" t="s">
        <v>47903</v>
      </c>
      <c r="F5106" s="36" t="s">
        <v>54409</v>
      </c>
      <c r="G5106" s="39">
        <v>407050.82</v>
      </c>
      <c r="H5106" s="42">
        <v>211</v>
      </c>
    </row>
    <row r="5107" spans="1:8" ht="15" customHeight="1">
      <c r="A5107" s="26">
        <v>46667118</v>
      </c>
      <c r="B5107" s="29" t="s">
        <v>7340</v>
      </c>
      <c r="C5107" s="29" t="s">
        <v>21823</v>
      </c>
      <c r="D5107" s="29" t="s">
        <v>35049</v>
      </c>
      <c r="E5107" s="29" t="s">
        <v>47904</v>
      </c>
      <c r="F5107" s="36" t="s">
        <v>54412</v>
      </c>
      <c r="G5107" s="39">
        <v>3845154.07</v>
      </c>
      <c r="H5107" s="42">
        <v>211</v>
      </c>
    </row>
    <row r="5108" spans="1:8" ht="15" customHeight="1">
      <c r="A5108" s="26">
        <v>46667145</v>
      </c>
      <c r="B5108" s="29" t="s">
        <v>7341</v>
      </c>
      <c r="C5108" s="29" t="s">
        <v>21824</v>
      </c>
      <c r="D5108" s="29" t="s">
        <v>35050</v>
      </c>
      <c r="E5108" s="29" t="s">
        <v>47489</v>
      </c>
      <c r="F5108" s="36" t="s">
        <v>54401</v>
      </c>
      <c r="G5108" s="39">
        <v>338976.85</v>
      </c>
      <c r="H5108" s="42">
        <v>211</v>
      </c>
    </row>
    <row r="5109" spans="1:8" ht="15" customHeight="1">
      <c r="A5109" s="26">
        <v>46667193</v>
      </c>
      <c r="B5109" s="29" t="s">
        <v>7342</v>
      </c>
      <c r="C5109" s="29" t="s">
        <v>21825</v>
      </c>
      <c r="D5109" s="29" t="s">
        <v>35051</v>
      </c>
      <c r="E5109" s="29" t="s">
        <v>47612</v>
      </c>
      <c r="F5109" s="36" t="s">
        <v>54401</v>
      </c>
      <c r="G5109" s="39">
        <v>5210627.24</v>
      </c>
      <c r="H5109" s="42">
        <v>211</v>
      </c>
    </row>
    <row r="5110" spans="1:8" ht="15" customHeight="1">
      <c r="A5110" s="26">
        <v>46667214</v>
      </c>
      <c r="B5110" s="29" t="s">
        <v>7343</v>
      </c>
      <c r="C5110" s="29" t="s">
        <v>21826</v>
      </c>
      <c r="D5110" s="29" t="s">
        <v>35052</v>
      </c>
      <c r="E5110" s="29" t="s">
        <v>47905</v>
      </c>
      <c r="F5110" s="36" t="s">
        <v>54401</v>
      </c>
      <c r="G5110" s="39">
        <v>143701.29</v>
      </c>
      <c r="H5110" s="42">
        <v>211</v>
      </c>
    </row>
    <row r="5111" spans="1:8" ht="15" customHeight="1">
      <c r="A5111" s="26">
        <v>46667235</v>
      </c>
      <c r="B5111" s="29" t="s">
        <v>7344</v>
      </c>
      <c r="C5111" s="29" t="s">
        <v>21827</v>
      </c>
      <c r="D5111" s="29" t="s">
        <v>35053</v>
      </c>
      <c r="E5111" s="29" t="s">
        <v>47906</v>
      </c>
      <c r="F5111" s="36" t="s">
        <v>54401</v>
      </c>
      <c r="G5111" s="39">
        <v>166309.54</v>
      </c>
      <c r="H5111" s="42">
        <v>211</v>
      </c>
    </row>
    <row r="5112" spans="1:8" ht="15" customHeight="1">
      <c r="A5112" s="26">
        <v>46667246</v>
      </c>
      <c r="B5112" s="29" t="s">
        <v>7345</v>
      </c>
      <c r="C5112" s="29" t="s">
        <v>21828</v>
      </c>
      <c r="D5112" s="29" t="s">
        <v>35054</v>
      </c>
      <c r="E5112" s="29" t="s">
        <v>47907</v>
      </c>
      <c r="F5112" s="36" t="s">
        <v>54401</v>
      </c>
      <c r="G5112" s="39">
        <v>145357.35999999999</v>
      </c>
      <c r="H5112" s="42">
        <v>211</v>
      </c>
    </row>
    <row r="5113" spans="1:8" ht="15" customHeight="1">
      <c r="A5113" s="26">
        <v>46667258</v>
      </c>
      <c r="B5113" s="29" t="s">
        <v>7346</v>
      </c>
      <c r="C5113" s="26" t="s">
        <v>21829</v>
      </c>
      <c r="D5113" s="26" t="s">
        <v>35055</v>
      </c>
      <c r="E5113" s="26" t="s">
        <v>47908</v>
      </c>
      <c r="F5113" s="37" t="s">
        <v>54401</v>
      </c>
      <c r="G5113" s="39">
        <v>1042725.69</v>
      </c>
      <c r="H5113" s="42">
        <v>211</v>
      </c>
    </row>
    <row r="5114" spans="1:8" ht="15" customHeight="1">
      <c r="A5114" s="26">
        <v>46667269</v>
      </c>
      <c r="B5114" s="29" t="s">
        <v>7347</v>
      </c>
      <c r="C5114" s="29" t="s">
        <v>21830</v>
      </c>
      <c r="D5114" s="29" t="s">
        <v>35056</v>
      </c>
      <c r="E5114" s="29" t="s">
        <v>47909</v>
      </c>
      <c r="F5114" s="36" t="s">
        <v>54401</v>
      </c>
      <c r="G5114" s="39">
        <f>4382739.82-6670</f>
        <v>4376069.82</v>
      </c>
      <c r="H5114" s="42">
        <v>211</v>
      </c>
    </row>
    <row r="5115" spans="1:8" ht="15" customHeight="1">
      <c r="A5115" s="26">
        <v>46667329</v>
      </c>
      <c r="B5115" s="29" t="s">
        <v>7348</v>
      </c>
      <c r="C5115" s="29" t="s">
        <v>21831</v>
      </c>
      <c r="D5115" s="29" t="s">
        <v>35057</v>
      </c>
      <c r="E5115" s="29" t="s">
        <v>47910</v>
      </c>
      <c r="F5115" s="36" t="s">
        <v>54406</v>
      </c>
      <c r="G5115" s="39">
        <v>69869.63</v>
      </c>
      <c r="H5115" s="42">
        <v>211</v>
      </c>
    </row>
    <row r="5116" spans="1:8" ht="15" customHeight="1">
      <c r="A5116" s="26">
        <v>46667341</v>
      </c>
      <c r="B5116" s="29" t="s">
        <v>7349</v>
      </c>
      <c r="C5116" s="29" t="s">
        <v>21832</v>
      </c>
      <c r="D5116" s="29" t="s">
        <v>35058</v>
      </c>
      <c r="E5116" s="29" t="s">
        <v>47911</v>
      </c>
      <c r="F5116" s="36" t="s">
        <v>54401</v>
      </c>
      <c r="G5116" s="39">
        <v>3145253.57</v>
      </c>
      <c r="H5116" s="42">
        <v>211</v>
      </c>
    </row>
    <row r="5117" spans="1:8" ht="15" customHeight="1">
      <c r="A5117" s="26">
        <v>46667357</v>
      </c>
      <c r="B5117" s="29" t="s">
        <v>7350</v>
      </c>
      <c r="C5117" s="29" t="s">
        <v>21833</v>
      </c>
      <c r="D5117" s="29" t="s">
        <v>35059</v>
      </c>
      <c r="E5117" s="29" t="s">
        <v>47912</v>
      </c>
      <c r="F5117" s="36" t="s">
        <v>54401</v>
      </c>
      <c r="G5117" s="39">
        <v>418698.88</v>
      </c>
      <c r="H5117" s="42">
        <v>211</v>
      </c>
    </row>
    <row r="5118" spans="1:8" ht="15" customHeight="1">
      <c r="A5118" s="26">
        <v>46667379</v>
      </c>
      <c r="B5118" s="29" t="s">
        <v>7351</v>
      </c>
      <c r="C5118" s="29" t="s">
        <v>21834</v>
      </c>
      <c r="D5118" s="29" t="s">
        <v>35060</v>
      </c>
      <c r="E5118" s="29" t="s">
        <v>47913</v>
      </c>
      <c r="F5118" s="36" t="s">
        <v>54401</v>
      </c>
      <c r="G5118" s="39">
        <v>6838066</v>
      </c>
      <c r="H5118" s="42">
        <v>211</v>
      </c>
    </row>
    <row r="5119" spans="1:8" ht="15" customHeight="1">
      <c r="A5119" s="26">
        <v>46667406</v>
      </c>
      <c r="B5119" s="29" t="s">
        <v>7352</v>
      </c>
      <c r="C5119" s="26" t="s">
        <v>21835</v>
      </c>
      <c r="D5119" s="26" t="s">
        <v>35061</v>
      </c>
      <c r="E5119" s="26" t="s">
        <v>47914</v>
      </c>
      <c r="F5119" s="37" t="s">
        <v>54401</v>
      </c>
      <c r="G5119" s="39">
        <v>58141.24</v>
      </c>
      <c r="H5119" s="42">
        <v>211</v>
      </c>
    </row>
    <row r="5120" spans="1:8" ht="15" customHeight="1">
      <c r="A5120" s="26">
        <v>46667414</v>
      </c>
      <c r="B5120" s="29" t="s">
        <v>7353</v>
      </c>
      <c r="C5120" s="29" t="s">
        <v>17204</v>
      </c>
      <c r="D5120" s="29" t="s">
        <v>35062</v>
      </c>
      <c r="E5120" s="29" t="s">
        <v>43926</v>
      </c>
      <c r="F5120" s="36" t="s">
        <v>54401</v>
      </c>
      <c r="G5120" s="39">
        <v>390184.88</v>
      </c>
      <c r="H5120" s="42">
        <v>211</v>
      </c>
    </row>
    <row r="5121" spans="1:8" ht="15" customHeight="1">
      <c r="A5121" s="26">
        <v>46667418</v>
      </c>
      <c r="B5121" s="29" t="s">
        <v>7354</v>
      </c>
      <c r="C5121" s="29" t="s">
        <v>21836</v>
      </c>
      <c r="D5121" s="29" t="s">
        <v>35063</v>
      </c>
      <c r="E5121" s="29" t="s">
        <v>47915</v>
      </c>
      <c r="F5121" s="36" t="s">
        <v>54401</v>
      </c>
      <c r="G5121" s="39">
        <v>1754134.88</v>
      </c>
      <c r="H5121" s="42">
        <v>211</v>
      </c>
    </row>
    <row r="5122" spans="1:8" ht="15" customHeight="1">
      <c r="A5122" s="26">
        <v>46667420</v>
      </c>
      <c r="B5122" s="29" t="s">
        <v>7355</v>
      </c>
      <c r="C5122" s="29" t="s">
        <v>21837</v>
      </c>
      <c r="D5122" s="29" t="s">
        <v>35064</v>
      </c>
      <c r="E5122" s="29" t="s">
        <v>47916</v>
      </c>
      <c r="F5122" s="36" t="s">
        <v>54401</v>
      </c>
      <c r="G5122" s="39">
        <v>7358741</v>
      </c>
      <c r="H5122" s="42">
        <v>211</v>
      </c>
    </row>
    <row r="5123" spans="1:8" ht="15" customHeight="1">
      <c r="A5123" s="26">
        <v>46667441</v>
      </c>
      <c r="B5123" s="29" t="s">
        <v>7356</v>
      </c>
      <c r="C5123" s="29" t="s">
        <v>21838</v>
      </c>
      <c r="D5123" s="29" t="s">
        <v>35065</v>
      </c>
      <c r="E5123" s="29" t="s">
        <v>47917</v>
      </c>
      <c r="F5123" s="36" t="s">
        <v>54401</v>
      </c>
      <c r="G5123" s="39">
        <v>1712335.36</v>
      </c>
      <c r="H5123" s="42">
        <v>211</v>
      </c>
    </row>
    <row r="5124" spans="1:8" ht="15" customHeight="1">
      <c r="A5124" s="26">
        <v>46667457</v>
      </c>
      <c r="B5124" s="29" t="s">
        <v>7357</v>
      </c>
      <c r="C5124" s="29" t="s">
        <v>21839</v>
      </c>
      <c r="D5124" s="29" t="s">
        <v>35066</v>
      </c>
      <c r="E5124" s="29" t="s">
        <v>47918</v>
      </c>
      <c r="F5124" s="36" t="s">
        <v>54401</v>
      </c>
      <c r="G5124" s="39">
        <v>998049.96</v>
      </c>
      <c r="H5124" s="42">
        <v>211</v>
      </c>
    </row>
    <row r="5125" spans="1:8" ht="15" customHeight="1">
      <c r="A5125" s="26">
        <v>46667496</v>
      </c>
      <c r="B5125" s="29" t="s">
        <v>7358</v>
      </c>
      <c r="C5125" s="29" t="s">
        <v>21840</v>
      </c>
      <c r="D5125" s="29" t="s">
        <v>35067</v>
      </c>
      <c r="E5125" s="29" t="s">
        <v>47919</v>
      </c>
      <c r="F5125" s="36" t="s">
        <v>54401</v>
      </c>
      <c r="G5125" s="39">
        <v>755198.06</v>
      </c>
      <c r="H5125" s="42">
        <v>211</v>
      </c>
    </row>
    <row r="5126" spans="1:8" ht="15" customHeight="1">
      <c r="A5126" s="26">
        <v>46667520</v>
      </c>
      <c r="B5126" s="29" t="s">
        <v>7359</v>
      </c>
      <c r="C5126" s="29" t="s">
        <v>21841</v>
      </c>
      <c r="D5126" s="29" t="s">
        <v>35068</v>
      </c>
      <c r="E5126" s="29" t="s">
        <v>47920</v>
      </c>
      <c r="F5126" s="36" t="s">
        <v>54401</v>
      </c>
      <c r="G5126" s="39">
        <v>398415.52</v>
      </c>
      <c r="H5126" s="42">
        <v>211</v>
      </c>
    </row>
    <row r="5127" spans="1:8" ht="15" customHeight="1">
      <c r="A5127" s="26">
        <v>46667588</v>
      </c>
      <c r="B5127" s="29" t="s">
        <v>7360</v>
      </c>
      <c r="C5127" s="26" t="s">
        <v>21842</v>
      </c>
      <c r="D5127" s="26" t="s">
        <v>30376</v>
      </c>
      <c r="E5127" s="26" t="s">
        <v>47921</v>
      </c>
      <c r="F5127" s="37" t="s">
        <v>54401</v>
      </c>
      <c r="G5127" s="39">
        <v>143559.44</v>
      </c>
      <c r="H5127" s="42">
        <v>211</v>
      </c>
    </row>
    <row r="5128" spans="1:8" ht="15" customHeight="1">
      <c r="A5128" s="26">
        <v>46667590</v>
      </c>
      <c r="B5128" s="29" t="s">
        <v>7361</v>
      </c>
      <c r="C5128" s="29" t="s">
        <v>21843</v>
      </c>
      <c r="D5128" s="29" t="s">
        <v>35069</v>
      </c>
      <c r="E5128" s="29" t="s">
        <v>47922</v>
      </c>
      <c r="F5128" s="36" t="s">
        <v>54409</v>
      </c>
      <c r="G5128" s="39">
        <v>2852827.97</v>
      </c>
      <c r="H5128" s="42">
        <v>211</v>
      </c>
    </row>
    <row r="5129" spans="1:8" ht="15" customHeight="1">
      <c r="A5129" s="26">
        <v>46667597</v>
      </c>
      <c r="B5129" s="29" t="s">
        <v>7362</v>
      </c>
      <c r="C5129" s="26" t="s">
        <v>21844</v>
      </c>
      <c r="D5129" s="26" t="s">
        <v>35070</v>
      </c>
      <c r="E5129" s="26" t="s">
        <v>47923</v>
      </c>
      <c r="F5129" s="37" t="s">
        <v>54401</v>
      </c>
      <c r="G5129" s="39">
        <v>85987.97</v>
      </c>
      <c r="H5129" s="42">
        <v>211</v>
      </c>
    </row>
    <row r="5130" spans="1:8" ht="15" customHeight="1">
      <c r="A5130" s="26">
        <v>46667605</v>
      </c>
      <c r="B5130" s="29" t="s">
        <v>7363</v>
      </c>
      <c r="C5130" s="29" t="s">
        <v>21845</v>
      </c>
      <c r="D5130" s="29" t="s">
        <v>35071</v>
      </c>
      <c r="E5130" s="29" t="s">
        <v>47924</v>
      </c>
      <c r="F5130" s="36" t="s">
        <v>54401</v>
      </c>
      <c r="G5130" s="39">
        <v>4661673</v>
      </c>
      <c r="H5130" s="42">
        <v>211</v>
      </c>
    </row>
    <row r="5131" spans="1:8" ht="15" customHeight="1">
      <c r="A5131" s="26">
        <v>46667637</v>
      </c>
      <c r="B5131" s="29" t="s">
        <v>7364</v>
      </c>
      <c r="C5131" s="29" t="s">
        <v>17204</v>
      </c>
      <c r="D5131" s="29" t="s">
        <v>35072</v>
      </c>
      <c r="E5131" s="29" t="s">
        <v>43926</v>
      </c>
      <c r="F5131" s="36" t="s">
        <v>54401</v>
      </c>
      <c r="G5131" s="39">
        <v>22840</v>
      </c>
      <c r="H5131" s="42">
        <v>211</v>
      </c>
    </row>
    <row r="5132" spans="1:8" ht="15" customHeight="1">
      <c r="A5132" s="26">
        <v>46667715</v>
      </c>
      <c r="B5132" s="29" t="s">
        <v>7365</v>
      </c>
      <c r="C5132" s="29" t="s">
        <v>21846</v>
      </c>
      <c r="D5132" s="29" t="s">
        <v>35073</v>
      </c>
      <c r="E5132" s="29" t="s">
        <v>47925</v>
      </c>
      <c r="F5132" s="36" t="s">
        <v>54401</v>
      </c>
      <c r="G5132" s="39">
        <v>3068795</v>
      </c>
      <c r="H5132" s="42">
        <v>211</v>
      </c>
    </row>
    <row r="5133" spans="1:8" ht="15" customHeight="1">
      <c r="A5133" s="26">
        <v>46667766</v>
      </c>
      <c r="B5133" s="29" t="s">
        <v>7366</v>
      </c>
      <c r="C5133" s="29" t="s">
        <v>21847</v>
      </c>
      <c r="D5133" s="29" t="s">
        <v>35074</v>
      </c>
      <c r="E5133" s="29" t="s">
        <v>47926</v>
      </c>
      <c r="F5133" s="36" t="s">
        <v>54401</v>
      </c>
      <c r="G5133" s="39">
        <v>706365.19</v>
      </c>
      <c r="H5133" s="42">
        <v>211</v>
      </c>
    </row>
    <row r="5134" spans="1:8" ht="15" customHeight="1">
      <c r="A5134" s="26">
        <v>46667782</v>
      </c>
      <c r="B5134" s="29" t="s">
        <v>7367</v>
      </c>
      <c r="C5134" s="29" t="s">
        <v>21848</v>
      </c>
      <c r="D5134" s="29" t="s">
        <v>35075</v>
      </c>
      <c r="E5134" s="29" t="s">
        <v>47927</v>
      </c>
      <c r="F5134" s="36" t="s">
        <v>54401</v>
      </c>
      <c r="G5134" s="39">
        <v>4889843</v>
      </c>
      <c r="H5134" s="42">
        <v>211</v>
      </c>
    </row>
    <row r="5135" spans="1:8" ht="15" customHeight="1">
      <c r="A5135" s="26">
        <v>46667794</v>
      </c>
      <c r="B5135" s="29" t="s">
        <v>7368</v>
      </c>
      <c r="C5135" s="29" t="s">
        <v>21849</v>
      </c>
      <c r="D5135" s="29" t="s">
        <v>35076</v>
      </c>
      <c r="E5135" s="29" t="s">
        <v>47928</v>
      </c>
      <c r="F5135" s="36" t="s">
        <v>54401</v>
      </c>
      <c r="G5135" s="39">
        <v>3418863</v>
      </c>
      <c r="H5135" s="42">
        <v>211</v>
      </c>
    </row>
    <row r="5136" spans="1:8" ht="15" customHeight="1">
      <c r="A5136" s="26">
        <v>46667818</v>
      </c>
      <c r="B5136" s="29" t="s">
        <v>7369</v>
      </c>
      <c r="C5136" s="29" t="s">
        <v>21850</v>
      </c>
      <c r="D5136" s="29" t="s">
        <v>35077</v>
      </c>
      <c r="E5136" s="29" t="s">
        <v>47929</v>
      </c>
      <c r="F5136" s="36" t="s">
        <v>54401</v>
      </c>
      <c r="G5136" s="39">
        <v>402053.73</v>
      </c>
      <c r="H5136" s="42">
        <v>211</v>
      </c>
    </row>
    <row r="5137" spans="1:8" ht="15" customHeight="1">
      <c r="A5137" s="26">
        <v>46667826</v>
      </c>
      <c r="B5137" s="29" t="s">
        <v>7370</v>
      </c>
      <c r="C5137" s="29" t="s">
        <v>21851</v>
      </c>
      <c r="D5137" s="29" t="s">
        <v>35078</v>
      </c>
      <c r="E5137" s="29" t="s">
        <v>47930</v>
      </c>
      <c r="F5137" s="36" t="s">
        <v>54401</v>
      </c>
      <c r="G5137" s="39">
        <v>193479.23</v>
      </c>
      <c r="H5137" s="42">
        <v>211</v>
      </c>
    </row>
    <row r="5138" spans="1:8" ht="15" customHeight="1">
      <c r="A5138" s="26">
        <v>46667836</v>
      </c>
      <c r="B5138" s="29" t="s">
        <v>7371</v>
      </c>
      <c r="C5138" s="29" t="s">
        <v>21852</v>
      </c>
      <c r="D5138" s="29" t="s">
        <v>35079</v>
      </c>
      <c r="E5138" s="29" t="s">
        <v>47931</v>
      </c>
      <c r="F5138" s="36" t="s">
        <v>54401</v>
      </c>
      <c r="G5138" s="39">
        <v>568266.09</v>
      </c>
      <c r="H5138" s="42">
        <v>211</v>
      </c>
    </row>
    <row r="5139" spans="1:8" ht="15" customHeight="1">
      <c r="A5139" s="26">
        <v>46667844</v>
      </c>
      <c r="B5139" s="29" t="s">
        <v>7372</v>
      </c>
      <c r="C5139" s="29" t="s">
        <v>21853</v>
      </c>
      <c r="D5139" s="29" t="s">
        <v>35080</v>
      </c>
      <c r="E5139" s="29" t="s">
        <v>47932</v>
      </c>
      <c r="F5139" s="36" t="s">
        <v>54401</v>
      </c>
      <c r="G5139" s="39">
        <v>181700.93</v>
      </c>
      <c r="H5139" s="42">
        <v>211</v>
      </c>
    </row>
    <row r="5140" spans="1:8" ht="15" customHeight="1">
      <c r="A5140" s="26">
        <v>46667859</v>
      </c>
      <c r="B5140" s="29" t="s">
        <v>7373</v>
      </c>
      <c r="C5140" s="29" t="s">
        <v>21854</v>
      </c>
      <c r="D5140" s="29" t="s">
        <v>35081</v>
      </c>
      <c r="E5140" s="29" t="s">
        <v>47933</v>
      </c>
      <c r="F5140" s="36" t="s">
        <v>54401</v>
      </c>
      <c r="G5140" s="39">
        <v>621928.06999999995</v>
      </c>
      <c r="H5140" s="42">
        <v>211</v>
      </c>
    </row>
    <row r="5141" spans="1:8" ht="15" customHeight="1">
      <c r="A5141" s="26">
        <v>46667874</v>
      </c>
      <c r="B5141" s="29" t="s">
        <v>7374</v>
      </c>
      <c r="C5141" s="29" t="s">
        <v>21855</v>
      </c>
      <c r="D5141" s="29" t="s">
        <v>35082</v>
      </c>
      <c r="E5141" s="29" t="s">
        <v>47934</v>
      </c>
      <c r="F5141" s="36" t="s">
        <v>54401</v>
      </c>
      <c r="G5141" s="39">
        <v>822893.82</v>
      </c>
      <c r="H5141" s="42">
        <v>211</v>
      </c>
    </row>
    <row r="5142" spans="1:8" ht="15" customHeight="1">
      <c r="A5142" s="26">
        <v>46667891</v>
      </c>
      <c r="B5142" s="29" t="s">
        <v>7375</v>
      </c>
      <c r="C5142" s="29" t="s">
        <v>17204</v>
      </c>
      <c r="D5142" s="29" t="s">
        <v>30349</v>
      </c>
      <c r="E5142" s="29" t="s">
        <v>43926</v>
      </c>
      <c r="F5142" s="36" t="s">
        <v>54401</v>
      </c>
      <c r="G5142" s="39">
        <v>547671.97</v>
      </c>
      <c r="H5142" s="42">
        <v>211</v>
      </c>
    </row>
    <row r="5143" spans="1:8" ht="15" customHeight="1">
      <c r="A5143" s="26">
        <v>46667894</v>
      </c>
      <c r="B5143" s="29" t="s">
        <v>7376</v>
      </c>
      <c r="C5143" s="29" t="s">
        <v>21856</v>
      </c>
      <c r="D5143" s="29" t="s">
        <v>35083</v>
      </c>
      <c r="E5143" s="29" t="s">
        <v>47935</v>
      </c>
      <c r="F5143" s="36" t="s">
        <v>54401</v>
      </c>
      <c r="G5143" s="39">
        <v>4259470</v>
      </c>
      <c r="H5143" s="42">
        <v>211</v>
      </c>
    </row>
    <row r="5144" spans="1:8" ht="15" customHeight="1">
      <c r="A5144" s="26">
        <v>46667897</v>
      </c>
      <c r="B5144" s="29" t="s">
        <v>7377</v>
      </c>
      <c r="C5144" s="29" t="s">
        <v>21857</v>
      </c>
      <c r="D5144" s="29" t="s">
        <v>35084</v>
      </c>
      <c r="E5144" s="29" t="s">
        <v>47936</v>
      </c>
      <c r="F5144" s="36" t="s">
        <v>54401</v>
      </c>
      <c r="G5144" s="39">
        <v>315228.77</v>
      </c>
      <c r="H5144" s="42">
        <v>211</v>
      </c>
    </row>
    <row r="5145" spans="1:8" ht="15" customHeight="1">
      <c r="A5145" s="26">
        <v>46667899</v>
      </c>
      <c r="B5145" s="29" t="s">
        <v>7378</v>
      </c>
      <c r="C5145" s="29" t="s">
        <v>21858</v>
      </c>
      <c r="D5145" s="29" t="s">
        <v>35085</v>
      </c>
      <c r="E5145" s="29" t="s">
        <v>47690</v>
      </c>
      <c r="F5145" s="36" t="s">
        <v>54401</v>
      </c>
      <c r="G5145" s="39">
        <v>3259781</v>
      </c>
      <c r="H5145" s="42">
        <v>211</v>
      </c>
    </row>
    <row r="5146" spans="1:8" ht="15" customHeight="1">
      <c r="A5146" s="26">
        <v>46667920</v>
      </c>
      <c r="B5146" s="29" t="s">
        <v>7379</v>
      </c>
      <c r="C5146" s="29" t="s">
        <v>21859</v>
      </c>
      <c r="D5146" s="29" t="s">
        <v>35086</v>
      </c>
      <c r="E5146" s="29" t="s">
        <v>47937</v>
      </c>
      <c r="F5146" s="36" t="s">
        <v>54401</v>
      </c>
      <c r="G5146" s="39">
        <v>463856.07</v>
      </c>
      <c r="H5146" s="42">
        <v>211</v>
      </c>
    </row>
    <row r="5147" spans="1:8" ht="15" customHeight="1">
      <c r="A5147" s="26">
        <v>46667942</v>
      </c>
      <c r="B5147" s="29" t="s">
        <v>7380</v>
      </c>
      <c r="C5147" s="29" t="s">
        <v>21860</v>
      </c>
      <c r="D5147" s="29" t="s">
        <v>30349</v>
      </c>
      <c r="E5147" s="29" t="s">
        <v>43926</v>
      </c>
      <c r="F5147" s="36" t="s">
        <v>54401</v>
      </c>
      <c r="G5147" s="39">
        <v>466037.31</v>
      </c>
      <c r="H5147" s="42">
        <v>211</v>
      </c>
    </row>
    <row r="5148" spans="1:8" ht="15" customHeight="1">
      <c r="A5148" s="26">
        <v>46667945</v>
      </c>
      <c r="B5148" s="29" t="s">
        <v>7381</v>
      </c>
      <c r="C5148" s="29" t="s">
        <v>21861</v>
      </c>
      <c r="D5148" s="29" t="s">
        <v>35087</v>
      </c>
      <c r="E5148" s="29" t="s">
        <v>47938</v>
      </c>
      <c r="F5148" s="36" t="s">
        <v>54401</v>
      </c>
      <c r="G5148" s="39">
        <v>1826049</v>
      </c>
      <c r="H5148" s="42">
        <v>211</v>
      </c>
    </row>
    <row r="5149" spans="1:8" ht="15" customHeight="1">
      <c r="A5149" s="26">
        <v>46667948</v>
      </c>
      <c r="B5149" s="29" t="s">
        <v>7382</v>
      </c>
      <c r="C5149" s="29" t="s">
        <v>21862</v>
      </c>
      <c r="D5149" s="29" t="s">
        <v>35088</v>
      </c>
      <c r="E5149" s="29" t="s">
        <v>47939</v>
      </c>
      <c r="F5149" s="36" t="s">
        <v>54401</v>
      </c>
      <c r="G5149" s="39">
        <v>146691.01999999999</v>
      </c>
      <c r="H5149" s="42">
        <v>211</v>
      </c>
    </row>
    <row r="5150" spans="1:8" ht="15" customHeight="1">
      <c r="A5150" s="26">
        <v>46667974</v>
      </c>
      <c r="B5150" s="29" t="s">
        <v>7383</v>
      </c>
      <c r="C5150" s="29" t="s">
        <v>21863</v>
      </c>
      <c r="D5150" s="29" t="s">
        <v>35089</v>
      </c>
      <c r="E5150" s="29" t="s">
        <v>47940</v>
      </c>
      <c r="F5150" s="36" t="s">
        <v>54401</v>
      </c>
      <c r="G5150" s="39">
        <v>43920.74</v>
      </c>
      <c r="H5150" s="42">
        <v>211</v>
      </c>
    </row>
    <row r="5151" spans="1:8" ht="15" customHeight="1">
      <c r="A5151" s="26">
        <v>46667983</v>
      </c>
      <c r="B5151" s="29" t="s">
        <v>7384</v>
      </c>
      <c r="C5151" s="29" t="s">
        <v>21864</v>
      </c>
      <c r="D5151" s="29" t="s">
        <v>35090</v>
      </c>
      <c r="E5151" s="29" t="s">
        <v>47941</v>
      </c>
      <c r="F5151" s="36" t="s">
        <v>54401</v>
      </c>
      <c r="G5151" s="39">
        <v>320750.15999999997</v>
      </c>
      <c r="H5151" s="42">
        <v>211</v>
      </c>
    </row>
    <row r="5152" spans="1:8" ht="15" customHeight="1">
      <c r="A5152" s="26">
        <v>46668011</v>
      </c>
      <c r="B5152" s="29" t="s">
        <v>7385</v>
      </c>
      <c r="C5152" s="29" t="s">
        <v>17204</v>
      </c>
      <c r="D5152" s="29" t="s">
        <v>35091</v>
      </c>
      <c r="E5152" s="29" t="s">
        <v>43926</v>
      </c>
      <c r="F5152" s="36" t="s">
        <v>54401</v>
      </c>
      <c r="G5152" s="39">
        <v>1328968.4099999999</v>
      </c>
      <c r="H5152" s="42">
        <v>211</v>
      </c>
    </row>
    <row r="5153" spans="1:8" ht="15" customHeight="1">
      <c r="A5153" s="26">
        <v>46668024</v>
      </c>
      <c r="B5153" s="29" t="s">
        <v>7386</v>
      </c>
      <c r="C5153" s="29" t="s">
        <v>21865</v>
      </c>
      <c r="D5153" s="29" t="s">
        <v>35092</v>
      </c>
      <c r="E5153" s="29" t="s">
        <v>44241</v>
      </c>
      <c r="F5153" s="36" t="s">
        <v>54401</v>
      </c>
      <c r="G5153" s="39">
        <v>218568.94</v>
      </c>
      <c r="H5153" s="42">
        <v>211</v>
      </c>
    </row>
    <row r="5154" spans="1:8" ht="15" customHeight="1">
      <c r="A5154" s="26">
        <v>46668091</v>
      </c>
      <c r="B5154" s="29" t="s">
        <v>7387</v>
      </c>
      <c r="C5154" s="29" t="s">
        <v>18818</v>
      </c>
      <c r="D5154" s="29" t="s">
        <v>35093</v>
      </c>
      <c r="E5154" s="29" t="s">
        <v>47942</v>
      </c>
      <c r="F5154" s="36" t="s">
        <v>54401</v>
      </c>
      <c r="G5154" s="39">
        <v>40600</v>
      </c>
      <c r="H5154" s="42">
        <v>211</v>
      </c>
    </row>
    <row r="5155" spans="1:8" ht="15" customHeight="1">
      <c r="A5155" s="26">
        <v>46668115</v>
      </c>
      <c r="B5155" s="29" t="s">
        <v>7388</v>
      </c>
      <c r="C5155" s="29" t="s">
        <v>21866</v>
      </c>
      <c r="D5155" s="29" t="s">
        <v>35094</v>
      </c>
      <c r="E5155" s="29" t="s">
        <v>47943</v>
      </c>
      <c r="F5155" s="36" t="s">
        <v>54401</v>
      </c>
      <c r="G5155" s="39">
        <v>144000.70000000001</v>
      </c>
      <c r="H5155" s="42">
        <v>211</v>
      </c>
    </row>
    <row r="5156" spans="1:8" ht="15" customHeight="1">
      <c r="A5156" s="26">
        <v>46668140</v>
      </c>
      <c r="B5156" s="29" t="s">
        <v>7389</v>
      </c>
      <c r="C5156" s="29" t="s">
        <v>21867</v>
      </c>
      <c r="D5156" s="29" t="s">
        <v>35095</v>
      </c>
      <c r="E5156" s="29" t="s">
        <v>47944</v>
      </c>
      <c r="F5156" s="36" t="s">
        <v>54401</v>
      </c>
      <c r="G5156" s="39">
        <v>1639979.62</v>
      </c>
      <c r="H5156" s="42">
        <v>211</v>
      </c>
    </row>
    <row r="5157" spans="1:8" ht="15" customHeight="1">
      <c r="A5157" s="26">
        <v>46668146</v>
      </c>
      <c r="B5157" s="29" t="s">
        <v>7390</v>
      </c>
      <c r="C5157" s="29" t="s">
        <v>21868</v>
      </c>
      <c r="D5157" s="29" t="s">
        <v>35096</v>
      </c>
      <c r="E5157" s="29" t="s">
        <v>47945</v>
      </c>
      <c r="F5157" s="36" t="s">
        <v>54401</v>
      </c>
      <c r="G5157" s="39">
        <v>396867.73</v>
      </c>
      <c r="H5157" s="42">
        <v>211</v>
      </c>
    </row>
    <row r="5158" spans="1:8" ht="15" customHeight="1">
      <c r="A5158" s="26">
        <v>46668160</v>
      </c>
      <c r="B5158" s="29" t="s">
        <v>7391</v>
      </c>
      <c r="C5158" s="29" t="s">
        <v>21869</v>
      </c>
      <c r="D5158" s="29" t="s">
        <v>35097</v>
      </c>
      <c r="E5158" s="29" t="s">
        <v>47946</v>
      </c>
      <c r="F5158" s="36" t="s">
        <v>54401</v>
      </c>
      <c r="G5158" s="39">
        <v>1273836.2</v>
      </c>
      <c r="H5158" s="42">
        <v>211</v>
      </c>
    </row>
    <row r="5159" spans="1:8" ht="15" customHeight="1">
      <c r="A5159" s="26">
        <v>46668175</v>
      </c>
      <c r="B5159" s="29" t="s">
        <v>7392</v>
      </c>
      <c r="C5159" s="29" t="s">
        <v>21870</v>
      </c>
      <c r="D5159" s="29" t="s">
        <v>35098</v>
      </c>
      <c r="E5159" s="29" t="s">
        <v>47947</v>
      </c>
      <c r="F5159" s="36" t="s">
        <v>54401</v>
      </c>
      <c r="G5159" s="39">
        <v>4132448</v>
      </c>
      <c r="H5159" s="42">
        <v>211</v>
      </c>
    </row>
    <row r="5160" spans="1:8" ht="15" customHeight="1">
      <c r="A5160" s="26">
        <v>46668188</v>
      </c>
      <c r="B5160" s="29" t="s">
        <v>7393</v>
      </c>
      <c r="C5160" s="29" t="s">
        <v>21871</v>
      </c>
      <c r="D5160" s="29" t="s">
        <v>35099</v>
      </c>
      <c r="E5160" s="29" t="s">
        <v>47948</v>
      </c>
      <c r="F5160" s="36" t="s">
        <v>54401</v>
      </c>
      <c r="G5160" s="39">
        <v>881376.99</v>
      </c>
      <c r="H5160" s="42">
        <v>211</v>
      </c>
    </row>
    <row r="5161" spans="1:8" ht="15" customHeight="1">
      <c r="A5161" s="26">
        <v>46668190</v>
      </c>
      <c r="B5161" s="29" t="s">
        <v>7394</v>
      </c>
      <c r="C5161" s="29" t="s">
        <v>21872</v>
      </c>
      <c r="D5161" s="29" t="s">
        <v>35100</v>
      </c>
      <c r="E5161" s="29" t="s">
        <v>47949</v>
      </c>
      <c r="F5161" s="36" t="s">
        <v>54401</v>
      </c>
      <c r="G5161" s="39">
        <v>487445.47</v>
      </c>
      <c r="H5161" s="42">
        <v>211</v>
      </c>
    </row>
    <row r="5162" spans="1:8" ht="15" customHeight="1">
      <c r="A5162" s="26">
        <v>46668193</v>
      </c>
      <c r="B5162" s="29" t="s">
        <v>7395</v>
      </c>
      <c r="C5162" s="29" t="s">
        <v>19423</v>
      </c>
      <c r="D5162" s="29" t="s">
        <v>35101</v>
      </c>
      <c r="E5162" s="29" t="s">
        <v>45904</v>
      </c>
      <c r="F5162" s="36" t="s">
        <v>54401</v>
      </c>
      <c r="G5162" s="39">
        <v>3893202.23</v>
      </c>
      <c r="H5162" s="42">
        <v>211</v>
      </c>
    </row>
    <row r="5163" spans="1:8" ht="15" customHeight="1">
      <c r="A5163" s="26">
        <v>46668210</v>
      </c>
      <c r="B5163" s="29" t="s">
        <v>7396</v>
      </c>
      <c r="C5163" s="29" t="s">
        <v>21873</v>
      </c>
      <c r="D5163" s="29" t="s">
        <v>35102</v>
      </c>
      <c r="E5163" s="29" t="s">
        <v>47926</v>
      </c>
      <c r="F5163" s="36" t="s">
        <v>54401</v>
      </c>
      <c r="G5163" s="39">
        <v>3859384.24</v>
      </c>
      <c r="H5163" s="42">
        <v>211</v>
      </c>
    </row>
    <row r="5164" spans="1:8" ht="15" customHeight="1">
      <c r="A5164" s="26">
        <v>46668223</v>
      </c>
      <c r="B5164" s="29" t="s">
        <v>7397</v>
      </c>
      <c r="C5164" s="29" t="s">
        <v>21874</v>
      </c>
      <c r="D5164" s="29" t="s">
        <v>30376</v>
      </c>
      <c r="E5164" s="29" t="s">
        <v>47950</v>
      </c>
      <c r="F5164" s="36" t="s">
        <v>54401</v>
      </c>
      <c r="G5164" s="39">
        <v>2841276</v>
      </c>
      <c r="H5164" s="42">
        <v>211</v>
      </c>
    </row>
    <row r="5165" spans="1:8" ht="15" customHeight="1">
      <c r="A5165" s="26">
        <v>46668256</v>
      </c>
      <c r="B5165" s="29" t="s">
        <v>7398</v>
      </c>
      <c r="C5165" s="29" t="s">
        <v>21875</v>
      </c>
      <c r="D5165" s="29" t="s">
        <v>35103</v>
      </c>
      <c r="E5165" s="29" t="s">
        <v>47951</v>
      </c>
      <c r="F5165" s="36" t="s">
        <v>54401</v>
      </c>
      <c r="G5165" s="39">
        <v>537438.69999999995</v>
      </c>
      <c r="H5165" s="42">
        <v>211</v>
      </c>
    </row>
    <row r="5166" spans="1:8" ht="15" customHeight="1">
      <c r="A5166" s="26">
        <v>46668265</v>
      </c>
      <c r="B5166" s="29" t="s">
        <v>7399</v>
      </c>
      <c r="C5166" s="29" t="s">
        <v>21876</v>
      </c>
      <c r="D5166" s="29" t="s">
        <v>35104</v>
      </c>
      <c r="E5166" s="29" t="s">
        <v>47952</v>
      </c>
      <c r="F5166" s="36" t="s">
        <v>54401</v>
      </c>
      <c r="G5166" s="39">
        <v>2113192.2200000002</v>
      </c>
      <c r="H5166" s="42">
        <v>211</v>
      </c>
    </row>
    <row r="5167" spans="1:8" ht="15" customHeight="1">
      <c r="A5167" s="26">
        <v>46668284</v>
      </c>
      <c r="B5167" s="29" t="s">
        <v>7400</v>
      </c>
      <c r="C5167" s="29" t="s">
        <v>21877</v>
      </c>
      <c r="D5167" s="29" t="s">
        <v>35105</v>
      </c>
      <c r="E5167" s="29" t="s">
        <v>47953</v>
      </c>
      <c r="F5167" s="36" t="s">
        <v>54401</v>
      </c>
      <c r="G5167" s="39">
        <v>8176475</v>
      </c>
      <c r="H5167" s="42">
        <v>211</v>
      </c>
    </row>
    <row r="5168" spans="1:8" ht="15" customHeight="1">
      <c r="A5168" s="26">
        <v>46668300</v>
      </c>
      <c r="B5168" s="29" t="s">
        <v>7401</v>
      </c>
      <c r="C5168" s="26" t="s">
        <v>21878</v>
      </c>
      <c r="D5168" s="26" t="s">
        <v>35106</v>
      </c>
      <c r="E5168" s="26" t="s">
        <v>47954</v>
      </c>
      <c r="F5168" s="37" t="s">
        <v>54401</v>
      </c>
      <c r="G5168" s="39">
        <v>1107653.82</v>
      </c>
      <c r="H5168" s="42">
        <v>211</v>
      </c>
    </row>
    <row r="5169" spans="1:8" ht="15" customHeight="1">
      <c r="A5169" s="26">
        <v>46668303</v>
      </c>
      <c r="B5169" s="29" t="s">
        <v>7402</v>
      </c>
      <c r="C5169" s="29" t="s">
        <v>19121</v>
      </c>
      <c r="D5169" s="29" t="s">
        <v>35107</v>
      </c>
      <c r="E5169" s="29" t="s">
        <v>45642</v>
      </c>
      <c r="F5169" s="36" t="s">
        <v>54401</v>
      </c>
      <c r="G5169" s="39">
        <v>4030249</v>
      </c>
      <c r="H5169" s="42">
        <v>211</v>
      </c>
    </row>
    <row r="5170" spans="1:8" ht="15" customHeight="1">
      <c r="A5170" s="26">
        <v>46668326</v>
      </c>
      <c r="B5170" s="29" t="s">
        <v>7403</v>
      </c>
      <c r="C5170" s="29" t="s">
        <v>17204</v>
      </c>
      <c r="D5170" s="29" t="s">
        <v>30349</v>
      </c>
      <c r="E5170" s="29" t="s">
        <v>43926</v>
      </c>
      <c r="F5170" s="36" t="s">
        <v>54401</v>
      </c>
      <c r="G5170" s="39">
        <v>295707.06</v>
      </c>
      <c r="H5170" s="42">
        <v>211</v>
      </c>
    </row>
    <row r="5171" spans="1:8" ht="15" customHeight="1">
      <c r="A5171" s="26">
        <v>46668329</v>
      </c>
      <c r="B5171" s="29" t="s">
        <v>7404</v>
      </c>
      <c r="C5171" s="29" t="s">
        <v>21879</v>
      </c>
      <c r="D5171" s="29" t="s">
        <v>35108</v>
      </c>
      <c r="E5171" s="29" t="s">
        <v>47212</v>
      </c>
      <c r="F5171" s="36" t="s">
        <v>54401</v>
      </c>
      <c r="G5171" s="39">
        <v>2375231.85</v>
      </c>
      <c r="H5171" s="42">
        <v>211</v>
      </c>
    </row>
    <row r="5172" spans="1:8" ht="15" customHeight="1">
      <c r="A5172" s="26">
        <v>46668365</v>
      </c>
      <c r="B5172" s="29" t="s">
        <v>7405</v>
      </c>
      <c r="C5172" s="29" t="s">
        <v>21880</v>
      </c>
      <c r="D5172" s="29" t="s">
        <v>35109</v>
      </c>
      <c r="E5172" s="29" t="s">
        <v>47955</v>
      </c>
      <c r="F5172" s="36" t="s">
        <v>54401</v>
      </c>
      <c r="G5172" s="39">
        <v>186093.8</v>
      </c>
      <c r="H5172" s="42">
        <v>211</v>
      </c>
    </row>
    <row r="5173" spans="1:8" ht="15" customHeight="1">
      <c r="A5173" s="26">
        <v>46668372</v>
      </c>
      <c r="B5173" s="29" t="s">
        <v>7406</v>
      </c>
      <c r="C5173" s="29" t="s">
        <v>21881</v>
      </c>
      <c r="D5173" s="29" t="s">
        <v>35110</v>
      </c>
      <c r="E5173" s="29" t="s">
        <v>47956</v>
      </c>
      <c r="F5173" s="36" t="s">
        <v>54401</v>
      </c>
      <c r="G5173" s="39">
        <v>5241885.33</v>
      </c>
      <c r="H5173" s="42">
        <v>211</v>
      </c>
    </row>
    <row r="5174" spans="1:8" ht="15" customHeight="1">
      <c r="A5174" s="26">
        <v>46668384</v>
      </c>
      <c r="B5174" s="29" t="s">
        <v>7407</v>
      </c>
      <c r="C5174" s="29" t="s">
        <v>21882</v>
      </c>
      <c r="D5174" s="29" t="s">
        <v>35111</v>
      </c>
      <c r="E5174" s="29" t="s">
        <v>47957</v>
      </c>
      <c r="F5174" s="36" t="s">
        <v>54413</v>
      </c>
      <c r="G5174" s="39">
        <v>298738.39</v>
      </c>
      <c r="H5174" s="42">
        <v>211</v>
      </c>
    </row>
    <row r="5175" spans="1:8" ht="15" customHeight="1">
      <c r="A5175" s="26">
        <v>46668396</v>
      </c>
      <c r="B5175" s="29" t="s">
        <v>7408</v>
      </c>
      <c r="C5175" s="29" t="s">
        <v>21883</v>
      </c>
      <c r="D5175" s="29" t="s">
        <v>35112</v>
      </c>
      <c r="E5175" s="29" t="s">
        <v>47958</v>
      </c>
      <c r="F5175" s="36" t="s">
        <v>54401</v>
      </c>
      <c r="G5175" s="39">
        <v>2625070</v>
      </c>
      <c r="H5175" s="42">
        <v>211</v>
      </c>
    </row>
    <row r="5176" spans="1:8" ht="15" customHeight="1">
      <c r="A5176" s="26">
        <v>46668398</v>
      </c>
      <c r="B5176" s="29" t="s">
        <v>7409</v>
      </c>
      <c r="C5176" s="29" t="s">
        <v>21884</v>
      </c>
      <c r="D5176" s="29" t="s">
        <v>35113</v>
      </c>
      <c r="E5176" s="29" t="s">
        <v>47959</v>
      </c>
      <c r="F5176" s="36" t="s">
        <v>54401</v>
      </c>
      <c r="G5176" s="39">
        <v>58076.19</v>
      </c>
      <c r="H5176" s="42">
        <v>211</v>
      </c>
    </row>
    <row r="5177" spans="1:8" ht="15" customHeight="1">
      <c r="A5177" s="26">
        <v>46668412</v>
      </c>
      <c r="B5177" s="29" t="s">
        <v>7410</v>
      </c>
      <c r="C5177" s="29" t="s">
        <v>21885</v>
      </c>
      <c r="D5177" s="29" t="s">
        <v>35114</v>
      </c>
      <c r="E5177" s="29" t="s">
        <v>47960</v>
      </c>
      <c r="F5177" s="36" t="s">
        <v>54401</v>
      </c>
      <c r="G5177" s="39">
        <v>218246.3</v>
      </c>
      <c r="H5177" s="42">
        <v>211</v>
      </c>
    </row>
    <row r="5178" spans="1:8" ht="15" customHeight="1">
      <c r="A5178" s="26">
        <v>46668436</v>
      </c>
      <c r="B5178" s="29" t="s">
        <v>7411</v>
      </c>
      <c r="C5178" s="29" t="s">
        <v>21886</v>
      </c>
      <c r="D5178" s="29" t="s">
        <v>35115</v>
      </c>
      <c r="E5178" s="29" t="s">
        <v>47961</v>
      </c>
      <c r="F5178" s="36" t="s">
        <v>54401</v>
      </c>
      <c r="G5178" s="39">
        <v>237803.37</v>
      </c>
      <c r="H5178" s="42">
        <v>211</v>
      </c>
    </row>
    <row r="5179" spans="1:8" ht="15" customHeight="1">
      <c r="A5179" s="26">
        <v>46668458</v>
      </c>
      <c r="B5179" s="29" t="s">
        <v>7412</v>
      </c>
      <c r="C5179" s="29" t="s">
        <v>21887</v>
      </c>
      <c r="D5179" s="29" t="s">
        <v>35116</v>
      </c>
      <c r="E5179" s="29" t="s">
        <v>47962</v>
      </c>
      <c r="F5179" s="36" t="s">
        <v>54401</v>
      </c>
      <c r="G5179" s="39">
        <v>68277.31</v>
      </c>
      <c r="H5179" s="42">
        <v>211</v>
      </c>
    </row>
    <row r="5180" spans="1:8" ht="15" customHeight="1">
      <c r="A5180" s="26">
        <v>46668465</v>
      </c>
      <c r="B5180" s="29" t="s">
        <v>7413</v>
      </c>
      <c r="C5180" s="29" t="s">
        <v>21888</v>
      </c>
      <c r="D5180" s="29" t="s">
        <v>35117</v>
      </c>
      <c r="E5180" s="29" t="s">
        <v>47963</v>
      </c>
      <c r="F5180" s="36" t="s">
        <v>54401</v>
      </c>
      <c r="G5180" s="39">
        <v>5762799.8499999996</v>
      </c>
      <c r="H5180" s="42">
        <v>211</v>
      </c>
    </row>
    <row r="5181" spans="1:8" ht="15" customHeight="1">
      <c r="A5181" s="26">
        <v>46668467</v>
      </c>
      <c r="B5181" s="29" t="s">
        <v>7414</v>
      </c>
      <c r="C5181" s="29" t="s">
        <v>21889</v>
      </c>
      <c r="D5181" s="29" t="s">
        <v>35118</v>
      </c>
      <c r="E5181" s="29" t="s">
        <v>47964</v>
      </c>
      <c r="F5181" s="36" t="s">
        <v>54401</v>
      </c>
      <c r="G5181" s="39">
        <v>263280.15000000002</v>
      </c>
      <c r="H5181" s="42">
        <v>211</v>
      </c>
    </row>
    <row r="5182" spans="1:8" ht="15" customHeight="1">
      <c r="A5182" s="26">
        <v>46668470</v>
      </c>
      <c r="B5182" s="29" t="s">
        <v>7415</v>
      </c>
      <c r="C5182" s="29" t="s">
        <v>21890</v>
      </c>
      <c r="D5182" s="29" t="s">
        <v>35119</v>
      </c>
      <c r="E5182" s="29" t="s">
        <v>47965</v>
      </c>
      <c r="F5182" s="36" t="s">
        <v>54401</v>
      </c>
      <c r="G5182" s="39">
        <v>3365824.06</v>
      </c>
      <c r="H5182" s="42">
        <v>211</v>
      </c>
    </row>
    <row r="5183" spans="1:8" ht="15" customHeight="1">
      <c r="A5183" s="26">
        <v>46668483</v>
      </c>
      <c r="B5183" s="29" t="s">
        <v>7416</v>
      </c>
      <c r="C5183" s="29" t="s">
        <v>21891</v>
      </c>
      <c r="D5183" s="29" t="s">
        <v>35120</v>
      </c>
      <c r="E5183" s="29" t="s">
        <v>47966</v>
      </c>
      <c r="F5183" s="36" t="s">
        <v>54401</v>
      </c>
      <c r="G5183" s="39">
        <v>30055.72</v>
      </c>
      <c r="H5183" s="42">
        <v>211</v>
      </c>
    </row>
    <row r="5184" spans="1:8" ht="15" customHeight="1">
      <c r="A5184" s="26">
        <v>46668493</v>
      </c>
      <c r="B5184" s="29" t="s">
        <v>7417</v>
      </c>
      <c r="C5184" s="29" t="s">
        <v>17204</v>
      </c>
      <c r="D5184" s="29" t="s">
        <v>30349</v>
      </c>
      <c r="E5184" s="29" t="s">
        <v>43926</v>
      </c>
      <c r="F5184" s="36" t="s">
        <v>54401</v>
      </c>
      <c r="G5184" s="39">
        <v>129927.7</v>
      </c>
      <c r="H5184" s="42">
        <v>211</v>
      </c>
    </row>
    <row r="5185" spans="1:8" ht="15" customHeight="1">
      <c r="A5185" s="26">
        <v>46668526</v>
      </c>
      <c r="B5185" s="29" t="s">
        <v>7418</v>
      </c>
      <c r="C5185" s="29" t="s">
        <v>21892</v>
      </c>
      <c r="D5185" s="29" t="s">
        <v>35121</v>
      </c>
      <c r="E5185" s="29" t="s">
        <v>47967</v>
      </c>
      <c r="F5185" s="36" t="s">
        <v>54401</v>
      </c>
      <c r="G5185" s="39">
        <v>216924.83</v>
      </c>
      <c r="H5185" s="42">
        <v>211</v>
      </c>
    </row>
    <row r="5186" spans="1:8" ht="15" customHeight="1">
      <c r="A5186" s="26">
        <v>46668528</v>
      </c>
      <c r="B5186" s="29" t="s">
        <v>7419</v>
      </c>
      <c r="C5186" s="29" t="s">
        <v>21893</v>
      </c>
      <c r="D5186" s="29" t="s">
        <v>35122</v>
      </c>
      <c r="E5186" s="29" t="s">
        <v>47968</v>
      </c>
      <c r="F5186" s="36" t="s">
        <v>54401</v>
      </c>
      <c r="G5186" s="39">
        <v>1750985</v>
      </c>
      <c r="H5186" s="42">
        <v>211</v>
      </c>
    </row>
    <row r="5187" spans="1:8" ht="15" customHeight="1">
      <c r="A5187" s="26">
        <v>46668533</v>
      </c>
      <c r="B5187" s="29" t="s">
        <v>7420</v>
      </c>
      <c r="C5187" s="29" t="s">
        <v>21894</v>
      </c>
      <c r="D5187" s="29" t="s">
        <v>35123</v>
      </c>
      <c r="E5187" s="29" t="s">
        <v>45029</v>
      </c>
      <c r="F5187" s="36" t="s">
        <v>54401</v>
      </c>
      <c r="G5187" s="39">
        <v>2732863.24</v>
      </c>
      <c r="H5187" s="42">
        <v>211</v>
      </c>
    </row>
    <row r="5188" spans="1:8" ht="15" customHeight="1">
      <c r="A5188" s="26">
        <v>46668535</v>
      </c>
      <c r="B5188" s="29" t="s">
        <v>7421</v>
      </c>
      <c r="C5188" s="29" t="s">
        <v>21895</v>
      </c>
      <c r="D5188" s="29" t="s">
        <v>35124</v>
      </c>
      <c r="E5188" s="29" t="s">
        <v>47969</v>
      </c>
      <c r="F5188" s="36" t="s">
        <v>54401</v>
      </c>
      <c r="G5188" s="39">
        <v>1200116.3799999999</v>
      </c>
      <c r="H5188" s="42">
        <v>211</v>
      </c>
    </row>
    <row r="5189" spans="1:8" ht="15" customHeight="1">
      <c r="A5189" s="26">
        <v>46668548</v>
      </c>
      <c r="B5189" s="29" t="s">
        <v>7422</v>
      </c>
      <c r="C5189" s="29" t="s">
        <v>21896</v>
      </c>
      <c r="D5189" s="29" t="s">
        <v>35125</v>
      </c>
      <c r="E5189" s="29" t="s">
        <v>47970</v>
      </c>
      <c r="F5189" s="36" t="s">
        <v>54401</v>
      </c>
      <c r="G5189" s="39">
        <v>1144119.23</v>
      </c>
      <c r="H5189" s="42">
        <v>211</v>
      </c>
    </row>
    <row r="5190" spans="1:8" ht="15" customHeight="1">
      <c r="A5190" s="26">
        <v>46668560</v>
      </c>
      <c r="B5190" s="29" t="s">
        <v>7423</v>
      </c>
      <c r="C5190" s="29" t="s">
        <v>21897</v>
      </c>
      <c r="D5190" s="29" t="s">
        <v>35126</v>
      </c>
      <c r="E5190" s="29" t="s">
        <v>47971</v>
      </c>
      <c r="F5190" s="36" t="s">
        <v>54401</v>
      </c>
      <c r="G5190" s="39">
        <v>442268.9</v>
      </c>
      <c r="H5190" s="42">
        <v>211</v>
      </c>
    </row>
    <row r="5191" spans="1:8" ht="15" customHeight="1">
      <c r="A5191" s="26">
        <v>46668565</v>
      </c>
      <c r="B5191" s="29" t="s">
        <v>7424</v>
      </c>
      <c r="C5191" s="29" t="s">
        <v>21898</v>
      </c>
      <c r="D5191" s="29" t="s">
        <v>35127</v>
      </c>
      <c r="E5191" s="29" t="s">
        <v>47972</v>
      </c>
      <c r="F5191" s="36" t="s">
        <v>54401</v>
      </c>
      <c r="G5191" s="39">
        <v>3901943</v>
      </c>
      <c r="H5191" s="42">
        <v>211</v>
      </c>
    </row>
    <row r="5192" spans="1:8" ht="15" customHeight="1">
      <c r="A5192" s="26">
        <v>46668566</v>
      </c>
      <c r="B5192" s="29" t="s">
        <v>7425</v>
      </c>
      <c r="C5192" s="29" t="s">
        <v>21899</v>
      </c>
      <c r="D5192" s="29" t="s">
        <v>30349</v>
      </c>
      <c r="E5192" s="29" t="s">
        <v>43926</v>
      </c>
      <c r="F5192" s="36" t="s">
        <v>54401</v>
      </c>
      <c r="G5192" s="39">
        <v>27492.86</v>
      </c>
      <c r="H5192" s="42">
        <v>211</v>
      </c>
    </row>
    <row r="5193" spans="1:8" ht="15" customHeight="1">
      <c r="A5193" s="26">
        <v>46668614</v>
      </c>
      <c r="B5193" s="29" t="s">
        <v>7426</v>
      </c>
      <c r="C5193" s="29" t="s">
        <v>21900</v>
      </c>
      <c r="D5193" s="29" t="s">
        <v>35128</v>
      </c>
      <c r="E5193" s="29" t="s">
        <v>46681</v>
      </c>
      <c r="F5193" s="36" t="s">
        <v>54401</v>
      </c>
      <c r="G5193" s="39">
        <v>581364.47999999998</v>
      </c>
      <c r="H5193" s="42">
        <v>211</v>
      </c>
    </row>
    <row r="5194" spans="1:8" ht="15" customHeight="1">
      <c r="A5194" s="26">
        <v>46668630</v>
      </c>
      <c r="B5194" s="29" t="s">
        <v>7427</v>
      </c>
      <c r="C5194" s="29" t="s">
        <v>21901</v>
      </c>
      <c r="D5194" s="29" t="s">
        <v>35129</v>
      </c>
      <c r="E5194" s="29" t="s">
        <v>47973</v>
      </c>
      <c r="F5194" s="36" t="s">
        <v>54401</v>
      </c>
      <c r="G5194" s="39">
        <v>2372938.4500000002</v>
      </c>
      <c r="H5194" s="42">
        <v>211</v>
      </c>
    </row>
    <row r="5195" spans="1:8" ht="15" customHeight="1">
      <c r="A5195" s="26">
        <v>46668648</v>
      </c>
      <c r="B5195" s="29" t="s">
        <v>7428</v>
      </c>
      <c r="C5195" s="29" t="s">
        <v>21902</v>
      </c>
      <c r="D5195" s="29" t="s">
        <v>35130</v>
      </c>
      <c r="E5195" s="29" t="s">
        <v>47974</v>
      </c>
      <c r="F5195" s="36" t="s">
        <v>54401</v>
      </c>
      <c r="G5195" s="39">
        <v>3498751.78</v>
      </c>
      <c r="H5195" s="42">
        <v>211</v>
      </c>
    </row>
    <row r="5196" spans="1:8" ht="15" customHeight="1">
      <c r="A5196" s="26">
        <v>46668658</v>
      </c>
      <c r="B5196" s="29" t="s">
        <v>7429</v>
      </c>
      <c r="C5196" s="29" t="s">
        <v>21903</v>
      </c>
      <c r="D5196" s="29" t="s">
        <v>35131</v>
      </c>
      <c r="E5196" s="29" t="s">
        <v>47975</v>
      </c>
      <c r="F5196" s="36" t="s">
        <v>54401</v>
      </c>
      <c r="G5196" s="39">
        <v>2980340</v>
      </c>
      <c r="H5196" s="42">
        <v>211</v>
      </c>
    </row>
    <row r="5197" spans="1:8" ht="15" customHeight="1">
      <c r="A5197" s="26">
        <v>46668682</v>
      </c>
      <c r="B5197" s="29" t="s">
        <v>7430</v>
      </c>
      <c r="C5197" s="29" t="s">
        <v>21904</v>
      </c>
      <c r="D5197" s="29" t="s">
        <v>35132</v>
      </c>
      <c r="E5197" s="29" t="s">
        <v>47976</v>
      </c>
      <c r="F5197" s="36" t="s">
        <v>54401</v>
      </c>
      <c r="G5197" s="39">
        <v>1009025.07</v>
      </c>
      <c r="H5197" s="42">
        <v>211</v>
      </c>
    </row>
    <row r="5198" spans="1:8" ht="15" customHeight="1">
      <c r="A5198" s="26">
        <v>46668695</v>
      </c>
      <c r="B5198" s="29" t="s">
        <v>7431</v>
      </c>
      <c r="C5198" s="29" t="s">
        <v>21905</v>
      </c>
      <c r="D5198" s="29" t="s">
        <v>35133</v>
      </c>
      <c r="E5198" s="29" t="s">
        <v>44536</v>
      </c>
      <c r="F5198" s="36" t="s">
        <v>54401</v>
      </c>
      <c r="G5198" s="39">
        <v>1678685.31</v>
      </c>
      <c r="H5198" s="42">
        <v>211</v>
      </c>
    </row>
    <row r="5199" spans="1:8" ht="15" customHeight="1">
      <c r="A5199" s="26">
        <v>46668713</v>
      </c>
      <c r="B5199" s="29" t="s">
        <v>7432</v>
      </c>
      <c r="C5199" s="29" t="s">
        <v>21906</v>
      </c>
      <c r="D5199" s="29" t="s">
        <v>35134</v>
      </c>
      <c r="E5199" s="29" t="s">
        <v>47977</v>
      </c>
      <c r="F5199" s="36" t="s">
        <v>54401</v>
      </c>
      <c r="G5199" s="39">
        <v>1380090.18</v>
      </c>
      <c r="H5199" s="42">
        <v>211</v>
      </c>
    </row>
    <row r="5200" spans="1:8" ht="15" customHeight="1">
      <c r="A5200" s="26">
        <v>46668739</v>
      </c>
      <c r="B5200" s="29" t="s">
        <v>7433</v>
      </c>
      <c r="C5200" s="26" t="s">
        <v>21907</v>
      </c>
      <c r="D5200" s="26" t="s">
        <v>35135</v>
      </c>
      <c r="E5200" s="26" t="s">
        <v>47978</v>
      </c>
      <c r="F5200" s="37" t="s">
        <v>54401</v>
      </c>
      <c r="G5200" s="39">
        <v>4300953</v>
      </c>
      <c r="H5200" s="42">
        <v>211</v>
      </c>
    </row>
    <row r="5201" spans="1:8" ht="15" customHeight="1">
      <c r="A5201" s="26">
        <v>46668754</v>
      </c>
      <c r="B5201" s="29" t="s">
        <v>7434</v>
      </c>
      <c r="C5201" s="29" t="s">
        <v>21908</v>
      </c>
      <c r="D5201" s="29" t="s">
        <v>35136</v>
      </c>
      <c r="E5201" s="29" t="s">
        <v>47979</v>
      </c>
      <c r="F5201" s="36" t="s">
        <v>54401</v>
      </c>
      <c r="G5201" s="39">
        <v>3384874.77</v>
      </c>
      <c r="H5201" s="42">
        <v>211</v>
      </c>
    </row>
    <row r="5202" spans="1:8" ht="15" customHeight="1">
      <c r="A5202" s="26">
        <v>46668775</v>
      </c>
      <c r="B5202" s="29" t="s">
        <v>7435</v>
      </c>
      <c r="C5202" s="29" t="s">
        <v>21909</v>
      </c>
      <c r="D5202" s="29" t="s">
        <v>35137</v>
      </c>
      <c r="E5202" s="29" t="s">
        <v>47980</v>
      </c>
      <c r="F5202" s="36" t="s">
        <v>54401</v>
      </c>
      <c r="G5202" s="39">
        <v>236535.76</v>
      </c>
      <c r="H5202" s="42">
        <v>211</v>
      </c>
    </row>
    <row r="5203" spans="1:8" ht="15" customHeight="1">
      <c r="A5203" s="26">
        <v>46668787</v>
      </c>
      <c r="B5203" s="29" t="s">
        <v>7436</v>
      </c>
      <c r="C5203" s="29" t="s">
        <v>21910</v>
      </c>
      <c r="D5203" s="29" t="s">
        <v>35138</v>
      </c>
      <c r="E5203" s="29" t="s">
        <v>47981</v>
      </c>
      <c r="F5203" s="36" t="s">
        <v>54401</v>
      </c>
      <c r="G5203" s="39">
        <v>388834.88</v>
      </c>
      <c r="H5203" s="42">
        <v>211</v>
      </c>
    </row>
    <row r="5204" spans="1:8" ht="15" customHeight="1">
      <c r="A5204" s="26">
        <v>46668811</v>
      </c>
      <c r="B5204" s="29" t="s">
        <v>7437</v>
      </c>
      <c r="C5204" s="29" t="s">
        <v>21911</v>
      </c>
      <c r="D5204" s="29" t="s">
        <v>35139</v>
      </c>
      <c r="E5204" s="29" t="s">
        <v>47982</v>
      </c>
      <c r="F5204" s="36" t="s">
        <v>54401</v>
      </c>
      <c r="G5204" s="39">
        <v>125652.58</v>
      </c>
      <c r="H5204" s="42">
        <v>211</v>
      </c>
    </row>
    <row r="5205" spans="1:8" ht="15" customHeight="1">
      <c r="A5205" s="26">
        <v>46668819</v>
      </c>
      <c r="B5205" s="29" t="s">
        <v>7438</v>
      </c>
      <c r="C5205" s="29" t="s">
        <v>21912</v>
      </c>
      <c r="D5205" s="29" t="s">
        <v>35140</v>
      </c>
      <c r="E5205" s="29" t="s">
        <v>45857</v>
      </c>
      <c r="F5205" s="36" t="s">
        <v>54401</v>
      </c>
      <c r="G5205" s="39">
        <v>315426.88</v>
      </c>
      <c r="H5205" s="42">
        <v>211</v>
      </c>
    </row>
    <row r="5206" spans="1:8" ht="15" customHeight="1">
      <c r="A5206" s="26">
        <v>46668847</v>
      </c>
      <c r="B5206" s="29" t="s">
        <v>7439</v>
      </c>
      <c r="C5206" s="29" t="s">
        <v>21913</v>
      </c>
      <c r="D5206" s="29" t="s">
        <v>35141</v>
      </c>
      <c r="E5206" s="29" t="s">
        <v>47983</v>
      </c>
      <c r="F5206" s="36" t="s">
        <v>54401</v>
      </c>
      <c r="G5206" s="39">
        <v>569414.5</v>
      </c>
      <c r="H5206" s="42">
        <v>211</v>
      </c>
    </row>
    <row r="5207" spans="1:8" ht="15" customHeight="1">
      <c r="A5207" s="26">
        <v>46668871</v>
      </c>
      <c r="B5207" s="29" t="s">
        <v>7440</v>
      </c>
      <c r="C5207" s="26" t="s">
        <v>17204</v>
      </c>
      <c r="D5207" s="26" t="s">
        <v>30349</v>
      </c>
      <c r="E5207" s="26" t="s">
        <v>43926</v>
      </c>
      <c r="F5207" s="37" t="s">
        <v>54401</v>
      </c>
      <c r="G5207" s="39">
        <v>272774.83</v>
      </c>
      <c r="H5207" s="42">
        <v>211</v>
      </c>
    </row>
    <row r="5208" spans="1:8" ht="15" customHeight="1">
      <c r="A5208" s="26">
        <v>46668882</v>
      </c>
      <c r="B5208" s="29" t="s">
        <v>7441</v>
      </c>
      <c r="C5208" s="29" t="s">
        <v>21914</v>
      </c>
      <c r="D5208" s="29" t="s">
        <v>35142</v>
      </c>
      <c r="E5208" s="29" t="s">
        <v>47984</v>
      </c>
      <c r="F5208" s="36" t="s">
        <v>54401</v>
      </c>
      <c r="G5208" s="39">
        <v>1171967.2</v>
      </c>
      <c r="H5208" s="42">
        <v>211</v>
      </c>
    </row>
    <row r="5209" spans="1:8" ht="15" customHeight="1">
      <c r="A5209" s="26">
        <v>46668933</v>
      </c>
      <c r="B5209" s="29" t="s">
        <v>7442</v>
      </c>
      <c r="C5209" s="29" t="s">
        <v>21915</v>
      </c>
      <c r="D5209" s="29" t="s">
        <v>35143</v>
      </c>
      <c r="E5209" s="29" t="s">
        <v>47985</v>
      </c>
      <c r="F5209" s="36" t="s">
        <v>54401</v>
      </c>
      <c r="G5209" s="39">
        <v>70082.86</v>
      </c>
      <c r="H5209" s="42">
        <v>211</v>
      </c>
    </row>
    <row r="5210" spans="1:8" ht="15" customHeight="1">
      <c r="A5210" s="26">
        <v>46668945</v>
      </c>
      <c r="B5210" s="29" t="s">
        <v>7443</v>
      </c>
      <c r="C5210" s="29" t="s">
        <v>21916</v>
      </c>
      <c r="D5210" s="29" t="s">
        <v>35144</v>
      </c>
      <c r="E5210" s="29" t="s">
        <v>47986</v>
      </c>
      <c r="F5210" s="36" t="s">
        <v>54401</v>
      </c>
      <c r="G5210" s="39">
        <v>53103.39</v>
      </c>
      <c r="H5210" s="42">
        <v>211</v>
      </c>
    </row>
    <row r="5211" spans="1:8" ht="15" customHeight="1">
      <c r="A5211" s="26">
        <v>46668949</v>
      </c>
      <c r="B5211" s="29" t="s">
        <v>7444</v>
      </c>
      <c r="C5211" s="29" t="s">
        <v>21917</v>
      </c>
      <c r="D5211" s="29" t="s">
        <v>35145</v>
      </c>
      <c r="E5211" s="29" t="s">
        <v>43926</v>
      </c>
      <c r="F5211" s="36" t="s">
        <v>54401</v>
      </c>
      <c r="G5211" s="39">
        <v>3011048</v>
      </c>
      <c r="H5211" s="42">
        <v>211</v>
      </c>
    </row>
    <row r="5212" spans="1:8" ht="15" customHeight="1">
      <c r="A5212" s="26">
        <v>46668961</v>
      </c>
      <c r="B5212" s="29" t="s">
        <v>7445</v>
      </c>
      <c r="C5212" s="26" t="s">
        <v>21918</v>
      </c>
      <c r="D5212" s="26" t="s">
        <v>35146</v>
      </c>
      <c r="E5212" s="26" t="s">
        <v>43926</v>
      </c>
      <c r="F5212" s="37" t="s">
        <v>54401</v>
      </c>
      <c r="G5212" s="39">
        <v>895887.86</v>
      </c>
      <c r="H5212" s="42">
        <v>211</v>
      </c>
    </row>
    <row r="5213" spans="1:8" ht="15" customHeight="1">
      <c r="A5213" s="26">
        <v>46668992</v>
      </c>
      <c r="B5213" s="29" t="s">
        <v>7446</v>
      </c>
      <c r="C5213" s="29" t="s">
        <v>21919</v>
      </c>
      <c r="D5213" s="29" t="s">
        <v>35147</v>
      </c>
      <c r="E5213" s="29" t="s">
        <v>46533</v>
      </c>
      <c r="F5213" s="36" t="s">
        <v>54401</v>
      </c>
      <c r="G5213" s="39">
        <v>1421778.59</v>
      </c>
      <c r="H5213" s="42">
        <v>211</v>
      </c>
    </row>
    <row r="5214" spans="1:8" ht="15" customHeight="1">
      <c r="A5214" s="26">
        <v>46669017</v>
      </c>
      <c r="B5214" s="29" t="s">
        <v>7447</v>
      </c>
      <c r="C5214" s="29" t="s">
        <v>21920</v>
      </c>
      <c r="D5214" s="29" t="s">
        <v>35148</v>
      </c>
      <c r="E5214" s="29" t="s">
        <v>47987</v>
      </c>
      <c r="F5214" s="36" t="s">
        <v>54401</v>
      </c>
      <c r="G5214" s="39">
        <v>256238.75</v>
      </c>
      <c r="H5214" s="42">
        <v>211</v>
      </c>
    </row>
    <row r="5215" spans="1:8" ht="15" customHeight="1">
      <c r="A5215" s="26">
        <v>46669025</v>
      </c>
      <c r="B5215" s="29" t="s">
        <v>7448</v>
      </c>
      <c r="C5215" s="26" t="s">
        <v>17204</v>
      </c>
      <c r="D5215" s="26" t="s">
        <v>35149</v>
      </c>
      <c r="E5215" s="26" t="s">
        <v>43926</v>
      </c>
      <c r="F5215" s="37" t="s">
        <v>54401</v>
      </c>
      <c r="G5215" s="39">
        <v>89900.84</v>
      </c>
      <c r="H5215" s="42">
        <v>211</v>
      </c>
    </row>
    <row r="5216" spans="1:8" ht="15" customHeight="1">
      <c r="A5216" s="26">
        <v>46669054</v>
      </c>
      <c r="B5216" s="29" t="s">
        <v>7449</v>
      </c>
      <c r="C5216" s="29" t="s">
        <v>21921</v>
      </c>
      <c r="D5216" s="29" t="s">
        <v>35150</v>
      </c>
      <c r="E5216" s="29" t="s">
        <v>47988</v>
      </c>
      <c r="F5216" s="36" t="s">
        <v>54401</v>
      </c>
      <c r="G5216" s="39">
        <v>220510.5</v>
      </c>
      <c r="H5216" s="42">
        <v>211</v>
      </c>
    </row>
    <row r="5217" spans="1:8" ht="15" customHeight="1">
      <c r="A5217" s="26">
        <v>46669059</v>
      </c>
      <c r="B5217" s="29" t="s">
        <v>7450</v>
      </c>
      <c r="C5217" s="29" t="s">
        <v>21922</v>
      </c>
      <c r="D5217" s="29" t="s">
        <v>35151</v>
      </c>
      <c r="E5217" s="29" t="s">
        <v>47989</v>
      </c>
      <c r="F5217" s="36" t="s">
        <v>54401</v>
      </c>
      <c r="G5217" s="39">
        <v>5587016.3099999996</v>
      </c>
      <c r="H5217" s="42">
        <v>211</v>
      </c>
    </row>
    <row r="5218" spans="1:8" ht="15" customHeight="1">
      <c r="A5218" s="26">
        <v>46669076</v>
      </c>
      <c r="B5218" s="29" t="s">
        <v>7451</v>
      </c>
      <c r="C5218" s="29" t="s">
        <v>17204</v>
      </c>
      <c r="D5218" s="29" t="s">
        <v>30349</v>
      </c>
      <c r="E5218" s="29" t="s">
        <v>43926</v>
      </c>
      <c r="F5218" s="36" t="s">
        <v>54401</v>
      </c>
      <c r="G5218" s="39">
        <v>54085.43</v>
      </c>
      <c r="H5218" s="42">
        <v>211</v>
      </c>
    </row>
    <row r="5219" spans="1:8" ht="15" customHeight="1">
      <c r="A5219" s="26">
        <v>46669080</v>
      </c>
      <c r="B5219" s="29" t="s">
        <v>7452</v>
      </c>
      <c r="C5219" s="29" t="s">
        <v>21923</v>
      </c>
      <c r="D5219" s="29" t="s">
        <v>35152</v>
      </c>
      <c r="E5219" s="29" t="s">
        <v>47990</v>
      </c>
      <c r="F5219" s="36" t="s">
        <v>54401</v>
      </c>
      <c r="G5219" s="39">
        <v>3516610</v>
      </c>
      <c r="H5219" s="42">
        <v>211</v>
      </c>
    </row>
    <row r="5220" spans="1:8" ht="15" customHeight="1">
      <c r="A5220" s="26">
        <v>46669082</v>
      </c>
      <c r="B5220" s="29" t="s">
        <v>7453</v>
      </c>
      <c r="C5220" s="29" t="s">
        <v>21924</v>
      </c>
      <c r="D5220" s="29" t="s">
        <v>35153</v>
      </c>
      <c r="E5220" s="29" t="s">
        <v>47991</v>
      </c>
      <c r="F5220" s="36" t="s">
        <v>54401</v>
      </c>
      <c r="G5220" s="39">
        <v>34500.660000000003</v>
      </c>
      <c r="H5220" s="42">
        <v>211</v>
      </c>
    </row>
    <row r="5221" spans="1:8" ht="15" customHeight="1">
      <c r="A5221" s="26">
        <v>46669088</v>
      </c>
      <c r="B5221" s="29" t="s">
        <v>7454</v>
      </c>
      <c r="C5221" s="26" t="s">
        <v>21925</v>
      </c>
      <c r="D5221" s="26" t="s">
        <v>35154</v>
      </c>
      <c r="E5221" s="26" t="s">
        <v>47992</v>
      </c>
      <c r="F5221" s="37" t="s">
        <v>54401</v>
      </c>
      <c r="G5221" s="39">
        <v>1822707.02</v>
      </c>
      <c r="H5221" s="42">
        <v>211</v>
      </c>
    </row>
    <row r="5222" spans="1:8" ht="15" customHeight="1">
      <c r="A5222" s="26">
        <v>46669103</v>
      </c>
      <c r="B5222" s="29" t="s">
        <v>7455</v>
      </c>
      <c r="C5222" s="29" t="s">
        <v>21926</v>
      </c>
      <c r="D5222" s="29" t="s">
        <v>35155</v>
      </c>
      <c r="E5222" s="29" t="s">
        <v>44329</v>
      </c>
      <c r="F5222" s="36" t="s">
        <v>54401</v>
      </c>
      <c r="G5222" s="39">
        <v>1248679.73</v>
      </c>
      <c r="H5222" s="42">
        <v>211</v>
      </c>
    </row>
    <row r="5223" spans="1:8" ht="15" customHeight="1">
      <c r="A5223" s="26">
        <v>46669183</v>
      </c>
      <c r="B5223" s="29" t="s">
        <v>7456</v>
      </c>
      <c r="C5223" s="29" t="s">
        <v>21927</v>
      </c>
      <c r="D5223" s="29" t="s">
        <v>35156</v>
      </c>
      <c r="E5223" s="29" t="s">
        <v>47993</v>
      </c>
      <c r="F5223" s="36" t="s">
        <v>54401</v>
      </c>
      <c r="G5223" s="39">
        <v>3112461.75</v>
      </c>
      <c r="H5223" s="42">
        <v>211</v>
      </c>
    </row>
    <row r="5224" spans="1:8" ht="15" customHeight="1">
      <c r="A5224" s="26">
        <v>46669201</v>
      </c>
      <c r="B5224" s="29" t="s">
        <v>7457</v>
      </c>
      <c r="C5224" s="29" t="s">
        <v>21928</v>
      </c>
      <c r="D5224" s="29" t="s">
        <v>35157</v>
      </c>
      <c r="E5224" s="29" t="s">
        <v>45265</v>
      </c>
      <c r="F5224" s="36" t="s">
        <v>54401</v>
      </c>
      <c r="G5224" s="39">
        <v>588288.97</v>
      </c>
      <c r="H5224" s="42">
        <v>211</v>
      </c>
    </row>
    <row r="5225" spans="1:8" ht="15" customHeight="1">
      <c r="A5225" s="26">
        <v>46669233</v>
      </c>
      <c r="B5225" s="29" t="s">
        <v>7458</v>
      </c>
      <c r="C5225" s="29" t="s">
        <v>21929</v>
      </c>
      <c r="D5225" s="29" t="s">
        <v>35158</v>
      </c>
      <c r="E5225" s="29" t="s">
        <v>47994</v>
      </c>
      <c r="F5225" s="36" t="s">
        <v>54401</v>
      </c>
      <c r="G5225" s="39">
        <v>13426.8</v>
      </c>
      <c r="H5225" s="42">
        <v>211</v>
      </c>
    </row>
    <row r="5226" spans="1:8" ht="15" customHeight="1">
      <c r="A5226" s="26">
        <v>46669237</v>
      </c>
      <c r="B5226" s="29" t="s">
        <v>7459</v>
      </c>
      <c r="C5226" s="29" t="s">
        <v>17204</v>
      </c>
      <c r="D5226" s="29" t="s">
        <v>30349</v>
      </c>
      <c r="E5226" s="29" t="s">
        <v>43926</v>
      </c>
      <c r="F5226" s="36" t="s">
        <v>54401</v>
      </c>
      <c r="G5226" s="39">
        <v>181791.86</v>
      </c>
      <c r="H5226" s="42">
        <v>211</v>
      </c>
    </row>
    <row r="5227" spans="1:8" ht="15" customHeight="1">
      <c r="A5227" s="26">
        <v>46669255</v>
      </c>
      <c r="B5227" s="29" t="s">
        <v>7460</v>
      </c>
      <c r="C5227" s="29" t="s">
        <v>21930</v>
      </c>
      <c r="D5227" s="29" t="s">
        <v>35159</v>
      </c>
      <c r="E5227" s="29" t="s">
        <v>47995</v>
      </c>
      <c r="F5227" s="36" t="s">
        <v>54401</v>
      </c>
      <c r="G5227" s="39">
        <v>2824721</v>
      </c>
      <c r="H5227" s="42">
        <v>211</v>
      </c>
    </row>
    <row r="5228" spans="1:8" ht="15" customHeight="1">
      <c r="A5228" s="26">
        <v>46669341</v>
      </c>
      <c r="B5228" s="29" t="s">
        <v>7461</v>
      </c>
      <c r="C5228" s="29" t="s">
        <v>21931</v>
      </c>
      <c r="D5228" s="29" t="s">
        <v>35160</v>
      </c>
      <c r="E5228" s="29" t="s">
        <v>43926</v>
      </c>
      <c r="F5228" s="36" t="s">
        <v>54401</v>
      </c>
      <c r="G5228" s="39">
        <v>4204405.68</v>
      </c>
      <c r="H5228" s="42">
        <v>211</v>
      </c>
    </row>
    <row r="5229" spans="1:8" ht="15" customHeight="1">
      <c r="A5229" s="26">
        <v>46669342</v>
      </c>
      <c r="B5229" s="29" t="s">
        <v>7462</v>
      </c>
      <c r="C5229" s="29" t="s">
        <v>21932</v>
      </c>
      <c r="D5229" s="29" t="s">
        <v>35161</v>
      </c>
      <c r="E5229" s="29" t="s">
        <v>47996</v>
      </c>
      <c r="F5229" s="36" t="s">
        <v>54409</v>
      </c>
      <c r="G5229" s="39">
        <v>7290862</v>
      </c>
      <c r="H5229" s="42">
        <v>211</v>
      </c>
    </row>
    <row r="5230" spans="1:8" ht="15" customHeight="1">
      <c r="A5230" s="26">
        <v>46669389</v>
      </c>
      <c r="B5230" s="29" t="s">
        <v>7463</v>
      </c>
      <c r="C5230" s="29" t="s">
        <v>21933</v>
      </c>
      <c r="D5230" s="29" t="s">
        <v>35162</v>
      </c>
      <c r="E5230" s="29" t="s">
        <v>46680</v>
      </c>
      <c r="F5230" s="36" t="s">
        <v>54401</v>
      </c>
      <c r="G5230" s="39">
        <v>3318125.97</v>
      </c>
      <c r="H5230" s="42">
        <v>211</v>
      </c>
    </row>
    <row r="5231" spans="1:8" ht="15" customHeight="1">
      <c r="A5231" s="26">
        <v>46669400</v>
      </c>
      <c r="B5231" s="29" t="s">
        <v>7464</v>
      </c>
      <c r="C5231" s="29" t="s">
        <v>21934</v>
      </c>
      <c r="D5231" s="29" t="s">
        <v>35163</v>
      </c>
      <c r="E5231" s="29" t="s">
        <v>47997</v>
      </c>
      <c r="F5231" s="36" t="s">
        <v>54401</v>
      </c>
      <c r="G5231" s="39">
        <v>3476440.82</v>
      </c>
      <c r="H5231" s="42">
        <v>211</v>
      </c>
    </row>
    <row r="5232" spans="1:8" ht="15" customHeight="1">
      <c r="A5232" s="26">
        <v>46669409</v>
      </c>
      <c r="B5232" s="29" t="s">
        <v>7465</v>
      </c>
      <c r="C5232" s="29" t="s">
        <v>21935</v>
      </c>
      <c r="D5232" s="29" t="s">
        <v>35164</v>
      </c>
      <c r="E5232" s="29" t="s">
        <v>47998</v>
      </c>
      <c r="F5232" s="36" t="s">
        <v>54401</v>
      </c>
      <c r="G5232" s="39">
        <v>429429.4</v>
      </c>
      <c r="H5232" s="42">
        <v>211</v>
      </c>
    </row>
    <row r="5233" spans="1:8" ht="15" customHeight="1">
      <c r="A5233" s="26">
        <v>46669417</v>
      </c>
      <c r="B5233" s="29" t="s">
        <v>7466</v>
      </c>
      <c r="C5233" s="29" t="s">
        <v>21936</v>
      </c>
      <c r="D5233" s="29" t="s">
        <v>35165</v>
      </c>
      <c r="E5233" s="29" t="s">
        <v>47999</v>
      </c>
      <c r="F5233" s="36" t="s">
        <v>54401</v>
      </c>
      <c r="G5233" s="39">
        <v>32932.47</v>
      </c>
      <c r="H5233" s="42">
        <v>211</v>
      </c>
    </row>
    <row r="5234" spans="1:8" ht="15" customHeight="1">
      <c r="A5234" s="26">
        <v>46669433</v>
      </c>
      <c r="B5234" s="29" t="s">
        <v>7467</v>
      </c>
      <c r="C5234" s="26" t="s">
        <v>21937</v>
      </c>
      <c r="D5234" s="26" t="s">
        <v>35166</v>
      </c>
      <c r="E5234" s="26" t="s">
        <v>48000</v>
      </c>
      <c r="F5234" s="37" t="s">
        <v>54401</v>
      </c>
      <c r="G5234" s="39">
        <v>3466708.13</v>
      </c>
      <c r="H5234" s="42">
        <v>211</v>
      </c>
    </row>
    <row r="5235" spans="1:8" ht="15" customHeight="1">
      <c r="A5235" s="26">
        <v>46669442</v>
      </c>
      <c r="B5235" s="29" t="s">
        <v>7468</v>
      </c>
      <c r="C5235" s="29" t="s">
        <v>21938</v>
      </c>
      <c r="D5235" s="29" t="s">
        <v>35167</v>
      </c>
      <c r="E5235" s="29" t="s">
        <v>48001</v>
      </c>
      <c r="F5235" s="36" t="s">
        <v>54401</v>
      </c>
      <c r="G5235" s="39">
        <v>1220729.95</v>
      </c>
      <c r="H5235" s="42">
        <v>211</v>
      </c>
    </row>
    <row r="5236" spans="1:8" ht="15" customHeight="1">
      <c r="A5236" s="26">
        <v>46669443</v>
      </c>
      <c r="B5236" s="29" t="s">
        <v>7469</v>
      </c>
      <c r="C5236" s="29" t="s">
        <v>21939</v>
      </c>
      <c r="D5236" s="29" t="s">
        <v>35168</v>
      </c>
      <c r="E5236" s="29" t="s">
        <v>48002</v>
      </c>
      <c r="F5236" s="36" t="s">
        <v>54401</v>
      </c>
      <c r="G5236" s="39">
        <v>72740.759999999995</v>
      </c>
      <c r="H5236" s="42">
        <v>211</v>
      </c>
    </row>
    <row r="5237" spans="1:8" ht="15" customHeight="1">
      <c r="A5237" s="26">
        <v>46669470</v>
      </c>
      <c r="B5237" s="29" t="s">
        <v>7470</v>
      </c>
      <c r="C5237" s="29" t="s">
        <v>21940</v>
      </c>
      <c r="D5237" s="29" t="s">
        <v>35169</v>
      </c>
      <c r="E5237" s="29" t="s">
        <v>48003</v>
      </c>
      <c r="F5237" s="36" t="s">
        <v>54401</v>
      </c>
      <c r="G5237" s="39">
        <v>2926695</v>
      </c>
      <c r="H5237" s="42">
        <v>211</v>
      </c>
    </row>
    <row r="5238" spans="1:8" ht="15" customHeight="1">
      <c r="A5238" s="26">
        <v>46669479</v>
      </c>
      <c r="B5238" s="29" t="s">
        <v>7471</v>
      </c>
      <c r="C5238" s="29" t="s">
        <v>21941</v>
      </c>
      <c r="D5238" s="29" t="s">
        <v>35170</v>
      </c>
      <c r="E5238" s="29" t="s">
        <v>48004</v>
      </c>
      <c r="F5238" s="36" t="s">
        <v>54401</v>
      </c>
      <c r="G5238" s="39">
        <v>2545325</v>
      </c>
      <c r="H5238" s="42">
        <v>211</v>
      </c>
    </row>
    <row r="5239" spans="1:8" ht="15" customHeight="1">
      <c r="A5239" s="26">
        <v>46669484</v>
      </c>
      <c r="B5239" s="29" t="s">
        <v>7472</v>
      </c>
      <c r="C5239" s="26" t="s">
        <v>21942</v>
      </c>
      <c r="D5239" s="26" t="s">
        <v>31265</v>
      </c>
      <c r="E5239" s="26" t="s">
        <v>46161</v>
      </c>
      <c r="F5239" s="37" t="s">
        <v>54401</v>
      </c>
      <c r="G5239" s="39">
        <v>1715118.72</v>
      </c>
      <c r="H5239" s="42">
        <v>211</v>
      </c>
    </row>
    <row r="5240" spans="1:8" ht="15" customHeight="1">
      <c r="A5240" s="26">
        <v>46669502</v>
      </c>
      <c r="B5240" s="29" t="s">
        <v>7473</v>
      </c>
      <c r="C5240" s="29" t="s">
        <v>21943</v>
      </c>
      <c r="D5240" s="29" t="s">
        <v>35171</v>
      </c>
      <c r="E5240" s="29" t="s">
        <v>48005</v>
      </c>
      <c r="F5240" s="36" t="s">
        <v>54401</v>
      </c>
      <c r="G5240" s="39">
        <v>542816.72</v>
      </c>
      <c r="H5240" s="42">
        <v>211</v>
      </c>
    </row>
    <row r="5241" spans="1:8" ht="15" customHeight="1">
      <c r="A5241" s="26">
        <v>46669540</v>
      </c>
      <c r="B5241" s="29" t="s">
        <v>7474</v>
      </c>
      <c r="C5241" s="29" t="s">
        <v>21944</v>
      </c>
      <c r="D5241" s="29" t="s">
        <v>35172</v>
      </c>
      <c r="E5241" s="29" t="s">
        <v>47511</v>
      </c>
      <c r="F5241" s="36" t="s">
        <v>54401</v>
      </c>
      <c r="G5241" s="39">
        <v>35438.300000000003</v>
      </c>
      <c r="H5241" s="42">
        <v>211</v>
      </c>
    </row>
    <row r="5242" spans="1:8" ht="15" customHeight="1">
      <c r="A5242" s="26">
        <v>46669554</v>
      </c>
      <c r="B5242" s="29" t="s">
        <v>7475</v>
      </c>
      <c r="C5242" s="29" t="s">
        <v>21945</v>
      </c>
      <c r="D5242" s="29" t="s">
        <v>35173</v>
      </c>
      <c r="E5242" s="29" t="s">
        <v>47294</v>
      </c>
      <c r="F5242" s="36" t="s">
        <v>54401</v>
      </c>
      <c r="G5242" s="39">
        <v>3124040</v>
      </c>
      <c r="H5242" s="42">
        <v>211</v>
      </c>
    </row>
    <row r="5243" spans="1:8" ht="15" customHeight="1">
      <c r="A5243" s="26">
        <v>46669556</v>
      </c>
      <c r="B5243" s="29" t="s">
        <v>7476</v>
      </c>
      <c r="C5243" s="29" t="s">
        <v>21946</v>
      </c>
      <c r="D5243" s="29" t="s">
        <v>35174</v>
      </c>
      <c r="E5243" s="29" t="s">
        <v>48006</v>
      </c>
      <c r="F5243" s="36" t="s">
        <v>54401</v>
      </c>
      <c r="G5243" s="39">
        <v>1345779.26</v>
      </c>
      <c r="H5243" s="42">
        <v>211</v>
      </c>
    </row>
    <row r="5244" spans="1:8" ht="15" customHeight="1">
      <c r="A5244" s="26">
        <v>46669572</v>
      </c>
      <c r="B5244" s="29" t="s">
        <v>7477</v>
      </c>
      <c r="C5244" s="29" t="s">
        <v>17204</v>
      </c>
      <c r="D5244" s="29" t="s">
        <v>35175</v>
      </c>
      <c r="E5244" s="29" t="s">
        <v>43926</v>
      </c>
      <c r="F5244" s="36" t="s">
        <v>54401</v>
      </c>
      <c r="G5244" s="39">
        <v>269031.24</v>
      </c>
      <c r="H5244" s="42">
        <v>211</v>
      </c>
    </row>
    <row r="5245" spans="1:8" ht="15" customHeight="1">
      <c r="A5245" s="26">
        <v>46669573</v>
      </c>
      <c r="B5245" s="29" t="s">
        <v>7478</v>
      </c>
      <c r="C5245" s="29" t="s">
        <v>21947</v>
      </c>
      <c r="D5245" s="29" t="s">
        <v>35176</v>
      </c>
      <c r="E5245" s="29" t="s">
        <v>46335</v>
      </c>
      <c r="F5245" s="36" t="s">
        <v>54401</v>
      </c>
      <c r="G5245" s="39">
        <v>1834417.49</v>
      </c>
      <c r="H5245" s="42">
        <v>211</v>
      </c>
    </row>
    <row r="5246" spans="1:8" ht="15" customHeight="1">
      <c r="A5246" s="26">
        <v>46669606</v>
      </c>
      <c r="B5246" s="29" t="s">
        <v>7479</v>
      </c>
      <c r="C5246" s="29" t="s">
        <v>21948</v>
      </c>
      <c r="D5246" s="29" t="s">
        <v>35177</v>
      </c>
      <c r="E5246" s="29" t="s">
        <v>44084</v>
      </c>
      <c r="F5246" s="36" t="s">
        <v>54401</v>
      </c>
      <c r="G5246" s="39">
        <v>2277245.5499999998</v>
      </c>
      <c r="H5246" s="42">
        <v>211</v>
      </c>
    </row>
    <row r="5247" spans="1:8" ht="15" customHeight="1">
      <c r="A5247" s="26">
        <v>46669609</v>
      </c>
      <c r="B5247" s="29" t="s">
        <v>7480</v>
      </c>
      <c r="C5247" s="29" t="s">
        <v>21949</v>
      </c>
      <c r="D5247" s="29" t="s">
        <v>35178</v>
      </c>
      <c r="E5247" s="29" t="s">
        <v>48007</v>
      </c>
      <c r="F5247" s="36" t="s">
        <v>54401</v>
      </c>
      <c r="G5247" s="39">
        <v>91884.65</v>
      </c>
      <c r="H5247" s="42">
        <v>211</v>
      </c>
    </row>
    <row r="5248" spans="1:8" ht="15" customHeight="1">
      <c r="A5248" s="26">
        <v>46669638</v>
      </c>
      <c r="B5248" s="29" t="s">
        <v>7481</v>
      </c>
      <c r="C5248" s="29" t="s">
        <v>21950</v>
      </c>
      <c r="D5248" s="29" t="s">
        <v>35179</v>
      </c>
      <c r="E5248" s="29" t="s">
        <v>43928</v>
      </c>
      <c r="F5248" s="36" t="s">
        <v>54401</v>
      </c>
      <c r="G5248" s="39">
        <v>407852.53</v>
      </c>
      <c r="H5248" s="42">
        <v>211</v>
      </c>
    </row>
    <row r="5249" spans="1:8" ht="15" customHeight="1">
      <c r="A5249" s="26">
        <v>46669673</v>
      </c>
      <c r="B5249" s="29" t="s">
        <v>7482</v>
      </c>
      <c r="C5249" s="29" t="s">
        <v>21951</v>
      </c>
      <c r="D5249" s="29" t="s">
        <v>35180</v>
      </c>
      <c r="E5249" s="29" t="s">
        <v>48008</v>
      </c>
      <c r="F5249" s="36" t="s">
        <v>54401</v>
      </c>
      <c r="G5249" s="39">
        <v>2099486.67</v>
      </c>
      <c r="H5249" s="42">
        <v>211</v>
      </c>
    </row>
    <row r="5250" spans="1:8" ht="15" customHeight="1">
      <c r="A5250" s="26">
        <v>46669691</v>
      </c>
      <c r="B5250" s="29" t="s">
        <v>7483</v>
      </c>
      <c r="C5250" s="29" t="s">
        <v>21952</v>
      </c>
      <c r="D5250" s="29" t="s">
        <v>35181</v>
      </c>
      <c r="E5250" s="29" t="s">
        <v>48009</v>
      </c>
      <c r="F5250" s="36" t="s">
        <v>54401</v>
      </c>
      <c r="G5250" s="39">
        <v>3833833.36</v>
      </c>
      <c r="H5250" s="42">
        <v>211</v>
      </c>
    </row>
    <row r="5251" spans="1:8" ht="15" customHeight="1">
      <c r="A5251" s="26">
        <v>46669711</v>
      </c>
      <c r="B5251" s="29" t="s">
        <v>7484</v>
      </c>
      <c r="C5251" s="29" t="s">
        <v>21953</v>
      </c>
      <c r="D5251" s="29" t="s">
        <v>35182</v>
      </c>
      <c r="E5251" s="29" t="s">
        <v>48010</v>
      </c>
      <c r="F5251" s="36" t="s">
        <v>54414</v>
      </c>
      <c r="G5251" s="39">
        <v>2179742.75</v>
      </c>
      <c r="H5251" s="42">
        <v>211</v>
      </c>
    </row>
    <row r="5252" spans="1:8" ht="15" customHeight="1">
      <c r="A5252" s="26">
        <v>46669720</v>
      </c>
      <c r="B5252" s="29" t="s">
        <v>7485</v>
      </c>
      <c r="C5252" s="29" t="s">
        <v>21954</v>
      </c>
      <c r="D5252" s="29" t="s">
        <v>35183</v>
      </c>
      <c r="E5252" s="29" t="s">
        <v>48011</v>
      </c>
      <c r="F5252" s="36" t="s">
        <v>54401</v>
      </c>
      <c r="G5252" s="39">
        <f>5531789.45+60563+316845</f>
        <v>5909197.4500000002</v>
      </c>
      <c r="H5252" s="42">
        <v>211</v>
      </c>
    </row>
    <row r="5253" spans="1:8" ht="15" customHeight="1">
      <c r="A5253" s="26">
        <v>46669753</v>
      </c>
      <c r="B5253" s="29" t="s">
        <v>7486</v>
      </c>
      <c r="C5253" s="26" t="s">
        <v>21955</v>
      </c>
      <c r="D5253" s="26" t="s">
        <v>35184</v>
      </c>
      <c r="E5253" s="26" t="s">
        <v>48012</v>
      </c>
      <c r="F5253" s="37" t="s">
        <v>54401</v>
      </c>
      <c r="G5253" s="39">
        <v>145393.12</v>
      </c>
      <c r="H5253" s="42">
        <v>211</v>
      </c>
    </row>
    <row r="5254" spans="1:8" ht="15" customHeight="1">
      <c r="A5254" s="26">
        <v>46669798</v>
      </c>
      <c r="B5254" s="29" t="s">
        <v>7487</v>
      </c>
      <c r="C5254" s="29" t="s">
        <v>21956</v>
      </c>
      <c r="D5254" s="29" t="s">
        <v>35185</v>
      </c>
      <c r="E5254" s="29" t="s">
        <v>48013</v>
      </c>
      <c r="F5254" s="36" t="s">
        <v>54401</v>
      </c>
      <c r="G5254" s="39">
        <v>565764.24</v>
      </c>
      <c r="H5254" s="42">
        <v>211</v>
      </c>
    </row>
    <row r="5255" spans="1:8" ht="15" customHeight="1">
      <c r="A5255" s="26">
        <v>46669816</v>
      </c>
      <c r="B5255" s="29" t="s">
        <v>7488</v>
      </c>
      <c r="C5255" s="29" t="s">
        <v>21957</v>
      </c>
      <c r="D5255" s="29" t="s">
        <v>35186</v>
      </c>
      <c r="E5255" s="29" t="s">
        <v>45401</v>
      </c>
      <c r="F5255" s="36" t="s">
        <v>54401</v>
      </c>
      <c r="G5255" s="39">
        <v>3054477.6</v>
      </c>
      <c r="H5255" s="42">
        <v>211</v>
      </c>
    </row>
    <row r="5256" spans="1:8" ht="15" customHeight="1">
      <c r="A5256" s="26">
        <v>46669829</v>
      </c>
      <c r="B5256" s="29" t="s">
        <v>7489</v>
      </c>
      <c r="C5256" s="29" t="s">
        <v>21958</v>
      </c>
      <c r="D5256" s="29" t="s">
        <v>35187</v>
      </c>
      <c r="E5256" s="29" t="s">
        <v>48014</v>
      </c>
      <c r="F5256" s="36" t="s">
        <v>54401</v>
      </c>
      <c r="G5256" s="39">
        <v>393363.74</v>
      </c>
      <c r="H5256" s="42">
        <v>211</v>
      </c>
    </row>
    <row r="5257" spans="1:8" ht="15" customHeight="1">
      <c r="A5257" s="26">
        <v>46669831</v>
      </c>
      <c r="B5257" s="29" t="s">
        <v>7490</v>
      </c>
      <c r="C5257" s="29" t="s">
        <v>21959</v>
      </c>
      <c r="D5257" s="29" t="s">
        <v>35188</v>
      </c>
      <c r="E5257" s="29" t="s">
        <v>48015</v>
      </c>
      <c r="F5257" s="36" t="s">
        <v>54401</v>
      </c>
      <c r="G5257" s="39">
        <v>2838147.48</v>
      </c>
      <c r="H5257" s="42">
        <v>211</v>
      </c>
    </row>
    <row r="5258" spans="1:8" ht="15" customHeight="1">
      <c r="A5258" s="26">
        <v>46669840</v>
      </c>
      <c r="B5258" s="29" t="s">
        <v>7491</v>
      </c>
      <c r="C5258" s="29" t="s">
        <v>21960</v>
      </c>
      <c r="D5258" s="29" t="s">
        <v>35189</v>
      </c>
      <c r="E5258" s="29" t="s">
        <v>48016</v>
      </c>
      <c r="F5258" s="36" t="s">
        <v>54409</v>
      </c>
      <c r="G5258" s="39">
        <f>676967.18+2197035+2349552</f>
        <v>5223554.18</v>
      </c>
      <c r="H5258" s="42">
        <v>211</v>
      </c>
    </row>
    <row r="5259" spans="1:8" ht="15" customHeight="1">
      <c r="A5259" s="26">
        <v>46669841</v>
      </c>
      <c r="B5259" s="29" t="s">
        <v>7492</v>
      </c>
      <c r="C5259" s="26" t="s">
        <v>21961</v>
      </c>
      <c r="D5259" s="26" t="s">
        <v>35190</v>
      </c>
      <c r="E5259" s="26" t="s">
        <v>48017</v>
      </c>
      <c r="F5259" s="37" t="s">
        <v>54401</v>
      </c>
      <c r="G5259" s="39">
        <f>373579.43+3024773</f>
        <v>3398352.43</v>
      </c>
      <c r="H5259" s="42">
        <v>211</v>
      </c>
    </row>
    <row r="5260" spans="1:8" ht="15" customHeight="1">
      <c r="A5260" s="26">
        <v>46669845</v>
      </c>
      <c r="B5260" s="29" t="s">
        <v>7493</v>
      </c>
      <c r="C5260" s="29" t="s">
        <v>21962</v>
      </c>
      <c r="D5260" s="29" t="s">
        <v>35191</v>
      </c>
      <c r="E5260" s="29" t="s">
        <v>48018</v>
      </c>
      <c r="F5260" s="36" t="s">
        <v>54401</v>
      </c>
      <c r="G5260" s="39">
        <v>3381654.14</v>
      </c>
      <c r="H5260" s="42">
        <v>211</v>
      </c>
    </row>
    <row r="5261" spans="1:8" ht="15" customHeight="1">
      <c r="A5261" s="26">
        <v>46669877</v>
      </c>
      <c r="B5261" s="29" t="s">
        <v>7494</v>
      </c>
      <c r="C5261" s="29" t="s">
        <v>21963</v>
      </c>
      <c r="D5261" s="29" t="s">
        <v>35192</v>
      </c>
      <c r="E5261" s="29" t="s">
        <v>48019</v>
      </c>
      <c r="F5261" s="36" t="s">
        <v>54401</v>
      </c>
      <c r="G5261" s="39">
        <v>3422423.15</v>
      </c>
      <c r="H5261" s="42">
        <v>211</v>
      </c>
    </row>
    <row r="5262" spans="1:8" ht="15" customHeight="1">
      <c r="A5262" s="26">
        <v>46669910</v>
      </c>
      <c r="B5262" s="29" t="s">
        <v>7495</v>
      </c>
      <c r="C5262" s="29" t="s">
        <v>21964</v>
      </c>
      <c r="D5262" s="29" t="s">
        <v>35193</v>
      </c>
      <c r="E5262" s="29" t="s">
        <v>48020</v>
      </c>
      <c r="F5262" s="36" t="s">
        <v>54401</v>
      </c>
      <c r="G5262" s="39">
        <v>2482828.7799999998</v>
      </c>
      <c r="H5262" s="42">
        <v>211</v>
      </c>
    </row>
    <row r="5263" spans="1:8" ht="15" customHeight="1">
      <c r="A5263" s="26">
        <v>46669916</v>
      </c>
      <c r="B5263" s="29" t="s">
        <v>7496</v>
      </c>
      <c r="C5263" s="29" t="s">
        <v>21965</v>
      </c>
      <c r="D5263" s="29" t="s">
        <v>35194</v>
      </c>
      <c r="E5263" s="29" t="s">
        <v>48021</v>
      </c>
      <c r="F5263" s="36" t="s">
        <v>54406</v>
      </c>
      <c r="G5263" s="39">
        <f>7758049.58+109775</f>
        <v>7867824.5800000001</v>
      </c>
      <c r="H5263" s="42">
        <v>211</v>
      </c>
    </row>
    <row r="5264" spans="1:8" ht="15" customHeight="1">
      <c r="A5264" s="26">
        <v>46670011</v>
      </c>
      <c r="B5264" s="29" t="s">
        <v>7497</v>
      </c>
      <c r="C5264" s="29" t="s">
        <v>17204</v>
      </c>
      <c r="D5264" s="29" t="s">
        <v>30349</v>
      </c>
      <c r="E5264" s="29" t="s">
        <v>43926</v>
      </c>
      <c r="F5264" s="36" t="s">
        <v>54401</v>
      </c>
      <c r="G5264" s="39">
        <v>521739.83</v>
      </c>
      <c r="H5264" s="42">
        <v>211</v>
      </c>
    </row>
    <row r="5265" spans="1:8" ht="15" customHeight="1">
      <c r="A5265" s="26">
        <v>46670032</v>
      </c>
      <c r="B5265" s="29" t="s">
        <v>7498</v>
      </c>
      <c r="C5265" s="29" t="s">
        <v>21966</v>
      </c>
      <c r="D5265" s="29" t="s">
        <v>35195</v>
      </c>
      <c r="E5265" s="29" t="s">
        <v>48022</v>
      </c>
      <c r="F5265" s="36" t="s">
        <v>54401</v>
      </c>
      <c r="G5265" s="39">
        <v>3930642.78</v>
      </c>
      <c r="H5265" s="42">
        <v>211</v>
      </c>
    </row>
    <row r="5266" spans="1:8" ht="15" customHeight="1">
      <c r="A5266" s="26">
        <v>46670036</v>
      </c>
      <c r="B5266" s="29" t="s">
        <v>7499</v>
      </c>
      <c r="C5266" s="29" t="s">
        <v>21967</v>
      </c>
      <c r="D5266" s="29" t="s">
        <v>35196</v>
      </c>
      <c r="E5266" s="29" t="s">
        <v>48023</v>
      </c>
      <c r="F5266" s="36" t="s">
        <v>54401</v>
      </c>
      <c r="G5266" s="39">
        <v>375821.08</v>
      </c>
      <c r="H5266" s="42">
        <v>211</v>
      </c>
    </row>
    <row r="5267" spans="1:8" ht="15" customHeight="1">
      <c r="A5267" s="26">
        <v>46670066</v>
      </c>
      <c r="B5267" s="29" t="s">
        <v>7500</v>
      </c>
      <c r="C5267" s="29" t="s">
        <v>17204</v>
      </c>
      <c r="D5267" s="29" t="s">
        <v>35197</v>
      </c>
      <c r="E5267" s="29" t="s">
        <v>43926</v>
      </c>
      <c r="F5267" s="36" t="s">
        <v>54401</v>
      </c>
      <c r="G5267" s="39">
        <v>48217.14</v>
      </c>
      <c r="H5267" s="42">
        <v>211</v>
      </c>
    </row>
    <row r="5268" spans="1:8" ht="15" customHeight="1">
      <c r="A5268" s="26">
        <v>46670077</v>
      </c>
      <c r="B5268" s="29" t="s">
        <v>7501</v>
      </c>
      <c r="C5268" s="29" t="s">
        <v>21968</v>
      </c>
      <c r="D5268" s="29" t="s">
        <v>35198</v>
      </c>
      <c r="E5268" s="29" t="s">
        <v>44737</v>
      </c>
      <c r="F5268" s="36" t="s">
        <v>54401</v>
      </c>
      <c r="G5268" s="39">
        <v>344709.3</v>
      </c>
      <c r="H5268" s="42">
        <v>211</v>
      </c>
    </row>
    <row r="5269" spans="1:8" ht="15" customHeight="1">
      <c r="A5269" s="26">
        <v>46670084</v>
      </c>
      <c r="B5269" s="29" t="s">
        <v>7502</v>
      </c>
      <c r="C5269" s="29" t="s">
        <v>21969</v>
      </c>
      <c r="D5269" s="29" t="s">
        <v>35199</v>
      </c>
      <c r="E5269" s="29" t="s">
        <v>48024</v>
      </c>
      <c r="F5269" s="36" t="s">
        <v>54401</v>
      </c>
      <c r="G5269" s="39">
        <f>3568298.35-18714+395283</f>
        <v>3944867.35</v>
      </c>
      <c r="H5269" s="42">
        <v>211</v>
      </c>
    </row>
    <row r="5270" spans="1:8" ht="15" customHeight="1">
      <c r="A5270" s="26">
        <v>46670090</v>
      </c>
      <c r="B5270" s="29" t="s">
        <v>7503</v>
      </c>
      <c r="C5270" s="29" t="s">
        <v>21970</v>
      </c>
      <c r="D5270" s="29" t="s">
        <v>35200</v>
      </c>
      <c r="E5270" s="29" t="s">
        <v>48025</v>
      </c>
      <c r="F5270" s="36" t="s">
        <v>54401</v>
      </c>
      <c r="G5270" s="39">
        <v>12240.33</v>
      </c>
      <c r="H5270" s="42">
        <v>211</v>
      </c>
    </row>
    <row r="5271" spans="1:8" ht="15" customHeight="1">
      <c r="A5271" s="26">
        <v>46670140</v>
      </c>
      <c r="B5271" s="29" t="s">
        <v>7504</v>
      </c>
      <c r="C5271" s="29" t="s">
        <v>21971</v>
      </c>
      <c r="D5271" s="29" t="s">
        <v>30376</v>
      </c>
      <c r="E5271" s="29" t="s">
        <v>43926</v>
      </c>
      <c r="F5271" s="36" t="s">
        <v>54401</v>
      </c>
      <c r="G5271" s="39">
        <v>313223.82</v>
      </c>
      <c r="H5271" s="42">
        <v>211</v>
      </c>
    </row>
    <row r="5272" spans="1:8" ht="15" customHeight="1">
      <c r="A5272" s="26">
        <v>46670203</v>
      </c>
      <c r="B5272" s="29" t="s">
        <v>7505</v>
      </c>
      <c r="C5272" s="29" t="s">
        <v>21972</v>
      </c>
      <c r="D5272" s="29" t="s">
        <v>35201</v>
      </c>
      <c r="E5272" s="29" t="s">
        <v>48026</v>
      </c>
      <c r="F5272" s="36" t="s">
        <v>54401</v>
      </c>
      <c r="G5272" s="39">
        <v>6201541.2699999996</v>
      </c>
      <c r="H5272" s="42">
        <v>211</v>
      </c>
    </row>
    <row r="5273" spans="1:8" ht="15" customHeight="1">
      <c r="A5273" s="26">
        <v>46670211</v>
      </c>
      <c r="B5273" s="29" t="s">
        <v>7506</v>
      </c>
      <c r="C5273" s="29" t="s">
        <v>21973</v>
      </c>
      <c r="D5273" s="29" t="s">
        <v>35202</v>
      </c>
      <c r="E5273" s="29" t="s">
        <v>48027</v>
      </c>
      <c r="F5273" s="36" t="s">
        <v>54401</v>
      </c>
      <c r="G5273" s="39">
        <f>2513327.58-294379</f>
        <v>2218948.58</v>
      </c>
      <c r="H5273" s="42">
        <v>211</v>
      </c>
    </row>
    <row r="5274" spans="1:8" ht="15" customHeight="1">
      <c r="A5274" s="26">
        <v>46670221</v>
      </c>
      <c r="B5274" s="29" t="s">
        <v>7507</v>
      </c>
      <c r="C5274" s="29" t="s">
        <v>17204</v>
      </c>
      <c r="D5274" s="29" t="s">
        <v>30349</v>
      </c>
      <c r="E5274" s="29" t="s">
        <v>43926</v>
      </c>
      <c r="F5274" s="36" t="s">
        <v>54401</v>
      </c>
      <c r="G5274" s="39">
        <v>87603.41</v>
      </c>
      <c r="H5274" s="42">
        <v>211</v>
      </c>
    </row>
    <row r="5275" spans="1:8" ht="15" customHeight="1">
      <c r="A5275" s="26">
        <v>46670228</v>
      </c>
      <c r="B5275" s="29" t="s">
        <v>7508</v>
      </c>
      <c r="C5275" s="29" t="s">
        <v>21974</v>
      </c>
      <c r="D5275" s="29" t="s">
        <v>35203</v>
      </c>
      <c r="E5275" s="29" t="s">
        <v>48028</v>
      </c>
      <c r="F5275" s="36" t="s">
        <v>54450</v>
      </c>
      <c r="G5275" s="39">
        <v>463200</v>
      </c>
      <c r="H5275" s="42">
        <v>211</v>
      </c>
    </row>
    <row r="5276" spans="1:8" ht="15" customHeight="1">
      <c r="A5276" s="26">
        <v>46670260</v>
      </c>
      <c r="B5276" s="29" t="s">
        <v>7509</v>
      </c>
      <c r="C5276" s="29" t="s">
        <v>21975</v>
      </c>
      <c r="D5276" s="29" t="s">
        <v>35204</v>
      </c>
      <c r="E5276" s="29" t="s">
        <v>48029</v>
      </c>
      <c r="F5276" s="36" t="s">
        <v>54401</v>
      </c>
      <c r="G5276" s="39">
        <v>932830.95</v>
      </c>
      <c r="H5276" s="42">
        <v>211</v>
      </c>
    </row>
    <row r="5277" spans="1:8" ht="15" customHeight="1">
      <c r="A5277" s="26">
        <v>46670261</v>
      </c>
      <c r="B5277" s="29" t="s">
        <v>7510</v>
      </c>
      <c r="C5277" s="29" t="s">
        <v>21976</v>
      </c>
      <c r="D5277" s="29" t="s">
        <v>35205</v>
      </c>
      <c r="E5277" s="29" t="s">
        <v>48030</v>
      </c>
      <c r="F5277" s="36" t="s">
        <v>54401</v>
      </c>
      <c r="G5277" s="39">
        <v>63136.9</v>
      </c>
      <c r="H5277" s="42">
        <v>211</v>
      </c>
    </row>
    <row r="5278" spans="1:8" ht="15" customHeight="1">
      <c r="A5278" s="26">
        <v>46670267</v>
      </c>
      <c r="B5278" s="29" t="s">
        <v>7511</v>
      </c>
      <c r="C5278" s="29" t="s">
        <v>21977</v>
      </c>
      <c r="D5278" s="29" t="s">
        <v>35206</v>
      </c>
      <c r="E5278" s="29" t="s">
        <v>48031</v>
      </c>
      <c r="F5278" s="36" t="s">
        <v>54401</v>
      </c>
      <c r="G5278" s="39">
        <v>2138601.2000000002</v>
      </c>
      <c r="H5278" s="42">
        <v>211</v>
      </c>
    </row>
    <row r="5279" spans="1:8" ht="15" customHeight="1">
      <c r="A5279" s="26">
        <v>46670270</v>
      </c>
      <c r="B5279" s="29" t="s">
        <v>7512</v>
      </c>
      <c r="C5279" s="26" t="s">
        <v>17204</v>
      </c>
      <c r="D5279" s="26" t="s">
        <v>30349</v>
      </c>
      <c r="E5279" s="26" t="s">
        <v>43926</v>
      </c>
      <c r="F5279" s="37" t="s">
        <v>54401</v>
      </c>
      <c r="G5279" s="39">
        <v>135453.66</v>
      </c>
      <c r="H5279" s="42">
        <v>211</v>
      </c>
    </row>
    <row r="5280" spans="1:8" ht="15" customHeight="1">
      <c r="A5280" s="26">
        <v>46670277</v>
      </c>
      <c r="B5280" s="29" t="s">
        <v>7513</v>
      </c>
      <c r="C5280" s="29" t="s">
        <v>21978</v>
      </c>
      <c r="D5280" s="29" t="s">
        <v>35207</v>
      </c>
      <c r="E5280" s="29" t="s">
        <v>44802</v>
      </c>
      <c r="F5280" s="36" t="s">
        <v>54401</v>
      </c>
      <c r="G5280" s="39">
        <f>764018+1268499</f>
        <v>2032517</v>
      </c>
      <c r="H5280" s="42">
        <v>211</v>
      </c>
    </row>
    <row r="5281" spans="1:8" ht="15" customHeight="1">
      <c r="A5281" s="26">
        <v>46670292</v>
      </c>
      <c r="B5281" s="29" t="s">
        <v>7514</v>
      </c>
      <c r="C5281" s="29" t="s">
        <v>21979</v>
      </c>
      <c r="D5281" s="29" t="s">
        <v>35208</v>
      </c>
      <c r="E5281" s="29" t="s">
        <v>48032</v>
      </c>
      <c r="F5281" s="36" t="s">
        <v>54401</v>
      </c>
      <c r="G5281" s="39">
        <f>4487106.91+36588</f>
        <v>4523694.91</v>
      </c>
      <c r="H5281" s="42">
        <v>211</v>
      </c>
    </row>
    <row r="5282" spans="1:8" ht="15" customHeight="1">
      <c r="A5282" s="26">
        <v>46670293</v>
      </c>
      <c r="B5282" s="29" t="s">
        <v>7515</v>
      </c>
      <c r="C5282" s="29" t="s">
        <v>21980</v>
      </c>
      <c r="D5282" s="29" t="s">
        <v>35209</v>
      </c>
      <c r="E5282" s="29" t="s">
        <v>45321</v>
      </c>
      <c r="F5282" s="36" t="s">
        <v>54401</v>
      </c>
      <c r="G5282" s="39">
        <f>2876195.78+1042975</f>
        <v>3919170.78</v>
      </c>
      <c r="H5282" s="42">
        <v>211</v>
      </c>
    </row>
    <row r="5283" spans="1:8" ht="15" customHeight="1">
      <c r="A5283" s="26">
        <v>46670306</v>
      </c>
      <c r="B5283" s="29" t="s">
        <v>7516</v>
      </c>
      <c r="C5283" s="29" t="s">
        <v>21981</v>
      </c>
      <c r="D5283" s="29" t="s">
        <v>35210</v>
      </c>
      <c r="E5283" s="29" t="s">
        <v>48033</v>
      </c>
      <c r="F5283" s="36" t="s">
        <v>54401</v>
      </c>
      <c r="G5283" s="39">
        <v>3670792.41</v>
      </c>
      <c r="H5283" s="42">
        <v>211</v>
      </c>
    </row>
    <row r="5284" spans="1:8" ht="15" customHeight="1">
      <c r="A5284" s="26">
        <v>46670307</v>
      </c>
      <c r="B5284" s="29" t="s">
        <v>7517</v>
      </c>
      <c r="C5284" s="29" t="s">
        <v>21982</v>
      </c>
      <c r="D5284" s="29" t="s">
        <v>35211</v>
      </c>
      <c r="E5284" s="29" t="s">
        <v>44452</v>
      </c>
      <c r="F5284" s="36" t="s">
        <v>54401</v>
      </c>
      <c r="G5284" s="39">
        <v>2550292.1800000002</v>
      </c>
      <c r="H5284" s="42">
        <v>211</v>
      </c>
    </row>
    <row r="5285" spans="1:8" ht="15" customHeight="1">
      <c r="A5285" s="26">
        <v>46670333</v>
      </c>
      <c r="B5285" s="29" t="s">
        <v>7518</v>
      </c>
      <c r="C5285" s="29" t="s">
        <v>17204</v>
      </c>
      <c r="D5285" s="29" t="s">
        <v>30349</v>
      </c>
      <c r="E5285" s="29" t="s">
        <v>43926</v>
      </c>
      <c r="F5285" s="36" t="s">
        <v>54401</v>
      </c>
      <c r="G5285" s="39">
        <v>226745.11</v>
      </c>
      <c r="H5285" s="42">
        <v>211</v>
      </c>
    </row>
    <row r="5286" spans="1:8" ht="15" customHeight="1">
      <c r="A5286" s="26">
        <v>46670359</v>
      </c>
      <c r="B5286" s="29" t="s">
        <v>7519</v>
      </c>
      <c r="C5286" s="29" t="s">
        <v>21983</v>
      </c>
      <c r="D5286" s="29" t="s">
        <v>35212</v>
      </c>
      <c r="E5286" s="29" t="s">
        <v>48034</v>
      </c>
      <c r="F5286" s="36" t="s">
        <v>54401</v>
      </c>
      <c r="G5286" s="39">
        <v>498326.04</v>
      </c>
      <c r="H5286" s="42">
        <v>211</v>
      </c>
    </row>
    <row r="5287" spans="1:8" ht="15" customHeight="1">
      <c r="A5287" s="26">
        <v>46670362</v>
      </c>
      <c r="B5287" s="29" t="s">
        <v>7520</v>
      </c>
      <c r="C5287" s="29" t="s">
        <v>21984</v>
      </c>
      <c r="D5287" s="29" t="s">
        <v>35213</v>
      </c>
      <c r="E5287" s="29" t="s">
        <v>48035</v>
      </c>
      <c r="F5287" s="36" t="s">
        <v>54401</v>
      </c>
      <c r="G5287" s="39">
        <v>344631.47</v>
      </c>
      <c r="H5287" s="42">
        <v>211</v>
      </c>
    </row>
    <row r="5288" spans="1:8" ht="15" customHeight="1">
      <c r="A5288" s="26">
        <v>46670376</v>
      </c>
      <c r="B5288" s="29" t="s">
        <v>7521</v>
      </c>
      <c r="C5288" s="29" t="s">
        <v>21985</v>
      </c>
      <c r="D5288" s="29" t="s">
        <v>35214</v>
      </c>
      <c r="E5288" s="29" t="s">
        <v>48036</v>
      </c>
      <c r="F5288" s="36" t="s">
        <v>54401</v>
      </c>
      <c r="G5288" s="39">
        <f>2069950+3947601</f>
        <v>6017551</v>
      </c>
      <c r="H5288" s="42">
        <v>211</v>
      </c>
    </row>
    <row r="5289" spans="1:8" ht="15" customHeight="1">
      <c r="A5289" s="26">
        <v>46670382</v>
      </c>
      <c r="B5289" s="29" t="s">
        <v>7522</v>
      </c>
      <c r="C5289" s="29" t="s">
        <v>21986</v>
      </c>
      <c r="D5289" s="29" t="s">
        <v>35215</v>
      </c>
      <c r="E5289" s="29" t="s">
        <v>44439</v>
      </c>
      <c r="F5289" s="36" t="s">
        <v>54401</v>
      </c>
      <c r="G5289" s="39">
        <v>96748.71</v>
      </c>
      <c r="H5289" s="42">
        <v>211</v>
      </c>
    </row>
    <row r="5290" spans="1:8" ht="15" customHeight="1">
      <c r="A5290" s="26">
        <v>46670392</v>
      </c>
      <c r="B5290" s="29" t="s">
        <v>7523</v>
      </c>
      <c r="C5290" s="29" t="s">
        <v>21987</v>
      </c>
      <c r="D5290" s="29" t="s">
        <v>35216</v>
      </c>
      <c r="E5290" s="29" t="s">
        <v>48037</v>
      </c>
      <c r="F5290" s="36" t="s">
        <v>54401</v>
      </c>
      <c r="G5290" s="39">
        <v>3303957.36</v>
      </c>
      <c r="H5290" s="42">
        <v>211</v>
      </c>
    </row>
    <row r="5291" spans="1:8" ht="15" customHeight="1">
      <c r="A5291" s="26">
        <v>46670405</v>
      </c>
      <c r="B5291" s="29" t="s">
        <v>7524</v>
      </c>
      <c r="C5291" s="29" t="s">
        <v>21988</v>
      </c>
      <c r="D5291" s="29" t="s">
        <v>35217</v>
      </c>
      <c r="E5291" s="29" t="s">
        <v>43926</v>
      </c>
      <c r="F5291" s="36" t="s">
        <v>54401</v>
      </c>
      <c r="G5291" s="39">
        <v>37800.89</v>
      </c>
      <c r="H5291" s="42">
        <v>211</v>
      </c>
    </row>
    <row r="5292" spans="1:8" ht="15" customHeight="1">
      <c r="A5292" s="26">
        <v>46670413</v>
      </c>
      <c r="B5292" s="29" t="s">
        <v>7525</v>
      </c>
      <c r="C5292" s="29" t="s">
        <v>21989</v>
      </c>
      <c r="D5292" s="29" t="s">
        <v>35218</v>
      </c>
      <c r="E5292" s="29" t="s">
        <v>48038</v>
      </c>
      <c r="F5292" s="36" t="s">
        <v>54401</v>
      </c>
      <c r="G5292" s="39">
        <v>1877065.09</v>
      </c>
      <c r="H5292" s="42">
        <v>211</v>
      </c>
    </row>
    <row r="5293" spans="1:8" ht="15" customHeight="1">
      <c r="A5293" s="26">
        <v>46670415</v>
      </c>
      <c r="B5293" s="29" t="s">
        <v>7526</v>
      </c>
      <c r="C5293" s="29" t="s">
        <v>21990</v>
      </c>
      <c r="D5293" s="29" t="s">
        <v>35219</v>
      </c>
      <c r="E5293" s="29" t="s">
        <v>48039</v>
      </c>
      <c r="F5293" s="36" t="s">
        <v>54401</v>
      </c>
      <c r="G5293" s="39">
        <f>3861295.83+1889565+29924</f>
        <v>5780784.8300000001</v>
      </c>
      <c r="H5293" s="42">
        <v>211</v>
      </c>
    </row>
    <row r="5294" spans="1:8" ht="15" customHeight="1">
      <c r="A5294" s="26">
        <v>46670430</v>
      </c>
      <c r="B5294" s="29" t="s">
        <v>7527</v>
      </c>
      <c r="C5294" s="29" t="s">
        <v>17870</v>
      </c>
      <c r="D5294" s="29" t="s">
        <v>35220</v>
      </c>
      <c r="E5294" s="29" t="s">
        <v>44531</v>
      </c>
      <c r="F5294" s="36" t="s">
        <v>54401</v>
      </c>
      <c r="G5294" s="39">
        <f>1043603.97+111034</f>
        <v>1154637.97</v>
      </c>
      <c r="H5294" s="42">
        <v>211</v>
      </c>
    </row>
    <row r="5295" spans="1:8" ht="15" customHeight="1">
      <c r="A5295" s="26">
        <v>46670453</v>
      </c>
      <c r="B5295" s="29" t="s">
        <v>7528</v>
      </c>
      <c r="C5295" s="29" t="s">
        <v>21991</v>
      </c>
      <c r="D5295" s="29" t="s">
        <v>35221</v>
      </c>
      <c r="E5295" s="29" t="s">
        <v>48040</v>
      </c>
      <c r="F5295" s="36" t="s">
        <v>54401</v>
      </c>
      <c r="G5295" s="39">
        <v>513809.06</v>
      </c>
      <c r="H5295" s="42">
        <v>211</v>
      </c>
    </row>
    <row r="5296" spans="1:8" ht="15" customHeight="1">
      <c r="A5296" s="26">
        <v>46670458</v>
      </c>
      <c r="B5296" s="29" t="s">
        <v>7529</v>
      </c>
      <c r="C5296" s="29" t="s">
        <v>21992</v>
      </c>
      <c r="D5296" s="29" t="s">
        <v>35222</v>
      </c>
      <c r="E5296" s="29" t="s">
        <v>48041</v>
      </c>
      <c r="F5296" s="36" t="s">
        <v>54401</v>
      </c>
      <c r="G5296" s="39">
        <v>6307570.2000000002</v>
      </c>
      <c r="H5296" s="42">
        <v>211</v>
      </c>
    </row>
    <row r="5297" spans="1:8" ht="15" customHeight="1">
      <c r="A5297" s="26">
        <v>46670459</v>
      </c>
      <c r="B5297" s="29" t="s">
        <v>7530</v>
      </c>
      <c r="C5297" s="29" t="s">
        <v>21993</v>
      </c>
      <c r="D5297" s="29" t="s">
        <v>35223</v>
      </c>
      <c r="E5297" s="29" t="s">
        <v>48042</v>
      </c>
      <c r="F5297" s="36" t="s">
        <v>54401</v>
      </c>
      <c r="G5297" s="39">
        <v>1458084.56</v>
      </c>
      <c r="H5297" s="42">
        <v>211</v>
      </c>
    </row>
    <row r="5298" spans="1:8" ht="15" customHeight="1">
      <c r="A5298" s="26">
        <v>46670475</v>
      </c>
      <c r="B5298" s="29" t="s">
        <v>7531</v>
      </c>
      <c r="C5298" s="26" t="s">
        <v>21994</v>
      </c>
      <c r="D5298" s="26" t="s">
        <v>35224</v>
      </c>
      <c r="E5298" s="26" t="s">
        <v>48043</v>
      </c>
      <c r="F5298" s="37" t="s">
        <v>54401</v>
      </c>
      <c r="G5298" s="39">
        <f>146710+532621+19720</f>
        <v>699051</v>
      </c>
      <c r="H5298" s="42">
        <v>211</v>
      </c>
    </row>
    <row r="5299" spans="1:8" ht="15" customHeight="1">
      <c r="A5299" s="26">
        <v>46670489</v>
      </c>
      <c r="B5299" s="29" t="s">
        <v>7532</v>
      </c>
      <c r="C5299" s="29" t="s">
        <v>21995</v>
      </c>
      <c r="D5299" s="29" t="s">
        <v>35225</v>
      </c>
      <c r="E5299" s="29" t="s">
        <v>48044</v>
      </c>
      <c r="F5299" s="36" t="s">
        <v>54401</v>
      </c>
      <c r="G5299" s="39">
        <v>89936.12</v>
      </c>
      <c r="H5299" s="42">
        <v>211</v>
      </c>
    </row>
    <row r="5300" spans="1:8" ht="15" customHeight="1">
      <c r="A5300" s="26">
        <v>46670509</v>
      </c>
      <c r="B5300" s="29" t="s">
        <v>7533</v>
      </c>
      <c r="C5300" s="29" t="s">
        <v>21996</v>
      </c>
      <c r="D5300" s="29" t="s">
        <v>35226</v>
      </c>
      <c r="E5300" s="29" t="s">
        <v>48045</v>
      </c>
      <c r="F5300" s="36" t="s">
        <v>54401</v>
      </c>
      <c r="G5300" s="39">
        <f>3679892.08+434404</f>
        <v>4114296.08</v>
      </c>
      <c r="H5300" s="42">
        <v>211</v>
      </c>
    </row>
    <row r="5301" spans="1:8" ht="15" customHeight="1">
      <c r="A5301" s="26">
        <v>46670541</v>
      </c>
      <c r="B5301" s="29" t="s">
        <v>7534</v>
      </c>
      <c r="C5301" s="29" t="s">
        <v>21997</v>
      </c>
      <c r="D5301" s="29" t="s">
        <v>35227</v>
      </c>
      <c r="E5301" s="29" t="s">
        <v>48046</v>
      </c>
      <c r="F5301" s="36" t="s">
        <v>54401</v>
      </c>
      <c r="G5301" s="39">
        <v>234702.45</v>
      </c>
      <c r="H5301" s="42">
        <v>211</v>
      </c>
    </row>
    <row r="5302" spans="1:8" ht="15" customHeight="1">
      <c r="A5302" s="26">
        <v>46670550</v>
      </c>
      <c r="B5302" s="29" t="s">
        <v>7535</v>
      </c>
      <c r="C5302" s="29" t="s">
        <v>21998</v>
      </c>
      <c r="D5302" s="29" t="s">
        <v>35228</v>
      </c>
      <c r="E5302" s="29" t="s">
        <v>48047</v>
      </c>
      <c r="F5302" s="36" t="s">
        <v>54401</v>
      </c>
      <c r="G5302" s="39">
        <v>142059.70000000001</v>
      </c>
      <c r="H5302" s="42">
        <v>211</v>
      </c>
    </row>
    <row r="5303" spans="1:8" ht="15" customHeight="1">
      <c r="A5303" s="26">
        <v>46670551</v>
      </c>
      <c r="B5303" s="29" t="s">
        <v>7536</v>
      </c>
      <c r="C5303" s="29" t="s">
        <v>21999</v>
      </c>
      <c r="D5303" s="29" t="s">
        <v>35229</v>
      </c>
      <c r="E5303" s="29" t="s">
        <v>48048</v>
      </c>
      <c r="F5303" s="36" t="s">
        <v>54401</v>
      </c>
      <c r="G5303" s="39">
        <f>1869833.98+420184</f>
        <v>2290017.98</v>
      </c>
      <c r="H5303" s="42">
        <v>211</v>
      </c>
    </row>
    <row r="5304" spans="1:8" ht="15" customHeight="1">
      <c r="A5304" s="26">
        <v>46670561</v>
      </c>
      <c r="B5304" s="29" t="s">
        <v>7537</v>
      </c>
      <c r="C5304" s="29" t="s">
        <v>22000</v>
      </c>
      <c r="D5304" s="29" t="s">
        <v>35230</v>
      </c>
      <c r="E5304" s="29" t="s">
        <v>48049</v>
      </c>
      <c r="F5304" s="36" t="s">
        <v>54401</v>
      </c>
      <c r="G5304" s="39">
        <v>1232425</v>
      </c>
      <c r="H5304" s="42">
        <v>211</v>
      </c>
    </row>
    <row r="5305" spans="1:8" ht="15" customHeight="1">
      <c r="A5305" s="26">
        <v>46670563</v>
      </c>
      <c r="B5305" s="29" t="s">
        <v>7538</v>
      </c>
      <c r="C5305" s="29" t="s">
        <v>22001</v>
      </c>
      <c r="D5305" s="29" t="s">
        <v>35231</v>
      </c>
      <c r="E5305" s="29" t="s">
        <v>48050</v>
      </c>
      <c r="F5305" s="36" t="s">
        <v>54401</v>
      </c>
      <c r="G5305" s="39">
        <v>5996422.2800000003</v>
      </c>
      <c r="H5305" s="42">
        <v>211</v>
      </c>
    </row>
    <row r="5306" spans="1:8" ht="15" customHeight="1">
      <c r="A5306" s="26">
        <v>46670566</v>
      </c>
      <c r="B5306" s="29" t="s">
        <v>7539</v>
      </c>
      <c r="C5306" s="29" t="s">
        <v>22002</v>
      </c>
      <c r="D5306" s="29" t="s">
        <v>35232</v>
      </c>
      <c r="E5306" s="29" t="s">
        <v>48051</v>
      </c>
      <c r="F5306" s="36" t="s">
        <v>54401</v>
      </c>
      <c r="G5306" s="39">
        <v>325902.42</v>
      </c>
      <c r="H5306" s="42">
        <v>211</v>
      </c>
    </row>
    <row r="5307" spans="1:8" ht="15" customHeight="1">
      <c r="A5307" s="26">
        <v>46670594</v>
      </c>
      <c r="B5307" s="29" t="s">
        <v>7540</v>
      </c>
      <c r="C5307" s="29" t="s">
        <v>22003</v>
      </c>
      <c r="D5307" s="29" t="s">
        <v>35233</v>
      </c>
      <c r="E5307" s="29" t="s">
        <v>48052</v>
      </c>
      <c r="F5307" s="36" t="s">
        <v>54401</v>
      </c>
      <c r="G5307" s="39">
        <v>228716.57</v>
      </c>
      <c r="H5307" s="42">
        <v>211</v>
      </c>
    </row>
    <row r="5308" spans="1:8" ht="15" customHeight="1">
      <c r="A5308" s="26">
        <v>46670604</v>
      </c>
      <c r="B5308" s="29" t="s">
        <v>7541</v>
      </c>
      <c r="C5308" s="29" t="s">
        <v>17204</v>
      </c>
      <c r="D5308" s="29" t="s">
        <v>35234</v>
      </c>
      <c r="E5308" s="29" t="s">
        <v>43926</v>
      </c>
      <c r="F5308" s="36" t="s">
        <v>54401</v>
      </c>
      <c r="G5308" s="39">
        <f>821374.81+67072+166019</f>
        <v>1054465.81</v>
      </c>
      <c r="H5308" s="42">
        <v>211</v>
      </c>
    </row>
    <row r="5309" spans="1:8" ht="15" customHeight="1">
      <c r="A5309" s="26">
        <v>46670624</v>
      </c>
      <c r="B5309" s="29" t="s">
        <v>7542</v>
      </c>
      <c r="C5309" s="26" t="s">
        <v>17204</v>
      </c>
      <c r="D5309" s="26" t="s">
        <v>35235</v>
      </c>
      <c r="E5309" s="26" t="s">
        <v>43926</v>
      </c>
      <c r="F5309" s="37" t="s">
        <v>54401</v>
      </c>
      <c r="G5309" s="39">
        <v>921799.24</v>
      </c>
      <c r="H5309" s="42">
        <v>211</v>
      </c>
    </row>
    <row r="5310" spans="1:8" ht="15" customHeight="1">
      <c r="A5310" s="26">
        <v>46670637</v>
      </c>
      <c r="B5310" s="29" t="s">
        <v>7543</v>
      </c>
      <c r="C5310" s="29" t="s">
        <v>22004</v>
      </c>
      <c r="D5310" s="29" t="s">
        <v>35236</v>
      </c>
      <c r="E5310" s="29" t="s">
        <v>48053</v>
      </c>
      <c r="F5310" s="36" t="s">
        <v>54401</v>
      </c>
      <c r="G5310" s="39">
        <v>81923.7</v>
      </c>
      <c r="H5310" s="42">
        <v>211</v>
      </c>
    </row>
    <row r="5311" spans="1:8" ht="15" customHeight="1">
      <c r="A5311" s="26">
        <v>46670666</v>
      </c>
      <c r="B5311" s="29" t="s">
        <v>7544</v>
      </c>
      <c r="C5311" s="29" t="s">
        <v>22005</v>
      </c>
      <c r="D5311" s="29" t="s">
        <v>35237</v>
      </c>
      <c r="E5311" s="29" t="s">
        <v>48054</v>
      </c>
      <c r="F5311" s="36" t="s">
        <v>54401</v>
      </c>
      <c r="G5311" s="39">
        <v>1809191.81</v>
      </c>
      <c r="H5311" s="42">
        <v>211</v>
      </c>
    </row>
    <row r="5312" spans="1:8" ht="15" customHeight="1">
      <c r="A5312" s="26">
        <v>46670675</v>
      </c>
      <c r="B5312" s="29" t="s">
        <v>7545</v>
      </c>
      <c r="C5312" s="29" t="s">
        <v>22006</v>
      </c>
      <c r="D5312" s="29" t="s">
        <v>35238</v>
      </c>
      <c r="E5312" s="29" t="s">
        <v>48055</v>
      </c>
      <c r="F5312" s="36" t="s">
        <v>54423</v>
      </c>
      <c r="G5312" s="39">
        <v>348769.86</v>
      </c>
      <c r="H5312" s="42">
        <v>211</v>
      </c>
    </row>
    <row r="5313" spans="1:8" ht="15" customHeight="1">
      <c r="A5313" s="26">
        <v>46670683</v>
      </c>
      <c r="B5313" s="29" t="s">
        <v>7546</v>
      </c>
      <c r="C5313" s="29" t="s">
        <v>22007</v>
      </c>
      <c r="D5313" s="29" t="s">
        <v>35239</v>
      </c>
      <c r="E5313" s="29" t="s">
        <v>48056</v>
      </c>
      <c r="F5313" s="36" t="s">
        <v>54401</v>
      </c>
      <c r="G5313" s="39">
        <v>193331.98</v>
      </c>
      <c r="H5313" s="42">
        <v>211</v>
      </c>
    </row>
    <row r="5314" spans="1:8" ht="15" customHeight="1">
      <c r="A5314" s="26">
        <v>46670697</v>
      </c>
      <c r="B5314" s="29" t="s">
        <v>7547</v>
      </c>
      <c r="C5314" s="29" t="s">
        <v>22008</v>
      </c>
      <c r="D5314" s="29" t="s">
        <v>35240</v>
      </c>
      <c r="E5314" s="29" t="s">
        <v>48057</v>
      </c>
      <c r="F5314" s="36" t="s">
        <v>54401</v>
      </c>
      <c r="G5314" s="39">
        <v>2559883.48</v>
      </c>
      <c r="H5314" s="42">
        <v>211</v>
      </c>
    </row>
    <row r="5315" spans="1:8" ht="15" customHeight="1">
      <c r="A5315" s="26">
        <v>46670742</v>
      </c>
      <c r="B5315" s="29" t="s">
        <v>7548</v>
      </c>
      <c r="C5315" s="29" t="s">
        <v>22009</v>
      </c>
      <c r="D5315" s="29" t="s">
        <v>35241</v>
      </c>
      <c r="E5315" s="29" t="s">
        <v>44215</v>
      </c>
      <c r="F5315" s="36" t="s">
        <v>54401</v>
      </c>
      <c r="G5315" s="39">
        <v>656462.46</v>
      </c>
      <c r="H5315" s="42">
        <v>211</v>
      </c>
    </row>
    <row r="5316" spans="1:8" ht="15" customHeight="1">
      <c r="A5316" s="26">
        <v>46670745</v>
      </c>
      <c r="B5316" s="29" t="s">
        <v>7549</v>
      </c>
      <c r="C5316" s="29" t="s">
        <v>22010</v>
      </c>
      <c r="D5316" s="29" t="s">
        <v>35242</v>
      </c>
      <c r="E5316" s="29" t="s">
        <v>48058</v>
      </c>
      <c r="F5316" s="36" t="s">
        <v>54401</v>
      </c>
      <c r="G5316" s="39">
        <v>282724.07</v>
      </c>
      <c r="H5316" s="42">
        <v>211</v>
      </c>
    </row>
    <row r="5317" spans="1:8" ht="15" customHeight="1">
      <c r="A5317" s="26">
        <v>46670747</v>
      </c>
      <c r="B5317" s="29" t="s">
        <v>7550</v>
      </c>
      <c r="C5317" s="29" t="s">
        <v>22011</v>
      </c>
      <c r="D5317" s="29" t="s">
        <v>35243</v>
      </c>
      <c r="E5317" s="29" t="s">
        <v>48059</v>
      </c>
      <c r="F5317" s="36" t="s">
        <v>54401</v>
      </c>
      <c r="G5317" s="39">
        <f>4465790.85-276806+664215</f>
        <v>4853199.8499999996</v>
      </c>
      <c r="H5317" s="42">
        <v>211</v>
      </c>
    </row>
    <row r="5318" spans="1:8" ht="15" customHeight="1">
      <c r="A5318" s="26">
        <v>46670751</v>
      </c>
      <c r="B5318" s="29" t="s">
        <v>7551</v>
      </c>
      <c r="C5318" s="29" t="s">
        <v>22012</v>
      </c>
      <c r="D5318" s="29" t="s">
        <v>35244</v>
      </c>
      <c r="E5318" s="29" t="s">
        <v>48060</v>
      </c>
      <c r="F5318" s="36" t="s">
        <v>54401</v>
      </c>
      <c r="G5318" s="39">
        <v>209431.98</v>
      </c>
      <c r="H5318" s="42">
        <v>211</v>
      </c>
    </row>
    <row r="5319" spans="1:8" ht="15" customHeight="1">
      <c r="A5319" s="26">
        <v>46670758</v>
      </c>
      <c r="B5319" s="29" t="s">
        <v>7552</v>
      </c>
      <c r="C5319" s="29" t="s">
        <v>22013</v>
      </c>
      <c r="D5319" s="29" t="s">
        <v>35245</v>
      </c>
      <c r="E5319" s="29" t="s">
        <v>48061</v>
      </c>
      <c r="F5319" s="36" t="s">
        <v>54401</v>
      </c>
      <c r="G5319" s="39">
        <v>8822603.9700000007</v>
      </c>
      <c r="H5319" s="42">
        <v>211</v>
      </c>
    </row>
    <row r="5320" spans="1:8" ht="15" customHeight="1">
      <c r="A5320" s="26">
        <v>46670768</v>
      </c>
      <c r="B5320" s="29" t="s">
        <v>7553</v>
      </c>
      <c r="C5320" s="29" t="s">
        <v>22014</v>
      </c>
      <c r="D5320" s="29" t="s">
        <v>35246</v>
      </c>
      <c r="E5320" s="29" t="s">
        <v>48062</v>
      </c>
      <c r="F5320" s="36" t="s">
        <v>54401</v>
      </c>
      <c r="G5320" s="39">
        <v>334815.25</v>
      </c>
      <c r="H5320" s="42">
        <v>211</v>
      </c>
    </row>
    <row r="5321" spans="1:8" ht="15" customHeight="1">
      <c r="A5321" s="26">
        <v>46670784</v>
      </c>
      <c r="B5321" s="29" t="s">
        <v>7554</v>
      </c>
      <c r="C5321" s="29" t="s">
        <v>22015</v>
      </c>
      <c r="D5321" s="29" t="s">
        <v>35247</v>
      </c>
      <c r="E5321" s="29" t="s">
        <v>48063</v>
      </c>
      <c r="F5321" s="36" t="s">
        <v>54401</v>
      </c>
      <c r="G5321" s="39">
        <v>430450.8</v>
      </c>
      <c r="H5321" s="42">
        <v>211</v>
      </c>
    </row>
    <row r="5322" spans="1:8" ht="15" customHeight="1">
      <c r="A5322" s="26">
        <v>46670807</v>
      </c>
      <c r="B5322" s="29" t="s">
        <v>7555</v>
      </c>
      <c r="C5322" s="29" t="s">
        <v>22016</v>
      </c>
      <c r="D5322" s="29" t="s">
        <v>35248</v>
      </c>
      <c r="E5322" s="29" t="s">
        <v>48064</v>
      </c>
      <c r="F5322" s="36" t="s">
        <v>54401</v>
      </c>
      <c r="G5322" s="39">
        <f>3727030.77-25070+2048943</f>
        <v>5750903.7699999996</v>
      </c>
      <c r="H5322" s="42">
        <v>211</v>
      </c>
    </row>
    <row r="5323" spans="1:8" ht="15" customHeight="1">
      <c r="A5323" s="26">
        <v>46670818</v>
      </c>
      <c r="B5323" s="29" t="s">
        <v>7556</v>
      </c>
      <c r="C5323" s="29" t="s">
        <v>22017</v>
      </c>
      <c r="D5323" s="29" t="s">
        <v>35249</v>
      </c>
      <c r="E5323" s="29" t="s">
        <v>43926</v>
      </c>
      <c r="F5323" s="36" t="s">
        <v>54401</v>
      </c>
      <c r="G5323" s="39">
        <v>194075.74</v>
      </c>
      <c r="H5323" s="42">
        <v>211</v>
      </c>
    </row>
    <row r="5324" spans="1:8" ht="15" customHeight="1">
      <c r="A5324" s="26">
        <v>46670832</v>
      </c>
      <c r="B5324" s="29" t="s">
        <v>7557</v>
      </c>
      <c r="C5324" s="29" t="s">
        <v>22018</v>
      </c>
      <c r="D5324" s="29" t="s">
        <v>35250</v>
      </c>
      <c r="E5324" s="29" t="s">
        <v>48065</v>
      </c>
      <c r="F5324" s="36" t="s">
        <v>54401</v>
      </c>
      <c r="G5324" s="39">
        <v>594488.04</v>
      </c>
      <c r="H5324" s="42">
        <v>211</v>
      </c>
    </row>
    <row r="5325" spans="1:8" ht="15" customHeight="1">
      <c r="A5325" s="26">
        <v>46670833</v>
      </c>
      <c r="B5325" s="29" t="s">
        <v>7558</v>
      </c>
      <c r="C5325" s="29" t="s">
        <v>22019</v>
      </c>
      <c r="D5325" s="29" t="s">
        <v>35251</v>
      </c>
      <c r="E5325" s="29" t="s">
        <v>48066</v>
      </c>
      <c r="F5325" s="36" t="s">
        <v>54401</v>
      </c>
      <c r="G5325" s="39">
        <v>159087.94</v>
      </c>
      <c r="H5325" s="42">
        <v>211</v>
      </c>
    </row>
    <row r="5326" spans="1:8" ht="15" customHeight="1">
      <c r="A5326" s="26">
        <v>46670842</v>
      </c>
      <c r="B5326" s="29" t="s">
        <v>7559</v>
      </c>
      <c r="C5326" s="29" t="s">
        <v>22020</v>
      </c>
      <c r="D5326" s="29" t="s">
        <v>35252</v>
      </c>
      <c r="E5326" s="29" t="s">
        <v>43926</v>
      </c>
      <c r="F5326" s="36" t="s">
        <v>54401</v>
      </c>
      <c r="G5326" s="39">
        <v>1376297.6</v>
      </c>
      <c r="H5326" s="42">
        <v>211</v>
      </c>
    </row>
    <row r="5327" spans="1:8" ht="15" customHeight="1">
      <c r="A5327" s="26">
        <v>46670844</v>
      </c>
      <c r="B5327" s="29" t="s">
        <v>7560</v>
      </c>
      <c r="C5327" s="29" t="s">
        <v>22021</v>
      </c>
      <c r="D5327" s="29" t="s">
        <v>35253</v>
      </c>
      <c r="E5327" s="29" t="s">
        <v>45950</v>
      </c>
      <c r="F5327" s="36" t="s">
        <v>54401</v>
      </c>
      <c r="G5327" s="39">
        <f>4506869.81+46605+23337</f>
        <v>4576811.8099999996</v>
      </c>
      <c r="H5327" s="42">
        <v>211</v>
      </c>
    </row>
    <row r="5328" spans="1:8" ht="15" customHeight="1">
      <c r="A5328" s="26">
        <v>46670847</v>
      </c>
      <c r="B5328" s="29" t="s">
        <v>7561</v>
      </c>
      <c r="C5328" s="26" t="s">
        <v>22022</v>
      </c>
      <c r="D5328" s="26" t="s">
        <v>35254</v>
      </c>
      <c r="E5328" s="26" t="s">
        <v>43926</v>
      </c>
      <c r="F5328" s="37" t="s">
        <v>54401</v>
      </c>
      <c r="G5328" s="39">
        <f>317835.4+1402205</f>
        <v>1720040.4</v>
      </c>
      <c r="H5328" s="42">
        <v>211</v>
      </c>
    </row>
    <row r="5329" spans="1:8" ht="15" customHeight="1">
      <c r="A5329" s="26">
        <v>46670852</v>
      </c>
      <c r="B5329" s="29" t="s">
        <v>7562</v>
      </c>
      <c r="C5329" s="29" t="s">
        <v>17204</v>
      </c>
      <c r="D5329" s="29" t="s">
        <v>30349</v>
      </c>
      <c r="E5329" s="29" t="s">
        <v>43926</v>
      </c>
      <c r="F5329" s="36" t="s">
        <v>54401</v>
      </c>
      <c r="G5329" s="39">
        <v>198257</v>
      </c>
      <c r="H5329" s="42">
        <v>211</v>
      </c>
    </row>
    <row r="5330" spans="1:8" ht="15" customHeight="1">
      <c r="A5330" s="26">
        <v>46670866</v>
      </c>
      <c r="B5330" s="29" t="s">
        <v>7563</v>
      </c>
      <c r="C5330" s="29" t="s">
        <v>22023</v>
      </c>
      <c r="D5330" s="29" t="s">
        <v>35255</v>
      </c>
      <c r="E5330" s="29" t="s">
        <v>48067</v>
      </c>
      <c r="F5330" s="36" t="s">
        <v>54401</v>
      </c>
      <c r="G5330" s="39">
        <f>2183286.12-24114</f>
        <v>2159172.12</v>
      </c>
      <c r="H5330" s="42">
        <v>211</v>
      </c>
    </row>
    <row r="5331" spans="1:8" ht="15" customHeight="1">
      <c r="A5331" s="26">
        <v>46670871</v>
      </c>
      <c r="B5331" s="29" t="s">
        <v>7564</v>
      </c>
      <c r="C5331" s="29" t="s">
        <v>17337</v>
      </c>
      <c r="D5331" s="29" t="s">
        <v>35256</v>
      </c>
      <c r="E5331" s="29" t="s">
        <v>43926</v>
      </c>
      <c r="F5331" s="36" t="s">
        <v>54401</v>
      </c>
      <c r="G5331" s="39">
        <v>193271.54</v>
      </c>
      <c r="H5331" s="42">
        <v>211</v>
      </c>
    </row>
    <row r="5332" spans="1:8" ht="15" customHeight="1">
      <c r="A5332" s="26">
        <v>46670872</v>
      </c>
      <c r="B5332" s="29" t="s">
        <v>7565</v>
      </c>
      <c r="C5332" s="29" t="s">
        <v>22024</v>
      </c>
      <c r="D5332" s="29" t="s">
        <v>35257</v>
      </c>
      <c r="E5332" s="29" t="s">
        <v>45786</v>
      </c>
      <c r="F5332" s="36" t="s">
        <v>54401</v>
      </c>
      <c r="G5332" s="39">
        <v>120765.9</v>
      </c>
      <c r="H5332" s="42">
        <v>211</v>
      </c>
    </row>
    <row r="5333" spans="1:8" ht="15" customHeight="1">
      <c r="A5333" s="26">
        <v>46670877</v>
      </c>
      <c r="B5333" s="29" t="s">
        <v>7566</v>
      </c>
      <c r="C5333" s="29" t="s">
        <v>22025</v>
      </c>
      <c r="D5333" s="29" t="s">
        <v>35258</v>
      </c>
      <c r="E5333" s="29" t="s">
        <v>43926</v>
      </c>
      <c r="F5333" s="36" t="s">
        <v>54401</v>
      </c>
      <c r="G5333" s="39">
        <v>2573216.2999999998</v>
      </c>
      <c r="H5333" s="42">
        <v>211</v>
      </c>
    </row>
    <row r="5334" spans="1:8" ht="15" customHeight="1">
      <c r="A5334" s="26">
        <v>46670898</v>
      </c>
      <c r="B5334" s="29" t="s">
        <v>7567</v>
      </c>
      <c r="C5334" s="29" t="s">
        <v>22026</v>
      </c>
      <c r="D5334" s="29" t="s">
        <v>35259</v>
      </c>
      <c r="E5334" s="29" t="s">
        <v>48068</v>
      </c>
      <c r="F5334" s="36" t="s">
        <v>54401</v>
      </c>
      <c r="G5334" s="39">
        <f>1139725.23+498880</f>
        <v>1638605.23</v>
      </c>
      <c r="H5334" s="42">
        <v>211</v>
      </c>
    </row>
    <row r="5335" spans="1:8" ht="15" customHeight="1">
      <c r="A5335" s="26">
        <v>46670899</v>
      </c>
      <c r="B5335" s="29" t="s">
        <v>7568</v>
      </c>
      <c r="C5335" s="29" t="s">
        <v>22027</v>
      </c>
      <c r="D5335" s="29" t="s">
        <v>35260</v>
      </c>
      <c r="E5335" s="29" t="s">
        <v>48069</v>
      </c>
      <c r="F5335" s="36" t="s">
        <v>54401</v>
      </c>
      <c r="G5335" s="39">
        <v>1990374.3999999999</v>
      </c>
      <c r="H5335" s="42">
        <v>211</v>
      </c>
    </row>
    <row r="5336" spans="1:8" ht="15" customHeight="1">
      <c r="A5336" s="26">
        <v>46670902</v>
      </c>
      <c r="B5336" s="29" t="s">
        <v>7569</v>
      </c>
      <c r="C5336" s="29" t="s">
        <v>22028</v>
      </c>
      <c r="D5336" s="29" t="s">
        <v>35261</v>
      </c>
      <c r="E5336" s="29" t="s">
        <v>48070</v>
      </c>
      <c r="F5336" s="36" t="s">
        <v>54401</v>
      </c>
      <c r="G5336" s="39">
        <v>2891314.36</v>
      </c>
      <c r="H5336" s="42">
        <v>211</v>
      </c>
    </row>
    <row r="5337" spans="1:8" ht="15" customHeight="1">
      <c r="A5337" s="26">
        <v>46670908</v>
      </c>
      <c r="B5337" s="29" t="s">
        <v>7570</v>
      </c>
      <c r="C5337" s="29" t="s">
        <v>22029</v>
      </c>
      <c r="D5337" s="29" t="s">
        <v>35262</v>
      </c>
      <c r="E5337" s="29" t="s">
        <v>48071</v>
      </c>
      <c r="F5337" s="36" t="s">
        <v>54401</v>
      </c>
      <c r="G5337" s="39">
        <v>509861.86</v>
      </c>
      <c r="H5337" s="42">
        <v>211</v>
      </c>
    </row>
    <row r="5338" spans="1:8" ht="15" customHeight="1">
      <c r="A5338" s="26">
        <v>46670919</v>
      </c>
      <c r="B5338" s="29" t="s">
        <v>7571</v>
      </c>
      <c r="C5338" s="29" t="s">
        <v>22030</v>
      </c>
      <c r="D5338" s="29" t="s">
        <v>35263</v>
      </c>
      <c r="E5338" s="29" t="s">
        <v>48072</v>
      </c>
      <c r="F5338" s="36" t="s">
        <v>54401</v>
      </c>
      <c r="G5338" s="39">
        <v>86635.66</v>
      </c>
      <c r="H5338" s="42">
        <v>211</v>
      </c>
    </row>
    <row r="5339" spans="1:8" ht="15" customHeight="1">
      <c r="A5339" s="26">
        <v>46670929</v>
      </c>
      <c r="B5339" s="29" t="s">
        <v>7572</v>
      </c>
      <c r="C5339" s="29" t="s">
        <v>22031</v>
      </c>
      <c r="D5339" s="29" t="s">
        <v>35264</v>
      </c>
      <c r="E5339" s="29" t="s">
        <v>44431</v>
      </c>
      <c r="F5339" s="36" t="s">
        <v>54401</v>
      </c>
      <c r="G5339" s="39">
        <v>765851.51</v>
      </c>
      <c r="H5339" s="42">
        <v>211</v>
      </c>
    </row>
    <row r="5340" spans="1:8" ht="15" customHeight="1">
      <c r="A5340" s="26">
        <v>46670934</v>
      </c>
      <c r="B5340" s="29" t="s">
        <v>7573</v>
      </c>
      <c r="C5340" s="29" t="s">
        <v>22032</v>
      </c>
      <c r="D5340" s="29" t="s">
        <v>35265</v>
      </c>
      <c r="E5340" s="29" t="s">
        <v>48073</v>
      </c>
      <c r="F5340" s="36" t="s">
        <v>54401</v>
      </c>
      <c r="G5340" s="39">
        <f>3574449.76+343389</f>
        <v>3917838.76</v>
      </c>
      <c r="H5340" s="42">
        <v>211</v>
      </c>
    </row>
    <row r="5341" spans="1:8" ht="15" customHeight="1">
      <c r="A5341" s="26">
        <v>46670949</v>
      </c>
      <c r="B5341" s="29" t="s">
        <v>7574</v>
      </c>
      <c r="C5341" s="29" t="s">
        <v>22033</v>
      </c>
      <c r="D5341" s="29" t="s">
        <v>35266</v>
      </c>
      <c r="E5341" s="29" t="s">
        <v>48074</v>
      </c>
      <c r="F5341" s="36" t="s">
        <v>54401</v>
      </c>
      <c r="G5341" s="39">
        <v>2911316.17</v>
      </c>
      <c r="H5341" s="42">
        <v>211</v>
      </c>
    </row>
    <row r="5342" spans="1:8" ht="15" customHeight="1">
      <c r="A5342" s="26">
        <v>46670963</v>
      </c>
      <c r="B5342" s="29" t="s">
        <v>7575</v>
      </c>
      <c r="C5342" s="29" t="s">
        <v>22034</v>
      </c>
      <c r="D5342" s="29" t="s">
        <v>35267</v>
      </c>
      <c r="E5342" s="29" t="s">
        <v>48075</v>
      </c>
      <c r="F5342" s="36" t="s">
        <v>54401</v>
      </c>
      <c r="G5342" s="39">
        <f>1085295.16+1128084</f>
        <v>2213379.16</v>
      </c>
      <c r="H5342" s="42">
        <v>211</v>
      </c>
    </row>
    <row r="5343" spans="1:8" ht="15" customHeight="1">
      <c r="A5343" s="26">
        <v>46671013</v>
      </c>
      <c r="B5343" s="29" t="s">
        <v>7576</v>
      </c>
      <c r="C5343" s="29" t="s">
        <v>22035</v>
      </c>
      <c r="D5343" s="29" t="s">
        <v>35268</v>
      </c>
      <c r="E5343" s="29" t="s">
        <v>48076</v>
      </c>
      <c r="F5343" s="36" t="s">
        <v>54401</v>
      </c>
      <c r="G5343" s="39">
        <f>411375.89+3318125+91568</f>
        <v>3821068.89</v>
      </c>
      <c r="H5343" s="42">
        <v>211</v>
      </c>
    </row>
    <row r="5344" spans="1:8" ht="15" customHeight="1">
      <c r="A5344" s="26">
        <v>46671018</v>
      </c>
      <c r="B5344" s="29" t="s">
        <v>7577</v>
      </c>
      <c r="C5344" s="29" t="s">
        <v>22036</v>
      </c>
      <c r="D5344" s="29" t="s">
        <v>35269</v>
      </c>
      <c r="E5344" s="29" t="s">
        <v>45369</v>
      </c>
      <c r="F5344" s="36" t="s">
        <v>54401</v>
      </c>
      <c r="G5344" s="39">
        <f>2424428.66+500878</f>
        <v>2925306.66</v>
      </c>
      <c r="H5344" s="42">
        <v>211</v>
      </c>
    </row>
    <row r="5345" spans="1:8" ht="15" customHeight="1">
      <c r="A5345" s="26">
        <v>46671025</v>
      </c>
      <c r="B5345" s="29" t="s">
        <v>7578</v>
      </c>
      <c r="C5345" s="29" t="s">
        <v>17204</v>
      </c>
      <c r="D5345" s="29" t="s">
        <v>30349</v>
      </c>
      <c r="E5345" s="29" t="s">
        <v>43926</v>
      </c>
      <c r="F5345" s="36" t="s">
        <v>54401</v>
      </c>
      <c r="G5345" s="39">
        <v>58036.56</v>
      </c>
      <c r="H5345" s="42">
        <v>211</v>
      </c>
    </row>
    <row r="5346" spans="1:8" ht="15" customHeight="1">
      <c r="A5346" s="26">
        <v>46671070</v>
      </c>
      <c r="B5346" s="29" t="s">
        <v>7579</v>
      </c>
      <c r="C5346" s="29" t="s">
        <v>22037</v>
      </c>
      <c r="D5346" s="29" t="s">
        <v>35270</v>
      </c>
      <c r="E5346" s="29" t="s">
        <v>48077</v>
      </c>
      <c r="F5346" s="36" t="s">
        <v>54401</v>
      </c>
      <c r="G5346" s="39">
        <v>6191117.8300000001</v>
      </c>
      <c r="H5346" s="42">
        <v>211</v>
      </c>
    </row>
    <row r="5347" spans="1:8" ht="15" customHeight="1">
      <c r="A5347" s="26">
        <v>46671078</v>
      </c>
      <c r="B5347" s="29" t="s">
        <v>7580</v>
      </c>
      <c r="C5347" s="26" t="s">
        <v>22038</v>
      </c>
      <c r="D5347" s="26" t="s">
        <v>30376</v>
      </c>
      <c r="E5347" s="26" t="s">
        <v>48078</v>
      </c>
      <c r="F5347" s="37" t="s">
        <v>54401</v>
      </c>
      <c r="G5347" s="39">
        <f>2305651.05+523113</f>
        <v>2828764.05</v>
      </c>
      <c r="H5347" s="42">
        <v>211</v>
      </c>
    </row>
    <row r="5348" spans="1:8" ht="15" customHeight="1">
      <c r="A5348" s="26">
        <v>46671091</v>
      </c>
      <c r="B5348" s="29" t="s">
        <v>7581</v>
      </c>
      <c r="C5348" s="26" t="s">
        <v>22039</v>
      </c>
      <c r="D5348" s="26" t="s">
        <v>35271</v>
      </c>
      <c r="E5348" s="26" t="s">
        <v>48079</v>
      </c>
      <c r="F5348" s="37" t="s">
        <v>54401</v>
      </c>
      <c r="G5348" s="39">
        <f>22537806.98-24957</f>
        <v>22512849.98</v>
      </c>
      <c r="H5348" s="42">
        <v>211</v>
      </c>
    </row>
    <row r="5349" spans="1:8" ht="15" customHeight="1">
      <c r="A5349" s="26">
        <v>46671094</v>
      </c>
      <c r="B5349" s="29" t="s">
        <v>7582</v>
      </c>
      <c r="C5349" s="29" t="s">
        <v>22040</v>
      </c>
      <c r="D5349" s="29" t="s">
        <v>35272</v>
      </c>
      <c r="E5349" s="29" t="s">
        <v>47186</v>
      </c>
      <c r="F5349" s="36" t="s">
        <v>54401</v>
      </c>
      <c r="G5349" s="39">
        <v>1206330.07</v>
      </c>
      <c r="H5349" s="42">
        <v>211</v>
      </c>
    </row>
    <row r="5350" spans="1:8" ht="15" customHeight="1">
      <c r="A5350" s="26">
        <v>46671103</v>
      </c>
      <c r="B5350" s="29" t="s">
        <v>7583</v>
      </c>
      <c r="C5350" s="29" t="s">
        <v>22041</v>
      </c>
      <c r="D5350" s="29" t="s">
        <v>35273</v>
      </c>
      <c r="E5350" s="29" t="s">
        <v>48080</v>
      </c>
      <c r="F5350" s="36" t="s">
        <v>54401</v>
      </c>
      <c r="G5350" s="39">
        <v>4975775.8099999996</v>
      </c>
      <c r="H5350" s="42">
        <v>211</v>
      </c>
    </row>
    <row r="5351" spans="1:8" ht="15" customHeight="1">
      <c r="A5351" s="26">
        <v>46671108</v>
      </c>
      <c r="B5351" s="29" t="s">
        <v>7584</v>
      </c>
      <c r="C5351" s="26" t="s">
        <v>17204</v>
      </c>
      <c r="D5351" s="26" t="s">
        <v>30349</v>
      </c>
      <c r="E5351" s="26" t="s">
        <v>43926</v>
      </c>
      <c r="F5351" s="37" t="s">
        <v>54401</v>
      </c>
      <c r="G5351" s="39">
        <v>7321.85</v>
      </c>
      <c r="H5351" s="42">
        <v>211</v>
      </c>
    </row>
    <row r="5352" spans="1:8" ht="15" customHeight="1">
      <c r="A5352" s="26">
        <v>46671121</v>
      </c>
      <c r="B5352" s="29" t="s">
        <v>7585</v>
      </c>
      <c r="C5352" s="29" t="s">
        <v>22042</v>
      </c>
      <c r="D5352" s="29" t="s">
        <v>35274</v>
      </c>
      <c r="E5352" s="29" t="s">
        <v>48081</v>
      </c>
      <c r="F5352" s="36" t="s">
        <v>54401</v>
      </c>
      <c r="G5352" s="39">
        <v>3924722.52</v>
      </c>
      <c r="H5352" s="42">
        <v>211</v>
      </c>
    </row>
    <row r="5353" spans="1:8" ht="15" customHeight="1">
      <c r="A5353" s="26">
        <v>46671123</v>
      </c>
      <c r="B5353" s="29" t="s">
        <v>7586</v>
      </c>
      <c r="C5353" s="29" t="s">
        <v>22043</v>
      </c>
      <c r="D5353" s="29" t="s">
        <v>35275</v>
      </c>
      <c r="E5353" s="29" t="s">
        <v>48082</v>
      </c>
      <c r="F5353" s="36" t="s">
        <v>54401</v>
      </c>
      <c r="G5353" s="39">
        <v>1416905.4</v>
      </c>
      <c r="H5353" s="42">
        <v>211</v>
      </c>
    </row>
    <row r="5354" spans="1:8" ht="15" customHeight="1">
      <c r="A5354" s="26">
        <v>46671128</v>
      </c>
      <c r="B5354" s="29" t="s">
        <v>7587</v>
      </c>
      <c r="C5354" s="29" t="s">
        <v>22044</v>
      </c>
      <c r="D5354" s="29" t="s">
        <v>35276</v>
      </c>
      <c r="E5354" s="29" t="s">
        <v>48083</v>
      </c>
      <c r="F5354" s="36" t="s">
        <v>54401</v>
      </c>
      <c r="G5354" s="39">
        <v>164282.26999999999</v>
      </c>
      <c r="H5354" s="42">
        <v>211</v>
      </c>
    </row>
    <row r="5355" spans="1:8" ht="15" customHeight="1">
      <c r="A5355" s="26">
        <v>46671129</v>
      </c>
      <c r="B5355" s="29" t="s">
        <v>7588</v>
      </c>
      <c r="C5355" s="29" t="s">
        <v>17204</v>
      </c>
      <c r="D5355" s="29" t="s">
        <v>35277</v>
      </c>
      <c r="E5355" s="29" t="s">
        <v>43926</v>
      </c>
      <c r="F5355" s="36" t="s">
        <v>54401</v>
      </c>
      <c r="G5355" s="39">
        <v>1285165.82</v>
      </c>
      <c r="H5355" s="42">
        <v>211</v>
      </c>
    </row>
    <row r="5356" spans="1:8" ht="15" customHeight="1">
      <c r="A5356" s="26">
        <v>46671147</v>
      </c>
      <c r="B5356" s="29" t="s">
        <v>7589</v>
      </c>
      <c r="C5356" s="29" t="s">
        <v>22045</v>
      </c>
      <c r="D5356" s="29" t="s">
        <v>35278</v>
      </c>
      <c r="E5356" s="29" t="s">
        <v>48084</v>
      </c>
      <c r="F5356" s="36" t="s">
        <v>54401</v>
      </c>
      <c r="G5356" s="39">
        <f>2234157.09+330992</f>
        <v>2565149.09</v>
      </c>
      <c r="H5356" s="42">
        <v>211</v>
      </c>
    </row>
    <row r="5357" spans="1:8" ht="15" customHeight="1">
      <c r="A5357" s="26">
        <v>46671178</v>
      </c>
      <c r="B5357" s="29" t="s">
        <v>7590</v>
      </c>
      <c r="C5357" s="29" t="s">
        <v>22046</v>
      </c>
      <c r="D5357" s="29" t="s">
        <v>35279</v>
      </c>
      <c r="E5357" s="29" t="s">
        <v>48085</v>
      </c>
      <c r="F5357" s="36" t="s">
        <v>54401</v>
      </c>
      <c r="G5357" s="39">
        <v>2295298.2799999998</v>
      </c>
      <c r="H5357" s="42">
        <v>211</v>
      </c>
    </row>
    <row r="5358" spans="1:8" ht="15" customHeight="1">
      <c r="A5358" s="26">
        <v>46671198</v>
      </c>
      <c r="B5358" s="29" t="s">
        <v>7591</v>
      </c>
      <c r="C5358" s="29" t="s">
        <v>17204</v>
      </c>
      <c r="D5358" s="29" t="s">
        <v>35280</v>
      </c>
      <c r="E5358" s="29" t="s">
        <v>43926</v>
      </c>
      <c r="F5358" s="36" t="s">
        <v>54401</v>
      </c>
      <c r="G5358" s="39">
        <v>602481.67000000004</v>
      </c>
      <c r="H5358" s="42">
        <v>211</v>
      </c>
    </row>
    <row r="5359" spans="1:8" ht="15" customHeight="1">
      <c r="A5359" s="26">
        <v>46671202</v>
      </c>
      <c r="B5359" s="29" t="s">
        <v>7592</v>
      </c>
      <c r="C5359" s="29" t="s">
        <v>22047</v>
      </c>
      <c r="D5359" s="29" t="s">
        <v>35281</v>
      </c>
      <c r="E5359" s="29" t="s">
        <v>48086</v>
      </c>
      <c r="F5359" s="36" t="s">
        <v>54401</v>
      </c>
      <c r="G5359" s="39">
        <f>2278173.79+424584</f>
        <v>2702757.79</v>
      </c>
      <c r="H5359" s="42">
        <v>211</v>
      </c>
    </row>
    <row r="5360" spans="1:8" ht="15" customHeight="1">
      <c r="A5360" s="26">
        <v>46671204</v>
      </c>
      <c r="B5360" s="29" t="s">
        <v>7593</v>
      </c>
      <c r="C5360" s="29" t="s">
        <v>22048</v>
      </c>
      <c r="D5360" s="29" t="s">
        <v>35282</v>
      </c>
      <c r="E5360" s="29" t="s">
        <v>48087</v>
      </c>
      <c r="F5360" s="36" t="s">
        <v>54401</v>
      </c>
      <c r="G5360" s="39">
        <f>3940593.57+91792</f>
        <v>4032385.57</v>
      </c>
      <c r="H5360" s="42">
        <v>211</v>
      </c>
    </row>
    <row r="5361" spans="1:8" ht="15" customHeight="1">
      <c r="A5361" s="26">
        <v>46671229</v>
      </c>
      <c r="B5361" s="29" t="s">
        <v>7594</v>
      </c>
      <c r="C5361" s="26" t="s">
        <v>17204</v>
      </c>
      <c r="D5361" s="26" t="s">
        <v>30349</v>
      </c>
      <c r="E5361" s="26" t="s">
        <v>43926</v>
      </c>
      <c r="F5361" s="37" t="s">
        <v>54401</v>
      </c>
      <c r="G5361" s="39">
        <v>127479.78</v>
      </c>
      <c r="H5361" s="42">
        <v>211</v>
      </c>
    </row>
    <row r="5362" spans="1:8" ht="15" customHeight="1">
      <c r="A5362" s="26">
        <v>46671252</v>
      </c>
      <c r="B5362" s="29" t="s">
        <v>7595</v>
      </c>
      <c r="C5362" s="29" t="s">
        <v>17204</v>
      </c>
      <c r="D5362" s="29" t="s">
        <v>35283</v>
      </c>
      <c r="E5362" s="29" t="s">
        <v>48088</v>
      </c>
      <c r="F5362" s="36" t="s">
        <v>54401</v>
      </c>
      <c r="G5362" s="39">
        <v>47181.95</v>
      </c>
      <c r="H5362" s="42">
        <v>211</v>
      </c>
    </row>
    <row r="5363" spans="1:8" ht="15" customHeight="1">
      <c r="A5363" s="26">
        <v>46671269</v>
      </c>
      <c r="B5363" s="29" t="s">
        <v>7596</v>
      </c>
      <c r="C5363" s="26" t="s">
        <v>22049</v>
      </c>
      <c r="D5363" s="26" t="s">
        <v>35284</v>
      </c>
      <c r="E5363" s="26" t="s">
        <v>48089</v>
      </c>
      <c r="F5363" s="37" t="s">
        <v>54401</v>
      </c>
      <c r="G5363" s="39">
        <f>6774918.51+215721</f>
        <v>6990639.5099999998</v>
      </c>
      <c r="H5363" s="42">
        <v>211</v>
      </c>
    </row>
    <row r="5364" spans="1:8" ht="15" customHeight="1">
      <c r="A5364" s="26">
        <v>46671290</v>
      </c>
      <c r="B5364" s="29" t="s">
        <v>7597</v>
      </c>
      <c r="C5364" s="29" t="s">
        <v>22050</v>
      </c>
      <c r="D5364" s="29" t="s">
        <v>35285</v>
      </c>
      <c r="E5364" s="29" t="s">
        <v>48090</v>
      </c>
      <c r="F5364" s="36" t="s">
        <v>54401</v>
      </c>
      <c r="G5364" s="39">
        <v>367259.65</v>
      </c>
      <c r="H5364" s="42">
        <v>211</v>
      </c>
    </row>
    <row r="5365" spans="1:8" ht="15" customHeight="1">
      <c r="A5365" s="26">
        <v>46671298</v>
      </c>
      <c r="B5365" s="29" t="s">
        <v>7598</v>
      </c>
      <c r="C5365" s="29" t="s">
        <v>22051</v>
      </c>
      <c r="D5365" s="29" t="s">
        <v>35286</v>
      </c>
      <c r="E5365" s="29" t="s">
        <v>48091</v>
      </c>
      <c r="F5365" s="36" t="s">
        <v>54401</v>
      </c>
      <c r="G5365" s="39">
        <v>262474.68</v>
      </c>
      <c r="H5365" s="42">
        <v>211</v>
      </c>
    </row>
    <row r="5366" spans="1:8" ht="15" customHeight="1">
      <c r="A5366" s="26">
        <v>46671321</v>
      </c>
      <c r="B5366" s="29" t="s">
        <v>7599</v>
      </c>
      <c r="C5366" s="29" t="s">
        <v>22052</v>
      </c>
      <c r="D5366" s="29" t="s">
        <v>35287</v>
      </c>
      <c r="E5366" s="29" t="s">
        <v>48092</v>
      </c>
      <c r="F5366" s="36" t="s">
        <v>54401</v>
      </c>
      <c r="G5366" s="39">
        <v>5776773.75</v>
      </c>
      <c r="H5366" s="42">
        <v>211</v>
      </c>
    </row>
    <row r="5367" spans="1:8" ht="15" customHeight="1">
      <c r="A5367" s="26">
        <v>46671336</v>
      </c>
      <c r="B5367" s="29" t="s">
        <v>7600</v>
      </c>
      <c r="C5367" s="29" t="s">
        <v>22053</v>
      </c>
      <c r="D5367" s="29" t="s">
        <v>35288</v>
      </c>
      <c r="E5367" s="29" t="s">
        <v>48093</v>
      </c>
      <c r="F5367" s="36" t="s">
        <v>54401</v>
      </c>
      <c r="G5367" s="39">
        <f>4413639.83-30906</f>
        <v>4382733.83</v>
      </c>
      <c r="H5367" s="42">
        <v>211</v>
      </c>
    </row>
    <row r="5368" spans="1:8" ht="15" customHeight="1">
      <c r="A5368" s="26">
        <v>46671353</v>
      </c>
      <c r="B5368" s="29" t="s">
        <v>7601</v>
      </c>
      <c r="C5368" s="29" t="s">
        <v>22054</v>
      </c>
      <c r="D5368" s="29" t="s">
        <v>35289</v>
      </c>
      <c r="E5368" s="29" t="s">
        <v>48094</v>
      </c>
      <c r="F5368" s="36" t="s">
        <v>54401</v>
      </c>
      <c r="G5368" s="39">
        <v>44035.41</v>
      </c>
      <c r="H5368" s="42">
        <v>211</v>
      </c>
    </row>
    <row r="5369" spans="1:8" ht="15" customHeight="1">
      <c r="A5369" s="26">
        <v>46671362</v>
      </c>
      <c r="B5369" s="29" t="s">
        <v>7602</v>
      </c>
      <c r="C5369" s="29" t="s">
        <v>22055</v>
      </c>
      <c r="D5369" s="29" t="s">
        <v>35290</v>
      </c>
      <c r="E5369" s="29" t="s">
        <v>47690</v>
      </c>
      <c r="F5369" s="36" t="s">
        <v>54401</v>
      </c>
      <c r="G5369" s="39">
        <f>1954409.7+45412-14700+363137</f>
        <v>2348258.7000000002</v>
      </c>
      <c r="H5369" s="42">
        <v>211</v>
      </c>
    </row>
    <row r="5370" spans="1:8" ht="15" customHeight="1">
      <c r="A5370" s="26">
        <v>46671367</v>
      </c>
      <c r="B5370" s="29" t="s">
        <v>7603</v>
      </c>
      <c r="C5370" s="26" t="s">
        <v>22056</v>
      </c>
      <c r="D5370" s="26" t="s">
        <v>35291</v>
      </c>
      <c r="E5370" s="26" t="s">
        <v>43926</v>
      </c>
      <c r="F5370" s="37" t="s">
        <v>54401</v>
      </c>
      <c r="G5370" s="39">
        <f>794991.37+229073</f>
        <v>1024064.37</v>
      </c>
      <c r="H5370" s="42">
        <v>211</v>
      </c>
    </row>
    <row r="5371" spans="1:8" ht="15" customHeight="1">
      <c r="A5371" s="26">
        <v>46671378</v>
      </c>
      <c r="B5371" s="29" t="s">
        <v>7604</v>
      </c>
      <c r="C5371" s="29" t="s">
        <v>22057</v>
      </c>
      <c r="D5371" s="29" t="s">
        <v>30376</v>
      </c>
      <c r="E5371" s="29" t="s">
        <v>43926</v>
      </c>
      <c r="F5371" s="36" t="s">
        <v>54401</v>
      </c>
      <c r="G5371" s="39">
        <v>93601.72</v>
      </c>
      <c r="H5371" s="42">
        <v>211</v>
      </c>
    </row>
    <row r="5372" spans="1:8" ht="15" customHeight="1">
      <c r="A5372" s="26">
        <v>46671389</v>
      </c>
      <c r="B5372" s="29" t="s">
        <v>7605</v>
      </c>
      <c r="C5372" s="29" t="s">
        <v>22058</v>
      </c>
      <c r="D5372" s="29" t="s">
        <v>35292</v>
      </c>
      <c r="E5372" s="29" t="s">
        <v>48095</v>
      </c>
      <c r="F5372" s="36" t="s">
        <v>54401</v>
      </c>
      <c r="G5372" s="39">
        <f>1646857.71+474245+31780</f>
        <v>2152882.71</v>
      </c>
      <c r="H5372" s="42">
        <v>211</v>
      </c>
    </row>
    <row r="5373" spans="1:8" ht="15" customHeight="1">
      <c r="A5373" s="26">
        <v>46671394</v>
      </c>
      <c r="B5373" s="29" t="s">
        <v>7606</v>
      </c>
      <c r="C5373" s="29" t="s">
        <v>22059</v>
      </c>
      <c r="D5373" s="29" t="s">
        <v>35293</v>
      </c>
      <c r="E5373" s="29" t="s">
        <v>44355</v>
      </c>
      <c r="F5373" s="36" t="s">
        <v>54401</v>
      </c>
      <c r="G5373" s="39">
        <f>4559504.88+102614+122279</f>
        <v>4784397.88</v>
      </c>
      <c r="H5373" s="42">
        <v>211</v>
      </c>
    </row>
    <row r="5374" spans="1:8" ht="15" customHeight="1">
      <c r="A5374" s="26">
        <v>46671443</v>
      </c>
      <c r="B5374" s="29" t="s">
        <v>7607</v>
      </c>
      <c r="C5374" s="29" t="s">
        <v>22060</v>
      </c>
      <c r="D5374" s="29" t="s">
        <v>35294</v>
      </c>
      <c r="E5374" s="29" t="s">
        <v>46059</v>
      </c>
      <c r="F5374" s="36" t="s">
        <v>54401</v>
      </c>
      <c r="G5374" s="39">
        <f>2782453.37+421419+315812</f>
        <v>3519684.37</v>
      </c>
      <c r="H5374" s="42">
        <v>211</v>
      </c>
    </row>
    <row r="5375" spans="1:8" ht="15" customHeight="1">
      <c r="A5375" s="26">
        <v>46671444</v>
      </c>
      <c r="B5375" s="29" t="s">
        <v>7608</v>
      </c>
      <c r="C5375" s="29" t="s">
        <v>17204</v>
      </c>
      <c r="D5375" s="29" t="s">
        <v>30349</v>
      </c>
      <c r="E5375" s="29" t="s">
        <v>43926</v>
      </c>
      <c r="F5375" s="36" t="s">
        <v>54401</v>
      </c>
      <c r="G5375" s="39">
        <v>31566.3</v>
      </c>
      <c r="H5375" s="42">
        <v>211</v>
      </c>
    </row>
    <row r="5376" spans="1:8" ht="15" customHeight="1">
      <c r="A5376" s="26">
        <v>46671460</v>
      </c>
      <c r="B5376" s="29" t="s">
        <v>7609</v>
      </c>
      <c r="C5376" s="26" t="s">
        <v>22061</v>
      </c>
      <c r="D5376" s="26" t="s">
        <v>35295</v>
      </c>
      <c r="E5376" s="26" t="s">
        <v>48096</v>
      </c>
      <c r="F5376" s="37" t="s">
        <v>54401</v>
      </c>
      <c r="G5376" s="39">
        <v>307428.98</v>
      </c>
      <c r="H5376" s="42">
        <v>211</v>
      </c>
    </row>
    <row r="5377" spans="1:8" ht="15" customHeight="1">
      <c r="A5377" s="26">
        <v>46671476</v>
      </c>
      <c r="B5377" s="29" t="s">
        <v>7610</v>
      </c>
      <c r="C5377" s="29" t="s">
        <v>22062</v>
      </c>
      <c r="D5377" s="29" t="s">
        <v>35296</v>
      </c>
      <c r="E5377" s="29" t="s">
        <v>44942</v>
      </c>
      <c r="F5377" s="36" t="s">
        <v>54401</v>
      </c>
      <c r="G5377" s="39">
        <f>3785150.92-32401+65782</f>
        <v>3818531.92</v>
      </c>
      <c r="H5377" s="42">
        <v>211</v>
      </c>
    </row>
    <row r="5378" spans="1:8" ht="15" customHeight="1">
      <c r="A5378" s="26">
        <v>46671483</v>
      </c>
      <c r="B5378" s="29" t="s">
        <v>5765</v>
      </c>
      <c r="C5378" s="29" t="s">
        <v>17337</v>
      </c>
      <c r="D5378" s="29" t="s">
        <v>35297</v>
      </c>
      <c r="E5378" s="29" t="s">
        <v>43926</v>
      </c>
      <c r="F5378" s="36" t="s">
        <v>54401</v>
      </c>
      <c r="G5378" s="39">
        <f>1507514.41+75202+110904</f>
        <v>1693620.41</v>
      </c>
      <c r="H5378" s="42">
        <v>211</v>
      </c>
    </row>
    <row r="5379" spans="1:8" ht="15" customHeight="1">
      <c r="A5379" s="26">
        <v>46671492</v>
      </c>
      <c r="B5379" s="29" t="s">
        <v>5258</v>
      </c>
      <c r="C5379" s="29" t="s">
        <v>22063</v>
      </c>
      <c r="D5379" s="29" t="s">
        <v>35298</v>
      </c>
      <c r="E5379" s="29" t="s">
        <v>48097</v>
      </c>
      <c r="F5379" s="36" t="s">
        <v>54401</v>
      </c>
      <c r="G5379" s="39">
        <v>2113973.06</v>
      </c>
      <c r="H5379" s="42">
        <v>211</v>
      </c>
    </row>
    <row r="5380" spans="1:8" ht="15" customHeight="1">
      <c r="A5380" s="26">
        <v>46671500</v>
      </c>
      <c r="B5380" s="29" t="s">
        <v>7611</v>
      </c>
      <c r="C5380" s="29" t="s">
        <v>17204</v>
      </c>
      <c r="D5380" s="29" t="s">
        <v>35299</v>
      </c>
      <c r="E5380" s="29" t="s">
        <v>43926</v>
      </c>
      <c r="F5380" s="36" t="s">
        <v>54401</v>
      </c>
      <c r="G5380" s="39">
        <v>22538.52</v>
      </c>
      <c r="H5380" s="42">
        <v>211</v>
      </c>
    </row>
    <row r="5381" spans="1:8" ht="15" customHeight="1">
      <c r="A5381" s="26">
        <v>46671504</v>
      </c>
      <c r="B5381" s="29" t="s">
        <v>7612</v>
      </c>
      <c r="C5381" s="29" t="s">
        <v>22064</v>
      </c>
      <c r="D5381" s="29" t="s">
        <v>35300</v>
      </c>
      <c r="E5381" s="29" t="s">
        <v>48098</v>
      </c>
      <c r="F5381" s="36" t="s">
        <v>54401</v>
      </c>
      <c r="G5381" s="39">
        <v>4596747.05</v>
      </c>
      <c r="H5381" s="42">
        <v>211</v>
      </c>
    </row>
    <row r="5382" spans="1:8" ht="15" customHeight="1">
      <c r="A5382" s="26">
        <v>46671510</v>
      </c>
      <c r="B5382" s="29" t="s">
        <v>7613</v>
      </c>
      <c r="C5382" s="29" t="s">
        <v>22065</v>
      </c>
      <c r="D5382" s="29" t="s">
        <v>35301</v>
      </c>
      <c r="E5382" s="29" t="s">
        <v>48099</v>
      </c>
      <c r="F5382" s="36" t="s">
        <v>54401</v>
      </c>
      <c r="G5382" s="39">
        <v>4187632.52</v>
      </c>
      <c r="H5382" s="42">
        <v>211</v>
      </c>
    </row>
    <row r="5383" spans="1:8" ht="15" customHeight="1">
      <c r="A5383" s="26">
        <v>46671518</v>
      </c>
      <c r="B5383" s="29" t="s">
        <v>7614</v>
      </c>
      <c r="C5383" s="29" t="s">
        <v>22066</v>
      </c>
      <c r="D5383" s="29" t="s">
        <v>35302</v>
      </c>
      <c r="E5383" s="29" t="s">
        <v>48100</v>
      </c>
      <c r="F5383" s="36" t="s">
        <v>54401</v>
      </c>
      <c r="G5383" s="39">
        <v>680886.4</v>
      </c>
      <c r="H5383" s="42">
        <v>211</v>
      </c>
    </row>
    <row r="5384" spans="1:8" ht="15" customHeight="1">
      <c r="A5384" s="26">
        <v>46671529</v>
      </c>
      <c r="B5384" s="29" t="s">
        <v>7615</v>
      </c>
      <c r="C5384" s="29" t="s">
        <v>22067</v>
      </c>
      <c r="D5384" s="29" t="s">
        <v>35303</v>
      </c>
      <c r="E5384" s="29" t="s">
        <v>43926</v>
      </c>
      <c r="F5384" s="36" t="s">
        <v>54401</v>
      </c>
      <c r="G5384" s="39">
        <v>732056.86</v>
      </c>
      <c r="H5384" s="42">
        <v>211</v>
      </c>
    </row>
    <row r="5385" spans="1:8" ht="15" customHeight="1">
      <c r="A5385" s="26">
        <v>46671546</v>
      </c>
      <c r="B5385" s="29" t="s">
        <v>7616</v>
      </c>
      <c r="C5385" s="29" t="s">
        <v>22068</v>
      </c>
      <c r="D5385" s="29" t="s">
        <v>35304</v>
      </c>
      <c r="E5385" s="29" t="s">
        <v>48101</v>
      </c>
      <c r="F5385" s="36" t="s">
        <v>54401</v>
      </c>
      <c r="G5385" s="39">
        <f>1627678.37+237307</f>
        <v>1864985.37</v>
      </c>
      <c r="H5385" s="42">
        <v>211</v>
      </c>
    </row>
    <row r="5386" spans="1:8" ht="15" customHeight="1">
      <c r="A5386" s="26">
        <v>46671550</v>
      </c>
      <c r="B5386" s="29" t="s">
        <v>7617</v>
      </c>
      <c r="C5386" s="29" t="s">
        <v>22069</v>
      </c>
      <c r="D5386" s="29" t="s">
        <v>35305</v>
      </c>
      <c r="E5386" s="29" t="s">
        <v>45028</v>
      </c>
      <c r="F5386" s="36" t="s">
        <v>54401</v>
      </c>
      <c r="G5386" s="39">
        <f>2506357.87+428845+534130</f>
        <v>3469332.87</v>
      </c>
      <c r="H5386" s="42">
        <v>211</v>
      </c>
    </row>
    <row r="5387" spans="1:8" ht="15" customHeight="1">
      <c r="A5387" s="26">
        <v>46671555</v>
      </c>
      <c r="B5387" s="29" t="s">
        <v>7618</v>
      </c>
      <c r="C5387" s="29" t="s">
        <v>22070</v>
      </c>
      <c r="D5387" s="29" t="s">
        <v>35306</v>
      </c>
      <c r="E5387" s="29" t="s">
        <v>48102</v>
      </c>
      <c r="F5387" s="36" t="s">
        <v>54401</v>
      </c>
      <c r="G5387" s="39">
        <v>40873.949999999997</v>
      </c>
      <c r="H5387" s="42">
        <v>211</v>
      </c>
    </row>
    <row r="5388" spans="1:8" ht="15" customHeight="1">
      <c r="A5388" s="26">
        <v>46671558</v>
      </c>
      <c r="B5388" s="29" t="s">
        <v>7619</v>
      </c>
      <c r="C5388" s="29" t="s">
        <v>22071</v>
      </c>
      <c r="D5388" s="29" t="s">
        <v>35307</v>
      </c>
      <c r="E5388" s="29" t="s">
        <v>44313</v>
      </c>
      <c r="F5388" s="36" t="s">
        <v>54401</v>
      </c>
      <c r="G5388" s="39">
        <v>968745.75</v>
      </c>
      <c r="H5388" s="42">
        <v>211</v>
      </c>
    </row>
    <row r="5389" spans="1:8" ht="15" customHeight="1">
      <c r="A5389" s="26">
        <v>46671559</v>
      </c>
      <c r="B5389" s="29" t="s">
        <v>7620</v>
      </c>
      <c r="C5389" s="29" t="s">
        <v>22072</v>
      </c>
      <c r="D5389" s="29" t="s">
        <v>30376</v>
      </c>
      <c r="E5389" s="29" t="s">
        <v>45254</v>
      </c>
      <c r="F5389" s="36" t="s">
        <v>54401</v>
      </c>
      <c r="G5389" s="39">
        <v>5623435.6500000004</v>
      </c>
      <c r="H5389" s="42">
        <v>211</v>
      </c>
    </row>
    <row r="5390" spans="1:8" ht="15" customHeight="1">
      <c r="A5390" s="26">
        <v>46671570</v>
      </c>
      <c r="B5390" s="29" t="s">
        <v>7621</v>
      </c>
      <c r="C5390" s="29" t="s">
        <v>17204</v>
      </c>
      <c r="D5390" s="29" t="s">
        <v>30349</v>
      </c>
      <c r="E5390" s="29" t="s">
        <v>43926</v>
      </c>
      <c r="F5390" s="36" t="s">
        <v>54401</v>
      </c>
      <c r="G5390" s="39">
        <v>315358.2</v>
      </c>
      <c r="H5390" s="42">
        <v>211</v>
      </c>
    </row>
    <row r="5391" spans="1:8" ht="15" customHeight="1">
      <c r="A5391" s="26">
        <v>46671578</v>
      </c>
      <c r="B5391" s="29" t="s">
        <v>7622</v>
      </c>
      <c r="C5391" s="29" t="s">
        <v>22073</v>
      </c>
      <c r="D5391" s="29" t="s">
        <v>35308</v>
      </c>
      <c r="E5391" s="29" t="s">
        <v>48103</v>
      </c>
      <c r="F5391" s="36" t="s">
        <v>54412</v>
      </c>
      <c r="G5391" s="39">
        <v>24672.28</v>
      </c>
      <c r="H5391" s="42">
        <v>211</v>
      </c>
    </row>
    <row r="5392" spans="1:8" ht="15" customHeight="1">
      <c r="A5392" s="26">
        <v>46671580</v>
      </c>
      <c r="B5392" s="29" t="s">
        <v>7623</v>
      </c>
      <c r="C5392" s="29" t="s">
        <v>22074</v>
      </c>
      <c r="D5392" s="29" t="s">
        <v>35309</v>
      </c>
      <c r="E5392" s="29" t="s">
        <v>48104</v>
      </c>
      <c r="F5392" s="36" t="s">
        <v>54401</v>
      </c>
      <c r="G5392" s="39">
        <f>4598797.01+1484409</f>
        <v>6083206.0099999998</v>
      </c>
      <c r="H5392" s="42">
        <v>211</v>
      </c>
    </row>
    <row r="5393" spans="1:8" ht="15" customHeight="1">
      <c r="A5393" s="26">
        <v>46671587</v>
      </c>
      <c r="B5393" s="29" t="s">
        <v>7624</v>
      </c>
      <c r="C5393" s="29" t="s">
        <v>17204</v>
      </c>
      <c r="D5393" s="29" t="s">
        <v>30349</v>
      </c>
      <c r="E5393" s="29" t="s">
        <v>43926</v>
      </c>
      <c r="F5393" s="36" t="s">
        <v>54401</v>
      </c>
      <c r="G5393" s="39">
        <v>182119.35</v>
      </c>
      <c r="H5393" s="42">
        <v>211</v>
      </c>
    </row>
    <row r="5394" spans="1:8" ht="15" customHeight="1">
      <c r="A5394" s="26">
        <v>46671596</v>
      </c>
      <c r="B5394" s="29" t="s">
        <v>7625</v>
      </c>
      <c r="C5394" s="29" t="s">
        <v>22075</v>
      </c>
      <c r="D5394" s="29" t="s">
        <v>35310</v>
      </c>
      <c r="E5394" s="29" t="s">
        <v>48105</v>
      </c>
      <c r="F5394" s="36" t="s">
        <v>54401</v>
      </c>
      <c r="G5394" s="39">
        <f>2233539.59+3371</f>
        <v>2236910.59</v>
      </c>
      <c r="H5394" s="42">
        <v>211</v>
      </c>
    </row>
    <row r="5395" spans="1:8" ht="15" customHeight="1">
      <c r="A5395" s="26">
        <v>46671599</v>
      </c>
      <c r="B5395" s="29" t="s">
        <v>7626</v>
      </c>
      <c r="C5395" s="29" t="s">
        <v>17204</v>
      </c>
      <c r="D5395" s="29" t="s">
        <v>35311</v>
      </c>
      <c r="E5395" s="29" t="s">
        <v>43926</v>
      </c>
      <c r="F5395" s="36" t="s">
        <v>54401</v>
      </c>
      <c r="G5395" s="39">
        <v>839760.52</v>
      </c>
      <c r="H5395" s="42">
        <v>211</v>
      </c>
    </row>
    <row r="5396" spans="1:8" ht="15" customHeight="1">
      <c r="A5396" s="26">
        <v>46671648</v>
      </c>
      <c r="B5396" s="29" t="s">
        <v>7627</v>
      </c>
      <c r="C5396" s="29" t="s">
        <v>17204</v>
      </c>
      <c r="D5396" s="29" t="s">
        <v>30376</v>
      </c>
      <c r="E5396" s="29" t="s">
        <v>43926</v>
      </c>
      <c r="F5396" s="36" t="s">
        <v>54401</v>
      </c>
      <c r="G5396" s="39">
        <f>1310711.74+25246</f>
        <v>1335957.74</v>
      </c>
      <c r="H5396" s="42">
        <v>211</v>
      </c>
    </row>
    <row r="5397" spans="1:8" ht="15" customHeight="1">
      <c r="A5397" s="26">
        <v>46671665</v>
      </c>
      <c r="B5397" s="29" t="s">
        <v>7628</v>
      </c>
      <c r="C5397" s="29" t="s">
        <v>22076</v>
      </c>
      <c r="D5397" s="29" t="s">
        <v>35312</v>
      </c>
      <c r="E5397" s="29" t="s">
        <v>48106</v>
      </c>
      <c r="F5397" s="36" t="s">
        <v>54401</v>
      </c>
      <c r="G5397" s="39">
        <v>151810.41</v>
      </c>
      <c r="H5397" s="42">
        <v>211</v>
      </c>
    </row>
    <row r="5398" spans="1:8" ht="15" customHeight="1">
      <c r="A5398" s="26">
        <v>46671668</v>
      </c>
      <c r="B5398" s="29" t="s">
        <v>7629</v>
      </c>
      <c r="C5398" s="29" t="s">
        <v>22077</v>
      </c>
      <c r="D5398" s="29" t="s">
        <v>35313</v>
      </c>
      <c r="E5398" s="29" t="s">
        <v>48107</v>
      </c>
      <c r="F5398" s="36" t="s">
        <v>54401</v>
      </c>
      <c r="G5398" s="39">
        <v>3070419.11</v>
      </c>
      <c r="H5398" s="42">
        <v>211</v>
      </c>
    </row>
    <row r="5399" spans="1:8" ht="15" customHeight="1">
      <c r="A5399" s="26">
        <v>46671678</v>
      </c>
      <c r="B5399" s="29" t="s">
        <v>7630</v>
      </c>
      <c r="C5399" s="29" t="s">
        <v>22078</v>
      </c>
      <c r="D5399" s="29" t="s">
        <v>35314</v>
      </c>
      <c r="E5399" s="29" t="s">
        <v>48108</v>
      </c>
      <c r="F5399" s="36" t="s">
        <v>54401</v>
      </c>
      <c r="G5399" s="39">
        <v>3017396.17</v>
      </c>
      <c r="H5399" s="42">
        <v>211</v>
      </c>
    </row>
    <row r="5400" spans="1:8" ht="15" customHeight="1">
      <c r="A5400" s="26">
        <v>46671711</v>
      </c>
      <c r="B5400" s="29" t="s">
        <v>7631</v>
      </c>
      <c r="C5400" s="29" t="s">
        <v>22079</v>
      </c>
      <c r="D5400" s="29" t="s">
        <v>35315</v>
      </c>
      <c r="E5400" s="29" t="s">
        <v>48109</v>
      </c>
      <c r="F5400" s="36" t="s">
        <v>54401</v>
      </c>
      <c r="G5400" s="39">
        <v>373092.78</v>
      </c>
      <c r="H5400" s="42">
        <v>211</v>
      </c>
    </row>
    <row r="5401" spans="1:8" ht="15" customHeight="1">
      <c r="A5401" s="26">
        <v>46671713</v>
      </c>
      <c r="B5401" s="29" t="s">
        <v>7632</v>
      </c>
      <c r="C5401" s="29" t="s">
        <v>22080</v>
      </c>
      <c r="D5401" s="29" t="s">
        <v>35316</v>
      </c>
      <c r="E5401" s="29" t="s">
        <v>48110</v>
      </c>
      <c r="F5401" s="36" t="s">
        <v>54401</v>
      </c>
      <c r="G5401" s="39">
        <v>306654.5</v>
      </c>
      <c r="H5401" s="42">
        <v>211</v>
      </c>
    </row>
    <row r="5402" spans="1:8" ht="15" customHeight="1">
      <c r="A5402" s="26">
        <v>46671721</v>
      </c>
      <c r="B5402" s="29" t="s">
        <v>7633</v>
      </c>
      <c r="C5402" s="29" t="s">
        <v>22081</v>
      </c>
      <c r="D5402" s="29" t="s">
        <v>35317</v>
      </c>
      <c r="E5402" s="29" t="s">
        <v>48111</v>
      </c>
      <c r="F5402" s="36" t="s">
        <v>54401</v>
      </c>
      <c r="G5402" s="39">
        <v>7868749.6299999999</v>
      </c>
      <c r="H5402" s="42">
        <v>211</v>
      </c>
    </row>
    <row r="5403" spans="1:8" ht="15" customHeight="1">
      <c r="A5403" s="26">
        <v>46671729</v>
      </c>
      <c r="B5403" s="29" t="s">
        <v>7634</v>
      </c>
      <c r="C5403" s="29" t="s">
        <v>22082</v>
      </c>
      <c r="D5403" s="29" t="s">
        <v>35318</v>
      </c>
      <c r="E5403" s="29" t="s">
        <v>48112</v>
      </c>
      <c r="F5403" s="36" t="s">
        <v>54401</v>
      </c>
      <c r="G5403" s="39">
        <f>1690272.55+419725</f>
        <v>2109997.5499999998</v>
      </c>
      <c r="H5403" s="42">
        <v>211</v>
      </c>
    </row>
    <row r="5404" spans="1:8" ht="15" customHeight="1">
      <c r="A5404" s="26">
        <v>46671730</v>
      </c>
      <c r="B5404" s="29" t="s">
        <v>7635</v>
      </c>
      <c r="C5404" s="29" t="s">
        <v>22083</v>
      </c>
      <c r="D5404" s="29" t="s">
        <v>35319</v>
      </c>
      <c r="E5404" s="29" t="s">
        <v>48113</v>
      </c>
      <c r="F5404" s="36" t="s">
        <v>54401</v>
      </c>
      <c r="G5404" s="39">
        <v>1413605.38</v>
      </c>
      <c r="H5404" s="42">
        <v>211</v>
      </c>
    </row>
    <row r="5405" spans="1:8" ht="15" customHeight="1">
      <c r="A5405" s="26">
        <v>46671737</v>
      </c>
      <c r="B5405" s="29" t="s">
        <v>7636</v>
      </c>
      <c r="C5405" s="29" t="s">
        <v>22084</v>
      </c>
      <c r="D5405" s="29" t="s">
        <v>35320</v>
      </c>
      <c r="E5405" s="29" t="s">
        <v>48114</v>
      </c>
      <c r="F5405" s="36" t="s">
        <v>54401</v>
      </c>
      <c r="G5405" s="39">
        <v>226340.32</v>
      </c>
      <c r="H5405" s="42">
        <v>211</v>
      </c>
    </row>
    <row r="5406" spans="1:8" ht="15" customHeight="1">
      <c r="A5406" s="26">
        <v>46671745</v>
      </c>
      <c r="B5406" s="29" t="s">
        <v>7637</v>
      </c>
      <c r="C5406" s="26" t="s">
        <v>22085</v>
      </c>
      <c r="D5406" s="26" t="s">
        <v>35321</v>
      </c>
      <c r="E5406" s="26" t="s">
        <v>48115</v>
      </c>
      <c r="F5406" s="37" t="s">
        <v>54401</v>
      </c>
      <c r="G5406" s="39">
        <v>5742229.7199999997</v>
      </c>
      <c r="H5406" s="42">
        <v>211</v>
      </c>
    </row>
    <row r="5407" spans="1:8" ht="15" customHeight="1">
      <c r="A5407" s="26">
        <v>46671797</v>
      </c>
      <c r="B5407" s="29" t="s">
        <v>7638</v>
      </c>
      <c r="C5407" s="29" t="s">
        <v>22086</v>
      </c>
      <c r="D5407" s="29" t="s">
        <v>35322</v>
      </c>
      <c r="E5407" s="29" t="s">
        <v>48116</v>
      </c>
      <c r="F5407" s="36" t="s">
        <v>54401</v>
      </c>
      <c r="G5407" s="39">
        <v>899722.99</v>
      </c>
      <c r="H5407" s="42">
        <v>211</v>
      </c>
    </row>
    <row r="5408" spans="1:8" ht="15" customHeight="1">
      <c r="A5408" s="26">
        <v>46671815</v>
      </c>
      <c r="B5408" s="29" t="s">
        <v>7639</v>
      </c>
      <c r="C5408" s="29" t="s">
        <v>17204</v>
      </c>
      <c r="D5408" s="29" t="s">
        <v>30349</v>
      </c>
      <c r="E5408" s="29" t="s">
        <v>43926</v>
      </c>
      <c r="F5408" s="36" t="s">
        <v>54401</v>
      </c>
      <c r="G5408" s="39">
        <v>117710.52</v>
      </c>
      <c r="H5408" s="42">
        <v>211</v>
      </c>
    </row>
    <row r="5409" spans="1:8" ht="15" customHeight="1">
      <c r="A5409" s="26">
        <v>46671832</v>
      </c>
      <c r="B5409" s="29" t="s">
        <v>7640</v>
      </c>
      <c r="C5409" s="29" t="s">
        <v>22087</v>
      </c>
      <c r="D5409" s="29" t="s">
        <v>35323</v>
      </c>
      <c r="E5409" s="29" t="s">
        <v>48117</v>
      </c>
      <c r="F5409" s="36" t="s">
        <v>54401</v>
      </c>
      <c r="G5409" s="39">
        <v>68275.69</v>
      </c>
      <c r="H5409" s="42">
        <v>211</v>
      </c>
    </row>
    <row r="5410" spans="1:8" ht="15" customHeight="1">
      <c r="A5410" s="26">
        <v>46671847</v>
      </c>
      <c r="B5410" s="29" t="s">
        <v>7641</v>
      </c>
      <c r="C5410" s="29" t="s">
        <v>17204</v>
      </c>
      <c r="D5410" s="29" t="s">
        <v>35324</v>
      </c>
      <c r="E5410" s="29" t="s">
        <v>48118</v>
      </c>
      <c r="F5410" s="36" t="s">
        <v>54401</v>
      </c>
      <c r="G5410" s="39">
        <v>1157584.6599999999</v>
      </c>
      <c r="H5410" s="42">
        <v>211</v>
      </c>
    </row>
    <row r="5411" spans="1:8" ht="15" customHeight="1">
      <c r="A5411" s="26">
        <v>46671861</v>
      </c>
      <c r="B5411" s="29" t="s">
        <v>7642</v>
      </c>
      <c r="C5411" s="29" t="s">
        <v>22088</v>
      </c>
      <c r="D5411" s="29" t="s">
        <v>35325</v>
      </c>
      <c r="E5411" s="29" t="s">
        <v>48119</v>
      </c>
      <c r="F5411" s="36" t="s">
        <v>54401</v>
      </c>
      <c r="G5411" s="39">
        <v>4977687.72</v>
      </c>
      <c r="H5411" s="42">
        <v>211</v>
      </c>
    </row>
    <row r="5412" spans="1:8" ht="15" customHeight="1">
      <c r="A5412" s="26">
        <v>46671876</v>
      </c>
      <c r="B5412" s="29" t="s">
        <v>7643</v>
      </c>
      <c r="C5412" s="29" t="s">
        <v>22089</v>
      </c>
      <c r="D5412" s="29" t="s">
        <v>35326</v>
      </c>
      <c r="E5412" s="29" t="s">
        <v>48120</v>
      </c>
      <c r="F5412" s="36" t="s">
        <v>54401</v>
      </c>
      <c r="G5412" s="39">
        <v>62071.92</v>
      </c>
      <c r="H5412" s="42">
        <v>211</v>
      </c>
    </row>
    <row r="5413" spans="1:8" ht="15" customHeight="1">
      <c r="A5413" s="26">
        <v>46671902</v>
      </c>
      <c r="B5413" s="29" t="s">
        <v>7644</v>
      </c>
      <c r="C5413" s="29" t="s">
        <v>17204</v>
      </c>
      <c r="D5413" s="29" t="s">
        <v>30349</v>
      </c>
      <c r="E5413" s="29" t="s">
        <v>43926</v>
      </c>
      <c r="F5413" s="36" t="s">
        <v>54401</v>
      </c>
      <c r="G5413" s="39">
        <v>424126.65</v>
      </c>
      <c r="H5413" s="42">
        <v>211</v>
      </c>
    </row>
    <row r="5414" spans="1:8" ht="15" customHeight="1">
      <c r="A5414" s="26">
        <v>46671917</v>
      </c>
      <c r="B5414" s="29" t="s">
        <v>7645</v>
      </c>
      <c r="C5414" s="29" t="s">
        <v>17204</v>
      </c>
      <c r="D5414" s="29" t="s">
        <v>30349</v>
      </c>
      <c r="E5414" s="29" t="s">
        <v>43926</v>
      </c>
      <c r="F5414" s="36" t="s">
        <v>54401</v>
      </c>
      <c r="G5414" s="39">
        <v>81664.7</v>
      </c>
      <c r="H5414" s="42">
        <v>211</v>
      </c>
    </row>
    <row r="5415" spans="1:8" ht="15" customHeight="1">
      <c r="A5415" s="26">
        <v>46671921</v>
      </c>
      <c r="B5415" s="29" t="s">
        <v>7646</v>
      </c>
      <c r="C5415" s="29" t="s">
        <v>22090</v>
      </c>
      <c r="D5415" s="29" t="s">
        <v>35327</v>
      </c>
      <c r="E5415" s="29" t="s">
        <v>48121</v>
      </c>
      <c r="F5415" s="36" t="s">
        <v>54401</v>
      </c>
      <c r="G5415" s="39">
        <f>1462456.44+85751</f>
        <v>1548207.44</v>
      </c>
      <c r="H5415" s="42">
        <v>211</v>
      </c>
    </row>
    <row r="5416" spans="1:8" ht="15" customHeight="1">
      <c r="A5416" s="26">
        <v>46671929</v>
      </c>
      <c r="B5416" s="29" t="s">
        <v>7647</v>
      </c>
      <c r="C5416" s="29" t="s">
        <v>22091</v>
      </c>
      <c r="D5416" s="29" t="s">
        <v>35328</v>
      </c>
      <c r="E5416" s="29" t="s">
        <v>48122</v>
      </c>
      <c r="F5416" s="36" t="s">
        <v>54401</v>
      </c>
      <c r="G5416" s="39">
        <v>2424972.94</v>
      </c>
      <c r="H5416" s="42">
        <v>211</v>
      </c>
    </row>
    <row r="5417" spans="1:8" ht="15" customHeight="1">
      <c r="A5417" s="26">
        <v>46671932</v>
      </c>
      <c r="B5417" s="29" t="s">
        <v>7648</v>
      </c>
      <c r="C5417" s="29" t="s">
        <v>22092</v>
      </c>
      <c r="D5417" s="29" t="s">
        <v>35329</v>
      </c>
      <c r="E5417" s="29" t="s">
        <v>48123</v>
      </c>
      <c r="F5417" s="36" t="s">
        <v>54401</v>
      </c>
      <c r="G5417" s="39">
        <v>733451.21</v>
      </c>
      <c r="H5417" s="42">
        <v>211</v>
      </c>
    </row>
    <row r="5418" spans="1:8" ht="15" customHeight="1">
      <c r="A5418" s="26">
        <v>46671942</v>
      </c>
      <c r="B5418" s="29" t="s">
        <v>7649</v>
      </c>
      <c r="C5418" s="29" t="s">
        <v>22093</v>
      </c>
      <c r="D5418" s="29" t="s">
        <v>35330</v>
      </c>
      <c r="E5418" s="29" t="s">
        <v>48124</v>
      </c>
      <c r="F5418" s="36" t="s">
        <v>54401</v>
      </c>
      <c r="G5418" s="39">
        <v>2552008.56</v>
      </c>
      <c r="H5418" s="42">
        <v>211</v>
      </c>
    </row>
    <row r="5419" spans="1:8" ht="15" customHeight="1">
      <c r="A5419" s="26">
        <v>46671961</v>
      </c>
      <c r="B5419" s="29" t="s">
        <v>7650</v>
      </c>
      <c r="C5419" s="29" t="s">
        <v>22094</v>
      </c>
      <c r="D5419" s="29" t="s">
        <v>35331</v>
      </c>
      <c r="E5419" s="29" t="s">
        <v>44023</v>
      </c>
      <c r="F5419" s="36" t="s">
        <v>54401</v>
      </c>
      <c r="G5419" s="39">
        <f>4705179.47+65036+72814</f>
        <v>4843029.47</v>
      </c>
      <c r="H5419" s="42">
        <v>211</v>
      </c>
    </row>
    <row r="5420" spans="1:8" ht="15" customHeight="1">
      <c r="A5420" s="26">
        <v>46671967</v>
      </c>
      <c r="B5420" s="29" t="s">
        <v>7651</v>
      </c>
      <c r="C5420" s="29" t="s">
        <v>22095</v>
      </c>
      <c r="D5420" s="29" t="s">
        <v>35332</v>
      </c>
      <c r="E5420" s="29" t="s">
        <v>48125</v>
      </c>
      <c r="F5420" s="36" t="s">
        <v>54401</v>
      </c>
      <c r="G5420" s="39">
        <f>1497232.54+485838</f>
        <v>1983070.54</v>
      </c>
      <c r="H5420" s="42">
        <v>211</v>
      </c>
    </row>
    <row r="5421" spans="1:8" ht="15" customHeight="1">
      <c r="A5421" s="26">
        <v>46671972</v>
      </c>
      <c r="B5421" s="29" t="s">
        <v>7652</v>
      </c>
      <c r="C5421" s="29" t="s">
        <v>22096</v>
      </c>
      <c r="D5421" s="29" t="s">
        <v>35333</v>
      </c>
      <c r="E5421" s="29" t="s">
        <v>48126</v>
      </c>
      <c r="F5421" s="36" t="s">
        <v>54401</v>
      </c>
      <c r="G5421" s="39">
        <v>202746.19</v>
      </c>
      <c r="H5421" s="42">
        <v>211</v>
      </c>
    </row>
    <row r="5422" spans="1:8" ht="15" customHeight="1">
      <c r="A5422" s="26">
        <v>46671983</v>
      </c>
      <c r="B5422" s="29" t="s">
        <v>7653</v>
      </c>
      <c r="C5422" s="29" t="s">
        <v>22097</v>
      </c>
      <c r="D5422" s="29" t="s">
        <v>35334</v>
      </c>
      <c r="E5422" s="29" t="s">
        <v>44923</v>
      </c>
      <c r="F5422" s="36" t="s">
        <v>54406</v>
      </c>
      <c r="G5422" s="39">
        <f>910731.62+2562895</f>
        <v>3473626.62</v>
      </c>
      <c r="H5422" s="42">
        <v>211</v>
      </c>
    </row>
    <row r="5423" spans="1:8" ht="15" customHeight="1">
      <c r="A5423" s="26">
        <v>46671989</v>
      </c>
      <c r="B5423" s="29" t="s">
        <v>7654</v>
      </c>
      <c r="C5423" s="26" t="s">
        <v>17204</v>
      </c>
      <c r="D5423" s="26" t="s">
        <v>30349</v>
      </c>
      <c r="E5423" s="26" t="s">
        <v>43926</v>
      </c>
      <c r="F5423" s="37" t="s">
        <v>54401</v>
      </c>
      <c r="G5423" s="39">
        <v>27890.75</v>
      </c>
      <c r="H5423" s="42">
        <v>211</v>
      </c>
    </row>
    <row r="5424" spans="1:8" ht="15" customHeight="1">
      <c r="A5424" s="26">
        <v>46672037</v>
      </c>
      <c r="B5424" s="29" t="s">
        <v>7655</v>
      </c>
      <c r="C5424" s="29" t="s">
        <v>22098</v>
      </c>
      <c r="D5424" s="29" t="s">
        <v>35335</v>
      </c>
      <c r="E5424" s="29" t="s">
        <v>47252</v>
      </c>
      <c r="F5424" s="36" t="s">
        <v>54401</v>
      </c>
      <c r="G5424" s="39">
        <v>2148867.7000000002</v>
      </c>
      <c r="H5424" s="42">
        <v>211</v>
      </c>
    </row>
    <row r="5425" spans="1:8" ht="15" customHeight="1">
      <c r="A5425" s="26">
        <v>46672043</v>
      </c>
      <c r="B5425" s="29" t="s">
        <v>7656</v>
      </c>
      <c r="C5425" s="29" t="s">
        <v>22099</v>
      </c>
      <c r="D5425" s="29" t="s">
        <v>35336</v>
      </c>
      <c r="E5425" s="29" t="s">
        <v>48127</v>
      </c>
      <c r="F5425" s="36" t="s">
        <v>54401</v>
      </c>
      <c r="G5425" s="39">
        <v>429931.27</v>
      </c>
      <c r="H5425" s="42">
        <v>211</v>
      </c>
    </row>
    <row r="5426" spans="1:8" ht="15" customHeight="1">
      <c r="A5426" s="26">
        <v>46672050</v>
      </c>
      <c r="B5426" s="29" t="s">
        <v>7657</v>
      </c>
      <c r="C5426" s="29" t="s">
        <v>22100</v>
      </c>
      <c r="D5426" s="29" t="s">
        <v>35337</v>
      </c>
      <c r="E5426" s="29" t="s">
        <v>48128</v>
      </c>
      <c r="F5426" s="36" t="s">
        <v>54401</v>
      </c>
      <c r="G5426" s="39">
        <v>1039080.96</v>
      </c>
      <c r="H5426" s="42">
        <v>211</v>
      </c>
    </row>
    <row r="5427" spans="1:8" ht="15" customHeight="1">
      <c r="A5427" s="26">
        <v>46672052</v>
      </c>
      <c r="B5427" s="29" t="s">
        <v>7658</v>
      </c>
      <c r="C5427" s="29" t="s">
        <v>22101</v>
      </c>
      <c r="D5427" s="29" t="s">
        <v>35338</v>
      </c>
      <c r="E5427" s="29" t="s">
        <v>44452</v>
      </c>
      <c r="F5427" s="36" t="s">
        <v>54401</v>
      </c>
      <c r="G5427" s="39">
        <v>411595.28</v>
      </c>
      <c r="H5427" s="42">
        <v>211</v>
      </c>
    </row>
    <row r="5428" spans="1:8" ht="15" customHeight="1">
      <c r="A5428" s="26">
        <v>46672064</v>
      </c>
      <c r="B5428" s="29" t="s">
        <v>7659</v>
      </c>
      <c r="C5428" s="29" t="s">
        <v>22102</v>
      </c>
      <c r="D5428" s="29" t="s">
        <v>35339</v>
      </c>
      <c r="E5428" s="29" t="s">
        <v>48129</v>
      </c>
      <c r="F5428" s="36" t="s">
        <v>54406</v>
      </c>
      <c r="G5428" s="39">
        <f>472651.38+956092</f>
        <v>1428743.38</v>
      </c>
      <c r="H5428" s="42">
        <v>211</v>
      </c>
    </row>
    <row r="5429" spans="1:8" ht="15" customHeight="1">
      <c r="A5429" s="26">
        <v>46672068</v>
      </c>
      <c r="B5429" s="29" t="s">
        <v>7660</v>
      </c>
      <c r="C5429" s="29" t="s">
        <v>22103</v>
      </c>
      <c r="D5429" s="29" t="s">
        <v>35340</v>
      </c>
      <c r="E5429" s="29" t="s">
        <v>48130</v>
      </c>
      <c r="F5429" s="36" t="s">
        <v>54401</v>
      </c>
      <c r="G5429" s="39">
        <v>58579.83</v>
      </c>
      <c r="H5429" s="42">
        <v>211</v>
      </c>
    </row>
    <row r="5430" spans="1:8" ht="15" customHeight="1">
      <c r="A5430" s="26">
        <v>46672069</v>
      </c>
      <c r="B5430" s="29" t="s">
        <v>7661</v>
      </c>
      <c r="C5430" s="29" t="s">
        <v>22104</v>
      </c>
      <c r="D5430" s="29" t="s">
        <v>35341</v>
      </c>
      <c r="E5430" s="29" t="s">
        <v>48131</v>
      </c>
      <c r="F5430" s="36" t="s">
        <v>54401</v>
      </c>
      <c r="G5430" s="39">
        <v>260916.24</v>
      </c>
      <c r="H5430" s="42">
        <v>211</v>
      </c>
    </row>
    <row r="5431" spans="1:8" ht="15" customHeight="1">
      <c r="A5431" s="26">
        <v>46672084</v>
      </c>
      <c r="B5431" s="29" t="s">
        <v>7662</v>
      </c>
      <c r="C5431" s="26" t="s">
        <v>22105</v>
      </c>
      <c r="D5431" s="26" t="s">
        <v>35342</v>
      </c>
      <c r="E5431" s="26" t="s">
        <v>48132</v>
      </c>
      <c r="F5431" s="37" t="s">
        <v>54401</v>
      </c>
      <c r="G5431" s="39">
        <f>2459580.81+300500</f>
        <v>2760080.81</v>
      </c>
      <c r="H5431" s="42">
        <v>211</v>
      </c>
    </row>
    <row r="5432" spans="1:8" ht="15" customHeight="1">
      <c r="A5432" s="26">
        <v>46672107</v>
      </c>
      <c r="B5432" s="29" t="s">
        <v>7663</v>
      </c>
      <c r="C5432" s="29" t="s">
        <v>22106</v>
      </c>
      <c r="D5432" s="29" t="s">
        <v>35343</v>
      </c>
      <c r="E5432" s="29" t="s">
        <v>48133</v>
      </c>
      <c r="F5432" s="36" t="s">
        <v>54401</v>
      </c>
      <c r="G5432" s="39">
        <v>24351</v>
      </c>
      <c r="H5432" s="42">
        <v>211</v>
      </c>
    </row>
    <row r="5433" spans="1:8" ht="15" customHeight="1">
      <c r="A5433" s="26">
        <v>46672118</v>
      </c>
      <c r="B5433" s="29" t="s">
        <v>7664</v>
      </c>
      <c r="C5433" s="29" t="s">
        <v>17204</v>
      </c>
      <c r="D5433" s="29" t="s">
        <v>35344</v>
      </c>
      <c r="E5433" s="29" t="s">
        <v>43926</v>
      </c>
      <c r="F5433" s="36" t="s">
        <v>54401</v>
      </c>
      <c r="G5433" s="39">
        <v>42221.4</v>
      </c>
      <c r="H5433" s="42">
        <v>211</v>
      </c>
    </row>
    <row r="5434" spans="1:8" ht="15" customHeight="1">
      <c r="A5434" s="26">
        <v>46672123</v>
      </c>
      <c r="B5434" s="29" t="s">
        <v>7665</v>
      </c>
      <c r="C5434" s="29" t="s">
        <v>22107</v>
      </c>
      <c r="D5434" s="29" t="s">
        <v>35345</v>
      </c>
      <c r="E5434" s="29" t="s">
        <v>48134</v>
      </c>
      <c r="F5434" s="36" t="s">
        <v>54401</v>
      </c>
      <c r="G5434" s="39">
        <f>4658966.21-143281+349317</f>
        <v>4865002.21</v>
      </c>
      <c r="H5434" s="42">
        <v>211</v>
      </c>
    </row>
    <row r="5435" spans="1:8" ht="15" customHeight="1">
      <c r="A5435" s="26">
        <v>46672125</v>
      </c>
      <c r="B5435" s="29" t="s">
        <v>7666</v>
      </c>
      <c r="C5435" s="29" t="s">
        <v>22108</v>
      </c>
      <c r="D5435" s="29" t="s">
        <v>35346</v>
      </c>
      <c r="E5435" s="29" t="s">
        <v>48135</v>
      </c>
      <c r="F5435" s="36" t="s">
        <v>54401</v>
      </c>
      <c r="G5435" s="39">
        <v>264864.3</v>
      </c>
      <c r="H5435" s="42">
        <v>211</v>
      </c>
    </row>
    <row r="5436" spans="1:8" ht="15" customHeight="1">
      <c r="A5436" s="26">
        <v>46672128</v>
      </c>
      <c r="B5436" s="29" t="s">
        <v>7667</v>
      </c>
      <c r="C5436" s="29" t="s">
        <v>22109</v>
      </c>
      <c r="D5436" s="29" t="s">
        <v>35347</v>
      </c>
      <c r="E5436" s="29" t="s">
        <v>48136</v>
      </c>
      <c r="F5436" s="36" t="s">
        <v>54401</v>
      </c>
      <c r="G5436" s="39">
        <v>2775675.56</v>
      </c>
      <c r="H5436" s="42">
        <v>211</v>
      </c>
    </row>
    <row r="5437" spans="1:8" ht="15" customHeight="1">
      <c r="A5437" s="26">
        <v>46672130</v>
      </c>
      <c r="B5437" s="29" t="s">
        <v>7668</v>
      </c>
      <c r="C5437" s="29" t="s">
        <v>22110</v>
      </c>
      <c r="D5437" s="29" t="s">
        <v>35348</v>
      </c>
      <c r="E5437" s="29" t="s">
        <v>48137</v>
      </c>
      <c r="F5437" s="36" t="s">
        <v>54401</v>
      </c>
      <c r="G5437" s="39">
        <f>1319598.97+192247</f>
        <v>1511845.97</v>
      </c>
      <c r="H5437" s="42">
        <v>211</v>
      </c>
    </row>
    <row r="5438" spans="1:8" ht="15" customHeight="1">
      <c r="A5438" s="26">
        <v>46672132</v>
      </c>
      <c r="B5438" s="29" t="s">
        <v>7669</v>
      </c>
      <c r="C5438" s="29" t="s">
        <v>22111</v>
      </c>
      <c r="D5438" s="29" t="s">
        <v>35349</v>
      </c>
      <c r="E5438" s="29" t="s">
        <v>48138</v>
      </c>
      <c r="F5438" s="36" t="s">
        <v>54402</v>
      </c>
      <c r="G5438" s="39">
        <v>578440.47</v>
      </c>
      <c r="H5438" s="42">
        <v>211</v>
      </c>
    </row>
    <row r="5439" spans="1:8" ht="15" customHeight="1">
      <c r="A5439" s="26">
        <v>46672142</v>
      </c>
      <c r="B5439" s="29" t="s">
        <v>7670</v>
      </c>
      <c r="C5439" s="29" t="s">
        <v>22112</v>
      </c>
      <c r="D5439" s="29" t="s">
        <v>35350</v>
      </c>
      <c r="E5439" s="29" t="s">
        <v>48139</v>
      </c>
      <c r="F5439" s="36" t="s">
        <v>54401</v>
      </c>
      <c r="G5439" s="39">
        <v>73883.460000000006</v>
      </c>
      <c r="H5439" s="42">
        <v>211</v>
      </c>
    </row>
    <row r="5440" spans="1:8" ht="15" customHeight="1">
      <c r="A5440" s="26">
        <v>46672155</v>
      </c>
      <c r="B5440" s="29" t="s">
        <v>7671</v>
      </c>
      <c r="C5440" s="26" t="s">
        <v>22113</v>
      </c>
      <c r="D5440" s="26" t="s">
        <v>35351</v>
      </c>
      <c r="E5440" s="26" t="s">
        <v>46622</v>
      </c>
      <c r="F5440" s="37" t="s">
        <v>54401</v>
      </c>
      <c r="G5440" s="39">
        <v>2145084.88</v>
      </c>
      <c r="H5440" s="42">
        <v>211</v>
      </c>
    </row>
    <row r="5441" spans="1:8" ht="15" customHeight="1">
      <c r="A5441" s="26">
        <v>46672159</v>
      </c>
      <c r="B5441" s="29" t="s">
        <v>7672</v>
      </c>
      <c r="C5441" s="29" t="s">
        <v>22114</v>
      </c>
      <c r="D5441" s="29" t="s">
        <v>35352</v>
      </c>
      <c r="E5441" s="29" t="s">
        <v>48140</v>
      </c>
      <c r="F5441" s="36" t="s">
        <v>54401</v>
      </c>
      <c r="G5441" s="39">
        <v>165266.66</v>
      </c>
      <c r="H5441" s="42">
        <v>211</v>
      </c>
    </row>
    <row r="5442" spans="1:8" ht="15" customHeight="1">
      <c r="A5442" s="26">
        <v>46672182</v>
      </c>
      <c r="B5442" s="29" t="s">
        <v>7673</v>
      </c>
      <c r="C5442" s="29" t="s">
        <v>22115</v>
      </c>
      <c r="D5442" s="29" t="s">
        <v>35353</v>
      </c>
      <c r="E5442" s="29" t="s">
        <v>48141</v>
      </c>
      <c r="F5442" s="36" t="s">
        <v>54401</v>
      </c>
      <c r="G5442" s="39">
        <f>15251265.51+11400</f>
        <v>15262665.51</v>
      </c>
      <c r="H5442" s="42">
        <v>211</v>
      </c>
    </row>
    <row r="5443" spans="1:8" ht="15" customHeight="1">
      <c r="A5443" s="26">
        <v>46672201</v>
      </c>
      <c r="B5443" s="29" t="s">
        <v>7674</v>
      </c>
      <c r="C5443" s="29" t="s">
        <v>22116</v>
      </c>
      <c r="D5443" s="29" t="s">
        <v>35354</v>
      </c>
      <c r="E5443" s="29" t="s">
        <v>48142</v>
      </c>
      <c r="F5443" s="36" t="s">
        <v>54401</v>
      </c>
      <c r="G5443" s="39">
        <v>3502807.58</v>
      </c>
      <c r="H5443" s="42">
        <v>211</v>
      </c>
    </row>
    <row r="5444" spans="1:8" ht="15" customHeight="1">
      <c r="A5444" s="26">
        <v>46672210</v>
      </c>
      <c r="B5444" s="29" t="s">
        <v>7675</v>
      </c>
      <c r="C5444" s="26" t="s">
        <v>17204</v>
      </c>
      <c r="D5444" s="26" t="s">
        <v>30349</v>
      </c>
      <c r="E5444" s="26" t="s">
        <v>43926</v>
      </c>
      <c r="F5444" s="37" t="s">
        <v>54401</v>
      </c>
      <c r="G5444" s="39">
        <v>145540.20000000001</v>
      </c>
      <c r="H5444" s="42">
        <v>211</v>
      </c>
    </row>
    <row r="5445" spans="1:8" ht="15" customHeight="1">
      <c r="A5445" s="26">
        <v>46672241</v>
      </c>
      <c r="B5445" s="29" t="s">
        <v>7676</v>
      </c>
      <c r="C5445" s="26" t="s">
        <v>22117</v>
      </c>
      <c r="D5445" s="26" t="s">
        <v>35355</v>
      </c>
      <c r="E5445" s="26" t="s">
        <v>48143</v>
      </c>
      <c r="F5445" s="37" t="s">
        <v>54401</v>
      </c>
      <c r="G5445" s="39">
        <f>925626.55+695904</f>
        <v>1621530.55</v>
      </c>
      <c r="H5445" s="42">
        <v>211</v>
      </c>
    </row>
    <row r="5446" spans="1:8" ht="15" customHeight="1">
      <c r="A5446" s="26">
        <v>46672256</v>
      </c>
      <c r="B5446" s="29" t="s">
        <v>7677</v>
      </c>
      <c r="C5446" s="29" t="s">
        <v>22118</v>
      </c>
      <c r="D5446" s="29" t="s">
        <v>35356</v>
      </c>
      <c r="E5446" s="29" t="s">
        <v>44324</v>
      </c>
      <c r="F5446" s="36" t="s">
        <v>54401</v>
      </c>
      <c r="G5446" s="39">
        <v>2707211.71</v>
      </c>
      <c r="H5446" s="42">
        <v>211</v>
      </c>
    </row>
    <row r="5447" spans="1:8" ht="15" customHeight="1">
      <c r="A5447" s="26">
        <v>46672276</v>
      </c>
      <c r="B5447" s="29" t="s">
        <v>7678</v>
      </c>
      <c r="C5447" s="26" t="s">
        <v>17204</v>
      </c>
      <c r="D5447" s="26" t="s">
        <v>30349</v>
      </c>
      <c r="E5447" s="26" t="s">
        <v>43926</v>
      </c>
      <c r="F5447" s="37" t="s">
        <v>54401</v>
      </c>
      <c r="G5447" s="39">
        <f>400003.2+2282075</f>
        <v>2682078.2000000002</v>
      </c>
      <c r="H5447" s="42">
        <v>211</v>
      </c>
    </row>
    <row r="5448" spans="1:8" ht="15" customHeight="1">
      <c r="A5448" s="26">
        <v>46672281</v>
      </c>
      <c r="B5448" s="29" t="s">
        <v>7679</v>
      </c>
      <c r="C5448" s="29" t="s">
        <v>17204</v>
      </c>
      <c r="D5448" s="29" t="s">
        <v>30349</v>
      </c>
      <c r="E5448" s="29" t="s">
        <v>43926</v>
      </c>
      <c r="F5448" s="36" t="s">
        <v>54401</v>
      </c>
      <c r="G5448" s="39">
        <v>564345.16</v>
      </c>
      <c r="H5448" s="42">
        <v>211</v>
      </c>
    </row>
    <row r="5449" spans="1:8" ht="15" customHeight="1">
      <c r="A5449" s="26">
        <v>46672299</v>
      </c>
      <c r="B5449" s="29" t="s">
        <v>7680</v>
      </c>
      <c r="C5449" s="29" t="s">
        <v>22119</v>
      </c>
      <c r="D5449" s="29" t="s">
        <v>35357</v>
      </c>
      <c r="E5449" s="29" t="s">
        <v>48144</v>
      </c>
      <c r="F5449" s="36" t="s">
        <v>54401</v>
      </c>
      <c r="G5449" s="39">
        <v>156907.72</v>
      </c>
      <c r="H5449" s="42">
        <v>211</v>
      </c>
    </row>
    <row r="5450" spans="1:8" ht="15" customHeight="1">
      <c r="A5450" s="26">
        <v>46672373</v>
      </c>
      <c r="B5450" s="29" t="s">
        <v>7681</v>
      </c>
      <c r="C5450" s="29" t="s">
        <v>17204</v>
      </c>
      <c r="D5450" s="29" t="s">
        <v>30349</v>
      </c>
      <c r="E5450" s="29" t="s">
        <v>43926</v>
      </c>
      <c r="F5450" s="36" t="s">
        <v>54401</v>
      </c>
      <c r="G5450" s="39">
        <v>111119.18</v>
      </c>
      <c r="H5450" s="42">
        <v>211</v>
      </c>
    </row>
    <row r="5451" spans="1:8" ht="15" customHeight="1">
      <c r="A5451" s="26">
        <v>46672376</v>
      </c>
      <c r="B5451" s="29" t="s">
        <v>7682</v>
      </c>
      <c r="C5451" s="29" t="s">
        <v>22120</v>
      </c>
      <c r="D5451" s="29" t="s">
        <v>35358</v>
      </c>
      <c r="E5451" s="29" t="s">
        <v>48145</v>
      </c>
      <c r="F5451" s="36" t="s">
        <v>54401</v>
      </c>
      <c r="G5451" s="39">
        <v>63957.9</v>
      </c>
      <c r="H5451" s="42">
        <v>211</v>
      </c>
    </row>
    <row r="5452" spans="1:8" ht="15" customHeight="1">
      <c r="A5452" s="26">
        <v>46672378</v>
      </c>
      <c r="B5452" s="29" t="s">
        <v>7683</v>
      </c>
      <c r="C5452" s="29" t="s">
        <v>22121</v>
      </c>
      <c r="D5452" s="29" t="s">
        <v>35359</v>
      </c>
      <c r="E5452" s="29" t="s">
        <v>44264</v>
      </c>
      <c r="F5452" s="36" t="s">
        <v>54409</v>
      </c>
      <c r="G5452" s="39">
        <v>499837.44</v>
      </c>
      <c r="H5452" s="42">
        <v>211</v>
      </c>
    </row>
    <row r="5453" spans="1:8" ht="15" customHeight="1">
      <c r="A5453" s="26">
        <v>46672384</v>
      </c>
      <c r="B5453" s="29" t="s">
        <v>7684</v>
      </c>
      <c r="C5453" s="29" t="s">
        <v>22122</v>
      </c>
      <c r="D5453" s="29" t="s">
        <v>35360</v>
      </c>
      <c r="E5453" s="29" t="s">
        <v>48146</v>
      </c>
      <c r="F5453" s="36" t="s">
        <v>54401</v>
      </c>
      <c r="G5453" s="39">
        <v>2658250.73</v>
      </c>
      <c r="H5453" s="42">
        <v>211</v>
      </c>
    </row>
    <row r="5454" spans="1:8" ht="15" customHeight="1">
      <c r="A5454" s="26">
        <v>46672393</v>
      </c>
      <c r="B5454" s="29" t="s">
        <v>7685</v>
      </c>
      <c r="C5454" s="29" t="s">
        <v>22123</v>
      </c>
      <c r="D5454" s="29" t="s">
        <v>35361</v>
      </c>
      <c r="E5454" s="29" t="s">
        <v>48147</v>
      </c>
      <c r="F5454" s="36" t="s">
        <v>54401</v>
      </c>
      <c r="G5454" s="39">
        <v>76209.23</v>
      </c>
      <c r="H5454" s="42">
        <v>211</v>
      </c>
    </row>
    <row r="5455" spans="1:8" ht="15" customHeight="1">
      <c r="A5455" s="26">
        <v>46672414</v>
      </c>
      <c r="B5455" s="29" t="s">
        <v>7686</v>
      </c>
      <c r="C5455" s="29" t="s">
        <v>22124</v>
      </c>
      <c r="D5455" s="29" t="s">
        <v>35362</v>
      </c>
      <c r="E5455" s="29" t="s">
        <v>48148</v>
      </c>
      <c r="F5455" s="36" t="s">
        <v>54401</v>
      </c>
      <c r="G5455" s="39">
        <v>361346.79</v>
      </c>
      <c r="H5455" s="42">
        <v>211</v>
      </c>
    </row>
    <row r="5456" spans="1:8" ht="15" customHeight="1">
      <c r="A5456" s="26">
        <v>46672415</v>
      </c>
      <c r="B5456" s="29" t="s">
        <v>7687</v>
      </c>
      <c r="C5456" s="29" t="s">
        <v>22125</v>
      </c>
      <c r="D5456" s="29" t="s">
        <v>35363</v>
      </c>
      <c r="E5456" s="29" t="s">
        <v>48149</v>
      </c>
      <c r="F5456" s="36" t="s">
        <v>54401</v>
      </c>
      <c r="G5456" s="39">
        <v>207656.99</v>
      </c>
      <c r="H5456" s="42">
        <v>211</v>
      </c>
    </row>
    <row r="5457" spans="1:8" ht="15" customHeight="1">
      <c r="A5457" s="26">
        <v>46672421</v>
      </c>
      <c r="B5457" s="29" t="s">
        <v>7688</v>
      </c>
      <c r="C5457" s="29" t="s">
        <v>22126</v>
      </c>
      <c r="D5457" s="29" t="s">
        <v>35364</v>
      </c>
      <c r="E5457" s="29" t="s">
        <v>48150</v>
      </c>
      <c r="F5457" s="36" t="s">
        <v>54401</v>
      </c>
      <c r="G5457" s="39">
        <v>375238.06</v>
      </c>
      <c r="H5457" s="42">
        <v>211</v>
      </c>
    </row>
    <row r="5458" spans="1:8" ht="15" customHeight="1">
      <c r="A5458" s="26">
        <v>46672431</v>
      </c>
      <c r="B5458" s="29" t="s">
        <v>7689</v>
      </c>
      <c r="C5458" s="29" t="s">
        <v>17204</v>
      </c>
      <c r="D5458" s="29" t="s">
        <v>30349</v>
      </c>
      <c r="E5458" s="29" t="s">
        <v>43926</v>
      </c>
      <c r="F5458" s="36" t="s">
        <v>54401</v>
      </c>
      <c r="G5458" s="39">
        <v>491978.02</v>
      </c>
      <c r="H5458" s="42">
        <v>211</v>
      </c>
    </row>
    <row r="5459" spans="1:8" ht="15" customHeight="1">
      <c r="A5459" s="26">
        <v>46672454</v>
      </c>
      <c r="B5459" s="29" t="s">
        <v>7690</v>
      </c>
      <c r="C5459" s="29" t="s">
        <v>22127</v>
      </c>
      <c r="D5459" s="29" t="s">
        <v>35365</v>
      </c>
      <c r="E5459" s="29" t="s">
        <v>44355</v>
      </c>
      <c r="F5459" s="36" t="s">
        <v>54401</v>
      </c>
      <c r="G5459" s="39">
        <f>2762506.8+27624</f>
        <v>2790130.8</v>
      </c>
      <c r="H5459" s="42">
        <v>211</v>
      </c>
    </row>
    <row r="5460" spans="1:8" ht="15" customHeight="1">
      <c r="A5460" s="26">
        <v>46672469</v>
      </c>
      <c r="B5460" s="29" t="s">
        <v>7691</v>
      </c>
      <c r="C5460" s="29" t="s">
        <v>22128</v>
      </c>
      <c r="D5460" s="29" t="s">
        <v>35366</v>
      </c>
      <c r="E5460" s="29" t="s">
        <v>43926</v>
      </c>
      <c r="F5460" s="36" t="s">
        <v>54401</v>
      </c>
      <c r="G5460" s="39">
        <v>386291.34</v>
      </c>
      <c r="H5460" s="42">
        <v>211</v>
      </c>
    </row>
    <row r="5461" spans="1:8" ht="15" customHeight="1">
      <c r="A5461" s="26">
        <v>46672472</v>
      </c>
      <c r="B5461" s="29" t="s">
        <v>7692</v>
      </c>
      <c r="C5461" s="29" t="s">
        <v>17204</v>
      </c>
      <c r="D5461" s="29" t="s">
        <v>30349</v>
      </c>
      <c r="E5461" s="29" t="s">
        <v>43926</v>
      </c>
      <c r="F5461" s="36" t="s">
        <v>54401</v>
      </c>
      <c r="G5461" s="39">
        <v>190921.94</v>
      </c>
      <c r="H5461" s="42">
        <v>211</v>
      </c>
    </row>
    <row r="5462" spans="1:8" ht="15" customHeight="1">
      <c r="A5462" s="26">
        <v>46672477</v>
      </c>
      <c r="B5462" s="29" t="s">
        <v>7693</v>
      </c>
      <c r="C5462" s="29" t="s">
        <v>22129</v>
      </c>
      <c r="D5462" s="29" t="s">
        <v>35367</v>
      </c>
      <c r="E5462" s="29" t="s">
        <v>48151</v>
      </c>
      <c r="F5462" s="36" t="s">
        <v>54401</v>
      </c>
      <c r="G5462" s="39">
        <f>2307835.56+69004</f>
        <v>2376839.56</v>
      </c>
      <c r="H5462" s="42">
        <v>211</v>
      </c>
    </row>
    <row r="5463" spans="1:8" ht="15" customHeight="1">
      <c r="A5463" s="26">
        <v>46672480</v>
      </c>
      <c r="B5463" s="29" t="s">
        <v>7694</v>
      </c>
      <c r="C5463" s="29" t="s">
        <v>22130</v>
      </c>
      <c r="D5463" s="29" t="s">
        <v>35368</v>
      </c>
      <c r="E5463" s="29" t="s">
        <v>43926</v>
      </c>
      <c r="F5463" s="36" t="s">
        <v>54401</v>
      </c>
      <c r="G5463" s="39">
        <v>187347.19</v>
      </c>
      <c r="H5463" s="42">
        <v>211</v>
      </c>
    </row>
    <row r="5464" spans="1:8" ht="15" customHeight="1">
      <c r="A5464" s="26">
        <v>46672498</v>
      </c>
      <c r="B5464" s="29" t="s">
        <v>7695</v>
      </c>
      <c r="C5464" s="29" t="s">
        <v>22131</v>
      </c>
      <c r="D5464" s="29" t="s">
        <v>35369</v>
      </c>
      <c r="E5464" s="29" t="s">
        <v>48152</v>
      </c>
      <c r="F5464" s="36" t="s">
        <v>54401</v>
      </c>
      <c r="G5464" s="39">
        <f>2743207.6+120061+1367330+346426</f>
        <v>4577024.5999999996</v>
      </c>
      <c r="H5464" s="42">
        <v>211</v>
      </c>
    </row>
    <row r="5465" spans="1:8" ht="15" customHeight="1">
      <c r="A5465" s="26">
        <v>46672518</v>
      </c>
      <c r="B5465" s="29" t="s">
        <v>7696</v>
      </c>
      <c r="C5465" s="29" t="s">
        <v>22132</v>
      </c>
      <c r="D5465" s="29" t="s">
        <v>35370</v>
      </c>
      <c r="E5465" s="29" t="s">
        <v>48153</v>
      </c>
      <c r="F5465" s="36" t="s">
        <v>54401</v>
      </c>
      <c r="G5465" s="39">
        <v>586064.73</v>
      </c>
      <c r="H5465" s="42">
        <v>211</v>
      </c>
    </row>
    <row r="5466" spans="1:8" ht="15" customHeight="1">
      <c r="A5466" s="26">
        <v>46672533</v>
      </c>
      <c r="B5466" s="29" t="s">
        <v>7697</v>
      </c>
      <c r="C5466" s="29" t="s">
        <v>22133</v>
      </c>
      <c r="D5466" s="29" t="s">
        <v>35371</v>
      </c>
      <c r="E5466" s="29" t="s">
        <v>44973</v>
      </c>
      <c r="F5466" s="36" t="s">
        <v>54401</v>
      </c>
      <c r="G5466" s="39">
        <f>2852092.87+68558</f>
        <v>2920650.87</v>
      </c>
      <c r="H5466" s="42">
        <v>211</v>
      </c>
    </row>
    <row r="5467" spans="1:8" ht="15" customHeight="1">
      <c r="A5467" s="26">
        <v>46672536</v>
      </c>
      <c r="B5467" s="29" t="s">
        <v>7698</v>
      </c>
      <c r="C5467" s="29" t="s">
        <v>17204</v>
      </c>
      <c r="D5467" s="29" t="s">
        <v>35372</v>
      </c>
      <c r="E5467" s="29" t="s">
        <v>43926</v>
      </c>
      <c r="F5467" s="36" t="s">
        <v>54401</v>
      </c>
      <c r="G5467" s="39">
        <v>45731.09</v>
      </c>
      <c r="H5467" s="42">
        <v>211</v>
      </c>
    </row>
    <row r="5468" spans="1:8" ht="15" customHeight="1">
      <c r="A5468" s="26">
        <v>46672541</v>
      </c>
      <c r="B5468" s="29" t="s">
        <v>7699</v>
      </c>
      <c r="C5468" s="29" t="s">
        <v>22134</v>
      </c>
      <c r="D5468" s="29" t="s">
        <v>35373</v>
      </c>
      <c r="E5468" s="29" t="s">
        <v>48154</v>
      </c>
      <c r="F5468" s="36" t="s">
        <v>54401</v>
      </c>
      <c r="G5468" s="39">
        <v>6102831.5700000003</v>
      </c>
      <c r="H5468" s="42">
        <v>211</v>
      </c>
    </row>
    <row r="5469" spans="1:8" ht="15" customHeight="1">
      <c r="A5469" s="26">
        <v>46672576</v>
      </c>
      <c r="B5469" s="29" t="s">
        <v>7700</v>
      </c>
      <c r="C5469" s="29" t="s">
        <v>22135</v>
      </c>
      <c r="D5469" s="29" t="s">
        <v>35374</v>
      </c>
      <c r="E5469" s="29" t="s">
        <v>48155</v>
      </c>
      <c r="F5469" s="36" t="s">
        <v>54401</v>
      </c>
      <c r="G5469" s="39">
        <f>13707640.05-710644</f>
        <v>12996996.050000001</v>
      </c>
      <c r="H5469" s="42">
        <v>211</v>
      </c>
    </row>
    <row r="5470" spans="1:8" ht="15" customHeight="1">
      <c r="A5470" s="26">
        <v>46672581</v>
      </c>
      <c r="B5470" s="29" t="s">
        <v>7701</v>
      </c>
      <c r="C5470" s="29" t="s">
        <v>22136</v>
      </c>
      <c r="D5470" s="29" t="s">
        <v>35375</v>
      </c>
      <c r="E5470" s="29" t="s">
        <v>48156</v>
      </c>
      <c r="F5470" s="36" t="s">
        <v>54401</v>
      </c>
      <c r="G5470" s="39">
        <v>100512.43</v>
      </c>
      <c r="H5470" s="42">
        <v>211</v>
      </c>
    </row>
    <row r="5471" spans="1:8" ht="15" customHeight="1">
      <c r="A5471" s="26">
        <v>46672592</v>
      </c>
      <c r="B5471" s="29" t="s">
        <v>7702</v>
      </c>
      <c r="C5471" s="29" t="s">
        <v>22137</v>
      </c>
      <c r="D5471" s="29" t="s">
        <v>35376</v>
      </c>
      <c r="E5471" s="29" t="s">
        <v>48157</v>
      </c>
      <c r="F5471" s="36" t="s">
        <v>54401</v>
      </c>
      <c r="G5471" s="39">
        <f>3270965.81+2164490</f>
        <v>5435455.8100000005</v>
      </c>
      <c r="H5471" s="42">
        <v>211</v>
      </c>
    </row>
    <row r="5472" spans="1:8" ht="15" customHeight="1">
      <c r="A5472" s="26">
        <v>46672613</v>
      </c>
      <c r="B5472" s="29" t="s">
        <v>7703</v>
      </c>
      <c r="C5472" s="29" t="s">
        <v>22138</v>
      </c>
      <c r="D5472" s="29" t="s">
        <v>35377</v>
      </c>
      <c r="E5472" s="29" t="s">
        <v>48158</v>
      </c>
      <c r="F5472" s="36" t="s">
        <v>54401</v>
      </c>
      <c r="G5472" s="39">
        <v>526405.30000000005</v>
      </c>
      <c r="H5472" s="42">
        <v>211</v>
      </c>
    </row>
    <row r="5473" spans="1:8" ht="15" customHeight="1">
      <c r="A5473" s="26">
        <v>46672625</v>
      </c>
      <c r="B5473" s="29" t="s">
        <v>7704</v>
      </c>
      <c r="C5473" s="29" t="s">
        <v>22139</v>
      </c>
      <c r="D5473" s="29" t="s">
        <v>35378</v>
      </c>
      <c r="E5473" s="29" t="s">
        <v>48159</v>
      </c>
      <c r="F5473" s="36" t="s">
        <v>54401</v>
      </c>
      <c r="G5473" s="39">
        <v>1162098.47</v>
      </c>
      <c r="H5473" s="42">
        <v>211</v>
      </c>
    </row>
    <row r="5474" spans="1:8" ht="15" customHeight="1">
      <c r="A5474" s="26">
        <v>46672665</v>
      </c>
      <c r="B5474" s="29" t="s">
        <v>7705</v>
      </c>
      <c r="C5474" s="29" t="s">
        <v>22140</v>
      </c>
      <c r="D5474" s="29" t="s">
        <v>35379</v>
      </c>
      <c r="E5474" s="29" t="s">
        <v>48160</v>
      </c>
      <c r="F5474" s="36" t="s">
        <v>54401</v>
      </c>
      <c r="G5474" s="39">
        <v>474386.07</v>
      </c>
      <c r="H5474" s="42">
        <v>211</v>
      </c>
    </row>
    <row r="5475" spans="1:8" ht="15" customHeight="1">
      <c r="A5475" s="26">
        <v>46672666</v>
      </c>
      <c r="B5475" s="29" t="s">
        <v>7706</v>
      </c>
      <c r="C5475" s="29" t="s">
        <v>22141</v>
      </c>
      <c r="D5475" s="29" t="s">
        <v>35380</v>
      </c>
      <c r="E5475" s="29" t="s">
        <v>48161</v>
      </c>
      <c r="F5475" s="36" t="s">
        <v>54401</v>
      </c>
      <c r="G5475" s="39">
        <v>13932636.779999999</v>
      </c>
      <c r="H5475" s="42">
        <v>211</v>
      </c>
    </row>
    <row r="5476" spans="1:8" ht="15" customHeight="1">
      <c r="A5476" s="26">
        <v>46672674</v>
      </c>
      <c r="B5476" s="29" t="s">
        <v>7707</v>
      </c>
      <c r="C5476" s="29" t="s">
        <v>22142</v>
      </c>
      <c r="D5476" s="29" t="s">
        <v>35381</v>
      </c>
      <c r="E5476" s="29" t="s">
        <v>48162</v>
      </c>
      <c r="F5476" s="36" t="s">
        <v>54401</v>
      </c>
      <c r="G5476" s="39">
        <v>45783.61</v>
      </c>
      <c r="H5476" s="42">
        <v>211</v>
      </c>
    </row>
    <row r="5477" spans="1:8" ht="15" customHeight="1">
      <c r="A5477" s="26">
        <v>46672701</v>
      </c>
      <c r="B5477" s="29" t="s">
        <v>7708</v>
      </c>
      <c r="C5477" s="29" t="s">
        <v>22143</v>
      </c>
      <c r="D5477" s="29" t="s">
        <v>35382</v>
      </c>
      <c r="E5477" s="29" t="s">
        <v>48163</v>
      </c>
      <c r="F5477" s="36" t="s">
        <v>54401</v>
      </c>
      <c r="G5477" s="39">
        <f>2506796.17+239781</f>
        <v>2746577.17</v>
      </c>
      <c r="H5477" s="42">
        <v>211</v>
      </c>
    </row>
    <row r="5478" spans="1:8" ht="15" customHeight="1">
      <c r="A5478" s="26">
        <v>46672702</v>
      </c>
      <c r="B5478" s="29" t="s">
        <v>2963</v>
      </c>
      <c r="C5478" s="29" t="s">
        <v>17847</v>
      </c>
      <c r="D5478" s="29" t="s">
        <v>31002</v>
      </c>
      <c r="E5478" s="29" t="s">
        <v>48164</v>
      </c>
      <c r="F5478" s="36" t="s">
        <v>54401</v>
      </c>
      <c r="G5478" s="39">
        <f>463899.81+509838+1231863</f>
        <v>2205600.81</v>
      </c>
      <c r="H5478" s="42">
        <v>211</v>
      </c>
    </row>
    <row r="5479" spans="1:8" ht="15" customHeight="1">
      <c r="A5479" s="26">
        <v>46672801</v>
      </c>
      <c r="B5479" s="29" t="s">
        <v>7709</v>
      </c>
      <c r="C5479" s="29" t="s">
        <v>22144</v>
      </c>
      <c r="D5479" s="29" t="s">
        <v>35383</v>
      </c>
      <c r="E5479" s="29" t="s">
        <v>48165</v>
      </c>
      <c r="F5479" s="36" t="s">
        <v>54401</v>
      </c>
      <c r="G5479" s="39">
        <v>398953.43</v>
      </c>
      <c r="H5479" s="42">
        <v>211</v>
      </c>
    </row>
    <row r="5480" spans="1:8" ht="15" customHeight="1">
      <c r="A5480" s="26">
        <v>46672830</v>
      </c>
      <c r="B5480" s="29" t="s">
        <v>7710</v>
      </c>
      <c r="C5480" s="29" t="s">
        <v>22145</v>
      </c>
      <c r="D5480" s="29" t="s">
        <v>35384</v>
      </c>
      <c r="E5480" s="29" t="s">
        <v>48166</v>
      </c>
      <c r="F5480" s="36" t="s">
        <v>54401</v>
      </c>
      <c r="G5480" s="39">
        <v>572353.59</v>
      </c>
      <c r="H5480" s="42">
        <v>211</v>
      </c>
    </row>
    <row r="5481" spans="1:8" ht="15" customHeight="1">
      <c r="A5481" s="26">
        <v>46672859</v>
      </c>
      <c r="B5481" s="29" t="s">
        <v>7711</v>
      </c>
      <c r="C5481" s="29" t="s">
        <v>22146</v>
      </c>
      <c r="D5481" s="29" t="s">
        <v>35385</v>
      </c>
      <c r="E5481" s="29" t="s">
        <v>48167</v>
      </c>
      <c r="F5481" s="36" t="s">
        <v>54401</v>
      </c>
      <c r="G5481" s="39">
        <v>5065412.49</v>
      </c>
      <c r="H5481" s="42">
        <v>211</v>
      </c>
    </row>
    <row r="5482" spans="1:8" ht="15" customHeight="1">
      <c r="A5482" s="26">
        <v>46672886</v>
      </c>
      <c r="B5482" s="29" t="s">
        <v>7712</v>
      </c>
      <c r="C5482" s="29" t="s">
        <v>22147</v>
      </c>
      <c r="D5482" s="29" t="s">
        <v>35386</v>
      </c>
      <c r="E5482" s="29" t="s">
        <v>48168</v>
      </c>
      <c r="F5482" s="36" t="s">
        <v>54401</v>
      </c>
      <c r="G5482" s="39">
        <v>238985.22</v>
      </c>
      <c r="H5482" s="42">
        <v>211</v>
      </c>
    </row>
    <row r="5483" spans="1:8" ht="15" customHeight="1">
      <c r="A5483" s="26">
        <v>46672901</v>
      </c>
      <c r="B5483" s="29" t="s">
        <v>7713</v>
      </c>
      <c r="C5483" s="29" t="s">
        <v>22148</v>
      </c>
      <c r="D5483" s="29" t="s">
        <v>35387</v>
      </c>
      <c r="E5483" s="29" t="s">
        <v>48169</v>
      </c>
      <c r="F5483" s="36" t="s">
        <v>54401</v>
      </c>
      <c r="G5483" s="39">
        <v>49983.21</v>
      </c>
      <c r="H5483" s="42">
        <v>211</v>
      </c>
    </row>
    <row r="5484" spans="1:8" ht="15" customHeight="1">
      <c r="A5484" s="26">
        <v>46672923</v>
      </c>
      <c r="B5484" s="29" t="s">
        <v>7714</v>
      </c>
      <c r="C5484" s="29" t="s">
        <v>22149</v>
      </c>
      <c r="D5484" s="29" t="s">
        <v>35388</v>
      </c>
      <c r="E5484" s="29" t="s">
        <v>48170</v>
      </c>
      <c r="F5484" s="36" t="s">
        <v>54401</v>
      </c>
      <c r="G5484" s="39">
        <v>5651215.9100000001</v>
      </c>
      <c r="H5484" s="42">
        <v>211</v>
      </c>
    </row>
    <row r="5485" spans="1:8" ht="15" customHeight="1">
      <c r="A5485" s="26">
        <v>46672936</v>
      </c>
      <c r="B5485" s="29" t="s">
        <v>7715</v>
      </c>
      <c r="C5485" s="29" t="s">
        <v>17204</v>
      </c>
      <c r="D5485" s="29" t="s">
        <v>30349</v>
      </c>
      <c r="E5485" s="29" t="s">
        <v>43926</v>
      </c>
      <c r="F5485" s="36" t="s">
        <v>54401</v>
      </c>
      <c r="G5485" s="39">
        <v>377391.35999999999</v>
      </c>
      <c r="H5485" s="42">
        <v>211</v>
      </c>
    </row>
    <row r="5486" spans="1:8" ht="15" customHeight="1">
      <c r="A5486" s="26">
        <v>46672943</v>
      </c>
      <c r="B5486" s="29" t="s">
        <v>7716</v>
      </c>
      <c r="C5486" s="29" t="s">
        <v>22150</v>
      </c>
      <c r="D5486" s="29" t="s">
        <v>35389</v>
      </c>
      <c r="E5486" s="29" t="s">
        <v>48171</v>
      </c>
      <c r="F5486" s="36" t="s">
        <v>54401</v>
      </c>
      <c r="G5486" s="39">
        <v>137995.06</v>
      </c>
      <c r="H5486" s="42">
        <v>211</v>
      </c>
    </row>
    <row r="5487" spans="1:8" ht="15" customHeight="1">
      <c r="A5487" s="26">
        <v>46672960</v>
      </c>
      <c r="B5487" s="29" t="s">
        <v>7717</v>
      </c>
      <c r="C5487" s="29" t="s">
        <v>22151</v>
      </c>
      <c r="D5487" s="29" t="s">
        <v>35390</v>
      </c>
      <c r="E5487" s="29" t="s">
        <v>48172</v>
      </c>
      <c r="F5487" s="36" t="s">
        <v>54401</v>
      </c>
      <c r="G5487" s="39">
        <v>596910.47</v>
      </c>
      <c r="H5487" s="42">
        <v>211</v>
      </c>
    </row>
    <row r="5488" spans="1:8" ht="15" customHeight="1">
      <c r="A5488" s="26">
        <v>46672968</v>
      </c>
      <c r="B5488" s="29" t="s">
        <v>7718</v>
      </c>
      <c r="C5488" s="29" t="s">
        <v>22152</v>
      </c>
      <c r="D5488" s="29" t="s">
        <v>31906</v>
      </c>
      <c r="E5488" s="29" t="s">
        <v>44923</v>
      </c>
      <c r="F5488" s="36" t="s">
        <v>54401</v>
      </c>
      <c r="G5488" s="39">
        <v>16581521.07</v>
      </c>
      <c r="H5488" s="42">
        <v>211</v>
      </c>
    </row>
    <row r="5489" spans="1:8" ht="15" customHeight="1">
      <c r="A5489" s="26">
        <v>46672981</v>
      </c>
      <c r="B5489" s="29" t="s">
        <v>7719</v>
      </c>
      <c r="C5489" s="29" t="s">
        <v>22153</v>
      </c>
      <c r="D5489" s="29" t="s">
        <v>35391</v>
      </c>
      <c r="E5489" s="29" t="s">
        <v>48173</v>
      </c>
      <c r="F5489" s="36" t="s">
        <v>54401</v>
      </c>
      <c r="G5489" s="39">
        <v>80239.7</v>
      </c>
      <c r="H5489" s="42">
        <v>211</v>
      </c>
    </row>
    <row r="5490" spans="1:8" ht="15" customHeight="1">
      <c r="A5490" s="26">
        <v>46672988</v>
      </c>
      <c r="B5490" s="29" t="s">
        <v>7720</v>
      </c>
      <c r="C5490" s="29" t="s">
        <v>22154</v>
      </c>
      <c r="D5490" s="29" t="s">
        <v>35392</v>
      </c>
      <c r="E5490" s="29" t="s">
        <v>48174</v>
      </c>
      <c r="F5490" s="36" t="s">
        <v>54401</v>
      </c>
      <c r="G5490" s="39">
        <v>1809531.92</v>
      </c>
      <c r="H5490" s="42">
        <v>211</v>
      </c>
    </row>
    <row r="5491" spans="1:8" ht="15" customHeight="1">
      <c r="A5491" s="26">
        <v>46672999</v>
      </c>
      <c r="B5491" s="29" t="s">
        <v>7721</v>
      </c>
      <c r="C5491" s="29" t="s">
        <v>22155</v>
      </c>
      <c r="D5491" s="29" t="s">
        <v>35393</v>
      </c>
      <c r="E5491" s="29" t="s">
        <v>48175</v>
      </c>
      <c r="F5491" s="36" t="s">
        <v>54401</v>
      </c>
      <c r="G5491" s="39">
        <v>521006.47</v>
      </c>
      <c r="H5491" s="42">
        <v>211</v>
      </c>
    </row>
    <row r="5492" spans="1:8" ht="15" customHeight="1">
      <c r="A5492" s="26">
        <v>46673004</v>
      </c>
      <c r="B5492" s="29" t="s">
        <v>7722</v>
      </c>
      <c r="C5492" s="29" t="s">
        <v>22156</v>
      </c>
      <c r="D5492" s="29" t="s">
        <v>35394</v>
      </c>
      <c r="E5492" s="29" t="s">
        <v>45077</v>
      </c>
      <c r="F5492" s="36" t="s">
        <v>54401</v>
      </c>
      <c r="G5492" s="39">
        <v>1068742.6200000001</v>
      </c>
      <c r="H5492" s="42">
        <v>211</v>
      </c>
    </row>
    <row r="5493" spans="1:8" ht="15" customHeight="1">
      <c r="A5493" s="26">
        <v>46673006</v>
      </c>
      <c r="B5493" s="29" t="s">
        <v>7723</v>
      </c>
      <c r="C5493" s="29" t="s">
        <v>22157</v>
      </c>
      <c r="D5493" s="29" t="s">
        <v>35395</v>
      </c>
      <c r="E5493" s="29" t="s">
        <v>48176</v>
      </c>
      <c r="F5493" s="36" t="s">
        <v>54401</v>
      </c>
      <c r="G5493" s="39">
        <v>2299685.0499999998</v>
      </c>
      <c r="H5493" s="42">
        <v>211</v>
      </c>
    </row>
    <row r="5494" spans="1:8" ht="15" customHeight="1">
      <c r="A5494" s="26">
        <v>46673008</v>
      </c>
      <c r="B5494" s="29" t="s">
        <v>7724</v>
      </c>
      <c r="C5494" s="29" t="s">
        <v>22158</v>
      </c>
      <c r="D5494" s="29" t="s">
        <v>35396</v>
      </c>
      <c r="E5494" s="29" t="s">
        <v>48177</v>
      </c>
      <c r="F5494" s="36" t="s">
        <v>54401</v>
      </c>
      <c r="G5494" s="39">
        <v>485188.4</v>
      </c>
      <c r="H5494" s="42">
        <v>211</v>
      </c>
    </row>
    <row r="5495" spans="1:8" ht="15" customHeight="1">
      <c r="A5495" s="26">
        <v>46673017</v>
      </c>
      <c r="B5495" s="29" t="s">
        <v>7725</v>
      </c>
      <c r="C5495" s="29" t="s">
        <v>22159</v>
      </c>
      <c r="D5495" s="29" t="s">
        <v>35397</v>
      </c>
      <c r="E5495" s="29" t="s">
        <v>48178</v>
      </c>
      <c r="F5495" s="36" t="s">
        <v>54401</v>
      </c>
      <c r="G5495" s="39">
        <v>216691.01</v>
      </c>
      <c r="H5495" s="42">
        <v>211</v>
      </c>
    </row>
    <row r="5496" spans="1:8" ht="15" customHeight="1">
      <c r="A5496" s="26">
        <v>46673026</v>
      </c>
      <c r="B5496" s="29" t="s">
        <v>7726</v>
      </c>
      <c r="C5496" s="26" t="s">
        <v>22160</v>
      </c>
      <c r="D5496" s="26" t="s">
        <v>35398</v>
      </c>
      <c r="E5496" s="26" t="s">
        <v>43926</v>
      </c>
      <c r="F5496" s="37" t="s">
        <v>54401</v>
      </c>
      <c r="G5496" s="39">
        <v>318167.90999999997</v>
      </c>
      <c r="H5496" s="42">
        <v>211</v>
      </c>
    </row>
    <row r="5497" spans="1:8" ht="15" customHeight="1">
      <c r="A5497" s="26">
        <v>46673039</v>
      </c>
      <c r="B5497" s="29" t="s">
        <v>7727</v>
      </c>
      <c r="C5497" s="29" t="s">
        <v>22161</v>
      </c>
      <c r="D5497" s="29" t="s">
        <v>35399</v>
      </c>
      <c r="E5497" s="29" t="s">
        <v>48179</v>
      </c>
      <c r="F5497" s="36" t="s">
        <v>54401</v>
      </c>
      <c r="G5497" s="39">
        <v>900806.96</v>
      </c>
      <c r="H5497" s="42">
        <v>211</v>
      </c>
    </row>
    <row r="5498" spans="1:8" ht="15" customHeight="1">
      <c r="A5498" s="26">
        <v>46673041</v>
      </c>
      <c r="B5498" s="29" t="s">
        <v>7728</v>
      </c>
      <c r="C5498" s="29" t="s">
        <v>22162</v>
      </c>
      <c r="D5498" s="29" t="s">
        <v>35400</v>
      </c>
      <c r="E5498" s="29" t="s">
        <v>48180</v>
      </c>
      <c r="F5498" s="36" t="s">
        <v>54401</v>
      </c>
      <c r="G5498" s="39">
        <v>655426.31000000006</v>
      </c>
      <c r="H5498" s="42">
        <v>211</v>
      </c>
    </row>
    <row r="5499" spans="1:8" ht="15" customHeight="1">
      <c r="A5499" s="26">
        <v>46673058</v>
      </c>
      <c r="B5499" s="29" t="s">
        <v>7729</v>
      </c>
      <c r="C5499" s="29" t="s">
        <v>22163</v>
      </c>
      <c r="D5499" s="29" t="s">
        <v>35401</v>
      </c>
      <c r="E5499" s="29" t="s">
        <v>48181</v>
      </c>
      <c r="F5499" s="36" t="s">
        <v>54401</v>
      </c>
      <c r="G5499" s="39">
        <v>603149.68999999994</v>
      </c>
      <c r="H5499" s="42">
        <v>211</v>
      </c>
    </row>
    <row r="5500" spans="1:8" ht="15" customHeight="1">
      <c r="A5500" s="26">
        <v>46673065</v>
      </c>
      <c r="B5500" s="29" t="s">
        <v>7730</v>
      </c>
      <c r="C5500" s="29" t="s">
        <v>22164</v>
      </c>
      <c r="D5500" s="29" t="s">
        <v>35402</v>
      </c>
      <c r="E5500" s="29" t="s">
        <v>48182</v>
      </c>
      <c r="F5500" s="36" t="s">
        <v>54401</v>
      </c>
      <c r="G5500" s="39">
        <v>2085518.44</v>
      </c>
      <c r="H5500" s="42">
        <v>211</v>
      </c>
    </row>
    <row r="5501" spans="1:8" ht="15" customHeight="1">
      <c r="A5501" s="26">
        <v>46673073</v>
      </c>
      <c r="B5501" s="29" t="s">
        <v>7731</v>
      </c>
      <c r="C5501" s="29" t="s">
        <v>22165</v>
      </c>
      <c r="D5501" s="29" t="s">
        <v>35403</v>
      </c>
      <c r="E5501" s="29" t="s">
        <v>48183</v>
      </c>
      <c r="F5501" s="36" t="s">
        <v>54401</v>
      </c>
      <c r="G5501" s="39">
        <f>1099359.96+708211</f>
        <v>1807570.96</v>
      </c>
      <c r="H5501" s="42">
        <v>211</v>
      </c>
    </row>
    <row r="5502" spans="1:8" ht="15" customHeight="1">
      <c r="A5502" s="26">
        <v>46673093</v>
      </c>
      <c r="B5502" s="29" t="s">
        <v>7732</v>
      </c>
      <c r="C5502" s="29" t="s">
        <v>17204</v>
      </c>
      <c r="D5502" s="29" t="s">
        <v>30349</v>
      </c>
      <c r="E5502" s="29" t="s">
        <v>43926</v>
      </c>
      <c r="F5502" s="36" t="s">
        <v>54401</v>
      </c>
      <c r="G5502" s="39">
        <v>438179.74</v>
      </c>
      <c r="H5502" s="42">
        <v>211</v>
      </c>
    </row>
    <row r="5503" spans="1:8" ht="15" customHeight="1">
      <c r="A5503" s="26">
        <v>46673128</v>
      </c>
      <c r="B5503" s="29" t="s">
        <v>7733</v>
      </c>
      <c r="C5503" s="29" t="s">
        <v>22166</v>
      </c>
      <c r="D5503" s="29" t="s">
        <v>35404</v>
      </c>
      <c r="E5503" s="29" t="s">
        <v>48184</v>
      </c>
      <c r="F5503" s="36" t="s">
        <v>54401</v>
      </c>
      <c r="G5503" s="39">
        <v>1452828.9</v>
      </c>
      <c r="H5503" s="42">
        <v>211</v>
      </c>
    </row>
    <row r="5504" spans="1:8" ht="15" customHeight="1">
      <c r="A5504" s="26">
        <v>46673155</v>
      </c>
      <c r="B5504" s="29" t="s">
        <v>7734</v>
      </c>
      <c r="C5504" s="29" t="s">
        <v>22167</v>
      </c>
      <c r="D5504" s="29" t="s">
        <v>35405</v>
      </c>
      <c r="E5504" s="29" t="s">
        <v>48185</v>
      </c>
      <c r="F5504" s="36" t="s">
        <v>54401</v>
      </c>
      <c r="G5504" s="39">
        <v>298850.31</v>
      </c>
      <c r="H5504" s="42">
        <v>211</v>
      </c>
    </row>
    <row r="5505" spans="1:8" ht="15" customHeight="1">
      <c r="A5505" s="26">
        <v>46673160</v>
      </c>
      <c r="B5505" s="29" t="s">
        <v>7735</v>
      </c>
      <c r="C5505" s="29" t="s">
        <v>22168</v>
      </c>
      <c r="D5505" s="29" t="s">
        <v>35406</v>
      </c>
      <c r="E5505" s="29" t="s">
        <v>48186</v>
      </c>
      <c r="F5505" s="36" t="s">
        <v>54401</v>
      </c>
      <c r="G5505" s="39">
        <v>618807.02</v>
      </c>
      <c r="H5505" s="42">
        <v>211</v>
      </c>
    </row>
    <row r="5506" spans="1:8" ht="15" customHeight="1">
      <c r="A5506" s="26">
        <v>46673183</v>
      </c>
      <c r="B5506" s="29" t="s">
        <v>7736</v>
      </c>
      <c r="C5506" s="26" t="s">
        <v>22169</v>
      </c>
      <c r="D5506" s="26" t="s">
        <v>35407</v>
      </c>
      <c r="E5506" s="26" t="s">
        <v>46101</v>
      </c>
      <c r="F5506" s="37" t="s">
        <v>54401</v>
      </c>
      <c r="G5506" s="39">
        <v>152269.01999999999</v>
      </c>
      <c r="H5506" s="42">
        <v>211</v>
      </c>
    </row>
    <row r="5507" spans="1:8" ht="15" customHeight="1">
      <c r="A5507" s="26">
        <v>46673187</v>
      </c>
      <c r="B5507" s="29" t="s">
        <v>7737</v>
      </c>
      <c r="C5507" s="26" t="s">
        <v>22170</v>
      </c>
      <c r="D5507" s="26" t="s">
        <v>35408</v>
      </c>
      <c r="E5507" s="26" t="s">
        <v>48187</v>
      </c>
      <c r="F5507" s="37" t="s">
        <v>54401</v>
      </c>
      <c r="G5507" s="39">
        <v>248070.12</v>
      </c>
      <c r="H5507" s="42">
        <v>211</v>
      </c>
    </row>
    <row r="5508" spans="1:8" ht="15" customHeight="1">
      <c r="A5508" s="26">
        <v>46673206</v>
      </c>
      <c r="B5508" s="29" t="s">
        <v>7738</v>
      </c>
      <c r="C5508" s="29" t="s">
        <v>22171</v>
      </c>
      <c r="D5508" s="29" t="s">
        <v>35409</v>
      </c>
      <c r="E5508" s="29" t="s">
        <v>48188</v>
      </c>
      <c r="F5508" s="36" t="s">
        <v>54401</v>
      </c>
      <c r="G5508" s="39">
        <v>19221.29</v>
      </c>
      <c r="H5508" s="42">
        <v>211</v>
      </c>
    </row>
    <row r="5509" spans="1:8" ht="15" customHeight="1">
      <c r="A5509" s="26">
        <v>46673216</v>
      </c>
      <c r="B5509" s="29" t="s">
        <v>7739</v>
      </c>
      <c r="C5509" s="29" t="s">
        <v>22172</v>
      </c>
      <c r="D5509" s="29" t="s">
        <v>35410</v>
      </c>
      <c r="E5509" s="29" t="s">
        <v>48189</v>
      </c>
      <c r="F5509" s="36" t="s">
        <v>54401</v>
      </c>
      <c r="G5509" s="39">
        <v>2332370.2400000002</v>
      </c>
      <c r="H5509" s="42">
        <v>211</v>
      </c>
    </row>
    <row r="5510" spans="1:8" ht="15" customHeight="1">
      <c r="A5510" s="26">
        <v>46673219</v>
      </c>
      <c r="B5510" s="29" t="s">
        <v>7740</v>
      </c>
      <c r="C5510" s="29" t="s">
        <v>22173</v>
      </c>
      <c r="D5510" s="29" t="s">
        <v>35411</v>
      </c>
      <c r="E5510" s="29" t="s">
        <v>48190</v>
      </c>
      <c r="F5510" s="36" t="s">
        <v>54401</v>
      </c>
      <c r="G5510" s="39">
        <f>2215535.71+348647</f>
        <v>2564182.71</v>
      </c>
      <c r="H5510" s="42">
        <v>211</v>
      </c>
    </row>
    <row r="5511" spans="1:8" ht="15" customHeight="1">
      <c r="A5511" s="26">
        <v>46673221</v>
      </c>
      <c r="B5511" s="29" t="s">
        <v>7741</v>
      </c>
      <c r="C5511" s="29" t="s">
        <v>22174</v>
      </c>
      <c r="D5511" s="29" t="s">
        <v>35412</v>
      </c>
      <c r="E5511" s="29" t="s">
        <v>45454</v>
      </c>
      <c r="F5511" s="36" t="s">
        <v>54401</v>
      </c>
      <c r="G5511" s="39">
        <v>5035595.1500000004</v>
      </c>
      <c r="H5511" s="42">
        <v>211</v>
      </c>
    </row>
    <row r="5512" spans="1:8" ht="15" customHeight="1">
      <c r="A5512" s="26">
        <v>46673240</v>
      </c>
      <c r="B5512" s="29" t="s">
        <v>7742</v>
      </c>
      <c r="C5512" s="29" t="s">
        <v>22175</v>
      </c>
      <c r="D5512" s="29" t="s">
        <v>35305</v>
      </c>
      <c r="E5512" s="29" t="s">
        <v>45028</v>
      </c>
      <c r="F5512" s="36" t="s">
        <v>54401</v>
      </c>
      <c r="G5512" s="39">
        <v>4818227.2699999996</v>
      </c>
      <c r="H5512" s="42">
        <v>211</v>
      </c>
    </row>
    <row r="5513" spans="1:8" ht="15" customHeight="1">
      <c r="A5513" s="26">
        <v>46673244</v>
      </c>
      <c r="B5513" s="29" t="s">
        <v>7743</v>
      </c>
      <c r="C5513" s="29" t="s">
        <v>22176</v>
      </c>
      <c r="D5513" s="29" t="s">
        <v>35413</v>
      </c>
      <c r="E5513" s="29" t="s">
        <v>48191</v>
      </c>
      <c r="F5513" s="36" t="s">
        <v>54401</v>
      </c>
      <c r="G5513" s="39">
        <f>4419357.08+114882</f>
        <v>4534239.08</v>
      </c>
      <c r="H5513" s="42">
        <v>211</v>
      </c>
    </row>
    <row r="5514" spans="1:8" ht="15" customHeight="1">
      <c r="A5514" s="26">
        <v>46673278</v>
      </c>
      <c r="B5514" s="29" t="s">
        <v>7744</v>
      </c>
      <c r="C5514" s="29" t="s">
        <v>22177</v>
      </c>
      <c r="D5514" s="29" t="s">
        <v>35414</v>
      </c>
      <c r="E5514" s="29" t="s">
        <v>48192</v>
      </c>
      <c r="F5514" s="36" t="s">
        <v>54401</v>
      </c>
      <c r="G5514" s="39">
        <v>231440.75</v>
      </c>
      <c r="H5514" s="42">
        <v>211</v>
      </c>
    </row>
    <row r="5515" spans="1:8" ht="15" customHeight="1">
      <c r="A5515" s="26">
        <v>46673290</v>
      </c>
      <c r="B5515" s="29" t="s">
        <v>7745</v>
      </c>
      <c r="C5515" s="26" t="s">
        <v>22178</v>
      </c>
      <c r="D5515" s="26" t="s">
        <v>35415</v>
      </c>
      <c r="E5515" s="26" t="s">
        <v>48193</v>
      </c>
      <c r="F5515" s="37" t="s">
        <v>54401</v>
      </c>
      <c r="G5515" s="39">
        <v>2124260.11</v>
      </c>
      <c r="H5515" s="42">
        <v>211</v>
      </c>
    </row>
    <row r="5516" spans="1:8" ht="15" customHeight="1">
      <c r="A5516" s="26">
        <v>46673293</v>
      </c>
      <c r="B5516" s="29" t="s">
        <v>7746</v>
      </c>
      <c r="C5516" s="29" t="s">
        <v>22179</v>
      </c>
      <c r="D5516" s="29" t="s">
        <v>35416</v>
      </c>
      <c r="E5516" s="29" t="s">
        <v>48194</v>
      </c>
      <c r="F5516" s="36" t="s">
        <v>54401</v>
      </c>
      <c r="G5516" s="39">
        <v>1767149.92</v>
      </c>
      <c r="H5516" s="42">
        <v>211</v>
      </c>
    </row>
    <row r="5517" spans="1:8" ht="15" customHeight="1">
      <c r="A5517" s="26">
        <v>46673323</v>
      </c>
      <c r="B5517" s="29" t="s">
        <v>7747</v>
      </c>
      <c r="C5517" s="26" t="s">
        <v>22180</v>
      </c>
      <c r="D5517" s="26" t="s">
        <v>35417</v>
      </c>
      <c r="E5517" s="26" t="s">
        <v>43926</v>
      </c>
      <c r="F5517" s="37" t="s">
        <v>54401</v>
      </c>
      <c r="G5517" s="39">
        <v>148404.76</v>
      </c>
      <c r="H5517" s="42">
        <v>211</v>
      </c>
    </row>
    <row r="5518" spans="1:8" ht="15" customHeight="1">
      <c r="A5518" s="26">
        <v>46673330</v>
      </c>
      <c r="B5518" s="29" t="s">
        <v>7748</v>
      </c>
      <c r="C5518" s="29" t="s">
        <v>22181</v>
      </c>
      <c r="D5518" s="29" t="s">
        <v>35418</v>
      </c>
      <c r="E5518" s="29" t="s">
        <v>45199</v>
      </c>
      <c r="F5518" s="36" t="s">
        <v>54401</v>
      </c>
      <c r="G5518" s="39">
        <v>3341584.32</v>
      </c>
      <c r="H5518" s="42">
        <v>211</v>
      </c>
    </row>
    <row r="5519" spans="1:8" ht="15" customHeight="1">
      <c r="A5519" s="26">
        <v>46673336</v>
      </c>
      <c r="B5519" s="29" t="s">
        <v>7749</v>
      </c>
      <c r="C5519" s="29" t="s">
        <v>22182</v>
      </c>
      <c r="D5519" s="29" t="s">
        <v>35419</v>
      </c>
      <c r="E5519" s="29" t="s">
        <v>48195</v>
      </c>
      <c r="F5519" s="36" t="s">
        <v>54401</v>
      </c>
      <c r="G5519" s="39">
        <v>4591391.75</v>
      </c>
      <c r="H5519" s="42">
        <v>211</v>
      </c>
    </row>
    <row r="5520" spans="1:8" ht="15" customHeight="1">
      <c r="A5520" s="26">
        <v>46673339</v>
      </c>
      <c r="B5520" s="29" t="s">
        <v>7750</v>
      </c>
      <c r="C5520" s="29" t="s">
        <v>22183</v>
      </c>
      <c r="D5520" s="29" t="s">
        <v>35420</v>
      </c>
      <c r="E5520" s="29" t="s">
        <v>48196</v>
      </c>
      <c r="F5520" s="36" t="s">
        <v>54401</v>
      </c>
      <c r="G5520" s="39">
        <v>660000</v>
      </c>
      <c r="H5520" s="42">
        <v>211</v>
      </c>
    </row>
    <row r="5521" spans="1:8" ht="15" customHeight="1">
      <c r="A5521" s="26">
        <v>46673342</v>
      </c>
      <c r="B5521" s="29" t="s">
        <v>7751</v>
      </c>
      <c r="C5521" s="29" t="s">
        <v>22184</v>
      </c>
      <c r="D5521" s="29" t="s">
        <v>35421</v>
      </c>
      <c r="E5521" s="29" t="s">
        <v>43926</v>
      </c>
      <c r="F5521" s="36" t="s">
        <v>54401</v>
      </c>
      <c r="G5521" s="39">
        <v>2550038.5699999998</v>
      </c>
      <c r="H5521" s="42">
        <v>211</v>
      </c>
    </row>
    <row r="5522" spans="1:8" ht="15" customHeight="1">
      <c r="A5522" s="26">
        <v>46673366</v>
      </c>
      <c r="B5522" s="29" t="s">
        <v>7752</v>
      </c>
      <c r="C5522" s="29" t="s">
        <v>22185</v>
      </c>
      <c r="D5522" s="29" t="s">
        <v>35422</v>
      </c>
      <c r="E5522" s="29" t="s">
        <v>48197</v>
      </c>
      <c r="F5522" s="36" t="s">
        <v>54401</v>
      </c>
      <c r="G5522" s="39">
        <v>102246.94</v>
      </c>
      <c r="H5522" s="42">
        <v>211</v>
      </c>
    </row>
    <row r="5523" spans="1:8" ht="15" customHeight="1">
      <c r="A5523" s="26">
        <v>46673379</v>
      </c>
      <c r="B5523" s="29" t="s">
        <v>7753</v>
      </c>
      <c r="C5523" s="29" t="s">
        <v>21834</v>
      </c>
      <c r="D5523" s="29" t="s">
        <v>35060</v>
      </c>
      <c r="E5523" s="29" t="s">
        <v>48198</v>
      </c>
      <c r="F5523" s="36" t="s">
        <v>54401</v>
      </c>
      <c r="G5523" s="39">
        <v>169093.58</v>
      </c>
      <c r="H5523" s="42">
        <v>211</v>
      </c>
    </row>
    <row r="5524" spans="1:8" ht="15" customHeight="1">
      <c r="A5524" s="26">
        <v>46673386</v>
      </c>
      <c r="B5524" s="29" t="s">
        <v>7754</v>
      </c>
      <c r="C5524" s="29" t="s">
        <v>22186</v>
      </c>
      <c r="D5524" s="29" t="s">
        <v>35423</v>
      </c>
      <c r="E5524" s="29" t="s">
        <v>48199</v>
      </c>
      <c r="F5524" s="36" t="s">
        <v>54451</v>
      </c>
      <c r="G5524" s="39">
        <v>16083.5</v>
      </c>
      <c r="H5524" s="42">
        <v>211</v>
      </c>
    </row>
    <row r="5525" spans="1:8" ht="15" customHeight="1">
      <c r="A5525" s="26">
        <v>46673388</v>
      </c>
      <c r="B5525" s="29" t="s">
        <v>7755</v>
      </c>
      <c r="C5525" s="29" t="s">
        <v>22187</v>
      </c>
      <c r="D5525" s="29" t="s">
        <v>35424</v>
      </c>
      <c r="E5525" s="29" t="s">
        <v>46539</v>
      </c>
      <c r="F5525" s="36" t="s">
        <v>54401</v>
      </c>
      <c r="G5525" s="39">
        <v>37470.68</v>
      </c>
      <c r="H5525" s="42">
        <v>211</v>
      </c>
    </row>
    <row r="5526" spans="1:8" ht="15" customHeight="1">
      <c r="A5526" s="26">
        <v>46673389</v>
      </c>
      <c r="B5526" s="29" t="s">
        <v>7756</v>
      </c>
      <c r="C5526" s="26" t="s">
        <v>22188</v>
      </c>
      <c r="D5526" s="26" t="s">
        <v>35425</v>
      </c>
      <c r="E5526" s="26" t="s">
        <v>48200</v>
      </c>
      <c r="F5526" s="37" t="s">
        <v>54401</v>
      </c>
      <c r="G5526" s="39">
        <v>3440796.82</v>
      </c>
      <c r="H5526" s="42">
        <v>211</v>
      </c>
    </row>
    <row r="5527" spans="1:8" ht="15" customHeight="1">
      <c r="A5527" s="26">
        <v>46673416</v>
      </c>
      <c r="B5527" s="29" t="s">
        <v>7757</v>
      </c>
      <c r="C5527" s="29" t="s">
        <v>17204</v>
      </c>
      <c r="D5527" s="29" t="s">
        <v>35426</v>
      </c>
      <c r="E5527" s="29" t="s">
        <v>43926</v>
      </c>
      <c r="F5527" s="36" t="s">
        <v>54401</v>
      </c>
      <c r="G5527" s="39">
        <v>437225.64</v>
      </c>
      <c r="H5527" s="42">
        <v>211</v>
      </c>
    </row>
    <row r="5528" spans="1:8" ht="15" customHeight="1">
      <c r="A5528" s="26">
        <v>46673430</v>
      </c>
      <c r="B5528" s="29" t="s">
        <v>7758</v>
      </c>
      <c r="C5528" s="29" t="s">
        <v>22189</v>
      </c>
      <c r="D5528" s="29" t="s">
        <v>35427</v>
      </c>
      <c r="E5528" s="29" t="s">
        <v>48201</v>
      </c>
      <c r="F5528" s="36" t="s">
        <v>54401</v>
      </c>
      <c r="G5528" s="39">
        <f>1719653.19+386869</f>
        <v>2106522.19</v>
      </c>
      <c r="H5528" s="42">
        <v>211</v>
      </c>
    </row>
    <row r="5529" spans="1:8" ht="15" customHeight="1">
      <c r="A5529" s="26">
        <v>46673433</v>
      </c>
      <c r="B5529" s="29" t="s">
        <v>7759</v>
      </c>
      <c r="C5529" s="26" t="s">
        <v>22190</v>
      </c>
      <c r="D5529" s="26" t="s">
        <v>35428</v>
      </c>
      <c r="E5529" s="26" t="s">
        <v>48202</v>
      </c>
      <c r="F5529" s="37" t="s">
        <v>54401</v>
      </c>
      <c r="G5529" s="39">
        <v>646382.67000000004</v>
      </c>
      <c r="H5529" s="42">
        <v>211</v>
      </c>
    </row>
    <row r="5530" spans="1:8" ht="15" customHeight="1">
      <c r="A5530" s="26">
        <v>46673446</v>
      </c>
      <c r="B5530" s="29" t="s">
        <v>7760</v>
      </c>
      <c r="C5530" s="29" t="s">
        <v>22191</v>
      </c>
      <c r="D5530" s="29" t="s">
        <v>30349</v>
      </c>
      <c r="E5530" s="29" t="s">
        <v>48203</v>
      </c>
      <c r="F5530" s="36" t="s">
        <v>54401</v>
      </c>
      <c r="G5530" s="39">
        <v>328003.53999999998</v>
      </c>
      <c r="H5530" s="42">
        <v>211</v>
      </c>
    </row>
    <row r="5531" spans="1:8" ht="15" customHeight="1">
      <c r="A5531" s="26">
        <v>46673462</v>
      </c>
      <c r="B5531" s="29" t="s">
        <v>7761</v>
      </c>
      <c r="C5531" s="29" t="s">
        <v>17337</v>
      </c>
      <c r="D5531" s="29" t="s">
        <v>35429</v>
      </c>
      <c r="E5531" s="29" t="s">
        <v>43926</v>
      </c>
      <c r="F5531" s="36" t="s">
        <v>54401</v>
      </c>
      <c r="G5531" s="39">
        <v>16058.82</v>
      </c>
      <c r="H5531" s="42">
        <v>211</v>
      </c>
    </row>
    <row r="5532" spans="1:8" ht="15" customHeight="1">
      <c r="A5532" s="26">
        <v>46673464</v>
      </c>
      <c r="B5532" s="29" t="s">
        <v>7762</v>
      </c>
      <c r="C5532" s="29" t="s">
        <v>22192</v>
      </c>
      <c r="D5532" s="29" t="s">
        <v>31814</v>
      </c>
      <c r="E5532" s="29" t="s">
        <v>48204</v>
      </c>
      <c r="F5532" s="36" t="s">
        <v>54401</v>
      </c>
      <c r="G5532" s="39">
        <v>2179229.2999999998</v>
      </c>
      <c r="H5532" s="42">
        <v>211</v>
      </c>
    </row>
    <row r="5533" spans="1:8" ht="15" customHeight="1">
      <c r="A5533" s="26">
        <v>46673467</v>
      </c>
      <c r="B5533" s="29" t="s">
        <v>7763</v>
      </c>
      <c r="C5533" s="29" t="s">
        <v>22193</v>
      </c>
      <c r="D5533" s="29" t="s">
        <v>35430</v>
      </c>
      <c r="E5533" s="29" t="s">
        <v>48205</v>
      </c>
      <c r="F5533" s="36" t="s">
        <v>54401</v>
      </c>
      <c r="G5533" s="39">
        <v>1422067.1</v>
      </c>
      <c r="H5533" s="42">
        <v>211</v>
      </c>
    </row>
    <row r="5534" spans="1:8" ht="15" customHeight="1">
      <c r="A5534" s="26">
        <v>46673495</v>
      </c>
      <c r="B5534" s="29" t="s">
        <v>7764</v>
      </c>
      <c r="C5534" s="29" t="s">
        <v>17204</v>
      </c>
      <c r="D5534" s="29" t="s">
        <v>30349</v>
      </c>
      <c r="E5534" s="29" t="s">
        <v>43926</v>
      </c>
      <c r="F5534" s="36" t="s">
        <v>54401</v>
      </c>
      <c r="G5534" s="39">
        <v>361374.91</v>
      </c>
      <c r="H5534" s="42">
        <v>211</v>
      </c>
    </row>
    <row r="5535" spans="1:8" ht="15" customHeight="1">
      <c r="A5535" s="26">
        <v>46673500</v>
      </c>
      <c r="B5535" s="29" t="s">
        <v>7765</v>
      </c>
      <c r="C5535" s="29" t="s">
        <v>17204</v>
      </c>
      <c r="D5535" s="29" t="s">
        <v>30349</v>
      </c>
      <c r="E5535" s="29" t="s">
        <v>43926</v>
      </c>
      <c r="F5535" s="36" t="s">
        <v>54401</v>
      </c>
      <c r="G5535" s="39">
        <v>27369.75</v>
      </c>
      <c r="H5535" s="42">
        <v>211</v>
      </c>
    </row>
    <row r="5536" spans="1:8" ht="15" customHeight="1">
      <c r="A5536" s="26">
        <v>46673502</v>
      </c>
      <c r="B5536" s="29" t="s">
        <v>7766</v>
      </c>
      <c r="C5536" s="26" t="s">
        <v>22194</v>
      </c>
      <c r="D5536" s="26" t="s">
        <v>35431</v>
      </c>
      <c r="E5536" s="26" t="s">
        <v>44024</v>
      </c>
      <c r="F5536" s="37" t="s">
        <v>54401</v>
      </c>
      <c r="G5536" s="39">
        <v>171699.16</v>
      </c>
      <c r="H5536" s="42">
        <v>211</v>
      </c>
    </row>
    <row r="5537" spans="1:8" ht="15" customHeight="1">
      <c r="A5537" s="26">
        <v>46673507</v>
      </c>
      <c r="B5537" s="29" t="s">
        <v>7767</v>
      </c>
      <c r="C5537" s="29" t="s">
        <v>22195</v>
      </c>
      <c r="D5537" s="29" t="s">
        <v>35432</v>
      </c>
      <c r="E5537" s="29" t="s">
        <v>48206</v>
      </c>
      <c r="F5537" s="36" t="s">
        <v>54401</v>
      </c>
      <c r="G5537" s="39">
        <v>4911900.4800000004</v>
      </c>
      <c r="H5537" s="42">
        <v>211</v>
      </c>
    </row>
    <row r="5538" spans="1:8" ht="15" customHeight="1">
      <c r="A5538" s="26">
        <v>46673544</v>
      </c>
      <c r="B5538" s="29" t="s">
        <v>7768</v>
      </c>
      <c r="C5538" s="29" t="s">
        <v>22196</v>
      </c>
      <c r="D5538" s="29" t="s">
        <v>35433</v>
      </c>
      <c r="E5538" s="29" t="s">
        <v>48207</v>
      </c>
      <c r="F5538" s="36" t="s">
        <v>54401</v>
      </c>
      <c r="G5538" s="39">
        <f>602742.15+57013+37961316</f>
        <v>38621071.149999999</v>
      </c>
      <c r="H5538" s="42">
        <v>211</v>
      </c>
    </row>
    <row r="5539" spans="1:8" ht="15" customHeight="1">
      <c r="A5539" s="26">
        <v>46673546</v>
      </c>
      <c r="B5539" s="29" t="s">
        <v>7769</v>
      </c>
      <c r="C5539" s="29" t="s">
        <v>22197</v>
      </c>
      <c r="D5539" s="29" t="s">
        <v>35434</v>
      </c>
      <c r="E5539" s="29" t="s">
        <v>48208</v>
      </c>
      <c r="F5539" s="36" t="s">
        <v>54401</v>
      </c>
      <c r="G5539" s="39">
        <v>49670.46</v>
      </c>
      <c r="H5539" s="42">
        <v>211</v>
      </c>
    </row>
    <row r="5540" spans="1:8" ht="15" customHeight="1">
      <c r="A5540" s="26">
        <v>46673565</v>
      </c>
      <c r="B5540" s="29" t="s">
        <v>7770</v>
      </c>
      <c r="C5540" s="29" t="s">
        <v>22198</v>
      </c>
      <c r="D5540" s="29" t="s">
        <v>35435</v>
      </c>
      <c r="E5540" s="29" t="s">
        <v>48209</v>
      </c>
      <c r="F5540" s="36" t="s">
        <v>54401</v>
      </c>
      <c r="G5540" s="39">
        <v>6687149.6900000004</v>
      </c>
      <c r="H5540" s="42">
        <v>211</v>
      </c>
    </row>
    <row r="5541" spans="1:8" ht="15" customHeight="1">
      <c r="A5541" s="26">
        <v>46673569</v>
      </c>
      <c r="B5541" s="29" t="s">
        <v>7771</v>
      </c>
      <c r="C5541" s="29" t="s">
        <v>22199</v>
      </c>
      <c r="D5541" s="29" t="s">
        <v>35436</v>
      </c>
      <c r="E5541" s="29" t="s">
        <v>48210</v>
      </c>
      <c r="F5541" s="36" t="s">
        <v>54401</v>
      </c>
      <c r="G5541" s="39">
        <f>4404521.89+10021</f>
        <v>4414542.8899999997</v>
      </c>
      <c r="H5541" s="42">
        <v>211</v>
      </c>
    </row>
    <row r="5542" spans="1:8" ht="15" customHeight="1">
      <c r="A5542" s="26">
        <v>46673601</v>
      </c>
      <c r="B5542" s="29" t="s">
        <v>7772</v>
      </c>
      <c r="C5542" s="29" t="s">
        <v>22200</v>
      </c>
      <c r="D5542" s="29" t="s">
        <v>35437</v>
      </c>
      <c r="E5542" s="29" t="s">
        <v>48211</v>
      </c>
      <c r="F5542" s="36" t="s">
        <v>54401</v>
      </c>
      <c r="G5542" s="39">
        <f>7237340.43+252971+435524+115780</f>
        <v>8041615.4299999997</v>
      </c>
      <c r="H5542" s="42">
        <v>211</v>
      </c>
    </row>
    <row r="5543" spans="1:8" ht="15" customHeight="1">
      <c r="A5543" s="26">
        <v>46673603</v>
      </c>
      <c r="B5543" s="29" t="s">
        <v>7773</v>
      </c>
      <c r="C5543" s="29" t="s">
        <v>22201</v>
      </c>
      <c r="D5543" s="29" t="s">
        <v>35438</v>
      </c>
      <c r="E5543" s="29" t="s">
        <v>48212</v>
      </c>
      <c r="F5543" s="36" t="s">
        <v>54401</v>
      </c>
      <c r="G5543" s="39">
        <v>100945.58</v>
      </c>
      <c r="H5543" s="42">
        <v>211</v>
      </c>
    </row>
    <row r="5544" spans="1:8" ht="15" customHeight="1">
      <c r="A5544" s="26">
        <v>46673616</v>
      </c>
      <c r="B5544" s="29" t="s">
        <v>7774</v>
      </c>
      <c r="C5544" s="29" t="s">
        <v>22202</v>
      </c>
      <c r="D5544" s="29" t="s">
        <v>35439</v>
      </c>
      <c r="E5544" s="29" t="s">
        <v>48213</v>
      </c>
      <c r="F5544" s="36" t="s">
        <v>54401</v>
      </c>
      <c r="G5544" s="39">
        <v>2768063.02</v>
      </c>
      <c r="H5544" s="42">
        <v>211</v>
      </c>
    </row>
    <row r="5545" spans="1:8" ht="15" customHeight="1">
      <c r="A5545" s="26">
        <v>46673618</v>
      </c>
      <c r="B5545" s="29" t="s">
        <v>7775</v>
      </c>
      <c r="C5545" s="29" t="s">
        <v>22203</v>
      </c>
      <c r="D5545" s="29" t="s">
        <v>35440</v>
      </c>
      <c r="E5545" s="29" t="s">
        <v>45776</v>
      </c>
      <c r="F5545" s="36" t="s">
        <v>54401</v>
      </c>
      <c r="G5545" s="39">
        <f>3934616.09+81828</f>
        <v>4016444.09</v>
      </c>
      <c r="H5545" s="42">
        <v>211</v>
      </c>
    </row>
    <row r="5546" spans="1:8" ht="15" customHeight="1">
      <c r="A5546" s="26">
        <v>46673634</v>
      </c>
      <c r="B5546" s="29" t="s">
        <v>7776</v>
      </c>
      <c r="C5546" s="29" t="s">
        <v>22204</v>
      </c>
      <c r="D5546" s="29" t="s">
        <v>35441</v>
      </c>
      <c r="E5546" s="29" t="s">
        <v>48214</v>
      </c>
      <c r="F5546" s="36" t="s">
        <v>54401</v>
      </c>
      <c r="G5546" s="39">
        <v>1753580.77</v>
      </c>
      <c r="H5546" s="42">
        <v>211</v>
      </c>
    </row>
    <row r="5547" spans="1:8" ht="15" customHeight="1">
      <c r="A5547" s="26">
        <v>46673643</v>
      </c>
      <c r="B5547" s="29" t="s">
        <v>7777</v>
      </c>
      <c r="C5547" s="29" t="s">
        <v>22205</v>
      </c>
      <c r="D5547" s="29" t="s">
        <v>35442</v>
      </c>
      <c r="E5547" s="29" t="s">
        <v>47709</v>
      </c>
      <c r="F5547" s="36" t="s">
        <v>54401</v>
      </c>
      <c r="G5547" s="39">
        <f>779011.88+521624</f>
        <v>1300635.8799999999</v>
      </c>
      <c r="H5547" s="42">
        <v>211</v>
      </c>
    </row>
    <row r="5548" spans="1:8" ht="15" customHeight="1">
      <c r="A5548" s="26">
        <v>46673656</v>
      </c>
      <c r="B5548" s="29" t="s">
        <v>7778</v>
      </c>
      <c r="C5548" s="29" t="s">
        <v>22206</v>
      </c>
      <c r="D5548" s="29" t="s">
        <v>30376</v>
      </c>
      <c r="E5548" s="29" t="s">
        <v>48215</v>
      </c>
      <c r="F5548" s="36" t="s">
        <v>54401</v>
      </c>
      <c r="G5548" s="39">
        <v>690124.82</v>
      </c>
      <c r="H5548" s="42">
        <v>211</v>
      </c>
    </row>
    <row r="5549" spans="1:8" ht="15" customHeight="1">
      <c r="A5549" s="26">
        <v>46673658</v>
      </c>
      <c r="B5549" s="29" t="s">
        <v>7779</v>
      </c>
      <c r="C5549" s="29" t="s">
        <v>22207</v>
      </c>
      <c r="D5549" s="29" t="s">
        <v>35443</v>
      </c>
      <c r="E5549" s="29" t="s">
        <v>48216</v>
      </c>
      <c r="F5549" s="36" t="s">
        <v>54401</v>
      </c>
      <c r="G5549" s="39">
        <v>2436028.06</v>
      </c>
      <c r="H5549" s="42">
        <v>211</v>
      </c>
    </row>
    <row r="5550" spans="1:8" ht="15" customHeight="1">
      <c r="A5550" s="26">
        <v>46673676</v>
      </c>
      <c r="B5550" s="29" t="s">
        <v>7780</v>
      </c>
      <c r="C5550" s="29" t="s">
        <v>22208</v>
      </c>
      <c r="D5550" s="29" t="s">
        <v>35444</v>
      </c>
      <c r="E5550" s="29" t="s">
        <v>48217</v>
      </c>
      <c r="F5550" s="36" t="s">
        <v>54401</v>
      </c>
      <c r="G5550" s="39">
        <v>120699.01</v>
      </c>
      <c r="H5550" s="42">
        <v>211</v>
      </c>
    </row>
    <row r="5551" spans="1:8" ht="15" customHeight="1">
      <c r="A5551" s="26">
        <v>46673680</v>
      </c>
      <c r="B5551" s="29" t="s">
        <v>7781</v>
      </c>
      <c r="C5551" s="26" t="s">
        <v>17204</v>
      </c>
      <c r="D5551" s="26" t="s">
        <v>35445</v>
      </c>
      <c r="E5551" s="26" t="s">
        <v>43926</v>
      </c>
      <c r="F5551" s="37" t="s">
        <v>54401</v>
      </c>
      <c r="G5551" s="39">
        <v>33445.379999999997</v>
      </c>
      <c r="H5551" s="42">
        <v>211</v>
      </c>
    </row>
    <row r="5552" spans="1:8" ht="15" customHeight="1">
      <c r="A5552" s="26">
        <v>46673689</v>
      </c>
      <c r="B5552" s="29" t="s">
        <v>7782</v>
      </c>
      <c r="C5552" s="29" t="s">
        <v>22209</v>
      </c>
      <c r="D5552" s="29" t="s">
        <v>35446</v>
      </c>
      <c r="E5552" s="29" t="s">
        <v>43926</v>
      </c>
      <c r="F5552" s="36" t="s">
        <v>54401</v>
      </c>
      <c r="G5552" s="39">
        <f>576337.6+4752194</f>
        <v>5328531.5999999996</v>
      </c>
      <c r="H5552" s="42">
        <v>211</v>
      </c>
    </row>
    <row r="5553" spans="1:8" ht="15" customHeight="1">
      <c r="A5553" s="26">
        <v>46673693</v>
      </c>
      <c r="B5553" s="29" t="s">
        <v>7783</v>
      </c>
      <c r="C5553" s="29" t="s">
        <v>22210</v>
      </c>
      <c r="D5553" s="29" t="s">
        <v>35447</v>
      </c>
      <c r="E5553" s="29" t="s">
        <v>48218</v>
      </c>
      <c r="F5553" s="36" t="s">
        <v>54401</v>
      </c>
      <c r="G5553" s="39">
        <v>1314227.81</v>
      </c>
      <c r="H5553" s="42">
        <v>211</v>
      </c>
    </row>
    <row r="5554" spans="1:8" ht="15" customHeight="1">
      <c r="A5554" s="26">
        <v>46673707</v>
      </c>
      <c r="B5554" s="29" t="s">
        <v>7784</v>
      </c>
      <c r="C5554" s="29" t="s">
        <v>22211</v>
      </c>
      <c r="D5554" s="29" t="s">
        <v>35448</v>
      </c>
      <c r="E5554" s="29" t="s">
        <v>43926</v>
      </c>
      <c r="F5554" s="36" t="s">
        <v>54401</v>
      </c>
      <c r="G5554" s="39">
        <v>337343.17</v>
      </c>
      <c r="H5554" s="42">
        <v>211</v>
      </c>
    </row>
    <row r="5555" spans="1:8" ht="15" customHeight="1">
      <c r="A5555" s="26">
        <v>46673710</v>
      </c>
      <c r="B5555" s="29" t="s">
        <v>7785</v>
      </c>
      <c r="C5555" s="29" t="s">
        <v>22212</v>
      </c>
      <c r="D5555" s="29" t="s">
        <v>35449</v>
      </c>
      <c r="E5555" s="29" t="s">
        <v>48219</v>
      </c>
      <c r="F5555" s="36" t="s">
        <v>54401</v>
      </c>
      <c r="G5555" s="39">
        <v>22954.79</v>
      </c>
      <c r="H5555" s="42">
        <v>211</v>
      </c>
    </row>
    <row r="5556" spans="1:8" ht="15" customHeight="1">
      <c r="A5556" s="26">
        <v>46673713</v>
      </c>
      <c r="B5556" s="29" t="s">
        <v>7786</v>
      </c>
      <c r="C5556" s="29" t="s">
        <v>22213</v>
      </c>
      <c r="D5556" s="29" t="s">
        <v>35450</v>
      </c>
      <c r="E5556" s="29" t="s">
        <v>48220</v>
      </c>
      <c r="F5556" s="36" t="s">
        <v>54401</v>
      </c>
      <c r="G5556" s="39">
        <v>1745931.25</v>
      </c>
      <c r="H5556" s="42">
        <v>211</v>
      </c>
    </row>
    <row r="5557" spans="1:8" ht="15" customHeight="1">
      <c r="A5557" s="26">
        <v>46673730</v>
      </c>
      <c r="B5557" s="29" t="s">
        <v>7787</v>
      </c>
      <c r="C5557" s="29" t="s">
        <v>22214</v>
      </c>
      <c r="D5557" s="29" t="s">
        <v>30376</v>
      </c>
      <c r="E5557" s="29" t="s">
        <v>45006</v>
      </c>
      <c r="F5557" s="36" t="s">
        <v>54401</v>
      </c>
      <c r="G5557" s="39">
        <f>327463.09+2606377</f>
        <v>2933840.09</v>
      </c>
      <c r="H5557" s="42">
        <v>211</v>
      </c>
    </row>
    <row r="5558" spans="1:8" ht="15" customHeight="1">
      <c r="A5558" s="26">
        <v>46673734</v>
      </c>
      <c r="B5558" s="29" t="s">
        <v>7788</v>
      </c>
      <c r="C5558" s="26" t="s">
        <v>22215</v>
      </c>
      <c r="D5558" s="26" t="s">
        <v>35451</v>
      </c>
      <c r="E5558" s="26" t="s">
        <v>48221</v>
      </c>
      <c r="F5558" s="37" t="s">
        <v>54401</v>
      </c>
      <c r="G5558" s="39">
        <v>2850045.54</v>
      </c>
      <c r="H5558" s="42">
        <v>211</v>
      </c>
    </row>
    <row r="5559" spans="1:8" ht="15" customHeight="1">
      <c r="A5559" s="26">
        <v>46673742</v>
      </c>
      <c r="B5559" s="29" t="s">
        <v>7789</v>
      </c>
      <c r="C5559" s="29" t="s">
        <v>22216</v>
      </c>
      <c r="D5559" s="29" t="s">
        <v>35452</v>
      </c>
      <c r="E5559" s="29" t="s">
        <v>48222</v>
      </c>
      <c r="F5559" s="36" t="s">
        <v>54401</v>
      </c>
      <c r="G5559" s="39">
        <v>926960.31</v>
      </c>
      <c r="H5559" s="42">
        <v>211</v>
      </c>
    </row>
    <row r="5560" spans="1:8" ht="15" customHeight="1">
      <c r="A5560" s="26">
        <v>46673743</v>
      </c>
      <c r="B5560" s="29" t="s">
        <v>7790</v>
      </c>
      <c r="C5560" s="29" t="s">
        <v>22217</v>
      </c>
      <c r="D5560" s="29" t="s">
        <v>35453</v>
      </c>
      <c r="E5560" s="29" t="s">
        <v>48223</v>
      </c>
      <c r="F5560" s="36" t="s">
        <v>54401</v>
      </c>
      <c r="G5560" s="39">
        <v>27184.87</v>
      </c>
      <c r="H5560" s="42">
        <v>211</v>
      </c>
    </row>
    <row r="5561" spans="1:8" ht="15" customHeight="1">
      <c r="A5561" s="26">
        <v>46673748</v>
      </c>
      <c r="B5561" s="29" t="s">
        <v>7791</v>
      </c>
      <c r="C5561" s="29" t="s">
        <v>22218</v>
      </c>
      <c r="D5561" s="29" t="s">
        <v>35454</v>
      </c>
      <c r="E5561" s="29" t="s">
        <v>48224</v>
      </c>
      <c r="F5561" s="36" t="s">
        <v>54401</v>
      </c>
      <c r="G5561" s="39">
        <v>382187.76</v>
      </c>
      <c r="H5561" s="42">
        <v>211</v>
      </c>
    </row>
    <row r="5562" spans="1:8" ht="15" customHeight="1">
      <c r="A5562" s="26">
        <v>46673749</v>
      </c>
      <c r="B5562" s="29" t="s">
        <v>7792</v>
      </c>
      <c r="C5562" s="29" t="s">
        <v>22219</v>
      </c>
      <c r="D5562" s="29" t="s">
        <v>30521</v>
      </c>
      <c r="E5562" s="29" t="s">
        <v>48225</v>
      </c>
      <c r="F5562" s="36" t="s">
        <v>54401</v>
      </c>
      <c r="G5562" s="39">
        <v>93212.11</v>
      </c>
      <c r="H5562" s="42">
        <v>211</v>
      </c>
    </row>
    <row r="5563" spans="1:8" ht="15" customHeight="1">
      <c r="A5563" s="26">
        <v>46673751</v>
      </c>
      <c r="B5563" s="29" t="s">
        <v>7793</v>
      </c>
      <c r="C5563" s="26" t="s">
        <v>22220</v>
      </c>
      <c r="D5563" s="26" t="s">
        <v>35455</v>
      </c>
      <c r="E5563" s="26" t="s">
        <v>48226</v>
      </c>
      <c r="F5563" s="37" t="s">
        <v>54401</v>
      </c>
      <c r="G5563" s="39">
        <v>137893.38</v>
      </c>
      <c r="H5563" s="42">
        <v>211</v>
      </c>
    </row>
    <row r="5564" spans="1:8" ht="15" customHeight="1">
      <c r="A5564" s="26">
        <v>46673759</v>
      </c>
      <c r="B5564" s="29" t="s">
        <v>7794</v>
      </c>
      <c r="C5564" s="29" t="s">
        <v>22221</v>
      </c>
      <c r="D5564" s="29" t="s">
        <v>35456</v>
      </c>
      <c r="E5564" s="29" t="s">
        <v>48227</v>
      </c>
      <c r="F5564" s="36" t="s">
        <v>54401</v>
      </c>
      <c r="G5564" s="39">
        <v>2941945.65</v>
      </c>
      <c r="H5564" s="42">
        <v>211</v>
      </c>
    </row>
    <row r="5565" spans="1:8" ht="15" customHeight="1">
      <c r="A5565" s="26">
        <v>46673768</v>
      </c>
      <c r="B5565" s="29" t="s">
        <v>7795</v>
      </c>
      <c r="C5565" s="29" t="s">
        <v>22222</v>
      </c>
      <c r="D5565" s="29" t="s">
        <v>35457</v>
      </c>
      <c r="E5565" s="29" t="s">
        <v>43926</v>
      </c>
      <c r="F5565" s="36" t="s">
        <v>54401</v>
      </c>
      <c r="G5565" s="39">
        <v>136623.79999999999</v>
      </c>
      <c r="H5565" s="42">
        <v>211</v>
      </c>
    </row>
    <row r="5566" spans="1:8" ht="15" customHeight="1">
      <c r="A5566" s="26">
        <v>46673776</v>
      </c>
      <c r="B5566" s="29" t="s">
        <v>7796</v>
      </c>
      <c r="C5566" s="29" t="s">
        <v>22223</v>
      </c>
      <c r="D5566" s="29" t="s">
        <v>35458</v>
      </c>
      <c r="E5566" s="29" t="s">
        <v>48228</v>
      </c>
      <c r="F5566" s="36" t="s">
        <v>54401</v>
      </c>
      <c r="G5566" s="39">
        <f>2177060.14+34398</f>
        <v>2211458.14</v>
      </c>
      <c r="H5566" s="42">
        <v>211</v>
      </c>
    </row>
    <row r="5567" spans="1:8" ht="15" customHeight="1">
      <c r="A5567" s="26">
        <v>46673777</v>
      </c>
      <c r="B5567" s="29" t="s">
        <v>7797</v>
      </c>
      <c r="C5567" s="29" t="s">
        <v>22224</v>
      </c>
      <c r="D5567" s="29" t="s">
        <v>35459</v>
      </c>
      <c r="E5567" s="29" t="s">
        <v>48229</v>
      </c>
      <c r="F5567" s="36" t="s">
        <v>54401</v>
      </c>
      <c r="G5567" s="39">
        <v>117494.72</v>
      </c>
      <c r="H5567" s="42">
        <v>211</v>
      </c>
    </row>
    <row r="5568" spans="1:8" ht="15" customHeight="1">
      <c r="A5568" s="26">
        <v>46673785</v>
      </c>
      <c r="B5568" s="29" t="s">
        <v>7798</v>
      </c>
      <c r="C5568" s="29" t="s">
        <v>22225</v>
      </c>
      <c r="D5568" s="29" t="s">
        <v>35460</v>
      </c>
      <c r="E5568" s="29" t="s">
        <v>48230</v>
      </c>
      <c r="F5568" s="36" t="s">
        <v>54401</v>
      </c>
      <c r="G5568" s="39">
        <v>567123.61</v>
      </c>
      <c r="H5568" s="42">
        <v>211</v>
      </c>
    </row>
    <row r="5569" spans="1:8" ht="15" customHeight="1">
      <c r="A5569" s="26">
        <v>46673802</v>
      </c>
      <c r="B5569" s="29" t="s">
        <v>7799</v>
      </c>
      <c r="C5569" s="26" t="s">
        <v>22226</v>
      </c>
      <c r="D5569" s="26" t="s">
        <v>35461</v>
      </c>
      <c r="E5569" s="26" t="s">
        <v>47638</v>
      </c>
      <c r="F5569" s="37" t="s">
        <v>54401</v>
      </c>
      <c r="G5569" s="39">
        <v>852546.4</v>
      </c>
      <c r="H5569" s="42">
        <v>211</v>
      </c>
    </row>
    <row r="5570" spans="1:8" ht="15" customHeight="1">
      <c r="A5570" s="26">
        <v>46673823</v>
      </c>
      <c r="B5570" s="29" t="s">
        <v>7800</v>
      </c>
      <c r="C5570" s="29" t="s">
        <v>22227</v>
      </c>
      <c r="D5570" s="29" t="s">
        <v>35462</v>
      </c>
      <c r="E5570" s="29" t="s">
        <v>48231</v>
      </c>
      <c r="F5570" s="36" t="s">
        <v>54401</v>
      </c>
      <c r="G5570" s="39">
        <v>6110048.0800000001</v>
      </c>
      <c r="H5570" s="42">
        <v>211</v>
      </c>
    </row>
    <row r="5571" spans="1:8" ht="15" customHeight="1">
      <c r="A5571" s="26">
        <v>46673834</v>
      </c>
      <c r="B5571" s="29" t="s">
        <v>7801</v>
      </c>
      <c r="C5571" s="26" t="s">
        <v>22228</v>
      </c>
      <c r="D5571" s="26" t="s">
        <v>35463</v>
      </c>
      <c r="E5571" s="26" t="s">
        <v>48232</v>
      </c>
      <c r="F5571" s="37" t="s">
        <v>54401</v>
      </c>
      <c r="G5571" s="39">
        <v>265991.40000000002</v>
      </c>
      <c r="H5571" s="42">
        <v>211</v>
      </c>
    </row>
    <row r="5572" spans="1:8" ht="15" customHeight="1">
      <c r="A5572" s="26">
        <v>46673861</v>
      </c>
      <c r="B5572" s="29" t="s">
        <v>7802</v>
      </c>
      <c r="C5572" s="29" t="s">
        <v>22229</v>
      </c>
      <c r="D5572" s="29" t="s">
        <v>35464</v>
      </c>
      <c r="E5572" s="29" t="s">
        <v>48233</v>
      </c>
      <c r="F5572" s="36" t="s">
        <v>54401</v>
      </c>
      <c r="G5572" s="39">
        <v>898092.03</v>
      </c>
      <c r="H5572" s="42">
        <v>211</v>
      </c>
    </row>
    <row r="5573" spans="1:8" ht="15" customHeight="1">
      <c r="A5573" s="26">
        <v>46673875</v>
      </c>
      <c r="B5573" s="29" t="s">
        <v>7803</v>
      </c>
      <c r="C5573" s="29" t="s">
        <v>17204</v>
      </c>
      <c r="D5573" s="29" t="s">
        <v>32826</v>
      </c>
      <c r="E5573" s="29" t="s">
        <v>43926</v>
      </c>
      <c r="F5573" s="36" t="s">
        <v>54401</v>
      </c>
      <c r="G5573" s="39">
        <v>62215.26</v>
      </c>
      <c r="H5573" s="42">
        <v>211</v>
      </c>
    </row>
    <row r="5574" spans="1:8" ht="15" customHeight="1">
      <c r="A5574" s="26">
        <v>46673877</v>
      </c>
      <c r="B5574" s="29" t="s">
        <v>7804</v>
      </c>
      <c r="C5574" s="29" t="s">
        <v>22230</v>
      </c>
      <c r="D5574" s="29" t="s">
        <v>35465</v>
      </c>
      <c r="E5574" s="29" t="s">
        <v>48234</v>
      </c>
      <c r="F5574" s="36" t="s">
        <v>54401</v>
      </c>
      <c r="G5574" s="39">
        <v>947810.12</v>
      </c>
      <c r="H5574" s="42">
        <v>211</v>
      </c>
    </row>
    <row r="5575" spans="1:8" ht="15" customHeight="1">
      <c r="A5575" s="26">
        <v>46673889</v>
      </c>
      <c r="B5575" s="29" t="s">
        <v>7805</v>
      </c>
      <c r="C5575" s="29" t="s">
        <v>22231</v>
      </c>
      <c r="D5575" s="29" t="s">
        <v>34631</v>
      </c>
      <c r="E5575" s="29" t="s">
        <v>48235</v>
      </c>
      <c r="F5575" s="36" t="s">
        <v>54401</v>
      </c>
      <c r="G5575" s="39">
        <v>453693.44</v>
      </c>
      <c r="H5575" s="42">
        <v>211</v>
      </c>
    </row>
    <row r="5576" spans="1:8" ht="15" customHeight="1">
      <c r="A5576" s="26">
        <v>46673903</v>
      </c>
      <c r="B5576" s="29" t="s">
        <v>7806</v>
      </c>
      <c r="C5576" s="29" t="s">
        <v>22232</v>
      </c>
      <c r="D5576" s="29" t="s">
        <v>35466</v>
      </c>
      <c r="E5576" s="29" t="s">
        <v>48236</v>
      </c>
      <c r="F5576" s="36" t="s">
        <v>54401</v>
      </c>
      <c r="G5576" s="39">
        <v>31640.33</v>
      </c>
      <c r="H5576" s="42">
        <v>211</v>
      </c>
    </row>
    <row r="5577" spans="1:8" ht="15" customHeight="1">
      <c r="A5577" s="26">
        <v>46673913</v>
      </c>
      <c r="B5577" s="29" t="s">
        <v>7807</v>
      </c>
      <c r="C5577" s="29" t="s">
        <v>22233</v>
      </c>
      <c r="D5577" s="29" t="s">
        <v>35467</v>
      </c>
      <c r="E5577" s="29" t="s">
        <v>48237</v>
      </c>
      <c r="F5577" s="36" t="s">
        <v>54420</v>
      </c>
      <c r="G5577" s="39">
        <f>542133.35+302348</f>
        <v>844481.35</v>
      </c>
      <c r="H5577" s="42">
        <v>211</v>
      </c>
    </row>
    <row r="5578" spans="1:8" ht="15" customHeight="1">
      <c r="A5578" s="26">
        <v>46673929</v>
      </c>
      <c r="B5578" s="29" t="s">
        <v>7808</v>
      </c>
      <c r="C5578" s="29" t="s">
        <v>22234</v>
      </c>
      <c r="D5578" s="29" t="s">
        <v>35468</v>
      </c>
      <c r="E5578" s="29" t="s">
        <v>48238</v>
      </c>
      <c r="F5578" s="36" t="s">
        <v>54452</v>
      </c>
      <c r="G5578" s="39">
        <v>508894.76</v>
      </c>
      <c r="H5578" s="42">
        <v>211</v>
      </c>
    </row>
    <row r="5579" spans="1:8" ht="15" customHeight="1">
      <c r="A5579" s="26">
        <v>46673930</v>
      </c>
      <c r="B5579" s="29" t="s">
        <v>7809</v>
      </c>
      <c r="C5579" s="29" t="s">
        <v>22235</v>
      </c>
      <c r="D5579" s="29" t="s">
        <v>35469</v>
      </c>
      <c r="E5579" s="29" t="s">
        <v>48239</v>
      </c>
      <c r="F5579" s="36" t="s">
        <v>54401</v>
      </c>
      <c r="G5579" s="39">
        <v>391678.48</v>
      </c>
      <c r="H5579" s="42">
        <v>211</v>
      </c>
    </row>
    <row r="5580" spans="1:8" ht="15" customHeight="1">
      <c r="A5580" s="26">
        <v>46673955</v>
      </c>
      <c r="B5580" s="29" t="s">
        <v>7810</v>
      </c>
      <c r="C5580" s="29" t="s">
        <v>22236</v>
      </c>
      <c r="D5580" s="29" t="s">
        <v>35470</v>
      </c>
      <c r="E5580" s="29" t="s">
        <v>45254</v>
      </c>
      <c r="F5580" s="36" t="s">
        <v>54401</v>
      </c>
      <c r="G5580" s="39">
        <f>2923560.55+359447</f>
        <v>3283007.55</v>
      </c>
      <c r="H5580" s="42">
        <v>211</v>
      </c>
    </row>
    <row r="5581" spans="1:8" ht="15" customHeight="1">
      <c r="A5581" s="26">
        <v>46673963</v>
      </c>
      <c r="B5581" s="29" t="s">
        <v>7811</v>
      </c>
      <c r="C5581" s="29" t="s">
        <v>22237</v>
      </c>
      <c r="D5581" s="29" t="s">
        <v>35471</v>
      </c>
      <c r="E5581" s="29" t="s">
        <v>48240</v>
      </c>
      <c r="F5581" s="36" t="s">
        <v>54401</v>
      </c>
      <c r="G5581" s="39">
        <v>4545235.1100000003</v>
      </c>
      <c r="H5581" s="42">
        <v>211</v>
      </c>
    </row>
    <row r="5582" spans="1:8" ht="15" customHeight="1">
      <c r="A5582" s="26">
        <v>46673969</v>
      </c>
      <c r="B5582" s="29" t="s">
        <v>7812</v>
      </c>
      <c r="C5582" s="29" t="s">
        <v>22238</v>
      </c>
      <c r="D5582" s="29" t="s">
        <v>35472</v>
      </c>
      <c r="E5582" s="29" t="s">
        <v>45356</v>
      </c>
      <c r="F5582" s="36" t="s">
        <v>54401</v>
      </c>
      <c r="G5582" s="39">
        <v>6517451.3799999999</v>
      </c>
      <c r="H5582" s="42">
        <v>211</v>
      </c>
    </row>
    <row r="5583" spans="1:8" ht="15" customHeight="1">
      <c r="A5583" s="26">
        <v>46673975</v>
      </c>
      <c r="B5583" s="29" t="s">
        <v>7813</v>
      </c>
      <c r="C5583" s="26" t="s">
        <v>17204</v>
      </c>
      <c r="D5583" s="26" t="s">
        <v>30349</v>
      </c>
      <c r="E5583" s="26" t="s">
        <v>43926</v>
      </c>
      <c r="F5583" s="37" t="s">
        <v>54401</v>
      </c>
      <c r="G5583" s="39">
        <v>178991.5</v>
      </c>
      <c r="H5583" s="42">
        <v>211</v>
      </c>
    </row>
    <row r="5584" spans="1:8" ht="15" customHeight="1">
      <c r="A5584" s="26">
        <v>46673998</v>
      </c>
      <c r="B5584" s="29" t="s">
        <v>7814</v>
      </c>
      <c r="C5584" s="29" t="s">
        <v>22239</v>
      </c>
      <c r="D5584" s="29" t="s">
        <v>35473</v>
      </c>
      <c r="E5584" s="29" t="s">
        <v>44264</v>
      </c>
      <c r="F5584" s="36" t="s">
        <v>54409</v>
      </c>
      <c r="G5584" s="39">
        <v>321357.51</v>
      </c>
      <c r="H5584" s="42">
        <v>211</v>
      </c>
    </row>
    <row r="5585" spans="1:8" ht="15" customHeight="1">
      <c r="A5585" s="26">
        <v>46674007</v>
      </c>
      <c r="B5585" s="29" t="s">
        <v>7815</v>
      </c>
      <c r="C5585" s="29" t="s">
        <v>22240</v>
      </c>
      <c r="D5585" s="29" t="s">
        <v>35474</v>
      </c>
      <c r="E5585" s="29" t="s">
        <v>48241</v>
      </c>
      <c r="F5585" s="36" t="s">
        <v>54401</v>
      </c>
      <c r="G5585" s="39">
        <v>180366.93</v>
      </c>
      <c r="H5585" s="42">
        <v>211</v>
      </c>
    </row>
    <row r="5586" spans="1:8" ht="15" customHeight="1">
      <c r="A5586" s="26">
        <v>46674033</v>
      </c>
      <c r="B5586" s="29" t="s">
        <v>7816</v>
      </c>
      <c r="C5586" s="29" t="s">
        <v>22241</v>
      </c>
      <c r="D5586" s="29" t="s">
        <v>35475</v>
      </c>
      <c r="E5586" s="29" t="s">
        <v>48242</v>
      </c>
      <c r="F5586" s="36" t="s">
        <v>54401</v>
      </c>
      <c r="G5586" s="39">
        <v>1270188.95</v>
      </c>
      <c r="H5586" s="42">
        <v>211</v>
      </c>
    </row>
    <row r="5587" spans="1:8" ht="15" customHeight="1">
      <c r="A5587" s="26">
        <v>46674059</v>
      </c>
      <c r="B5587" s="29" t="s">
        <v>7817</v>
      </c>
      <c r="C5587" s="26" t="s">
        <v>22242</v>
      </c>
      <c r="D5587" s="26" t="s">
        <v>35476</v>
      </c>
      <c r="E5587" s="26" t="s">
        <v>44973</v>
      </c>
      <c r="F5587" s="37" t="s">
        <v>54401</v>
      </c>
      <c r="G5587" s="39">
        <v>5706915.0899999999</v>
      </c>
      <c r="H5587" s="42">
        <v>211</v>
      </c>
    </row>
    <row r="5588" spans="1:8" ht="15" customHeight="1">
      <c r="A5588" s="26">
        <v>46674060</v>
      </c>
      <c r="B5588" s="29" t="s">
        <v>7818</v>
      </c>
      <c r="C5588" s="29" t="s">
        <v>22243</v>
      </c>
      <c r="D5588" s="29" t="s">
        <v>35477</v>
      </c>
      <c r="E5588" s="29" t="s">
        <v>48243</v>
      </c>
      <c r="F5588" s="36" t="s">
        <v>54401</v>
      </c>
      <c r="G5588" s="39">
        <v>20633.5</v>
      </c>
      <c r="H5588" s="42">
        <v>211</v>
      </c>
    </row>
    <row r="5589" spans="1:8" ht="15" customHeight="1">
      <c r="A5589" s="26">
        <v>46674074</v>
      </c>
      <c r="B5589" s="29" t="s">
        <v>7819</v>
      </c>
      <c r="C5589" s="29" t="s">
        <v>17204</v>
      </c>
      <c r="D5589" s="29" t="s">
        <v>35478</v>
      </c>
      <c r="E5589" s="29" t="s">
        <v>43926</v>
      </c>
      <c r="F5589" s="36" t="s">
        <v>54401</v>
      </c>
      <c r="G5589" s="39">
        <v>195673.31</v>
      </c>
      <c r="H5589" s="42">
        <v>211</v>
      </c>
    </row>
    <row r="5590" spans="1:8" ht="15" customHeight="1">
      <c r="A5590" s="26">
        <v>46674083</v>
      </c>
      <c r="B5590" s="29" t="s">
        <v>7820</v>
      </c>
      <c r="C5590" s="29" t="s">
        <v>22244</v>
      </c>
      <c r="D5590" s="29" t="s">
        <v>35479</v>
      </c>
      <c r="E5590" s="29" t="s">
        <v>44345</v>
      </c>
      <c r="F5590" s="36" t="s">
        <v>54401</v>
      </c>
      <c r="G5590" s="39">
        <v>668250.79</v>
      </c>
      <c r="H5590" s="42">
        <v>211</v>
      </c>
    </row>
    <row r="5591" spans="1:8" ht="15" customHeight="1">
      <c r="A5591" s="26">
        <v>46674105</v>
      </c>
      <c r="B5591" s="29" t="s">
        <v>7821</v>
      </c>
      <c r="C5591" s="29" t="s">
        <v>22245</v>
      </c>
      <c r="D5591" s="29" t="s">
        <v>35480</v>
      </c>
      <c r="E5591" s="29" t="s">
        <v>48244</v>
      </c>
      <c r="F5591" s="36" t="s">
        <v>54401</v>
      </c>
      <c r="G5591" s="39">
        <f>564903.41+80509</f>
        <v>645412.41</v>
      </c>
      <c r="H5591" s="42">
        <v>211</v>
      </c>
    </row>
    <row r="5592" spans="1:8" ht="15" customHeight="1">
      <c r="A5592" s="26">
        <v>46674113</v>
      </c>
      <c r="B5592" s="29" t="s">
        <v>7822</v>
      </c>
      <c r="C5592" s="29" t="s">
        <v>22246</v>
      </c>
      <c r="D5592" s="29" t="s">
        <v>35481</v>
      </c>
      <c r="E5592" s="29" t="s">
        <v>48245</v>
      </c>
      <c r="F5592" s="36" t="s">
        <v>54401</v>
      </c>
      <c r="G5592" s="39">
        <v>4340624.6500000004</v>
      </c>
      <c r="H5592" s="42">
        <v>211</v>
      </c>
    </row>
    <row r="5593" spans="1:8" ht="15" customHeight="1">
      <c r="A5593" s="26">
        <v>46674162</v>
      </c>
      <c r="B5593" s="29" t="s">
        <v>7823</v>
      </c>
      <c r="C5593" s="29" t="s">
        <v>22247</v>
      </c>
      <c r="D5593" s="29" t="s">
        <v>35482</v>
      </c>
      <c r="E5593" s="29" t="s">
        <v>48246</v>
      </c>
      <c r="F5593" s="36" t="s">
        <v>54401</v>
      </c>
      <c r="G5593" s="39">
        <v>2018048.45</v>
      </c>
      <c r="H5593" s="42">
        <v>211</v>
      </c>
    </row>
    <row r="5594" spans="1:8" ht="15" customHeight="1">
      <c r="A5594" s="26">
        <v>46674169</v>
      </c>
      <c r="B5594" s="29" t="s">
        <v>7824</v>
      </c>
      <c r="C5594" s="29" t="s">
        <v>22248</v>
      </c>
      <c r="D5594" s="29" t="s">
        <v>35483</v>
      </c>
      <c r="E5594" s="29" t="s">
        <v>45887</v>
      </c>
      <c r="F5594" s="36" t="s">
        <v>54401</v>
      </c>
      <c r="G5594" s="39">
        <v>318081.34000000003</v>
      </c>
      <c r="H5594" s="42">
        <v>211</v>
      </c>
    </row>
    <row r="5595" spans="1:8" ht="15" customHeight="1">
      <c r="A5595" s="26">
        <v>46674193</v>
      </c>
      <c r="B5595" s="29" t="s">
        <v>7825</v>
      </c>
      <c r="C5595" s="29" t="s">
        <v>17204</v>
      </c>
      <c r="D5595" s="29" t="s">
        <v>35484</v>
      </c>
      <c r="E5595" s="29" t="s">
        <v>43926</v>
      </c>
      <c r="F5595" s="36" t="s">
        <v>54401</v>
      </c>
      <c r="G5595" s="39">
        <v>225722.35</v>
      </c>
      <c r="H5595" s="42">
        <v>211</v>
      </c>
    </row>
    <row r="5596" spans="1:8" ht="15" customHeight="1">
      <c r="A5596" s="26">
        <v>46674198</v>
      </c>
      <c r="B5596" s="29" t="s">
        <v>7826</v>
      </c>
      <c r="C5596" s="29" t="s">
        <v>22249</v>
      </c>
      <c r="D5596" s="29" t="s">
        <v>35485</v>
      </c>
      <c r="E5596" s="29" t="s">
        <v>48247</v>
      </c>
      <c r="F5596" s="36" t="s">
        <v>54401</v>
      </c>
      <c r="G5596" s="39">
        <f>611776.45+711301</f>
        <v>1323077.45</v>
      </c>
      <c r="H5596" s="42">
        <v>211</v>
      </c>
    </row>
    <row r="5597" spans="1:8" ht="15" customHeight="1">
      <c r="A5597" s="26">
        <v>46674221</v>
      </c>
      <c r="B5597" s="29" t="s">
        <v>7827</v>
      </c>
      <c r="C5597" s="29" t="s">
        <v>22250</v>
      </c>
      <c r="D5597" s="29" t="s">
        <v>35486</v>
      </c>
      <c r="E5597" s="29" t="s">
        <v>44780</v>
      </c>
      <c r="F5597" s="36" t="s">
        <v>54401</v>
      </c>
      <c r="G5597" s="39">
        <f>1504473.29+2520465</f>
        <v>4024938.29</v>
      </c>
      <c r="H5597" s="42">
        <v>211</v>
      </c>
    </row>
    <row r="5598" spans="1:8" ht="15" customHeight="1">
      <c r="A5598" s="26">
        <v>46674228</v>
      </c>
      <c r="B5598" s="29" t="s">
        <v>7828</v>
      </c>
      <c r="C5598" s="29" t="s">
        <v>22251</v>
      </c>
      <c r="D5598" s="29" t="s">
        <v>35487</v>
      </c>
      <c r="E5598" s="29" t="s">
        <v>48248</v>
      </c>
      <c r="F5598" s="36" t="s">
        <v>54401</v>
      </c>
      <c r="G5598" s="39">
        <v>2966050.22</v>
      </c>
      <c r="H5598" s="42">
        <v>211</v>
      </c>
    </row>
    <row r="5599" spans="1:8" ht="15" customHeight="1">
      <c r="A5599" s="26">
        <v>46674234</v>
      </c>
      <c r="B5599" s="29" t="s">
        <v>7829</v>
      </c>
      <c r="C5599" s="29" t="s">
        <v>22252</v>
      </c>
      <c r="D5599" s="29" t="s">
        <v>35488</v>
      </c>
      <c r="E5599" s="29" t="s">
        <v>48249</v>
      </c>
      <c r="F5599" s="36" t="s">
        <v>54401</v>
      </c>
      <c r="G5599" s="39">
        <v>2108680.4900000002</v>
      </c>
      <c r="H5599" s="42">
        <v>211</v>
      </c>
    </row>
    <row r="5600" spans="1:8" ht="15" customHeight="1">
      <c r="A5600" s="26">
        <v>46674248</v>
      </c>
      <c r="B5600" s="29" t="s">
        <v>7830</v>
      </c>
      <c r="C5600" s="29" t="s">
        <v>22253</v>
      </c>
      <c r="D5600" s="29" t="s">
        <v>35489</v>
      </c>
      <c r="E5600" s="29" t="s">
        <v>43926</v>
      </c>
      <c r="F5600" s="36" t="s">
        <v>54401</v>
      </c>
      <c r="G5600" s="39">
        <f>1285848.17+246913</f>
        <v>1532761.17</v>
      </c>
      <c r="H5600" s="42">
        <v>211</v>
      </c>
    </row>
    <row r="5601" spans="1:8" ht="15" customHeight="1">
      <c r="A5601" s="26">
        <v>46674284</v>
      </c>
      <c r="B5601" s="29" t="s">
        <v>7831</v>
      </c>
      <c r="C5601" s="29" t="s">
        <v>22254</v>
      </c>
      <c r="D5601" s="29" t="s">
        <v>35490</v>
      </c>
      <c r="E5601" s="29" t="s">
        <v>48250</v>
      </c>
      <c r="F5601" s="36" t="s">
        <v>54453</v>
      </c>
      <c r="G5601" s="39">
        <f>848950.36+201144</f>
        <v>1050094.3599999999</v>
      </c>
      <c r="H5601" s="42">
        <v>211</v>
      </c>
    </row>
    <row r="5602" spans="1:8" ht="15" customHeight="1">
      <c r="A5602" s="26">
        <v>46674294</v>
      </c>
      <c r="B5602" s="29" t="s">
        <v>7832</v>
      </c>
      <c r="C5602" s="29" t="s">
        <v>22255</v>
      </c>
      <c r="D5602" s="29" t="s">
        <v>35491</v>
      </c>
      <c r="E5602" s="29" t="s">
        <v>47897</v>
      </c>
      <c r="F5602" s="36" t="s">
        <v>54401</v>
      </c>
      <c r="G5602" s="39">
        <v>165812.20000000001</v>
      </c>
      <c r="H5602" s="42">
        <v>211</v>
      </c>
    </row>
    <row r="5603" spans="1:8" ht="15" customHeight="1">
      <c r="A5603" s="26">
        <v>46674307</v>
      </c>
      <c r="B5603" s="29" t="s">
        <v>7833</v>
      </c>
      <c r="C5603" s="29" t="s">
        <v>22256</v>
      </c>
      <c r="D5603" s="29" t="s">
        <v>35492</v>
      </c>
      <c r="E5603" s="29" t="s">
        <v>48251</v>
      </c>
      <c r="F5603" s="36" t="s">
        <v>54401</v>
      </c>
      <c r="G5603" s="39">
        <v>807217.2</v>
      </c>
      <c r="H5603" s="42">
        <v>211</v>
      </c>
    </row>
    <row r="5604" spans="1:8" ht="15" customHeight="1">
      <c r="A5604" s="26">
        <v>46674330</v>
      </c>
      <c r="B5604" s="29" t="s">
        <v>7834</v>
      </c>
      <c r="C5604" s="29" t="s">
        <v>20880</v>
      </c>
      <c r="D5604" s="29" t="s">
        <v>35493</v>
      </c>
      <c r="E5604" s="29" t="s">
        <v>48252</v>
      </c>
      <c r="F5604" s="36" t="s">
        <v>54401</v>
      </c>
      <c r="G5604" s="39">
        <v>4007408.21</v>
      </c>
      <c r="H5604" s="42">
        <v>211</v>
      </c>
    </row>
    <row r="5605" spans="1:8" ht="15" customHeight="1">
      <c r="A5605" s="26">
        <v>46674333</v>
      </c>
      <c r="B5605" s="29" t="s">
        <v>7835</v>
      </c>
      <c r="C5605" s="29" t="s">
        <v>17204</v>
      </c>
      <c r="D5605" s="29" t="s">
        <v>30349</v>
      </c>
      <c r="E5605" s="29" t="s">
        <v>43926</v>
      </c>
      <c r="F5605" s="36" t="s">
        <v>54401</v>
      </c>
      <c r="G5605" s="39">
        <v>749578.61</v>
      </c>
      <c r="H5605" s="42">
        <v>211</v>
      </c>
    </row>
    <row r="5606" spans="1:8" ht="15" customHeight="1">
      <c r="A5606" s="26">
        <v>46674353</v>
      </c>
      <c r="B5606" s="29" t="s">
        <v>7836</v>
      </c>
      <c r="C5606" s="26" t="s">
        <v>17204</v>
      </c>
      <c r="D5606" s="26" t="s">
        <v>35494</v>
      </c>
      <c r="E5606" s="26" t="s">
        <v>48253</v>
      </c>
      <c r="F5606" s="37" t="s">
        <v>54401</v>
      </c>
      <c r="G5606" s="39">
        <v>30877.64</v>
      </c>
      <c r="H5606" s="42">
        <v>211</v>
      </c>
    </row>
    <row r="5607" spans="1:8" ht="15" customHeight="1">
      <c r="A5607" s="26">
        <v>46674361</v>
      </c>
      <c r="B5607" s="29" t="s">
        <v>7837</v>
      </c>
      <c r="C5607" s="29" t="s">
        <v>22257</v>
      </c>
      <c r="D5607" s="29" t="s">
        <v>35495</v>
      </c>
      <c r="E5607" s="29" t="s">
        <v>48254</v>
      </c>
      <c r="F5607" s="36" t="s">
        <v>54401</v>
      </c>
      <c r="G5607" s="39">
        <f>3169292.71+162211</f>
        <v>3331503.71</v>
      </c>
      <c r="H5607" s="42">
        <v>211</v>
      </c>
    </row>
    <row r="5608" spans="1:8" ht="15" customHeight="1">
      <c r="A5608" s="26">
        <v>46674422</v>
      </c>
      <c r="B5608" s="29" t="s">
        <v>7838</v>
      </c>
      <c r="C5608" s="29" t="s">
        <v>22258</v>
      </c>
      <c r="D5608" s="29" t="s">
        <v>35496</v>
      </c>
      <c r="E5608" s="29" t="s">
        <v>48255</v>
      </c>
      <c r="F5608" s="36" t="s">
        <v>54401</v>
      </c>
      <c r="G5608" s="39">
        <v>113877.72</v>
      </c>
      <c r="H5608" s="42">
        <v>211</v>
      </c>
    </row>
    <row r="5609" spans="1:8" ht="15" customHeight="1">
      <c r="A5609" s="26">
        <v>46674428</v>
      </c>
      <c r="B5609" s="29" t="s">
        <v>7839</v>
      </c>
      <c r="C5609" s="26" t="s">
        <v>22259</v>
      </c>
      <c r="D5609" s="26" t="s">
        <v>35497</v>
      </c>
      <c r="E5609" s="26" t="s">
        <v>48256</v>
      </c>
      <c r="F5609" s="37" t="s">
        <v>54401</v>
      </c>
      <c r="G5609" s="39">
        <v>101287.25</v>
      </c>
      <c r="H5609" s="42">
        <v>211</v>
      </c>
    </row>
    <row r="5610" spans="1:8" ht="15" customHeight="1">
      <c r="A5610" s="26">
        <v>46674434</v>
      </c>
      <c r="B5610" s="29" t="s">
        <v>7840</v>
      </c>
      <c r="C5610" s="29" t="s">
        <v>22260</v>
      </c>
      <c r="D5610" s="29" t="s">
        <v>35498</v>
      </c>
      <c r="E5610" s="29" t="s">
        <v>48257</v>
      </c>
      <c r="F5610" s="36" t="s">
        <v>54401</v>
      </c>
      <c r="G5610" s="39">
        <v>3930576.63</v>
      </c>
      <c r="H5610" s="42">
        <v>211</v>
      </c>
    </row>
    <row r="5611" spans="1:8" ht="15" customHeight="1">
      <c r="A5611" s="26">
        <v>46674435</v>
      </c>
      <c r="B5611" s="29" t="s">
        <v>7841</v>
      </c>
      <c r="C5611" s="29" t="s">
        <v>22261</v>
      </c>
      <c r="D5611" s="29" t="s">
        <v>35499</v>
      </c>
      <c r="E5611" s="29" t="s">
        <v>48258</v>
      </c>
      <c r="F5611" s="36" t="s">
        <v>54401</v>
      </c>
      <c r="G5611" s="39">
        <f>2346074.62+414944+97460</f>
        <v>2858478.62</v>
      </c>
      <c r="H5611" s="42">
        <v>211</v>
      </c>
    </row>
    <row r="5612" spans="1:8" ht="15" customHeight="1">
      <c r="A5612" s="26">
        <v>46674448</v>
      </c>
      <c r="B5612" s="29" t="s">
        <v>7842</v>
      </c>
      <c r="C5612" s="29" t="s">
        <v>17337</v>
      </c>
      <c r="D5612" s="29" t="s">
        <v>35500</v>
      </c>
      <c r="E5612" s="29" t="s">
        <v>48259</v>
      </c>
      <c r="F5612" s="36" t="s">
        <v>54401</v>
      </c>
      <c r="G5612" s="39">
        <v>27107.62</v>
      </c>
      <c r="H5612" s="42">
        <v>211</v>
      </c>
    </row>
    <row r="5613" spans="1:8" ht="15" customHeight="1">
      <c r="A5613" s="26">
        <v>46674450</v>
      </c>
      <c r="B5613" s="29" t="s">
        <v>7843</v>
      </c>
      <c r="C5613" s="29" t="s">
        <v>22262</v>
      </c>
      <c r="D5613" s="29" t="s">
        <v>35501</v>
      </c>
      <c r="E5613" s="29" t="s">
        <v>48260</v>
      </c>
      <c r="F5613" s="36" t="s">
        <v>54401</v>
      </c>
      <c r="G5613" s="39">
        <v>487625.49</v>
      </c>
      <c r="H5613" s="42">
        <v>211</v>
      </c>
    </row>
    <row r="5614" spans="1:8" ht="15" customHeight="1">
      <c r="A5614" s="26">
        <v>46674466</v>
      </c>
      <c r="B5614" s="29" t="s">
        <v>7844</v>
      </c>
      <c r="C5614" s="26" t="s">
        <v>22263</v>
      </c>
      <c r="D5614" s="26" t="s">
        <v>35502</v>
      </c>
      <c r="E5614" s="26" t="s">
        <v>48261</v>
      </c>
      <c r="F5614" s="37" t="s">
        <v>54401</v>
      </c>
      <c r="G5614" s="39">
        <f>2957835.59+2435432</f>
        <v>5393267.5899999999</v>
      </c>
      <c r="H5614" s="42">
        <v>211</v>
      </c>
    </row>
    <row r="5615" spans="1:8" ht="15" customHeight="1">
      <c r="A5615" s="26">
        <v>46674497</v>
      </c>
      <c r="B5615" s="29" t="s">
        <v>7845</v>
      </c>
      <c r="C5615" s="29" t="s">
        <v>22264</v>
      </c>
      <c r="D5615" s="29" t="s">
        <v>35503</v>
      </c>
      <c r="E5615" s="29" t="s">
        <v>48262</v>
      </c>
      <c r="F5615" s="36" t="s">
        <v>54401</v>
      </c>
      <c r="G5615" s="39">
        <v>1963494.77</v>
      </c>
      <c r="H5615" s="42">
        <v>211</v>
      </c>
    </row>
    <row r="5616" spans="1:8" ht="15" customHeight="1">
      <c r="A5616" s="26">
        <v>46674510</v>
      </c>
      <c r="B5616" s="29" t="s">
        <v>7846</v>
      </c>
      <c r="C5616" s="29" t="s">
        <v>22265</v>
      </c>
      <c r="D5616" s="29" t="s">
        <v>35504</v>
      </c>
      <c r="E5616" s="29" t="s">
        <v>48263</v>
      </c>
      <c r="F5616" s="36" t="s">
        <v>54401</v>
      </c>
      <c r="G5616" s="39">
        <v>697128.91</v>
      </c>
      <c r="H5616" s="42">
        <v>211</v>
      </c>
    </row>
    <row r="5617" spans="1:8" ht="15" customHeight="1">
      <c r="A5617" s="26">
        <v>46674511</v>
      </c>
      <c r="B5617" s="29" t="s">
        <v>7847</v>
      </c>
      <c r="C5617" s="29" t="s">
        <v>22266</v>
      </c>
      <c r="D5617" s="29" t="s">
        <v>35505</v>
      </c>
      <c r="E5617" s="29" t="s">
        <v>48264</v>
      </c>
      <c r="F5617" s="36" t="s">
        <v>54401</v>
      </c>
      <c r="G5617" s="39">
        <v>648912.28</v>
      </c>
      <c r="H5617" s="42">
        <v>211</v>
      </c>
    </row>
    <row r="5618" spans="1:8" ht="15" customHeight="1">
      <c r="A5618" s="26">
        <v>46674521</v>
      </c>
      <c r="B5618" s="29" t="s">
        <v>7848</v>
      </c>
      <c r="C5618" s="29" t="s">
        <v>22267</v>
      </c>
      <c r="D5618" s="29" t="s">
        <v>35506</v>
      </c>
      <c r="E5618" s="29" t="s">
        <v>48265</v>
      </c>
      <c r="F5618" s="36" t="s">
        <v>54401</v>
      </c>
      <c r="G5618" s="39">
        <v>4998189.67</v>
      </c>
      <c r="H5618" s="42">
        <v>211</v>
      </c>
    </row>
    <row r="5619" spans="1:8" ht="15" customHeight="1">
      <c r="A5619" s="26">
        <v>46674566</v>
      </c>
      <c r="B5619" s="29" t="s">
        <v>7849</v>
      </c>
      <c r="C5619" s="29" t="s">
        <v>22268</v>
      </c>
      <c r="D5619" s="29" t="s">
        <v>35507</v>
      </c>
      <c r="E5619" s="29" t="s">
        <v>48266</v>
      </c>
      <c r="F5619" s="36" t="s">
        <v>54401</v>
      </c>
      <c r="G5619" s="39">
        <v>41742.239999999998</v>
      </c>
      <c r="H5619" s="42">
        <v>211</v>
      </c>
    </row>
    <row r="5620" spans="1:8" ht="15" customHeight="1">
      <c r="A5620" s="26">
        <v>46674570</v>
      </c>
      <c r="B5620" s="29" t="s">
        <v>7850</v>
      </c>
      <c r="C5620" s="29" t="s">
        <v>22269</v>
      </c>
      <c r="D5620" s="29" t="s">
        <v>35508</v>
      </c>
      <c r="E5620" s="29" t="s">
        <v>48267</v>
      </c>
      <c r="F5620" s="36" t="s">
        <v>54401</v>
      </c>
      <c r="G5620" s="39">
        <v>910774.74</v>
      </c>
      <c r="H5620" s="42">
        <v>211</v>
      </c>
    </row>
    <row r="5621" spans="1:8" ht="15" customHeight="1">
      <c r="A5621" s="26">
        <v>46674573</v>
      </c>
      <c r="B5621" s="29" t="s">
        <v>7851</v>
      </c>
      <c r="C5621" s="29" t="s">
        <v>22270</v>
      </c>
      <c r="D5621" s="29" t="s">
        <v>35509</v>
      </c>
      <c r="E5621" s="29" t="s">
        <v>48268</v>
      </c>
      <c r="F5621" s="36" t="s">
        <v>54401</v>
      </c>
      <c r="G5621" s="39">
        <v>118924.39</v>
      </c>
      <c r="H5621" s="42">
        <v>211</v>
      </c>
    </row>
    <row r="5622" spans="1:8" ht="15" customHeight="1">
      <c r="A5622" s="26">
        <v>46674590</v>
      </c>
      <c r="B5622" s="29" t="s">
        <v>7852</v>
      </c>
      <c r="C5622" s="26" t="s">
        <v>22271</v>
      </c>
      <c r="D5622" s="26" t="s">
        <v>35510</v>
      </c>
      <c r="E5622" s="26" t="s">
        <v>44193</v>
      </c>
      <c r="F5622" s="37" t="s">
        <v>54401</v>
      </c>
      <c r="G5622" s="39">
        <v>37352.94</v>
      </c>
      <c r="H5622" s="42">
        <v>211</v>
      </c>
    </row>
    <row r="5623" spans="1:8" ht="15" customHeight="1">
      <c r="A5623" s="26">
        <v>46674610</v>
      </c>
      <c r="B5623" s="29" t="s">
        <v>7853</v>
      </c>
      <c r="C5623" s="29" t="s">
        <v>22272</v>
      </c>
      <c r="D5623" s="29" t="s">
        <v>35511</v>
      </c>
      <c r="E5623" s="29" t="s">
        <v>48269</v>
      </c>
      <c r="F5623" s="36" t="s">
        <v>54401</v>
      </c>
      <c r="G5623" s="39">
        <v>207485.58</v>
      </c>
      <c r="H5623" s="42">
        <v>211</v>
      </c>
    </row>
    <row r="5624" spans="1:8" ht="15" customHeight="1">
      <c r="A5624" s="26">
        <v>46674615</v>
      </c>
      <c r="B5624" s="29" t="s">
        <v>7854</v>
      </c>
      <c r="C5624" s="26" t="s">
        <v>22273</v>
      </c>
      <c r="D5624" s="26" t="s">
        <v>35512</v>
      </c>
      <c r="E5624" s="26" t="s">
        <v>43926</v>
      </c>
      <c r="F5624" s="37" t="s">
        <v>54401</v>
      </c>
      <c r="G5624" s="39">
        <v>47345.63</v>
      </c>
      <c r="H5624" s="42">
        <v>211</v>
      </c>
    </row>
    <row r="5625" spans="1:8" ht="15" customHeight="1">
      <c r="A5625" s="26">
        <v>46674618</v>
      </c>
      <c r="B5625" s="29" t="s">
        <v>7855</v>
      </c>
      <c r="C5625" s="29" t="s">
        <v>22274</v>
      </c>
      <c r="D5625" s="29" t="s">
        <v>35513</v>
      </c>
      <c r="E5625" s="29" t="s">
        <v>48270</v>
      </c>
      <c r="F5625" s="36" t="s">
        <v>54401</v>
      </c>
      <c r="G5625" s="39">
        <v>359382.82</v>
      </c>
      <c r="H5625" s="42">
        <v>211</v>
      </c>
    </row>
    <row r="5626" spans="1:8" ht="15" customHeight="1">
      <c r="A5626" s="26">
        <v>46674621</v>
      </c>
      <c r="B5626" s="29" t="s">
        <v>7856</v>
      </c>
      <c r="C5626" s="29" t="s">
        <v>22275</v>
      </c>
      <c r="D5626" s="29" t="s">
        <v>35514</v>
      </c>
      <c r="E5626" s="29" t="s">
        <v>44355</v>
      </c>
      <c r="F5626" s="36" t="s">
        <v>54401</v>
      </c>
      <c r="G5626" s="39">
        <v>369676.75</v>
      </c>
      <c r="H5626" s="42">
        <v>211</v>
      </c>
    </row>
    <row r="5627" spans="1:8" ht="15" customHeight="1">
      <c r="A5627" s="26">
        <v>46674640</v>
      </c>
      <c r="B5627" s="29" t="s">
        <v>7857</v>
      </c>
      <c r="C5627" s="29" t="s">
        <v>22276</v>
      </c>
      <c r="D5627" s="29" t="s">
        <v>35515</v>
      </c>
      <c r="E5627" s="29" t="s">
        <v>48271</v>
      </c>
      <c r="F5627" s="36" t="s">
        <v>54401</v>
      </c>
      <c r="G5627" s="39">
        <v>137127.73000000001</v>
      </c>
      <c r="H5627" s="42">
        <v>211</v>
      </c>
    </row>
    <row r="5628" spans="1:8" ht="15" customHeight="1">
      <c r="A5628" s="26">
        <v>46674649</v>
      </c>
      <c r="B5628" s="29" t="s">
        <v>7858</v>
      </c>
      <c r="C5628" s="29" t="s">
        <v>22277</v>
      </c>
      <c r="D5628" s="29" t="s">
        <v>35516</v>
      </c>
      <c r="E5628" s="29" t="s">
        <v>48272</v>
      </c>
      <c r="F5628" s="36" t="s">
        <v>54401</v>
      </c>
      <c r="G5628" s="39">
        <f>1145513.93+3577816+1591087</f>
        <v>6314416.9299999997</v>
      </c>
      <c r="H5628" s="42">
        <v>211</v>
      </c>
    </row>
    <row r="5629" spans="1:8" ht="15" customHeight="1">
      <c r="A5629" s="26">
        <v>46674656</v>
      </c>
      <c r="B5629" s="29" t="s">
        <v>7859</v>
      </c>
      <c r="C5629" s="29" t="s">
        <v>22278</v>
      </c>
      <c r="D5629" s="29" t="s">
        <v>35517</v>
      </c>
      <c r="E5629" s="29" t="s">
        <v>48273</v>
      </c>
      <c r="F5629" s="36" t="s">
        <v>54401</v>
      </c>
      <c r="G5629" s="39">
        <v>1531488</v>
      </c>
      <c r="H5629" s="42">
        <v>211</v>
      </c>
    </row>
    <row r="5630" spans="1:8" ht="15" customHeight="1">
      <c r="A5630" s="26">
        <v>46674674</v>
      </c>
      <c r="B5630" s="29" t="s">
        <v>7860</v>
      </c>
      <c r="C5630" s="29" t="s">
        <v>22279</v>
      </c>
      <c r="D5630" s="29" t="s">
        <v>35518</v>
      </c>
      <c r="E5630" s="29" t="s">
        <v>48274</v>
      </c>
      <c r="F5630" s="36" t="s">
        <v>54401</v>
      </c>
      <c r="G5630" s="39">
        <v>69635.520000000004</v>
      </c>
      <c r="H5630" s="42">
        <v>211</v>
      </c>
    </row>
    <row r="5631" spans="1:8" ht="15" customHeight="1">
      <c r="A5631" s="26">
        <v>46674687</v>
      </c>
      <c r="B5631" s="29" t="s">
        <v>7861</v>
      </c>
      <c r="C5631" s="29" t="s">
        <v>22280</v>
      </c>
      <c r="D5631" s="29" t="s">
        <v>35519</v>
      </c>
      <c r="E5631" s="29" t="s">
        <v>48275</v>
      </c>
      <c r="F5631" s="36" t="s">
        <v>54401</v>
      </c>
      <c r="G5631" s="39">
        <v>2097167.0699999998</v>
      </c>
      <c r="H5631" s="42">
        <v>211</v>
      </c>
    </row>
    <row r="5632" spans="1:8" ht="15" customHeight="1">
      <c r="A5632" s="26">
        <v>46674706</v>
      </c>
      <c r="B5632" s="29" t="s">
        <v>7862</v>
      </c>
      <c r="C5632" s="29" t="s">
        <v>21110</v>
      </c>
      <c r="D5632" s="29" t="s">
        <v>34337</v>
      </c>
      <c r="E5632" s="29" t="s">
        <v>48276</v>
      </c>
      <c r="F5632" s="36" t="s">
        <v>54401</v>
      </c>
      <c r="G5632" s="39">
        <f>1195965.24+183579</f>
        <v>1379544.24</v>
      </c>
      <c r="H5632" s="42">
        <v>211</v>
      </c>
    </row>
    <row r="5633" spans="1:8" ht="15" customHeight="1">
      <c r="A5633" s="26">
        <v>46674718</v>
      </c>
      <c r="B5633" s="29" t="s">
        <v>7863</v>
      </c>
      <c r="C5633" s="29" t="s">
        <v>22281</v>
      </c>
      <c r="D5633" s="29" t="s">
        <v>35520</v>
      </c>
      <c r="E5633" s="29" t="s">
        <v>48277</v>
      </c>
      <c r="F5633" s="36" t="s">
        <v>54401</v>
      </c>
      <c r="G5633" s="39">
        <v>532524.94999999995</v>
      </c>
      <c r="H5633" s="42">
        <v>211</v>
      </c>
    </row>
    <row r="5634" spans="1:8" ht="15" customHeight="1">
      <c r="A5634" s="26">
        <v>46674727</v>
      </c>
      <c r="B5634" s="29" t="s">
        <v>7864</v>
      </c>
      <c r="C5634" s="29" t="s">
        <v>22282</v>
      </c>
      <c r="D5634" s="29" t="s">
        <v>35521</v>
      </c>
      <c r="E5634" s="29" t="s">
        <v>48072</v>
      </c>
      <c r="F5634" s="36" t="s">
        <v>54401</v>
      </c>
      <c r="G5634" s="39">
        <v>436278.21</v>
      </c>
      <c r="H5634" s="42">
        <v>211</v>
      </c>
    </row>
    <row r="5635" spans="1:8" ht="15" customHeight="1">
      <c r="A5635" s="26">
        <v>46674750</v>
      </c>
      <c r="B5635" s="29" t="s">
        <v>7865</v>
      </c>
      <c r="C5635" s="29" t="s">
        <v>22283</v>
      </c>
      <c r="D5635" s="29" t="s">
        <v>35522</v>
      </c>
      <c r="E5635" s="29" t="s">
        <v>48278</v>
      </c>
      <c r="F5635" s="36" t="s">
        <v>54401</v>
      </c>
      <c r="G5635" s="39">
        <v>113816.94</v>
      </c>
      <c r="H5635" s="42">
        <v>211</v>
      </c>
    </row>
    <row r="5636" spans="1:8" ht="15" customHeight="1">
      <c r="A5636" s="26">
        <v>46674761</v>
      </c>
      <c r="B5636" s="29" t="s">
        <v>7866</v>
      </c>
      <c r="C5636" s="29" t="s">
        <v>22284</v>
      </c>
      <c r="D5636" s="29" t="s">
        <v>35523</v>
      </c>
      <c r="E5636" s="29" t="s">
        <v>48279</v>
      </c>
      <c r="F5636" s="36" t="s">
        <v>54401</v>
      </c>
      <c r="G5636" s="39">
        <v>3252181.52</v>
      </c>
      <c r="H5636" s="42">
        <v>211</v>
      </c>
    </row>
    <row r="5637" spans="1:8" ht="15" customHeight="1">
      <c r="A5637" s="26">
        <v>46674770</v>
      </c>
      <c r="B5637" s="29" t="s">
        <v>7867</v>
      </c>
      <c r="C5637" s="26" t="s">
        <v>22285</v>
      </c>
      <c r="D5637" s="26" t="s">
        <v>35524</v>
      </c>
      <c r="E5637" s="26" t="s">
        <v>48280</v>
      </c>
      <c r="F5637" s="37" t="s">
        <v>54401</v>
      </c>
      <c r="G5637" s="39">
        <v>111875.07</v>
      </c>
      <c r="H5637" s="42">
        <v>211</v>
      </c>
    </row>
    <row r="5638" spans="1:8" ht="15" customHeight="1">
      <c r="A5638" s="26">
        <v>46674780</v>
      </c>
      <c r="B5638" s="29" t="s">
        <v>7868</v>
      </c>
      <c r="C5638" s="29" t="s">
        <v>17204</v>
      </c>
      <c r="D5638" s="29" t="s">
        <v>30349</v>
      </c>
      <c r="E5638" s="29" t="s">
        <v>43926</v>
      </c>
      <c r="F5638" s="36" t="s">
        <v>54401</v>
      </c>
      <c r="G5638" s="39">
        <v>1221812.02</v>
      </c>
      <c r="H5638" s="42">
        <v>211</v>
      </c>
    </row>
    <row r="5639" spans="1:8" ht="15" customHeight="1">
      <c r="A5639" s="26">
        <v>46674785</v>
      </c>
      <c r="B5639" s="29" t="s">
        <v>7869</v>
      </c>
      <c r="C5639" s="29" t="s">
        <v>22286</v>
      </c>
      <c r="D5639" s="29" t="s">
        <v>35525</v>
      </c>
      <c r="E5639" s="29" t="s">
        <v>48281</v>
      </c>
      <c r="F5639" s="36" t="s">
        <v>54401</v>
      </c>
      <c r="G5639" s="39">
        <v>136326.04999999999</v>
      </c>
      <c r="H5639" s="42">
        <v>211</v>
      </c>
    </row>
    <row r="5640" spans="1:8" ht="15" customHeight="1">
      <c r="A5640" s="26">
        <v>46674795</v>
      </c>
      <c r="B5640" s="29" t="s">
        <v>7870</v>
      </c>
      <c r="C5640" s="29" t="s">
        <v>22287</v>
      </c>
      <c r="D5640" s="29" t="s">
        <v>35526</v>
      </c>
      <c r="E5640" s="29" t="s">
        <v>48282</v>
      </c>
      <c r="F5640" s="36" t="s">
        <v>54401</v>
      </c>
      <c r="G5640" s="39">
        <v>5022338.1900000004</v>
      </c>
      <c r="H5640" s="42">
        <v>211</v>
      </c>
    </row>
    <row r="5641" spans="1:8" ht="15" customHeight="1">
      <c r="A5641" s="26">
        <v>46674827</v>
      </c>
      <c r="B5641" s="29" t="s">
        <v>7871</v>
      </c>
      <c r="C5641" s="29" t="s">
        <v>22288</v>
      </c>
      <c r="D5641" s="29" t="s">
        <v>35527</v>
      </c>
      <c r="E5641" s="29" t="s">
        <v>48283</v>
      </c>
      <c r="F5641" s="36" t="s">
        <v>54401</v>
      </c>
      <c r="G5641" s="39">
        <v>468231.26</v>
      </c>
      <c r="H5641" s="42">
        <v>211</v>
      </c>
    </row>
    <row r="5642" spans="1:8" ht="15" customHeight="1">
      <c r="A5642" s="26">
        <v>46674845</v>
      </c>
      <c r="B5642" s="29" t="s">
        <v>7872</v>
      </c>
      <c r="C5642" s="29" t="s">
        <v>17204</v>
      </c>
      <c r="D5642" s="29" t="s">
        <v>30349</v>
      </c>
      <c r="E5642" s="29" t="s">
        <v>43926</v>
      </c>
      <c r="F5642" s="36" t="s">
        <v>54401</v>
      </c>
      <c r="G5642" s="39">
        <v>556218.48</v>
      </c>
      <c r="H5642" s="42">
        <v>211</v>
      </c>
    </row>
    <row r="5643" spans="1:8" ht="15" customHeight="1">
      <c r="A5643" s="26">
        <v>46674859</v>
      </c>
      <c r="B5643" s="29" t="s">
        <v>7873</v>
      </c>
      <c r="C5643" s="29" t="s">
        <v>22289</v>
      </c>
      <c r="D5643" s="29" t="s">
        <v>35528</v>
      </c>
      <c r="E5643" s="29" t="s">
        <v>48284</v>
      </c>
      <c r="F5643" s="36" t="s">
        <v>54401</v>
      </c>
      <c r="G5643" s="39">
        <f>505215.26+455105</f>
        <v>960320.26</v>
      </c>
      <c r="H5643" s="42">
        <v>211</v>
      </c>
    </row>
    <row r="5644" spans="1:8" ht="15" customHeight="1">
      <c r="A5644" s="26">
        <v>46674872</v>
      </c>
      <c r="B5644" s="29" t="s">
        <v>7874</v>
      </c>
      <c r="C5644" s="29" t="s">
        <v>22290</v>
      </c>
      <c r="D5644" s="29" t="s">
        <v>35529</v>
      </c>
      <c r="E5644" s="29" t="s">
        <v>48285</v>
      </c>
      <c r="F5644" s="36" t="s">
        <v>54401</v>
      </c>
      <c r="G5644" s="39">
        <v>407256.51</v>
      </c>
      <c r="H5644" s="42">
        <v>211</v>
      </c>
    </row>
    <row r="5645" spans="1:8" ht="15" customHeight="1">
      <c r="A5645" s="26">
        <v>46674885</v>
      </c>
      <c r="B5645" s="29" t="s">
        <v>7875</v>
      </c>
      <c r="C5645" s="29" t="s">
        <v>22291</v>
      </c>
      <c r="D5645" s="29" t="s">
        <v>35530</v>
      </c>
      <c r="E5645" s="29" t="s">
        <v>48286</v>
      </c>
      <c r="F5645" s="36" t="s">
        <v>54401</v>
      </c>
      <c r="G5645" s="39">
        <f>1231228.7+630040</f>
        <v>1861268.7</v>
      </c>
      <c r="H5645" s="42">
        <v>211</v>
      </c>
    </row>
    <row r="5646" spans="1:8" ht="15" customHeight="1">
      <c r="A5646" s="26">
        <v>46674893</v>
      </c>
      <c r="B5646" s="29" t="s">
        <v>7876</v>
      </c>
      <c r="C5646" s="29" t="s">
        <v>22292</v>
      </c>
      <c r="D5646" s="29" t="s">
        <v>35531</v>
      </c>
      <c r="E5646" s="29" t="s">
        <v>46588</v>
      </c>
      <c r="F5646" s="36" t="s">
        <v>54401</v>
      </c>
      <c r="G5646" s="39">
        <v>2549371.15</v>
      </c>
      <c r="H5646" s="42">
        <v>211</v>
      </c>
    </row>
    <row r="5647" spans="1:8" ht="15" customHeight="1">
      <c r="A5647" s="26">
        <v>46674905</v>
      </c>
      <c r="B5647" s="29" t="s">
        <v>7877</v>
      </c>
      <c r="C5647" s="29" t="s">
        <v>22293</v>
      </c>
      <c r="D5647" s="29" t="s">
        <v>34669</v>
      </c>
      <c r="E5647" s="29" t="s">
        <v>47599</v>
      </c>
      <c r="F5647" s="36" t="s">
        <v>54401</v>
      </c>
      <c r="G5647" s="39">
        <v>869290.93</v>
      </c>
      <c r="H5647" s="42">
        <v>211</v>
      </c>
    </row>
    <row r="5648" spans="1:8" ht="15" customHeight="1">
      <c r="A5648" s="26">
        <v>46674917</v>
      </c>
      <c r="B5648" s="29" t="s">
        <v>7878</v>
      </c>
      <c r="C5648" s="29" t="s">
        <v>22294</v>
      </c>
      <c r="D5648" s="29" t="s">
        <v>35532</v>
      </c>
      <c r="E5648" s="29" t="s">
        <v>43926</v>
      </c>
      <c r="F5648" s="36" t="s">
        <v>54401</v>
      </c>
      <c r="G5648" s="39">
        <v>430681.94</v>
      </c>
      <c r="H5648" s="42">
        <v>211</v>
      </c>
    </row>
    <row r="5649" spans="1:8" ht="15" customHeight="1">
      <c r="A5649" s="26">
        <v>46674960</v>
      </c>
      <c r="B5649" s="29" t="s">
        <v>7879</v>
      </c>
      <c r="C5649" s="26" t="s">
        <v>22295</v>
      </c>
      <c r="D5649" s="26" t="s">
        <v>35533</v>
      </c>
      <c r="E5649" s="26" t="s">
        <v>48287</v>
      </c>
      <c r="F5649" s="37" t="s">
        <v>54401</v>
      </c>
      <c r="G5649" s="39">
        <v>281132.27</v>
      </c>
      <c r="H5649" s="42">
        <v>211</v>
      </c>
    </row>
    <row r="5650" spans="1:8" ht="15" customHeight="1">
      <c r="A5650" s="26">
        <v>46674966</v>
      </c>
      <c r="B5650" s="29" t="s">
        <v>7880</v>
      </c>
      <c r="C5650" s="29" t="s">
        <v>22296</v>
      </c>
      <c r="D5650" s="29" t="s">
        <v>35534</v>
      </c>
      <c r="E5650" s="29" t="s">
        <v>44274</v>
      </c>
      <c r="F5650" s="36" t="s">
        <v>54401</v>
      </c>
      <c r="G5650" s="39">
        <v>1050769.93</v>
      </c>
      <c r="H5650" s="42">
        <v>211</v>
      </c>
    </row>
    <row r="5651" spans="1:8" ht="15" customHeight="1">
      <c r="A5651" s="26">
        <v>46674969</v>
      </c>
      <c r="B5651" s="29" t="s">
        <v>7881</v>
      </c>
      <c r="C5651" s="29" t="s">
        <v>22297</v>
      </c>
      <c r="D5651" s="29" t="s">
        <v>35535</v>
      </c>
      <c r="E5651" s="29" t="s">
        <v>48288</v>
      </c>
      <c r="F5651" s="36" t="s">
        <v>54401</v>
      </c>
      <c r="G5651" s="39">
        <v>3394992.23</v>
      </c>
      <c r="H5651" s="42">
        <v>211</v>
      </c>
    </row>
    <row r="5652" spans="1:8" ht="15" customHeight="1">
      <c r="A5652" s="26">
        <v>46674973</v>
      </c>
      <c r="B5652" s="29" t="s">
        <v>7882</v>
      </c>
      <c r="C5652" s="29" t="s">
        <v>22298</v>
      </c>
      <c r="D5652" s="29" t="s">
        <v>35536</v>
      </c>
      <c r="E5652" s="29" t="s">
        <v>48289</v>
      </c>
      <c r="F5652" s="36" t="s">
        <v>54401</v>
      </c>
      <c r="G5652" s="39">
        <f>823124.01+1655947</f>
        <v>2479071.0099999998</v>
      </c>
      <c r="H5652" s="42">
        <v>211</v>
      </c>
    </row>
    <row r="5653" spans="1:8" ht="15" customHeight="1">
      <c r="A5653" s="26">
        <v>46674985</v>
      </c>
      <c r="B5653" s="29" t="s">
        <v>7883</v>
      </c>
      <c r="C5653" s="29" t="s">
        <v>22299</v>
      </c>
      <c r="D5653" s="29" t="s">
        <v>35537</v>
      </c>
      <c r="E5653" s="29" t="s">
        <v>48290</v>
      </c>
      <c r="F5653" s="36" t="s">
        <v>54401</v>
      </c>
      <c r="G5653" s="39">
        <f>1392356.27+98563+220417</f>
        <v>1711336.27</v>
      </c>
      <c r="H5653" s="42">
        <v>211</v>
      </c>
    </row>
    <row r="5654" spans="1:8" ht="15" customHeight="1">
      <c r="A5654" s="26">
        <v>46674987</v>
      </c>
      <c r="B5654" s="29" t="s">
        <v>7884</v>
      </c>
      <c r="C5654" s="29" t="s">
        <v>22300</v>
      </c>
      <c r="D5654" s="29" t="s">
        <v>35538</v>
      </c>
      <c r="E5654" s="29" t="s">
        <v>48291</v>
      </c>
      <c r="F5654" s="36" t="s">
        <v>54401</v>
      </c>
      <c r="G5654" s="39">
        <f>2617292.88+15588</f>
        <v>2632880.88</v>
      </c>
      <c r="H5654" s="42">
        <v>211</v>
      </c>
    </row>
    <row r="5655" spans="1:8" ht="15" customHeight="1">
      <c r="A5655" s="26">
        <v>46674992</v>
      </c>
      <c r="B5655" s="29" t="s">
        <v>7885</v>
      </c>
      <c r="C5655" s="29" t="s">
        <v>22301</v>
      </c>
      <c r="D5655" s="29" t="s">
        <v>35539</v>
      </c>
      <c r="E5655" s="29" t="s">
        <v>45035</v>
      </c>
      <c r="F5655" s="36" t="s">
        <v>54401</v>
      </c>
      <c r="G5655" s="39">
        <v>3017380.88</v>
      </c>
      <c r="H5655" s="42">
        <v>211</v>
      </c>
    </row>
    <row r="5656" spans="1:8" ht="15" customHeight="1">
      <c r="A5656" s="26">
        <v>46675948</v>
      </c>
      <c r="B5656" s="29" t="s">
        <v>7886</v>
      </c>
      <c r="C5656" s="29" t="s">
        <v>22302</v>
      </c>
      <c r="D5656" s="29" t="s">
        <v>35540</v>
      </c>
      <c r="E5656" s="29" t="s">
        <v>48292</v>
      </c>
      <c r="F5656" s="36" t="s">
        <v>54401</v>
      </c>
      <c r="G5656" s="39">
        <v>219665.59</v>
      </c>
      <c r="H5656" s="42">
        <v>211</v>
      </c>
    </row>
    <row r="5657" spans="1:8" ht="15" customHeight="1">
      <c r="A5657" s="26">
        <v>46676918</v>
      </c>
      <c r="B5657" s="29" t="s">
        <v>7887</v>
      </c>
      <c r="C5657" s="29" t="s">
        <v>22303</v>
      </c>
      <c r="D5657" s="29" t="s">
        <v>35541</v>
      </c>
      <c r="E5657" s="29" t="s">
        <v>735</v>
      </c>
      <c r="F5657" s="36" t="s">
        <v>54413</v>
      </c>
      <c r="G5657" s="39">
        <v>92571.42</v>
      </c>
      <c r="H5657" s="42">
        <v>211</v>
      </c>
    </row>
    <row r="5658" spans="1:8" ht="15" customHeight="1">
      <c r="A5658" s="26">
        <v>46678200</v>
      </c>
      <c r="B5658" s="29" t="s">
        <v>7888</v>
      </c>
      <c r="C5658" s="29" t="s">
        <v>22304</v>
      </c>
      <c r="D5658" s="29" t="s">
        <v>35542</v>
      </c>
      <c r="E5658" s="29" t="s">
        <v>45260</v>
      </c>
      <c r="F5658" s="36" t="s">
        <v>54401</v>
      </c>
      <c r="G5658" s="39">
        <v>1588360.08</v>
      </c>
      <c r="H5658" s="42">
        <v>211</v>
      </c>
    </row>
    <row r="5659" spans="1:8" ht="15" customHeight="1">
      <c r="A5659" s="26">
        <v>46678571</v>
      </c>
      <c r="B5659" s="29" t="s">
        <v>7889</v>
      </c>
      <c r="C5659" s="29" t="s">
        <v>17204</v>
      </c>
      <c r="D5659" s="29" t="s">
        <v>30349</v>
      </c>
      <c r="E5659" s="29" t="s">
        <v>43926</v>
      </c>
      <c r="F5659" s="36" t="s">
        <v>54401</v>
      </c>
      <c r="G5659" s="39">
        <v>583969.74</v>
      </c>
      <c r="H5659" s="42">
        <v>211</v>
      </c>
    </row>
    <row r="5660" spans="1:8" ht="15" customHeight="1">
      <c r="A5660" s="26">
        <v>46679347</v>
      </c>
      <c r="B5660" s="29" t="s">
        <v>7890</v>
      </c>
      <c r="C5660" s="29" t="s">
        <v>22305</v>
      </c>
      <c r="D5660" s="29" t="s">
        <v>35543</v>
      </c>
      <c r="E5660" s="29" t="s">
        <v>48293</v>
      </c>
      <c r="F5660" s="36" t="s">
        <v>54401</v>
      </c>
      <c r="G5660" s="39">
        <f>3103673.18+213837+113673</f>
        <v>3431183.18</v>
      </c>
      <c r="H5660" s="42">
        <v>211</v>
      </c>
    </row>
    <row r="5661" spans="1:8" ht="15" customHeight="1">
      <c r="A5661" s="26">
        <v>46680621</v>
      </c>
      <c r="B5661" s="29" t="s">
        <v>7891</v>
      </c>
      <c r="C5661" s="29" t="s">
        <v>17204</v>
      </c>
      <c r="D5661" s="29" t="s">
        <v>35544</v>
      </c>
      <c r="E5661" s="29" t="s">
        <v>43926</v>
      </c>
      <c r="F5661" s="36" t="s">
        <v>54401</v>
      </c>
      <c r="G5661" s="39">
        <v>168859.06</v>
      </c>
      <c r="H5661" s="42">
        <v>211</v>
      </c>
    </row>
    <row r="5662" spans="1:8" ht="15" customHeight="1">
      <c r="A5662" s="26">
        <v>46680775</v>
      </c>
      <c r="B5662" s="29" t="s">
        <v>7892</v>
      </c>
      <c r="C5662" s="29" t="s">
        <v>22306</v>
      </c>
      <c r="D5662" s="29" t="s">
        <v>35545</v>
      </c>
      <c r="E5662" s="29" t="s">
        <v>48294</v>
      </c>
      <c r="F5662" s="36" t="s">
        <v>54401</v>
      </c>
      <c r="G5662" s="39">
        <f>1087176.15+134606</f>
        <v>1221782.1499999999</v>
      </c>
      <c r="H5662" s="42">
        <v>211</v>
      </c>
    </row>
    <row r="5663" spans="1:8" ht="15" customHeight="1">
      <c r="A5663" s="26">
        <v>46680839</v>
      </c>
      <c r="B5663" s="29" t="s">
        <v>7893</v>
      </c>
      <c r="C5663" s="29" t="s">
        <v>22307</v>
      </c>
      <c r="D5663" s="29" t="s">
        <v>35546</v>
      </c>
      <c r="E5663" s="29" t="s">
        <v>48295</v>
      </c>
      <c r="F5663" s="36" t="s">
        <v>54413</v>
      </c>
      <c r="G5663" s="39">
        <v>119327.73</v>
      </c>
      <c r="H5663" s="42">
        <v>211</v>
      </c>
    </row>
    <row r="5664" spans="1:8" ht="15" customHeight="1">
      <c r="A5664" s="26">
        <v>46680861</v>
      </c>
      <c r="B5664" s="29" t="s">
        <v>7894</v>
      </c>
      <c r="C5664" s="29" t="s">
        <v>17204</v>
      </c>
      <c r="D5664" s="29" t="s">
        <v>35547</v>
      </c>
      <c r="E5664" s="29" t="s">
        <v>43926</v>
      </c>
      <c r="F5664" s="36" t="s">
        <v>54401</v>
      </c>
      <c r="G5664" s="39">
        <v>7198.87</v>
      </c>
      <c r="H5664" s="42">
        <v>211</v>
      </c>
    </row>
    <row r="5665" spans="1:8" ht="15" customHeight="1">
      <c r="A5665" s="26">
        <v>46680984</v>
      </c>
      <c r="B5665" s="29" t="s">
        <v>7895</v>
      </c>
      <c r="C5665" s="29" t="s">
        <v>22308</v>
      </c>
      <c r="D5665" s="29" t="s">
        <v>35548</v>
      </c>
      <c r="E5665" s="29" t="s">
        <v>48296</v>
      </c>
      <c r="F5665" s="36" t="s">
        <v>54413</v>
      </c>
      <c r="G5665" s="39">
        <f>4263918.85-13714</f>
        <v>4250204.8499999996</v>
      </c>
      <c r="H5665" s="42">
        <v>211</v>
      </c>
    </row>
    <row r="5666" spans="1:8" ht="15" customHeight="1">
      <c r="A5666" s="26">
        <v>46681036</v>
      </c>
      <c r="B5666" s="29" t="s">
        <v>7896</v>
      </c>
      <c r="C5666" s="29" t="s">
        <v>17204</v>
      </c>
      <c r="D5666" s="29" t="s">
        <v>35549</v>
      </c>
      <c r="E5666" s="29" t="s">
        <v>48297</v>
      </c>
      <c r="F5666" s="36" t="s">
        <v>54413</v>
      </c>
      <c r="G5666" s="39">
        <v>748803.36</v>
      </c>
      <c r="H5666" s="42">
        <v>211</v>
      </c>
    </row>
    <row r="5667" spans="1:8" ht="15" customHeight="1">
      <c r="A5667" s="26">
        <v>46681142</v>
      </c>
      <c r="B5667" s="29" t="s">
        <v>7897</v>
      </c>
      <c r="C5667" s="29" t="s">
        <v>22309</v>
      </c>
      <c r="D5667" s="29" t="s">
        <v>35550</v>
      </c>
      <c r="E5667" s="29" t="s">
        <v>48298</v>
      </c>
      <c r="F5667" s="36" t="s">
        <v>54413</v>
      </c>
      <c r="G5667" s="39">
        <f>7272483.47-255259</f>
        <v>7017224.4699999997</v>
      </c>
      <c r="H5667" s="42">
        <v>211</v>
      </c>
    </row>
    <row r="5668" spans="1:8" ht="15" customHeight="1">
      <c r="A5668" s="26">
        <v>46681199</v>
      </c>
      <c r="B5668" s="29" t="s">
        <v>7898</v>
      </c>
      <c r="C5668" s="29" t="s">
        <v>22310</v>
      </c>
      <c r="D5668" s="29" t="s">
        <v>35551</v>
      </c>
      <c r="E5668" s="29" t="s">
        <v>48299</v>
      </c>
      <c r="F5668" s="36" t="s">
        <v>54401</v>
      </c>
      <c r="G5668" s="39">
        <v>431064.1</v>
      </c>
      <c r="H5668" s="42">
        <v>211</v>
      </c>
    </row>
    <row r="5669" spans="1:8" ht="15" customHeight="1">
      <c r="A5669" s="26">
        <v>46681203</v>
      </c>
      <c r="B5669" s="29" t="s">
        <v>7899</v>
      </c>
      <c r="C5669" s="29" t="s">
        <v>22311</v>
      </c>
      <c r="D5669" s="29" t="s">
        <v>35552</v>
      </c>
      <c r="E5669" s="29" t="s">
        <v>48300</v>
      </c>
      <c r="F5669" s="36" t="s">
        <v>54401</v>
      </c>
      <c r="G5669" s="39">
        <v>1165430.6499999999</v>
      </c>
      <c r="H5669" s="42">
        <v>211</v>
      </c>
    </row>
    <row r="5670" spans="1:8" ht="15" customHeight="1">
      <c r="A5670" s="26">
        <v>46681224</v>
      </c>
      <c r="B5670" s="29" t="s">
        <v>7900</v>
      </c>
      <c r="C5670" s="29" t="s">
        <v>22312</v>
      </c>
      <c r="D5670" s="29" t="s">
        <v>35553</v>
      </c>
      <c r="E5670" s="29" t="s">
        <v>48301</v>
      </c>
      <c r="F5670" s="36" t="s">
        <v>54401</v>
      </c>
      <c r="G5670" s="39">
        <v>350000.81</v>
      </c>
      <c r="H5670" s="42">
        <v>211</v>
      </c>
    </row>
    <row r="5671" spans="1:8" ht="15" customHeight="1">
      <c r="A5671" s="26">
        <v>46681289</v>
      </c>
      <c r="B5671" s="29" t="s">
        <v>7901</v>
      </c>
      <c r="C5671" s="29" t="s">
        <v>22313</v>
      </c>
      <c r="D5671" s="29" t="s">
        <v>35554</v>
      </c>
      <c r="E5671" s="29" t="s">
        <v>47312</v>
      </c>
      <c r="F5671" s="36" t="s">
        <v>54401</v>
      </c>
      <c r="G5671" s="39">
        <v>78701.27</v>
      </c>
      <c r="H5671" s="42">
        <v>211</v>
      </c>
    </row>
    <row r="5672" spans="1:8" ht="15" customHeight="1">
      <c r="A5672" s="26">
        <v>46681295</v>
      </c>
      <c r="B5672" s="29" t="s">
        <v>7902</v>
      </c>
      <c r="C5672" s="29" t="s">
        <v>22314</v>
      </c>
      <c r="D5672" s="29" t="s">
        <v>35555</v>
      </c>
      <c r="E5672" s="29" t="s">
        <v>48302</v>
      </c>
      <c r="F5672" s="36" t="s">
        <v>54401</v>
      </c>
      <c r="G5672" s="39">
        <f>329003.88+834607+129693</f>
        <v>1293303.8799999999</v>
      </c>
      <c r="H5672" s="42">
        <v>211</v>
      </c>
    </row>
    <row r="5673" spans="1:8" ht="15" customHeight="1">
      <c r="A5673" s="26">
        <v>46681427</v>
      </c>
      <c r="B5673" s="29" t="s">
        <v>7903</v>
      </c>
      <c r="C5673" s="29" t="s">
        <v>22315</v>
      </c>
      <c r="D5673" s="29" t="s">
        <v>35556</v>
      </c>
      <c r="E5673" s="29" t="s">
        <v>48303</v>
      </c>
      <c r="F5673" s="36" t="s">
        <v>54413</v>
      </c>
      <c r="G5673" s="39">
        <f>7100958.73-156039</f>
        <v>6944919.7300000004</v>
      </c>
      <c r="H5673" s="42">
        <v>211</v>
      </c>
    </row>
    <row r="5674" spans="1:8" ht="15" customHeight="1">
      <c r="A5674" s="26">
        <v>46681494</v>
      </c>
      <c r="B5674" s="29" t="s">
        <v>7904</v>
      </c>
      <c r="C5674" s="29" t="s">
        <v>22316</v>
      </c>
      <c r="D5674" s="29" t="s">
        <v>35557</v>
      </c>
      <c r="E5674" s="29" t="s">
        <v>48304</v>
      </c>
      <c r="F5674" s="36" t="s">
        <v>54401</v>
      </c>
      <c r="G5674" s="39">
        <v>198897.51</v>
      </c>
      <c r="H5674" s="42">
        <v>211</v>
      </c>
    </row>
    <row r="5675" spans="1:8" ht="15" customHeight="1">
      <c r="A5675" s="26">
        <v>46681566</v>
      </c>
      <c r="B5675" s="29" t="s">
        <v>7905</v>
      </c>
      <c r="C5675" s="29" t="s">
        <v>17204</v>
      </c>
      <c r="D5675" s="29" t="s">
        <v>35558</v>
      </c>
      <c r="E5675" s="29" t="s">
        <v>43926</v>
      </c>
      <c r="F5675" s="36" t="s">
        <v>54401</v>
      </c>
      <c r="G5675" s="39">
        <v>226604.74</v>
      </c>
      <c r="H5675" s="42">
        <v>211</v>
      </c>
    </row>
    <row r="5676" spans="1:8" ht="15" customHeight="1">
      <c r="A5676" s="26">
        <v>46681691</v>
      </c>
      <c r="B5676" s="29" t="s">
        <v>7906</v>
      </c>
      <c r="C5676" s="29" t="s">
        <v>22317</v>
      </c>
      <c r="D5676" s="29" t="s">
        <v>35559</v>
      </c>
      <c r="E5676" s="29" t="s">
        <v>46209</v>
      </c>
      <c r="F5676" s="36" t="s">
        <v>54401</v>
      </c>
      <c r="G5676" s="39">
        <v>587319.44999999995</v>
      </c>
      <c r="H5676" s="42">
        <v>211</v>
      </c>
    </row>
    <row r="5677" spans="1:8" ht="15" customHeight="1">
      <c r="A5677" s="26">
        <v>46681704</v>
      </c>
      <c r="B5677" s="29" t="s">
        <v>7907</v>
      </c>
      <c r="C5677" s="29" t="s">
        <v>22318</v>
      </c>
      <c r="D5677" s="29" t="s">
        <v>35560</v>
      </c>
      <c r="E5677" s="29" t="s">
        <v>43926</v>
      </c>
      <c r="F5677" s="36" t="s">
        <v>54401</v>
      </c>
      <c r="G5677" s="39">
        <v>220919.54</v>
      </c>
      <c r="H5677" s="42">
        <v>211</v>
      </c>
    </row>
    <row r="5678" spans="1:8" ht="15" customHeight="1">
      <c r="A5678" s="26">
        <v>46681710</v>
      </c>
      <c r="B5678" s="29" t="s">
        <v>7908</v>
      </c>
      <c r="C5678" s="29" t="s">
        <v>22319</v>
      </c>
      <c r="D5678" s="29" t="s">
        <v>35561</v>
      </c>
      <c r="E5678" s="29" t="s">
        <v>48305</v>
      </c>
      <c r="F5678" s="36" t="s">
        <v>54413</v>
      </c>
      <c r="G5678" s="39">
        <v>821029.74</v>
      </c>
      <c r="H5678" s="42">
        <v>211</v>
      </c>
    </row>
    <row r="5679" spans="1:8" ht="15" customHeight="1">
      <c r="A5679" s="26">
        <v>46681730</v>
      </c>
      <c r="B5679" s="29" t="s">
        <v>7909</v>
      </c>
      <c r="C5679" s="29" t="s">
        <v>17204</v>
      </c>
      <c r="D5679" s="29" t="s">
        <v>35562</v>
      </c>
      <c r="E5679" s="29" t="s">
        <v>43926</v>
      </c>
      <c r="F5679" s="36" t="s">
        <v>54401</v>
      </c>
      <c r="G5679" s="39">
        <v>1775517.96</v>
      </c>
      <c r="H5679" s="42">
        <v>211</v>
      </c>
    </row>
    <row r="5680" spans="1:8" ht="15" customHeight="1">
      <c r="A5680" s="26">
        <v>46681751</v>
      </c>
      <c r="B5680" s="29" t="s">
        <v>7910</v>
      </c>
      <c r="C5680" s="29" t="s">
        <v>22320</v>
      </c>
      <c r="D5680" s="29" t="s">
        <v>35563</v>
      </c>
      <c r="E5680" s="29" t="s">
        <v>45577</v>
      </c>
      <c r="F5680" s="36" t="s">
        <v>54406</v>
      </c>
      <c r="G5680" s="39">
        <v>544102.18000000005</v>
      </c>
      <c r="H5680" s="42">
        <v>211</v>
      </c>
    </row>
    <row r="5681" spans="1:8" ht="15" customHeight="1">
      <c r="A5681" s="26">
        <v>46681856</v>
      </c>
      <c r="B5681" s="29" t="s">
        <v>7911</v>
      </c>
      <c r="C5681" s="29" t="s">
        <v>22321</v>
      </c>
      <c r="D5681" s="29" t="s">
        <v>35564</v>
      </c>
      <c r="E5681" s="29" t="s">
        <v>48306</v>
      </c>
      <c r="F5681" s="36" t="s">
        <v>54401</v>
      </c>
      <c r="G5681" s="39">
        <v>1608913.41</v>
      </c>
      <c r="H5681" s="42">
        <v>211</v>
      </c>
    </row>
    <row r="5682" spans="1:8" ht="15" customHeight="1">
      <c r="A5682" s="26">
        <v>46681866</v>
      </c>
      <c r="B5682" s="29" t="s">
        <v>7912</v>
      </c>
      <c r="C5682" s="29" t="s">
        <v>22322</v>
      </c>
      <c r="D5682" s="29" t="s">
        <v>35565</v>
      </c>
      <c r="E5682" s="29" t="s">
        <v>48307</v>
      </c>
      <c r="F5682" s="36" t="s">
        <v>54413</v>
      </c>
      <c r="G5682" s="39">
        <v>1203565.6399999999</v>
      </c>
      <c r="H5682" s="42">
        <v>211</v>
      </c>
    </row>
    <row r="5683" spans="1:8" ht="15" customHeight="1">
      <c r="A5683" s="26">
        <v>46681880</v>
      </c>
      <c r="B5683" s="29" t="s">
        <v>7913</v>
      </c>
      <c r="C5683" s="29" t="s">
        <v>22323</v>
      </c>
      <c r="D5683" s="29" t="s">
        <v>35566</v>
      </c>
      <c r="E5683" s="29" t="s">
        <v>48308</v>
      </c>
      <c r="F5683" s="36" t="s">
        <v>54413</v>
      </c>
      <c r="G5683" s="39">
        <v>2457199.2000000002</v>
      </c>
      <c r="H5683" s="42">
        <v>211</v>
      </c>
    </row>
    <row r="5684" spans="1:8" ht="15" customHeight="1">
      <c r="A5684" s="26">
        <v>46681910</v>
      </c>
      <c r="B5684" s="29" t="s">
        <v>7914</v>
      </c>
      <c r="C5684" s="29" t="s">
        <v>22324</v>
      </c>
      <c r="D5684" s="29" t="s">
        <v>35567</v>
      </c>
      <c r="E5684" s="29" t="s">
        <v>44313</v>
      </c>
      <c r="F5684" s="36" t="s">
        <v>54401</v>
      </c>
      <c r="G5684" s="39">
        <v>250745.98</v>
      </c>
      <c r="H5684" s="42">
        <v>211</v>
      </c>
    </row>
    <row r="5685" spans="1:8" ht="15" customHeight="1">
      <c r="A5685" s="26">
        <v>46682055</v>
      </c>
      <c r="B5685" s="29" t="s">
        <v>7915</v>
      </c>
      <c r="C5685" s="29" t="s">
        <v>22325</v>
      </c>
      <c r="D5685" s="29" t="s">
        <v>35568</v>
      </c>
      <c r="E5685" s="29" t="s">
        <v>48309</v>
      </c>
      <c r="F5685" s="36" t="s">
        <v>54413</v>
      </c>
      <c r="G5685" s="39">
        <f>3132810.39-6554</f>
        <v>3126256.39</v>
      </c>
      <c r="H5685" s="42">
        <v>211</v>
      </c>
    </row>
    <row r="5686" spans="1:8" ht="15" customHeight="1">
      <c r="A5686" s="26">
        <v>46682248</v>
      </c>
      <c r="B5686" s="29" t="s">
        <v>7916</v>
      </c>
      <c r="C5686" s="26" t="s">
        <v>22326</v>
      </c>
      <c r="D5686" s="26" t="s">
        <v>35569</v>
      </c>
      <c r="E5686" s="26" t="s">
        <v>48310</v>
      </c>
      <c r="F5686" s="37" t="s">
        <v>54401</v>
      </c>
      <c r="G5686" s="39">
        <v>910431.44</v>
      </c>
      <c r="H5686" s="42">
        <v>211</v>
      </c>
    </row>
    <row r="5687" spans="1:8" ht="15" customHeight="1">
      <c r="A5687" s="26">
        <v>46682319</v>
      </c>
      <c r="B5687" s="29" t="s">
        <v>7917</v>
      </c>
      <c r="C5687" s="29" t="s">
        <v>22327</v>
      </c>
      <c r="D5687" s="29" t="s">
        <v>35570</v>
      </c>
      <c r="E5687" s="29" t="s">
        <v>48311</v>
      </c>
      <c r="F5687" s="36" t="s">
        <v>54401</v>
      </c>
      <c r="G5687" s="39">
        <v>153630.28</v>
      </c>
      <c r="H5687" s="42">
        <v>211</v>
      </c>
    </row>
    <row r="5688" spans="1:8" ht="15" customHeight="1">
      <c r="A5688" s="26">
        <v>46682343</v>
      </c>
      <c r="B5688" s="29" t="s">
        <v>7918</v>
      </c>
      <c r="C5688" s="29" t="s">
        <v>22328</v>
      </c>
      <c r="D5688" s="29" t="s">
        <v>35571</v>
      </c>
      <c r="E5688" s="29" t="s">
        <v>48312</v>
      </c>
      <c r="F5688" s="36" t="s">
        <v>54401</v>
      </c>
      <c r="G5688" s="39">
        <f>592423.86+5503847</f>
        <v>6096270.8600000003</v>
      </c>
      <c r="H5688" s="42">
        <v>211</v>
      </c>
    </row>
    <row r="5689" spans="1:8" ht="15" customHeight="1">
      <c r="A5689" s="26">
        <v>46682368</v>
      </c>
      <c r="B5689" s="29" t="s">
        <v>7919</v>
      </c>
      <c r="C5689" s="29" t="s">
        <v>22329</v>
      </c>
      <c r="D5689" s="29" t="s">
        <v>35572</v>
      </c>
      <c r="E5689" s="29" t="s">
        <v>48313</v>
      </c>
      <c r="F5689" s="36" t="s">
        <v>54401</v>
      </c>
      <c r="G5689" s="39">
        <v>645670.21</v>
      </c>
      <c r="H5689" s="42">
        <v>211</v>
      </c>
    </row>
    <row r="5690" spans="1:8" ht="15" customHeight="1">
      <c r="A5690" s="26">
        <v>46682490</v>
      </c>
      <c r="B5690" s="29" t="s">
        <v>7920</v>
      </c>
      <c r="C5690" s="29" t="s">
        <v>22330</v>
      </c>
      <c r="D5690" s="29" t="s">
        <v>35573</v>
      </c>
      <c r="E5690" s="29" t="s">
        <v>48314</v>
      </c>
      <c r="F5690" s="36" t="s">
        <v>54401</v>
      </c>
      <c r="G5690" s="39">
        <v>25352.94</v>
      </c>
      <c r="H5690" s="42">
        <v>211</v>
      </c>
    </row>
    <row r="5691" spans="1:8" ht="15" customHeight="1">
      <c r="A5691" s="26">
        <v>46682501</v>
      </c>
      <c r="B5691" s="29" t="s">
        <v>7921</v>
      </c>
      <c r="C5691" s="29" t="s">
        <v>22331</v>
      </c>
      <c r="D5691" s="29" t="s">
        <v>35574</v>
      </c>
      <c r="E5691" s="29" t="s">
        <v>48315</v>
      </c>
      <c r="F5691" s="36" t="s">
        <v>54401</v>
      </c>
      <c r="G5691" s="39">
        <v>788904.25</v>
      </c>
      <c r="H5691" s="42">
        <v>211</v>
      </c>
    </row>
    <row r="5692" spans="1:8" ht="15" customHeight="1">
      <c r="A5692" s="26">
        <v>46682528</v>
      </c>
      <c r="B5692" s="29" t="s">
        <v>7922</v>
      </c>
      <c r="C5692" s="29" t="s">
        <v>22332</v>
      </c>
      <c r="D5692" s="29" t="s">
        <v>35575</v>
      </c>
      <c r="E5692" s="29" t="s">
        <v>48316</v>
      </c>
      <c r="F5692" s="36" t="s">
        <v>54401</v>
      </c>
      <c r="G5692" s="39">
        <v>5175624.68</v>
      </c>
      <c r="H5692" s="42">
        <v>211</v>
      </c>
    </row>
    <row r="5693" spans="1:8" ht="15" customHeight="1">
      <c r="A5693" s="26">
        <v>46682550</v>
      </c>
      <c r="B5693" s="29" t="s">
        <v>7923</v>
      </c>
      <c r="C5693" s="29" t="s">
        <v>22333</v>
      </c>
      <c r="D5693" s="29" t="s">
        <v>35576</v>
      </c>
      <c r="E5693" s="29" t="s">
        <v>46758</v>
      </c>
      <c r="F5693" s="36" t="s">
        <v>54401</v>
      </c>
      <c r="G5693" s="39">
        <v>511200.39</v>
      </c>
      <c r="H5693" s="42">
        <v>211</v>
      </c>
    </row>
    <row r="5694" spans="1:8" ht="15" customHeight="1">
      <c r="A5694" s="26">
        <v>46682659</v>
      </c>
      <c r="B5694" s="29" t="s">
        <v>7924</v>
      </c>
      <c r="C5694" s="29" t="s">
        <v>22334</v>
      </c>
      <c r="D5694" s="29" t="s">
        <v>35577</v>
      </c>
      <c r="E5694" s="29" t="s">
        <v>45006</v>
      </c>
      <c r="F5694" s="36" t="s">
        <v>54401</v>
      </c>
      <c r="G5694" s="39">
        <v>1036008.04</v>
      </c>
      <c r="H5694" s="42">
        <v>211</v>
      </c>
    </row>
    <row r="5695" spans="1:8" ht="15" customHeight="1">
      <c r="A5695" s="26">
        <v>46682777</v>
      </c>
      <c r="B5695" s="29" t="s">
        <v>7925</v>
      </c>
      <c r="C5695" s="29" t="s">
        <v>22335</v>
      </c>
      <c r="D5695" s="29" t="s">
        <v>35578</v>
      </c>
      <c r="E5695" s="29" t="s">
        <v>48317</v>
      </c>
      <c r="F5695" s="36" t="s">
        <v>54429</v>
      </c>
      <c r="G5695" s="39">
        <v>1135841.83</v>
      </c>
      <c r="H5695" s="42">
        <v>211</v>
      </c>
    </row>
    <row r="5696" spans="1:8" ht="15" customHeight="1">
      <c r="A5696" s="26">
        <v>46682913</v>
      </c>
      <c r="B5696" s="29" t="s">
        <v>7926</v>
      </c>
      <c r="C5696" s="29" t="s">
        <v>22336</v>
      </c>
      <c r="D5696" s="29" t="s">
        <v>35579</v>
      </c>
      <c r="E5696" s="29" t="s">
        <v>48318</v>
      </c>
      <c r="F5696" s="36" t="s">
        <v>54413</v>
      </c>
      <c r="G5696" s="39">
        <v>821786.63</v>
      </c>
      <c r="H5696" s="42">
        <v>211</v>
      </c>
    </row>
    <row r="5697" spans="1:8" ht="15" customHeight="1">
      <c r="A5697" s="26">
        <v>46683029</v>
      </c>
      <c r="B5697" s="29" t="s">
        <v>7927</v>
      </c>
      <c r="C5697" s="29" t="s">
        <v>22337</v>
      </c>
      <c r="D5697" s="29" t="s">
        <v>35580</v>
      </c>
      <c r="E5697" s="29" t="s">
        <v>44084</v>
      </c>
      <c r="F5697" s="36" t="s">
        <v>54401</v>
      </c>
      <c r="G5697" s="39">
        <v>1985768.35</v>
      </c>
      <c r="H5697" s="42">
        <v>211</v>
      </c>
    </row>
    <row r="5698" spans="1:8" ht="15" customHeight="1">
      <c r="A5698" s="26">
        <v>46683183</v>
      </c>
      <c r="B5698" s="29" t="s">
        <v>7928</v>
      </c>
      <c r="C5698" s="29" t="s">
        <v>22338</v>
      </c>
      <c r="D5698" s="29" t="s">
        <v>35581</v>
      </c>
      <c r="E5698" s="29" t="s">
        <v>44649</v>
      </c>
      <c r="F5698" s="36" t="s">
        <v>54401</v>
      </c>
      <c r="G5698" s="39">
        <v>160399.51</v>
      </c>
      <c r="H5698" s="42">
        <v>211</v>
      </c>
    </row>
    <row r="5699" spans="1:8" ht="15" customHeight="1">
      <c r="A5699" s="26">
        <v>46683327</v>
      </c>
      <c r="B5699" s="29" t="s">
        <v>7929</v>
      </c>
      <c r="C5699" s="29" t="s">
        <v>22339</v>
      </c>
      <c r="D5699" s="29" t="s">
        <v>35582</v>
      </c>
      <c r="E5699" s="29" t="s">
        <v>43926</v>
      </c>
      <c r="F5699" s="36" t="s">
        <v>54401</v>
      </c>
      <c r="G5699" s="39">
        <v>479409.32</v>
      </c>
      <c r="H5699" s="42">
        <v>211</v>
      </c>
    </row>
    <row r="5700" spans="1:8" ht="15" customHeight="1">
      <c r="A5700" s="26">
        <v>46683456</v>
      </c>
      <c r="B5700" s="29" t="s">
        <v>7930</v>
      </c>
      <c r="C5700" s="29" t="s">
        <v>22340</v>
      </c>
      <c r="D5700" s="29" t="s">
        <v>35583</v>
      </c>
      <c r="E5700" s="29" t="s">
        <v>48319</v>
      </c>
      <c r="F5700" s="36" t="s">
        <v>54401</v>
      </c>
      <c r="G5700" s="39">
        <v>3945790.39</v>
      </c>
      <c r="H5700" s="42">
        <v>211</v>
      </c>
    </row>
    <row r="5701" spans="1:8" ht="15" customHeight="1">
      <c r="A5701" s="26">
        <v>47430853</v>
      </c>
      <c r="B5701" s="29" t="s">
        <v>7931</v>
      </c>
      <c r="C5701" s="29" t="s">
        <v>22341</v>
      </c>
      <c r="D5701" s="29" t="s">
        <v>35584</v>
      </c>
      <c r="E5701" s="29" t="s">
        <v>48320</v>
      </c>
      <c r="F5701" s="36" t="s">
        <v>54401</v>
      </c>
      <c r="G5701" s="39">
        <v>27775.42</v>
      </c>
      <c r="H5701" s="42">
        <v>211</v>
      </c>
    </row>
    <row r="5702" spans="1:8" ht="15" customHeight="1">
      <c r="A5702" s="26">
        <v>47435195</v>
      </c>
      <c r="B5702" s="29" t="s">
        <v>7932</v>
      </c>
      <c r="C5702" s="29" t="s">
        <v>22342</v>
      </c>
      <c r="D5702" s="29" t="s">
        <v>35585</v>
      </c>
      <c r="E5702" s="29" t="s">
        <v>48321</v>
      </c>
      <c r="F5702" s="36" t="s">
        <v>54401</v>
      </c>
      <c r="G5702" s="39">
        <f>723525.95+1225165-953193</f>
        <v>995497.95</v>
      </c>
      <c r="H5702" s="42">
        <v>211</v>
      </c>
    </row>
    <row r="5703" spans="1:8" ht="15" customHeight="1">
      <c r="A5703" s="26">
        <v>47440349</v>
      </c>
      <c r="B5703" s="29" t="s">
        <v>7933</v>
      </c>
      <c r="C5703" s="29" t="s">
        <v>22343</v>
      </c>
      <c r="D5703" s="29" t="s">
        <v>35586</v>
      </c>
      <c r="E5703" s="29" t="s">
        <v>48322</v>
      </c>
      <c r="F5703" s="36" t="s">
        <v>54401</v>
      </c>
      <c r="G5703" s="39">
        <v>231488.7</v>
      </c>
      <c r="H5703" s="42">
        <v>211</v>
      </c>
    </row>
    <row r="5704" spans="1:8" ht="15" customHeight="1">
      <c r="A5704" s="26">
        <v>47441853</v>
      </c>
      <c r="B5704" s="29" t="s">
        <v>7934</v>
      </c>
      <c r="C5704" s="26" t="s">
        <v>22344</v>
      </c>
      <c r="D5704" s="26" t="s">
        <v>35587</v>
      </c>
      <c r="E5704" s="26" t="s">
        <v>43926</v>
      </c>
      <c r="F5704" s="37" t="s">
        <v>54401</v>
      </c>
      <c r="G5704" s="39">
        <v>1743957.99</v>
      </c>
      <c r="H5704" s="42">
        <v>211</v>
      </c>
    </row>
    <row r="5705" spans="1:8" ht="15" customHeight="1">
      <c r="A5705" s="26">
        <v>47441870</v>
      </c>
      <c r="B5705" s="29" t="s">
        <v>7935</v>
      </c>
      <c r="C5705" s="26" t="s">
        <v>17204</v>
      </c>
      <c r="D5705" s="26" t="s">
        <v>30349</v>
      </c>
      <c r="E5705" s="26" t="s">
        <v>43926</v>
      </c>
      <c r="F5705" s="37" t="s">
        <v>54401</v>
      </c>
      <c r="G5705" s="39">
        <v>337023.81</v>
      </c>
      <c r="H5705" s="42">
        <v>211</v>
      </c>
    </row>
    <row r="5706" spans="1:8" ht="15" customHeight="1">
      <c r="A5706" s="26">
        <v>49759892</v>
      </c>
      <c r="B5706" s="29" t="s">
        <v>7936</v>
      </c>
      <c r="C5706" s="29" t="s">
        <v>22345</v>
      </c>
      <c r="D5706" s="29" t="s">
        <v>35588</v>
      </c>
      <c r="E5706" s="29" t="s">
        <v>45859</v>
      </c>
      <c r="F5706" s="36" t="s">
        <v>54401</v>
      </c>
      <c r="G5706" s="39">
        <v>212655.28</v>
      </c>
      <c r="H5706" s="42">
        <v>211</v>
      </c>
    </row>
    <row r="5707" spans="1:8" ht="15" customHeight="1">
      <c r="A5707" s="26">
        <v>49798475</v>
      </c>
      <c r="B5707" s="29" t="s">
        <v>7937</v>
      </c>
      <c r="C5707" s="29" t="s">
        <v>22346</v>
      </c>
      <c r="D5707" s="29" t="s">
        <v>35589</v>
      </c>
      <c r="E5707" s="29" t="s">
        <v>48323</v>
      </c>
      <c r="F5707" s="36" t="s">
        <v>54401</v>
      </c>
      <c r="G5707" s="39">
        <v>643259.37</v>
      </c>
      <c r="H5707" s="42">
        <v>211</v>
      </c>
    </row>
    <row r="5708" spans="1:8" ht="15" customHeight="1">
      <c r="A5708" s="26">
        <v>50868899</v>
      </c>
      <c r="B5708" s="29" t="s">
        <v>7938</v>
      </c>
      <c r="C5708" s="29" t="s">
        <v>22347</v>
      </c>
      <c r="D5708" s="29" t="s">
        <v>35590</v>
      </c>
      <c r="E5708" s="29" t="s">
        <v>43926</v>
      </c>
      <c r="F5708" s="36" t="s">
        <v>54401</v>
      </c>
      <c r="G5708" s="39">
        <v>1126692.27</v>
      </c>
      <c r="H5708" s="42">
        <v>211</v>
      </c>
    </row>
    <row r="5709" spans="1:8" ht="15" customHeight="1">
      <c r="A5709" s="26">
        <v>50943697</v>
      </c>
      <c r="B5709" s="29" t="s">
        <v>7939</v>
      </c>
      <c r="C5709" s="29" t="s">
        <v>22348</v>
      </c>
      <c r="D5709" s="29" t="s">
        <v>35591</v>
      </c>
      <c r="E5709" s="29" t="s">
        <v>48324</v>
      </c>
      <c r="F5709" s="36" t="s">
        <v>54401</v>
      </c>
      <c r="G5709" s="39">
        <f>1574180.04+151922+235020</f>
        <v>1961122.04</v>
      </c>
      <c r="H5709" s="42">
        <v>211</v>
      </c>
    </row>
    <row r="5710" spans="1:8" ht="15" customHeight="1">
      <c r="A5710" s="26">
        <v>51551332</v>
      </c>
      <c r="B5710" s="29" t="s">
        <v>7940</v>
      </c>
      <c r="C5710" s="29" t="s">
        <v>22349</v>
      </c>
      <c r="D5710" s="29" t="s">
        <v>35592</v>
      </c>
      <c r="E5710" s="29" t="s">
        <v>48325</v>
      </c>
      <c r="F5710" s="36" t="s">
        <v>54423</v>
      </c>
      <c r="G5710" s="39">
        <v>42558.28</v>
      </c>
      <c r="H5710" s="42">
        <v>211</v>
      </c>
    </row>
    <row r="5711" spans="1:8" ht="15" customHeight="1">
      <c r="A5711" s="26">
        <v>51557026</v>
      </c>
      <c r="B5711" s="29" t="s">
        <v>7941</v>
      </c>
      <c r="C5711" s="29" t="s">
        <v>22350</v>
      </c>
      <c r="D5711" s="29" t="s">
        <v>35593</v>
      </c>
      <c r="E5711" s="29" t="s">
        <v>48326</v>
      </c>
      <c r="F5711" s="36" t="s">
        <v>54401</v>
      </c>
      <c r="G5711" s="39">
        <v>595394.74</v>
      </c>
      <c r="H5711" s="42">
        <v>211</v>
      </c>
    </row>
    <row r="5712" spans="1:8" ht="15" customHeight="1">
      <c r="A5712" s="26">
        <v>51558191</v>
      </c>
      <c r="B5712" s="29" t="s">
        <v>7942</v>
      </c>
      <c r="C5712" s="29" t="s">
        <v>22351</v>
      </c>
      <c r="D5712" s="29" t="s">
        <v>35594</v>
      </c>
      <c r="E5712" s="29" t="s">
        <v>48327</v>
      </c>
      <c r="F5712" s="36" t="s">
        <v>54401</v>
      </c>
      <c r="G5712" s="39">
        <v>1552667.57</v>
      </c>
      <c r="H5712" s="42">
        <v>211</v>
      </c>
    </row>
    <row r="5713" spans="1:8" ht="15" customHeight="1">
      <c r="A5713" s="26">
        <v>51561130</v>
      </c>
      <c r="B5713" s="29" t="s">
        <v>7943</v>
      </c>
      <c r="C5713" s="29" t="s">
        <v>17204</v>
      </c>
      <c r="D5713" s="29" t="s">
        <v>35595</v>
      </c>
      <c r="E5713" s="29" t="s">
        <v>43926</v>
      </c>
      <c r="F5713" s="36" t="s">
        <v>54401</v>
      </c>
      <c r="G5713" s="39">
        <v>30736.49</v>
      </c>
      <c r="H5713" s="42">
        <v>211</v>
      </c>
    </row>
    <row r="5714" spans="1:8" ht="15" customHeight="1">
      <c r="A5714" s="26">
        <v>51564640</v>
      </c>
      <c r="B5714" s="29" t="s">
        <v>7944</v>
      </c>
      <c r="C5714" s="29" t="s">
        <v>22352</v>
      </c>
      <c r="D5714" s="29" t="s">
        <v>35596</v>
      </c>
      <c r="E5714" s="29" t="s">
        <v>48328</v>
      </c>
      <c r="F5714" s="36" t="s">
        <v>54401</v>
      </c>
      <c r="G5714" s="39">
        <v>1474275.55</v>
      </c>
      <c r="H5714" s="42">
        <v>211</v>
      </c>
    </row>
    <row r="5715" spans="1:8" ht="15" customHeight="1">
      <c r="A5715" s="26">
        <v>51565262</v>
      </c>
      <c r="B5715" s="29" t="s">
        <v>7945</v>
      </c>
      <c r="C5715" s="29" t="s">
        <v>22353</v>
      </c>
      <c r="D5715" s="29" t="s">
        <v>35597</v>
      </c>
      <c r="E5715" s="29" t="s">
        <v>48329</v>
      </c>
      <c r="F5715" s="36" t="s">
        <v>54401</v>
      </c>
      <c r="G5715" s="39">
        <v>357168.9</v>
      </c>
      <c r="H5715" s="42">
        <v>211</v>
      </c>
    </row>
    <row r="5716" spans="1:8" ht="15" customHeight="1">
      <c r="A5716" s="26">
        <v>51570734</v>
      </c>
      <c r="B5716" s="29" t="s">
        <v>7946</v>
      </c>
      <c r="C5716" s="29" t="s">
        <v>22354</v>
      </c>
      <c r="D5716" s="29" t="s">
        <v>35598</v>
      </c>
      <c r="E5716" s="29" t="s">
        <v>48330</v>
      </c>
      <c r="F5716" s="36" t="s">
        <v>54401</v>
      </c>
      <c r="G5716" s="39">
        <v>1490830.37</v>
      </c>
      <c r="H5716" s="42">
        <v>211</v>
      </c>
    </row>
    <row r="5717" spans="1:8" ht="15" customHeight="1">
      <c r="A5717" s="26">
        <v>51574341</v>
      </c>
      <c r="B5717" s="29" t="s">
        <v>7947</v>
      </c>
      <c r="C5717" s="29" t="s">
        <v>22355</v>
      </c>
      <c r="D5717" s="29" t="s">
        <v>35599</v>
      </c>
      <c r="E5717" s="29" t="s">
        <v>48331</v>
      </c>
      <c r="F5717" s="36" t="s">
        <v>54401</v>
      </c>
      <c r="G5717" s="39">
        <f>2801436.23+161554</f>
        <v>2962990.23</v>
      </c>
      <c r="H5717" s="42">
        <v>211</v>
      </c>
    </row>
    <row r="5718" spans="1:8" ht="15" customHeight="1">
      <c r="A5718" s="26">
        <v>51579220</v>
      </c>
      <c r="B5718" s="29" t="s">
        <v>7948</v>
      </c>
      <c r="C5718" s="29" t="s">
        <v>22356</v>
      </c>
      <c r="D5718" s="29" t="s">
        <v>35600</v>
      </c>
      <c r="E5718" s="29" t="s">
        <v>43926</v>
      </c>
      <c r="F5718" s="36" t="s">
        <v>54401</v>
      </c>
      <c r="G5718" s="39">
        <v>2200567.73</v>
      </c>
      <c r="H5718" s="42">
        <v>211</v>
      </c>
    </row>
    <row r="5719" spans="1:8" ht="15" customHeight="1">
      <c r="A5719" s="26">
        <v>51582130</v>
      </c>
      <c r="B5719" s="29" t="s">
        <v>7949</v>
      </c>
      <c r="C5719" s="29" t="s">
        <v>22357</v>
      </c>
      <c r="D5719" s="29" t="s">
        <v>35601</v>
      </c>
      <c r="E5719" s="29" t="s">
        <v>43926</v>
      </c>
      <c r="F5719" s="36" t="s">
        <v>54401</v>
      </c>
      <c r="G5719" s="39">
        <v>19719.97</v>
      </c>
      <c r="H5719" s="42">
        <v>211</v>
      </c>
    </row>
    <row r="5720" spans="1:8" ht="15" customHeight="1">
      <c r="A5720" s="26">
        <v>51592267</v>
      </c>
      <c r="B5720" s="29" t="s">
        <v>7950</v>
      </c>
      <c r="C5720" s="29" t="s">
        <v>22358</v>
      </c>
      <c r="D5720" s="29" t="s">
        <v>35602</v>
      </c>
      <c r="E5720" s="29" t="s">
        <v>48332</v>
      </c>
      <c r="F5720" s="36" t="s">
        <v>54401</v>
      </c>
      <c r="G5720" s="39">
        <f>933154.19+218626</f>
        <v>1151780.19</v>
      </c>
      <c r="H5720" s="42">
        <v>211</v>
      </c>
    </row>
    <row r="5721" spans="1:8" ht="15" customHeight="1">
      <c r="A5721" s="26">
        <v>51609763</v>
      </c>
      <c r="B5721" s="29" t="s">
        <v>7951</v>
      </c>
      <c r="C5721" s="29" t="s">
        <v>22359</v>
      </c>
      <c r="D5721" s="29" t="s">
        <v>35603</v>
      </c>
      <c r="E5721" s="29" t="s">
        <v>48333</v>
      </c>
      <c r="F5721" s="36" t="s">
        <v>54401</v>
      </c>
      <c r="G5721" s="39">
        <v>41227.47</v>
      </c>
      <c r="H5721" s="42">
        <v>211</v>
      </c>
    </row>
    <row r="5722" spans="1:8" ht="15" customHeight="1">
      <c r="A5722" s="26">
        <v>51613866</v>
      </c>
      <c r="B5722" s="29" t="s">
        <v>7952</v>
      </c>
      <c r="C5722" s="29" t="s">
        <v>22360</v>
      </c>
      <c r="D5722" s="29" t="s">
        <v>35604</v>
      </c>
      <c r="E5722" s="29" t="s">
        <v>47344</v>
      </c>
      <c r="F5722" s="36" t="s">
        <v>54401</v>
      </c>
      <c r="G5722" s="39">
        <v>1058872.83</v>
      </c>
      <c r="H5722" s="42">
        <v>211</v>
      </c>
    </row>
    <row r="5723" spans="1:8" ht="15" customHeight="1">
      <c r="A5723" s="26">
        <v>51641874</v>
      </c>
      <c r="B5723" s="29" t="s">
        <v>7953</v>
      </c>
      <c r="C5723" s="29" t="s">
        <v>22361</v>
      </c>
      <c r="D5723" s="29" t="s">
        <v>35605</v>
      </c>
      <c r="E5723" s="29" t="s">
        <v>48334</v>
      </c>
      <c r="F5723" s="36" t="s">
        <v>54401</v>
      </c>
      <c r="G5723" s="39">
        <v>612302.52</v>
      </c>
      <c r="H5723" s="42">
        <v>211</v>
      </c>
    </row>
    <row r="5724" spans="1:8" ht="15" customHeight="1">
      <c r="A5724" s="26">
        <v>51642928</v>
      </c>
      <c r="B5724" s="29" t="s">
        <v>7954</v>
      </c>
      <c r="C5724" s="29" t="s">
        <v>22362</v>
      </c>
      <c r="D5724" s="29" t="s">
        <v>35606</v>
      </c>
      <c r="E5724" s="29" t="s">
        <v>48335</v>
      </c>
      <c r="F5724" s="36" t="s">
        <v>54401</v>
      </c>
      <c r="G5724" s="39">
        <v>2354791.5299999998</v>
      </c>
      <c r="H5724" s="42">
        <v>211</v>
      </c>
    </row>
    <row r="5725" spans="1:8" ht="15" customHeight="1">
      <c r="A5725" s="26">
        <v>51643584</v>
      </c>
      <c r="B5725" s="29" t="s">
        <v>7955</v>
      </c>
      <c r="C5725" s="29" t="s">
        <v>22363</v>
      </c>
      <c r="D5725" s="29" t="s">
        <v>35607</v>
      </c>
      <c r="E5725" s="29" t="s">
        <v>48336</v>
      </c>
      <c r="F5725" s="36" t="s">
        <v>54401</v>
      </c>
      <c r="G5725" s="39">
        <v>755859.34</v>
      </c>
      <c r="H5725" s="42">
        <v>211</v>
      </c>
    </row>
    <row r="5726" spans="1:8" ht="15" customHeight="1">
      <c r="A5726" s="26">
        <v>51645331</v>
      </c>
      <c r="B5726" s="29" t="s">
        <v>7956</v>
      </c>
      <c r="C5726" s="29" t="s">
        <v>22364</v>
      </c>
      <c r="D5726" s="29" t="s">
        <v>35608</v>
      </c>
      <c r="E5726" s="29" t="s">
        <v>43928</v>
      </c>
      <c r="F5726" s="36" t="s">
        <v>54401</v>
      </c>
      <c r="G5726" s="39">
        <v>25227</v>
      </c>
      <c r="H5726" s="42">
        <v>211</v>
      </c>
    </row>
    <row r="5727" spans="1:8" ht="15" customHeight="1">
      <c r="A5727" s="26">
        <v>51648640</v>
      </c>
      <c r="B5727" s="29" t="s">
        <v>7957</v>
      </c>
      <c r="C5727" s="29" t="s">
        <v>22365</v>
      </c>
      <c r="D5727" s="29" t="s">
        <v>35609</v>
      </c>
      <c r="E5727" s="29" t="s">
        <v>48337</v>
      </c>
      <c r="F5727" s="36" t="s">
        <v>54401</v>
      </c>
      <c r="G5727" s="39">
        <v>30889.119999999999</v>
      </c>
      <c r="H5727" s="42">
        <v>211</v>
      </c>
    </row>
    <row r="5728" spans="1:8" ht="15" customHeight="1">
      <c r="A5728" s="26">
        <v>51648980</v>
      </c>
      <c r="B5728" s="29" t="s">
        <v>7958</v>
      </c>
      <c r="C5728" s="29" t="s">
        <v>17204</v>
      </c>
      <c r="D5728" s="29" t="s">
        <v>35610</v>
      </c>
      <c r="E5728" s="29" t="s">
        <v>48338</v>
      </c>
      <c r="F5728" s="36" t="s">
        <v>54412</v>
      </c>
      <c r="G5728" s="39">
        <v>70214.259999999995</v>
      </c>
      <c r="H5728" s="42">
        <v>211</v>
      </c>
    </row>
    <row r="5729" spans="1:8" ht="15" customHeight="1">
      <c r="A5729" s="26">
        <v>51650402</v>
      </c>
      <c r="B5729" s="29" t="s">
        <v>7959</v>
      </c>
      <c r="C5729" s="29" t="s">
        <v>17204</v>
      </c>
      <c r="D5729" s="29" t="s">
        <v>30349</v>
      </c>
      <c r="E5729" s="29" t="s">
        <v>43926</v>
      </c>
      <c r="F5729" s="36" t="s">
        <v>54401</v>
      </c>
      <c r="G5729" s="39">
        <v>3553729.03</v>
      </c>
      <c r="H5729" s="42">
        <v>211</v>
      </c>
    </row>
    <row r="5730" spans="1:8" ht="15" customHeight="1">
      <c r="A5730" s="26">
        <v>51667233</v>
      </c>
      <c r="B5730" s="29" t="s">
        <v>7960</v>
      </c>
      <c r="C5730" s="29" t="s">
        <v>22366</v>
      </c>
      <c r="D5730" s="29" t="s">
        <v>35611</v>
      </c>
      <c r="E5730" s="29" t="s">
        <v>48339</v>
      </c>
      <c r="F5730" s="36" t="s">
        <v>54401</v>
      </c>
      <c r="G5730" s="39">
        <v>96429.51</v>
      </c>
      <c r="H5730" s="42">
        <v>211</v>
      </c>
    </row>
    <row r="5731" spans="1:8" ht="15" customHeight="1">
      <c r="A5731" s="26">
        <v>51671423</v>
      </c>
      <c r="B5731" s="29" t="s">
        <v>7961</v>
      </c>
      <c r="C5731" s="29" t="s">
        <v>22367</v>
      </c>
      <c r="D5731" s="29" t="s">
        <v>35612</v>
      </c>
      <c r="E5731" s="29" t="s">
        <v>48340</v>
      </c>
      <c r="F5731" s="36" t="s">
        <v>54401</v>
      </c>
      <c r="G5731" s="39">
        <v>45812.1</v>
      </c>
      <c r="H5731" s="42">
        <v>211</v>
      </c>
    </row>
    <row r="5732" spans="1:8" ht="15" customHeight="1">
      <c r="A5732" s="26">
        <v>51674718</v>
      </c>
      <c r="B5732" s="29" t="s">
        <v>7962</v>
      </c>
      <c r="C5732" s="29" t="s">
        <v>22368</v>
      </c>
      <c r="D5732" s="29" t="s">
        <v>35613</v>
      </c>
      <c r="E5732" s="29" t="s">
        <v>47690</v>
      </c>
      <c r="F5732" s="36" t="s">
        <v>54401</v>
      </c>
      <c r="G5732" s="39">
        <v>246953.61</v>
      </c>
      <c r="H5732" s="42">
        <v>211</v>
      </c>
    </row>
    <row r="5733" spans="1:8" ht="15" customHeight="1">
      <c r="A5733" s="26">
        <v>51677455</v>
      </c>
      <c r="B5733" s="29" t="s">
        <v>7963</v>
      </c>
      <c r="C5733" s="29" t="s">
        <v>22369</v>
      </c>
      <c r="D5733" s="29" t="s">
        <v>35614</v>
      </c>
      <c r="E5733" s="29" t="s">
        <v>43942</v>
      </c>
      <c r="F5733" s="36" t="s">
        <v>54401</v>
      </c>
      <c r="G5733" s="39">
        <v>143725.89000000001</v>
      </c>
      <c r="H5733" s="42">
        <v>211</v>
      </c>
    </row>
    <row r="5734" spans="1:8" ht="15" customHeight="1">
      <c r="A5734" s="26">
        <v>51691486</v>
      </c>
      <c r="B5734" s="29" t="s">
        <v>7964</v>
      </c>
      <c r="C5734" s="29" t="s">
        <v>22370</v>
      </c>
      <c r="D5734" s="29" t="s">
        <v>35615</v>
      </c>
      <c r="E5734" s="29" t="s">
        <v>43948</v>
      </c>
      <c r="F5734" s="36" t="s">
        <v>54401</v>
      </c>
      <c r="G5734" s="39">
        <v>1112799.26</v>
      </c>
      <c r="H5734" s="42">
        <v>211</v>
      </c>
    </row>
    <row r="5735" spans="1:8" ht="15" customHeight="1">
      <c r="A5735" s="26">
        <v>51696541</v>
      </c>
      <c r="B5735" s="29" t="s">
        <v>7965</v>
      </c>
      <c r="C5735" s="29" t="s">
        <v>22371</v>
      </c>
      <c r="D5735" s="29" t="s">
        <v>35616</v>
      </c>
      <c r="E5735" s="29" t="s">
        <v>48341</v>
      </c>
      <c r="F5735" s="36" t="s">
        <v>54401</v>
      </c>
      <c r="G5735" s="39">
        <v>4741854.5599999996</v>
      </c>
      <c r="H5735" s="42">
        <v>211</v>
      </c>
    </row>
    <row r="5736" spans="1:8" ht="15" customHeight="1">
      <c r="A5736" s="26">
        <v>51725128</v>
      </c>
      <c r="B5736" s="29" t="s">
        <v>7966</v>
      </c>
      <c r="C5736" s="29" t="s">
        <v>22372</v>
      </c>
      <c r="D5736" s="29" t="s">
        <v>35617</v>
      </c>
      <c r="E5736" s="29" t="s">
        <v>48342</v>
      </c>
      <c r="F5736" s="36" t="s">
        <v>54402</v>
      </c>
      <c r="G5736" s="39">
        <f>2680823.96-777278</f>
        <v>1903545.96</v>
      </c>
      <c r="H5736" s="42">
        <v>211</v>
      </c>
    </row>
    <row r="5737" spans="1:8" ht="15" customHeight="1">
      <c r="A5737" s="26">
        <v>51727003</v>
      </c>
      <c r="B5737" s="29" t="s">
        <v>7967</v>
      </c>
      <c r="C5737" s="29" t="s">
        <v>22373</v>
      </c>
      <c r="D5737" s="29" t="s">
        <v>35618</v>
      </c>
      <c r="E5737" s="29" t="s">
        <v>43926</v>
      </c>
      <c r="F5737" s="36" t="s">
        <v>54401</v>
      </c>
      <c r="G5737" s="39">
        <v>897772.39</v>
      </c>
      <c r="H5737" s="42">
        <v>211</v>
      </c>
    </row>
    <row r="5738" spans="1:8" ht="15" customHeight="1">
      <c r="A5738" s="26">
        <v>51730458</v>
      </c>
      <c r="B5738" s="29" t="s">
        <v>7968</v>
      </c>
      <c r="C5738" s="29" t="s">
        <v>17204</v>
      </c>
      <c r="D5738" s="29" t="s">
        <v>35619</v>
      </c>
      <c r="E5738" s="29" t="s">
        <v>48343</v>
      </c>
      <c r="F5738" s="36" t="s">
        <v>54401</v>
      </c>
      <c r="G5738" s="39">
        <v>39092.22</v>
      </c>
      <c r="H5738" s="42">
        <v>211</v>
      </c>
    </row>
    <row r="5739" spans="1:8" ht="15" customHeight="1">
      <c r="A5739" s="26">
        <v>51742895</v>
      </c>
      <c r="B5739" s="29" t="s">
        <v>7969</v>
      </c>
      <c r="C5739" s="29" t="s">
        <v>22374</v>
      </c>
      <c r="D5739" s="29" t="s">
        <v>35620</v>
      </c>
      <c r="E5739" s="29" t="s">
        <v>48344</v>
      </c>
      <c r="F5739" s="36" t="s">
        <v>54401</v>
      </c>
      <c r="G5739" s="39">
        <v>210940.6</v>
      </c>
      <c r="H5739" s="42">
        <v>211</v>
      </c>
    </row>
    <row r="5740" spans="1:8" ht="15" customHeight="1">
      <c r="A5740" s="26">
        <v>51754125</v>
      </c>
      <c r="B5740" s="29" t="s">
        <v>7970</v>
      </c>
      <c r="C5740" s="29" t="s">
        <v>22375</v>
      </c>
      <c r="D5740" s="29" t="s">
        <v>35621</v>
      </c>
      <c r="E5740" s="29" t="s">
        <v>48345</v>
      </c>
      <c r="F5740" s="36" t="s">
        <v>54402</v>
      </c>
      <c r="G5740" s="39">
        <f>2162300.43-221920</f>
        <v>1940380.4300000002</v>
      </c>
      <c r="H5740" s="42">
        <v>211</v>
      </c>
    </row>
    <row r="5741" spans="1:8" ht="15" customHeight="1">
      <c r="A5741" s="26">
        <v>51760962</v>
      </c>
      <c r="B5741" s="29" t="s">
        <v>7971</v>
      </c>
      <c r="C5741" s="29" t="s">
        <v>22376</v>
      </c>
      <c r="D5741" s="29" t="s">
        <v>30376</v>
      </c>
      <c r="E5741" s="29" t="s">
        <v>48346</v>
      </c>
      <c r="F5741" s="36" t="s">
        <v>54401</v>
      </c>
      <c r="G5741" s="39">
        <v>4210.09</v>
      </c>
      <c r="H5741" s="42">
        <v>211</v>
      </c>
    </row>
    <row r="5742" spans="1:8" ht="15" customHeight="1">
      <c r="A5742" s="26">
        <v>51764933</v>
      </c>
      <c r="B5742" s="29" t="s">
        <v>7972</v>
      </c>
      <c r="C5742" s="29" t="s">
        <v>22377</v>
      </c>
      <c r="D5742" s="29" t="s">
        <v>35622</v>
      </c>
      <c r="E5742" s="29" t="s">
        <v>48347</v>
      </c>
      <c r="F5742" s="36" t="s">
        <v>54401</v>
      </c>
      <c r="G5742" s="39">
        <v>2181523.2400000002</v>
      </c>
      <c r="H5742" s="42">
        <v>211</v>
      </c>
    </row>
    <row r="5743" spans="1:8" ht="15" customHeight="1">
      <c r="A5743" s="26">
        <v>51765266</v>
      </c>
      <c r="B5743" s="29" t="s">
        <v>7973</v>
      </c>
      <c r="C5743" s="26" t="s">
        <v>22378</v>
      </c>
      <c r="D5743" s="26" t="s">
        <v>35623</v>
      </c>
      <c r="E5743" s="26" t="s">
        <v>48348</v>
      </c>
      <c r="F5743" s="37" t="s">
        <v>54401</v>
      </c>
      <c r="G5743" s="39">
        <v>1298732.0900000001</v>
      </c>
      <c r="H5743" s="42">
        <v>211</v>
      </c>
    </row>
    <row r="5744" spans="1:8" ht="15" customHeight="1">
      <c r="A5744" s="26">
        <v>51768712</v>
      </c>
      <c r="B5744" s="29" t="s">
        <v>7974</v>
      </c>
      <c r="C5744" s="29" t="s">
        <v>22379</v>
      </c>
      <c r="D5744" s="29" t="s">
        <v>35624</v>
      </c>
      <c r="E5744" s="29" t="s">
        <v>48349</v>
      </c>
      <c r="F5744" s="36" t="s">
        <v>54401</v>
      </c>
      <c r="G5744" s="39">
        <v>377770.97</v>
      </c>
      <c r="H5744" s="42">
        <v>211</v>
      </c>
    </row>
    <row r="5745" spans="1:8" ht="15" customHeight="1">
      <c r="A5745" s="26">
        <v>51779072</v>
      </c>
      <c r="B5745" s="29" t="s">
        <v>7975</v>
      </c>
      <c r="C5745" s="29" t="s">
        <v>22380</v>
      </c>
      <c r="D5745" s="29" t="s">
        <v>35625</v>
      </c>
      <c r="E5745" s="29" t="s">
        <v>834</v>
      </c>
      <c r="F5745" s="36" t="s">
        <v>54401</v>
      </c>
      <c r="G5745" s="39">
        <v>4116</v>
      </c>
      <c r="H5745" s="42">
        <v>211</v>
      </c>
    </row>
    <row r="5746" spans="1:8" ht="15" customHeight="1">
      <c r="A5746" s="26">
        <v>51782286</v>
      </c>
      <c r="B5746" s="29" t="s">
        <v>7976</v>
      </c>
      <c r="C5746" s="29" t="s">
        <v>22381</v>
      </c>
      <c r="D5746" s="29" t="s">
        <v>35626</v>
      </c>
      <c r="E5746" s="29" t="s">
        <v>45502</v>
      </c>
      <c r="F5746" s="36" t="s">
        <v>54401</v>
      </c>
      <c r="G5746" s="39">
        <v>4337733.8600000003</v>
      </c>
      <c r="H5746" s="42">
        <v>211</v>
      </c>
    </row>
    <row r="5747" spans="1:8" ht="15" customHeight="1">
      <c r="A5747" s="26">
        <v>51793634</v>
      </c>
      <c r="B5747" s="29" t="s">
        <v>7977</v>
      </c>
      <c r="C5747" s="29" t="s">
        <v>22382</v>
      </c>
      <c r="D5747" s="29" t="s">
        <v>35627</v>
      </c>
      <c r="E5747" s="29" t="s">
        <v>48350</v>
      </c>
      <c r="F5747" s="36" t="s">
        <v>54401</v>
      </c>
      <c r="G5747" s="39">
        <f>4884438.36+1424446+18819625-259978</f>
        <v>24868531.359999999</v>
      </c>
      <c r="H5747" s="42">
        <v>211</v>
      </c>
    </row>
    <row r="5748" spans="1:8" ht="15" customHeight="1">
      <c r="A5748" s="26">
        <v>51794099</v>
      </c>
      <c r="B5748" s="29" t="s">
        <v>7978</v>
      </c>
      <c r="C5748" s="29" t="s">
        <v>22383</v>
      </c>
      <c r="D5748" s="29" t="s">
        <v>35628</v>
      </c>
      <c r="E5748" s="29" t="s">
        <v>48351</v>
      </c>
      <c r="F5748" s="36" t="s">
        <v>54401</v>
      </c>
      <c r="G5748" s="39">
        <v>182399.85</v>
      </c>
      <c r="H5748" s="42">
        <v>211</v>
      </c>
    </row>
    <row r="5749" spans="1:8" ht="15" customHeight="1">
      <c r="A5749" s="26">
        <v>51799388</v>
      </c>
      <c r="B5749" s="29" t="s">
        <v>7979</v>
      </c>
      <c r="C5749" s="29" t="s">
        <v>22384</v>
      </c>
      <c r="D5749" s="29" t="s">
        <v>35629</v>
      </c>
      <c r="E5749" s="29" t="s">
        <v>48352</v>
      </c>
      <c r="F5749" s="36" t="s">
        <v>54401</v>
      </c>
      <c r="G5749" s="39">
        <v>493775.54</v>
      </c>
      <c r="H5749" s="42">
        <v>211</v>
      </c>
    </row>
    <row r="5750" spans="1:8" ht="15" customHeight="1">
      <c r="A5750" s="26">
        <v>51810091</v>
      </c>
      <c r="B5750" s="29" t="s">
        <v>7980</v>
      </c>
      <c r="C5750" s="29" t="s">
        <v>22385</v>
      </c>
      <c r="D5750" s="29" t="s">
        <v>35630</v>
      </c>
      <c r="E5750" s="29" t="s">
        <v>48353</v>
      </c>
      <c r="F5750" s="36" t="s">
        <v>54401</v>
      </c>
      <c r="G5750" s="39">
        <f>3672292.59+3528673</f>
        <v>7200965.5899999999</v>
      </c>
      <c r="H5750" s="42">
        <v>211</v>
      </c>
    </row>
    <row r="5751" spans="1:8" ht="15" customHeight="1">
      <c r="A5751" s="26">
        <v>51816383</v>
      </c>
      <c r="B5751" s="29" t="s">
        <v>7981</v>
      </c>
      <c r="C5751" s="29" t="s">
        <v>22386</v>
      </c>
      <c r="D5751" s="29" t="s">
        <v>35631</v>
      </c>
      <c r="E5751" s="29" t="s">
        <v>48354</v>
      </c>
      <c r="F5751" s="36" t="s">
        <v>54413</v>
      </c>
      <c r="G5751" s="39">
        <v>653646.44999999995</v>
      </c>
      <c r="H5751" s="42">
        <v>211</v>
      </c>
    </row>
    <row r="5752" spans="1:8" ht="15" customHeight="1">
      <c r="A5752" s="26">
        <v>51818336</v>
      </c>
      <c r="B5752" s="29" t="s">
        <v>7982</v>
      </c>
      <c r="C5752" s="29" t="s">
        <v>22387</v>
      </c>
      <c r="D5752" s="29" t="s">
        <v>35632</v>
      </c>
      <c r="E5752" s="29" t="s">
        <v>48355</v>
      </c>
      <c r="F5752" s="36" t="s">
        <v>54401</v>
      </c>
      <c r="G5752" s="39">
        <v>521807.14</v>
      </c>
      <c r="H5752" s="42">
        <v>211</v>
      </c>
    </row>
    <row r="5753" spans="1:8" ht="15" customHeight="1">
      <c r="A5753" s="26">
        <v>51818684</v>
      </c>
      <c r="B5753" s="29" t="s">
        <v>7983</v>
      </c>
      <c r="C5753" s="29" t="s">
        <v>22388</v>
      </c>
      <c r="D5753" s="29" t="s">
        <v>35633</v>
      </c>
      <c r="E5753" s="29" t="s">
        <v>44205</v>
      </c>
      <c r="F5753" s="36" t="s">
        <v>54401</v>
      </c>
      <c r="G5753" s="39">
        <v>312786.31</v>
      </c>
      <c r="H5753" s="42">
        <v>211</v>
      </c>
    </row>
    <row r="5754" spans="1:8" ht="15" customHeight="1">
      <c r="A5754" s="26">
        <v>51822217</v>
      </c>
      <c r="B5754" s="29" t="s">
        <v>7984</v>
      </c>
      <c r="C5754" s="29" t="s">
        <v>22389</v>
      </c>
      <c r="D5754" s="29" t="s">
        <v>35634</v>
      </c>
      <c r="E5754" s="29" t="s">
        <v>48356</v>
      </c>
      <c r="F5754" s="36" t="s">
        <v>54401</v>
      </c>
      <c r="G5754" s="39">
        <v>121991.59</v>
      </c>
      <c r="H5754" s="42">
        <v>211</v>
      </c>
    </row>
    <row r="5755" spans="1:8" ht="15" customHeight="1">
      <c r="A5755" s="26">
        <v>51846626</v>
      </c>
      <c r="B5755" s="29" t="s">
        <v>7985</v>
      </c>
      <c r="C5755" s="29" t="s">
        <v>22390</v>
      </c>
      <c r="D5755" s="29" t="s">
        <v>30376</v>
      </c>
      <c r="E5755" s="29" t="s">
        <v>48357</v>
      </c>
      <c r="F5755" s="36" t="s">
        <v>54401</v>
      </c>
      <c r="G5755" s="39">
        <v>2958985.11</v>
      </c>
      <c r="H5755" s="42">
        <v>211</v>
      </c>
    </row>
    <row r="5756" spans="1:8" ht="15" customHeight="1">
      <c r="A5756" s="26">
        <v>51855862</v>
      </c>
      <c r="B5756" s="29" t="s">
        <v>7986</v>
      </c>
      <c r="C5756" s="29" t="s">
        <v>22391</v>
      </c>
      <c r="D5756" s="29" t="s">
        <v>35635</v>
      </c>
      <c r="E5756" s="29" t="s">
        <v>48358</v>
      </c>
      <c r="F5756" s="36" t="s">
        <v>54401</v>
      </c>
      <c r="G5756" s="39">
        <v>121946.05</v>
      </c>
      <c r="H5756" s="42">
        <v>211</v>
      </c>
    </row>
    <row r="5757" spans="1:8" ht="15" customHeight="1">
      <c r="A5757" s="26">
        <v>51856570</v>
      </c>
      <c r="B5757" s="29" t="s">
        <v>7987</v>
      </c>
      <c r="C5757" s="29" t="s">
        <v>22392</v>
      </c>
      <c r="D5757" s="29" t="s">
        <v>35636</v>
      </c>
      <c r="E5757" s="29" t="s">
        <v>48359</v>
      </c>
      <c r="F5757" s="36" t="s">
        <v>54401</v>
      </c>
      <c r="G5757" s="39">
        <v>180684.37</v>
      </c>
      <c r="H5757" s="42">
        <v>211</v>
      </c>
    </row>
    <row r="5758" spans="1:8" ht="15" customHeight="1">
      <c r="A5758" s="26">
        <v>51859057</v>
      </c>
      <c r="B5758" s="29" t="s">
        <v>7988</v>
      </c>
      <c r="C5758" s="29" t="s">
        <v>22393</v>
      </c>
      <c r="D5758" s="29" t="s">
        <v>35637</v>
      </c>
      <c r="E5758" s="29" t="s">
        <v>48360</v>
      </c>
      <c r="F5758" s="36" t="s">
        <v>54401</v>
      </c>
      <c r="G5758" s="39">
        <v>460598.74</v>
      </c>
      <c r="H5758" s="42">
        <v>211</v>
      </c>
    </row>
    <row r="5759" spans="1:8" ht="15" customHeight="1">
      <c r="A5759" s="26">
        <v>51859324</v>
      </c>
      <c r="B5759" s="29" t="s">
        <v>7989</v>
      </c>
      <c r="C5759" s="29" t="s">
        <v>17204</v>
      </c>
      <c r="D5759" s="29" t="s">
        <v>35638</v>
      </c>
      <c r="E5759" s="29" t="s">
        <v>43926</v>
      </c>
      <c r="F5759" s="36" t="s">
        <v>54401</v>
      </c>
      <c r="G5759" s="39">
        <v>35476.21</v>
      </c>
      <c r="H5759" s="42">
        <v>211</v>
      </c>
    </row>
    <row r="5760" spans="1:8" ht="15" customHeight="1">
      <c r="A5760" s="26">
        <v>51866065</v>
      </c>
      <c r="B5760" s="29" t="s">
        <v>7990</v>
      </c>
      <c r="C5760" s="29" t="s">
        <v>22394</v>
      </c>
      <c r="D5760" s="29" t="s">
        <v>35639</v>
      </c>
      <c r="E5760" s="29" t="s">
        <v>48361</v>
      </c>
      <c r="F5760" s="36" t="s">
        <v>54401</v>
      </c>
      <c r="G5760" s="39">
        <v>31210.09</v>
      </c>
      <c r="H5760" s="42">
        <v>211</v>
      </c>
    </row>
    <row r="5761" spans="1:8" ht="15" customHeight="1">
      <c r="A5761" s="26">
        <v>51872321</v>
      </c>
      <c r="B5761" s="29" t="s">
        <v>7991</v>
      </c>
      <c r="C5761" s="29" t="s">
        <v>22395</v>
      </c>
      <c r="D5761" s="29" t="s">
        <v>35640</v>
      </c>
      <c r="E5761" s="29" t="s">
        <v>48362</v>
      </c>
      <c r="F5761" s="36" t="s">
        <v>54434</v>
      </c>
      <c r="G5761" s="39">
        <v>530886.68999999994</v>
      </c>
      <c r="H5761" s="42">
        <v>211</v>
      </c>
    </row>
    <row r="5762" spans="1:8" ht="15" customHeight="1">
      <c r="A5762" s="26">
        <v>51878491</v>
      </c>
      <c r="B5762" s="29" t="s">
        <v>7992</v>
      </c>
      <c r="C5762" s="29" t="s">
        <v>22396</v>
      </c>
      <c r="D5762" s="29" t="s">
        <v>35641</v>
      </c>
      <c r="E5762" s="29" t="s">
        <v>45235</v>
      </c>
      <c r="F5762" s="36" t="s">
        <v>54401</v>
      </c>
      <c r="G5762" s="39">
        <v>1221796.3</v>
      </c>
      <c r="H5762" s="42">
        <v>211</v>
      </c>
    </row>
    <row r="5763" spans="1:8" ht="15" customHeight="1">
      <c r="A5763" s="26">
        <v>51910323</v>
      </c>
      <c r="B5763" s="29" t="s">
        <v>7993</v>
      </c>
      <c r="C5763" s="29" t="s">
        <v>17204</v>
      </c>
      <c r="D5763" s="29" t="s">
        <v>35642</v>
      </c>
      <c r="E5763" s="29" t="s">
        <v>43926</v>
      </c>
      <c r="F5763" s="36" t="s">
        <v>54401</v>
      </c>
      <c r="G5763" s="39">
        <v>80591.210000000006</v>
      </c>
      <c r="H5763" s="42">
        <v>211</v>
      </c>
    </row>
    <row r="5764" spans="1:8" ht="15" customHeight="1">
      <c r="A5764" s="26">
        <v>51916272</v>
      </c>
      <c r="B5764" s="29" t="s">
        <v>7994</v>
      </c>
      <c r="C5764" s="29" t="s">
        <v>22397</v>
      </c>
      <c r="D5764" s="29" t="s">
        <v>35643</v>
      </c>
      <c r="E5764" s="29" t="s">
        <v>48363</v>
      </c>
      <c r="F5764" s="36" t="s">
        <v>54401</v>
      </c>
      <c r="G5764" s="39">
        <v>57057.59</v>
      </c>
      <c r="H5764" s="42">
        <v>211</v>
      </c>
    </row>
    <row r="5765" spans="1:8" ht="15" customHeight="1">
      <c r="A5765" s="26">
        <v>51919250</v>
      </c>
      <c r="B5765" s="29" t="s">
        <v>7995</v>
      </c>
      <c r="C5765" s="29" t="s">
        <v>17204</v>
      </c>
      <c r="D5765" s="29" t="s">
        <v>35644</v>
      </c>
      <c r="E5765" s="29" t="s">
        <v>43926</v>
      </c>
      <c r="F5765" s="36" t="s">
        <v>54401</v>
      </c>
      <c r="G5765" s="39">
        <v>944377.18</v>
      </c>
      <c r="H5765" s="42">
        <v>211</v>
      </c>
    </row>
    <row r="5766" spans="1:8" ht="15" customHeight="1">
      <c r="A5766" s="26">
        <v>51919974</v>
      </c>
      <c r="B5766" s="29" t="s">
        <v>7996</v>
      </c>
      <c r="C5766" s="29" t="s">
        <v>22398</v>
      </c>
      <c r="D5766" s="29" t="s">
        <v>35645</v>
      </c>
      <c r="E5766" s="29" t="s">
        <v>48364</v>
      </c>
      <c r="F5766" s="36" t="s">
        <v>54401</v>
      </c>
      <c r="G5766" s="39">
        <f>5484951.68-23504</f>
        <v>5461447.6799999997</v>
      </c>
      <c r="H5766" s="42">
        <v>211</v>
      </c>
    </row>
    <row r="5767" spans="1:8" ht="15" customHeight="1">
      <c r="A5767" s="26">
        <v>51933764</v>
      </c>
      <c r="B5767" s="29" t="s">
        <v>7997</v>
      </c>
      <c r="C5767" s="29" t="s">
        <v>22399</v>
      </c>
      <c r="D5767" s="29" t="s">
        <v>35646</v>
      </c>
      <c r="E5767" s="29" t="s">
        <v>48365</v>
      </c>
      <c r="F5767" s="36" t="s">
        <v>54401</v>
      </c>
      <c r="G5767" s="39">
        <f>1637739.69+465857</f>
        <v>2103596.69</v>
      </c>
      <c r="H5767" s="42">
        <v>211</v>
      </c>
    </row>
    <row r="5768" spans="1:8" ht="15" customHeight="1">
      <c r="A5768" s="26">
        <v>51934066</v>
      </c>
      <c r="B5768" s="29" t="s">
        <v>7998</v>
      </c>
      <c r="C5768" s="29" t="s">
        <v>22400</v>
      </c>
      <c r="D5768" s="29" t="s">
        <v>35647</v>
      </c>
      <c r="E5768" s="29" t="s">
        <v>48366</v>
      </c>
      <c r="F5768" s="36" t="s">
        <v>54401</v>
      </c>
      <c r="G5768" s="39">
        <v>367598.9</v>
      </c>
      <c r="H5768" s="42">
        <v>211</v>
      </c>
    </row>
    <row r="5769" spans="1:8" ht="15" customHeight="1">
      <c r="A5769" s="26">
        <v>51936237</v>
      </c>
      <c r="B5769" s="29" t="s">
        <v>7999</v>
      </c>
      <c r="C5769" s="29" t="s">
        <v>17204</v>
      </c>
      <c r="D5769" s="29" t="s">
        <v>35648</v>
      </c>
      <c r="E5769" s="29" t="s">
        <v>43926</v>
      </c>
      <c r="F5769" s="36" t="s">
        <v>54401</v>
      </c>
      <c r="G5769" s="39">
        <v>91030.41</v>
      </c>
      <c r="H5769" s="42">
        <v>211</v>
      </c>
    </row>
    <row r="5770" spans="1:8" ht="15" customHeight="1">
      <c r="A5770" s="26">
        <v>51954304</v>
      </c>
      <c r="B5770" s="29" t="s">
        <v>8000</v>
      </c>
      <c r="C5770" s="29" t="s">
        <v>22401</v>
      </c>
      <c r="D5770" s="29" t="s">
        <v>35649</v>
      </c>
      <c r="E5770" s="29" t="s">
        <v>48367</v>
      </c>
      <c r="F5770" s="36" t="s">
        <v>54401</v>
      </c>
      <c r="G5770" s="39">
        <v>418884.52</v>
      </c>
      <c r="H5770" s="42">
        <v>211</v>
      </c>
    </row>
    <row r="5771" spans="1:8" ht="15" customHeight="1">
      <c r="A5771" s="26">
        <v>51957093</v>
      </c>
      <c r="B5771" s="29" t="s">
        <v>8001</v>
      </c>
      <c r="C5771" s="29" t="s">
        <v>17204</v>
      </c>
      <c r="D5771" s="29" t="s">
        <v>30349</v>
      </c>
      <c r="E5771" s="29" t="s">
        <v>43926</v>
      </c>
      <c r="F5771" s="36" t="s">
        <v>54401</v>
      </c>
      <c r="G5771" s="39">
        <v>537041.86</v>
      </c>
      <c r="H5771" s="42">
        <v>211</v>
      </c>
    </row>
    <row r="5772" spans="1:8" ht="15" customHeight="1">
      <c r="A5772" s="26">
        <v>51957167</v>
      </c>
      <c r="B5772" s="29" t="s">
        <v>8002</v>
      </c>
      <c r="C5772" s="29" t="s">
        <v>22402</v>
      </c>
      <c r="D5772" s="29" t="s">
        <v>35650</v>
      </c>
      <c r="E5772" s="29" t="s">
        <v>48368</v>
      </c>
      <c r="F5772" s="36" t="s">
        <v>54413</v>
      </c>
      <c r="G5772" s="39">
        <v>9554.6200000000008</v>
      </c>
      <c r="H5772" s="42">
        <v>211</v>
      </c>
    </row>
    <row r="5773" spans="1:8" ht="15" customHeight="1">
      <c r="A5773" s="26">
        <v>51959829</v>
      </c>
      <c r="B5773" s="29" t="s">
        <v>8003</v>
      </c>
      <c r="C5773" s="29" t="s">
        <v>22403</v>
      </c>
      <c r="D5773" s="29" t="s">
        <v>35651</v>
      </c>
      <c r="E5773" s="29" t="s">
        <v>48369</v>
      </c>
      <c r="F5773" s="36" t="s">
        <v>54401</v>
      </c>
      <c r="G5773" s="39">
        <v>1206103.03</v>
      </c>
      <c r="H5773" s="42">
        <v>211</v>
      </c>
    </row>
    <row r="5774" spans="1:8" ht="15" customHeight="1">
      <c r="A5774" s="26">
        <v>51967281</v>
      </c>
      <c r="B5774" s="29" t="s">
        <v>8004</v>
      </c>
      <c r="C5774" s="29" t="s">
        <v>22404</v>
      </c>
      <c r="D5774" s="29" t="s">
        <v>35652</v>
      </c>
      <c r="E5774" s="29" t="s">
        <v>48370</v>
      </c>
      <c r="F5774" s="36" t="s">
        <v>54401</v>
      </c>
      <c r="G5774" s="39">
        <v>1059058.32</v>
      </c>
      <c r="H5774" s="42">
        <v>211</v>
      </c>
    </row>
    <row r="5775" spans="1:8" ht="15" customHeight="1">
      <c r="A5775" s="26">
        <v>51973300</v>
      </c>
      <c r="B5775" s="29" t="s">
        <v>8005</v>
      </c>
      <c r="C5775" s="29" t="s">
        <v>22405</v>
      </c>
      <c r="D5775" s="29" t="s">
        <v>35653</v>
      </c>
      <c r="E5775" s="29" t="s">
        <v>47320</v>
      </c>
      <c r="F5775" s="36" t="s">
        <v>54401</v>
      </c>
      <c r="G5775" s="39">
        <f>1145177.12+444107</f>
        <v>1589284.12</v>
      </c>
      <c r="H5775" s="42">
        <v>211</v>
      </c>
    </row>
    <row r="5776" spans="1:8" ht="15" customHeight="1">
      <c r="A5776" s="26">
        <v>51974892</v>
      </c>
      <c r="B5776" s="29" t="s">
        <v>8006</v>
      </c>
      <c r="C5776" s="29" t="s">
        <v>22406</v>
      </c>
      <c r="D5776" s="29" t="s">
        <v>35654</v>
      </c>
      <c r="E5776" s="29" t="s">
        <v>48371</v>
      </c>
      <c r="F5776" s="36" t="s">
        <v>54401</v>
      </c>
      <c r="G5776" s="39">
        <v>502100.55</v>
      </c>
      <c r="H5776" s="42">
        <v>211</v>
      </c>
    </row>
    <row r="5777" spans="1:8" ht="15" customHeight="1">
      <c r="A5777" s="26">
        <v>51983217</v>
      </c>
      <c r="B5777" s="29" t="s">
        <v>8007</v>
      </c>
      <c r="C5777" s="29" t="s">
        <v>22407</v>
      </c>
      <c r="D5777" s="29" t="s">
        <v>35655</v>
      </c>
      <c r="E5777" s="29" t="s">
        <v>48372</v>
      </c>
      <c r="F5777" s="36" t="s">
        <v>54401</v>
      </c>
      <c r="G5777" s="39">
        <v>127947.36</v>
      </c>
      <c r="H5777" s="42">
        <v>211</v>
      </c>
    </row>
    <row r="5778" spans="1:8" ht="15" customHeight="1">
      <c r="A5778" s="26">
        <v>51994520</v>
      </c>
      <c r="B5778" s="29" t="s">
        <v>8008</v>
      </c>
      <c r="C5778" s="29" t="s">
        <v>22408</v>
      </c>
      <c r="D5778" s="29" t="s">
        <v>30376</v>
      </c>
      <c r="E5778" s="29" t="s">
        <v>48373</v>
      </c>
      <c r="F5778" s="36" t="s">
        <v>54401</v>
      </c>
      <c r="G5778" s="39">
        <v>881591.81</v>
      </c>
      <c r="H5778" s="42">
        <v>211</v>
      </c>
    </row>
    <row r="5779" spans="1:8" ht="15" customHeight="1">
      <c r="A5779" s="26">
        <v>51999026</v>
      </c>
      <c r="B5779" s="29" t="s">
        <v>8009</v>
      </c>
      <c r="C5779" s="29" t="s">
        <v>22409</v>
      </c>
      <c r="D5779" s="29" t="s">
        <v>35656</v>
      </c>
      <c r="E5779" s="29" t="s">
        <v>44721</v>
      </c>
      <c r="F5779" s="36" t="s">
        <v>54401</v>
      </c>
      <c r="G5779" s="39">
        <v>89267.89</v>
      </c>
      <c r="H5779" s="42">
        <v>211</v>
      </c>
    </row>
    <row r="5780" spans="1:8" ht="15" customHeight="1">
      <c r="A5780" s="26">
        <v>51999865</v>
      </c>
      <c r="B5780" s="29" t="s">
        <v>8010</v>
      </c>
      <c r="C5780" s="29" t="s">
        <v>22410</v>
      </c>
      <c r="D5780" s="29" t="s">
        <v>35657</v>
      </c>
      <c r="E5780" s="29" t="s">
        <v>43949</v>
      </c>
      <c r="F5780" s="36" t="s">
        <v>54401</v>
      </c>
      <c r="G5780" s="39">
        <f>2772153.57+522249</f>
        <v>3294402.57</v>
      </c>
      <c r="H5780" s="42">
        <v>211</v>
      </c>
    </row>
    <row r="5781" spans="1:8" ht="15" customHeight="1">
      <c r="A5781" s="26">
        <v>52014909</v>
      </c>
      <c r="B5781" s="29" t="s">
        <v>8011</v>
      </c>
      <c r="C5781" s="26" t="s">
        <v>22411</v>
      </c>
      <c r="D5781" s="26" t="s">
        <v>35658</v>
      </c>
      <c r="E5781" s="26" t="s">
        <v>43926</v>
      </c>
      <c r="F5781" s="37" t="s">
        <v>54401</v>
      </c>
      <c r="G5781" s="39">
        <v>80133.03</v>
      </c>
      <c r="H5781" s="42">
        <v>211</v>
      </c>
    </row>
    <row r="5782" spans="1:8" ht="15" customHeight="1">
      <c r="A5782" s="26">
        <v>52019078</v>
      </c>
      <c r="B5782" s="29" t="s">
        <v>8012</v>
      </c>
      <c r="C5782" s="29" t="s">
        <v>22412</v>
      </c>
      <c r="D5782" s="29" t="s">
        <v>35659</v>
      </c>
      <c r="E5782" s="29" t="s">
        <v>43926</v>
      </c>
      <c r="F5782" s="36" t="s">
        <v>54401</v>
      </c>
      <c r="G5782" s="39">
        <v>424933.66</v>
      </c>
      <c r="H5782" s="42">
        <v>211</v>
      </c>
    </row>
    <row r="5783" spans="1:8" ht="15" customHeight="1">
      <c r="A5783" s="26">
        <v>52019351</v>
      </c>
      <c r="B5783" s="29" t="s">
        <v>8013</v>
      </c>
      <c r="C5783" s="29" t="s">
        <v>22413</v>
      </c>
      <c r="D5783" s="29" t="s">
        <v>35660</v>
      </c>
      <c r="E5783" s="29" t="s">
        <v>48374</v>
      </c>
      <c r="F5783" s="36" t="s">
        <v>54401</v>
      </c>
      <c r="G5783" s="39">
        <v>671279.61</v>
      </c>
      <c r="H5783" s="42">
        <v>211</v>
      </c>
    </row>
    <row r="5784" spans="1:8" ht="15" customHeight="1">
      <c r="A5784" s="26">
        <v>52024430</v>
      </c>
      <c r="B5784" s="29" t="s">
        <v>8014</v>
      </c>
      <c r="C5784" s="29" t="s">
        <v>22414</v>
      </c>
      <c r="D5784" s="29" t="s">
        <v>35661</v>
      </c>
      <c r="E5784" s="29" t="s">
        <v>48375</v>
      </c>
      <c r="F5784" s="36" t="s">
        <v>54401</v>
      </c>
      <c r="G5784" s="39">
        <v>43314.16</v>
      </c>
      <c r="H5784" s="42">
        <v>211</v>
      </c>
    </row>
    <row r="5785" spans="1:8" ht="15" customHeight="1">
      <c r="A5785" s="26">
        <v>52031845</v>
      </c>
      <c r="B5785" s="29" t="s">
        <v>8015</v>
      </c>
      <c r="C5785" s="29" t="s">
        <v>22415</v>
      </c>
      <c r="D5785" s="29" t="s">
        <v>35662</v>
      </c>
      <c r="E5785" s="29" t="s">
        <v>48376</v>
      </c>
      <c r="F5785" s="36" t="s">
        <v>54401</v>
      </c>
      <c r="G5785" s="39">
        <v>801174.63</v>
      </c>
      <c r="H5785" s="42">
        <v>211</v>
      </c>
    </row>
    <row r="5786" spans="1:8" ht="15" customHeight="1">
      <c r="A5786" s="26">
        <v>52034254</v>
      </c>
      <c r="B5786" s="29" t="s">
        <v>8016</v>
      </c>
      <c r="C5786" s="29" t="s">
        <v>17204</v>
      </c>
      <c r="D5786" s="29" t="s">
        <v>30349</v>
      </c>
      <c r="E5786" s="29" t="s">
        <v>43926</v>
      </c>
      <c r="F5786" s="36" t="s">
        <v>54401</v>
      </c>
      <c r="G5786" s="39">
        <v>139487.66</v>
      </c>
      <c r="H5786" s="42">
        <v>211</v>
      </c>
    </row>
    <row r="5787" spans="1:8" ht="15" customHeight="1">
      <c r="A5787" s="26">
        <v>52047666</v>
      </c>
      <c r="B5787" s="29" t="s">
        <v>8017</v>
      </c>
      <c r="C5787" s="29" t="s">
        <v>17204</v>
      </c>
      <c r="D5787" s="29" t="s">
        <v>35663</v>
      </c>
      <c r="E5787" s="29" t="s">
        <v>43926</v>
      </c>
      <c r="F5787" s="36" t="s">
        <v>54401</v>
      </c>
      <c r="G5787" s="39">
        <v>760019.67</v>
      </c>
      <c r="H5787" s="42">
        <v>211</v>
      </c>
    </row>
    <row r="5788" spans="1:8" ht="15" customHeight="1">
      <c r="A5788" s="26">
        <v>52055384</v>
      </c>
      <c r="B5788" s="29" t="s">
        <v>8018</v>
      </c>
      <c r="C5788" s="29" t="s">
        <v>22416</v>
      </c>
      <c r="D5788" s="29" t="s">
        <v>35664</v>
      </c>
      <c r="E5788" s="29" t="s">
        <v>48377</v>
      </c>
      <c r="F5788" s="36" t="s">
        <v>54401</v>
      </c>
      <c r="G5788" s="39">
        <v>342422.67</v>
      </c>
      <c r="H5788" s="42">
        <v>211</v>
      </c>
    </row>
    <row r="5789" spans="1:8" ht="15" customHeight="1">
      <c r="A5789" s="26">
        <v>52058754</v>
      </c>
      <c r="B5789" s="29" t="s">
        <v>8019</v>
      </c>
      <c r="C5789" s="29" t="s">
        <v>22417</v>
      </c>
      <c r="D5789" s="29" t="s">
        <v>35665</v>
      </c>
      <c r="E5789" s="29" t="s">
        <v>48378</v>
      </c>
      <c r="F5789" s="36" t="s">
        <v>54401</v>
      </c>
      <c r="G5789" s="39">
        <v>83800.759999999995</v>
      </c>
      <c r="H5789" s="42">
        <v>211</v>
      </c>
    </row>
    <row r="5790" spans="1:8" ht="15" customHeight="1">
      <c r="A5790" s="26">
        <v>52079411</v>
      </c>
      <c r="B5790" s="29" t="s">
        <v>8020</v>
      </c>
      <c r="C5790" s="29" t="s">
        <v>22418</v>
      </c>
      <c r="D5790" s="29" t="s">
        <v>35666</v>
      </c>
      <c r="E5790" s="29" t="s">
        <v>48379</v>
      </c>
      <c r="F5790" s="36" t="s">
        <v>54401</v>
      </c>
      <c r="G5790" s="39">
        <v>1033495.05</v>
      </c>
      <c r="H5790" s="42">
        <v>211</v>
      </c>
    </row>
    <row r="5791" spans="1:8" ht="15" customHeight="1">
      <c r="A5791" s="26">
        <v>52084021</v>
      </c>
      <c r="B5791" s="29" t="s">
        <v>8021</v>
      </c>
      <c r="C5791" s="26" t="s">
        <v>17204</v>
      </c>
      <c r="D5791" s="26" t="s">
        <v>35667</v>
      </c>
      <c r="E5791" s="26" t="s">
        <v>43926</v>
      </c>
      <c r="F5791" s="37" t="s">
        <v>54401</v>
      </c>
      <c r="G5791" s="39">
        <v>5460</v>
      </c>
      <c r="H5791" s="42">
        <v>211</v>
      </c>
    </row>
    <row r="5792" spans="1:8" ht="15" customHeight="1">
      <c r="A5792" s="26">
        <v>52085132</v>
      </c>
      <c r="B5792" s="29" t="s">
        <v>8022</v>
      </c>
      <c r="C5792" s="29" t="s">
        <v>22419</v>
      </c>
      <c r="D5792" s="29" t="s">
        <v>30376</v>
      </c>
      <c r="E5792" s="29" t="s">
        <v>48380</v>
      </c>
      <c r="F5792" s="36" t="s">
        <v>54401</v>
      </c>
      <c r="G5792" s="39">
        <v>4899195.18</v>
      </c>
      <c r="H5792" s="42">
        <v>211</v>
      </c>
    </row>
    <row r="5793" spans="1:8" ht="15" customHeight="1">
      <c r="A5793" s="26">
        <v>52086518</v>
      </c>
      <c r="B5793" s="29" t="s">
        <v>8023</v>
      </c>
      <c r="C5793" s="29" t="s">
        <v>22420</v>
      </c>
      <c r="D5793" s="29" t="s">
        <v>35668</v>
      </c>
      <c r="E5793" s="29" t="s">
        <v>48381</v>
      </c>
      <c r="F5793" s="36" t="s">
        <v>54401</v>
      </c>
      <c r="G5793" s="39">
        <v>348959.97</v>
      </c>
      <c r="H5793" s="42">
        <v>211</v>
      </c>
    </row>
    <row r="5794" spans="1:8" ht="15" customHeight="1">
      <c r="A5794" s="26">
        <v>52086954</v>
      </c>
      <c r="B5794" s="30" t="s">
        <v>8024</v>
      </c>
      <c r="C5794" s="29"/>
      <c r="D5794" s="29"/>
      <c r="E5794" s="29"/>
      <c r="F5794" s="36" t="s">
        <v>54410</v>
      </c>
      <c r="G5794" s="39">
        <v>175749.44</v>
      </c>
      <c r="H5794" s="42">
        <v>211</v>
      </c>
    </row>
    <row r="5795" spans="1:8" ht="15" customHeight="1">
      <c r="A5795" s="26">
        <v>52095367</v>
      </c>
      <c r="B5795" s="29" t="s">
        <v>8025</v>
      </c>
      <c r="C5795" s="26" t="s">
        <v>19061</v>
      </c>
      <c r="D5795" s="26" t="s">
        <v>32230</v>
      </c>
      <c r="E5795" s="26" t="s">
        <v>48382</v>
      </c>
      <c r="F5795" s="37" t="s">
        <v>54401</v>
      </c>
      <c r="G5795" s="39">
        <v>150009.91</v>
      </c>
      <c r="H5795" s="42">
        <v>211</v>
      </c>
    </row>
    <row r="5796" spans="1:8" ht="15" customHeight="1">
      <c r="A5796" s="26">
        <v>52096927</v>
      </c>
      <c r="B5796" s="29" t="s">
        <v>8026</v>
      </c>
      <c r="C5796" s="29" t="s">
        <v>22421</v>
      </c>
      <c r="D5796" s="29" t="s">
        <v>35669</v>
      </c>
      <c r="E5796" s="29" t="s">
        <v>43926</v>
      </c>
      <c r="F5796" s="36" t="s">
        <v>54401</v>
      </c>
      <c r="G5796" s="39">
        <v>199977.35</v>
      </c>
      <c r="H5796" s="42">
        <v>211</v>
      </c>
    </row>
    <row r="5797" spans="1:8" ht="15" customHeight="1">
      <c r="A5797" s="26">
        <v>52097055</v>
      </c>
      <c r="B5797" s="29" t="s">
        <v>8027</v>
      </c>
      <c r="C5797" s="29" t="s">
        <v>22422</v>
      </c>
      <c r="D5797" s="29" t="s">
        <v>35670</v>
      </c>
      <c r="E5797" s="29" t="s">
        <v>48383</v>
      </c>
      <c r="F5797" s="36" t="s">
        <v>54401</v>
      </c>
      <c r="G5797" s="39">
        <v>5073.03</v>
      </c>
      <c r="H5797" s="42">
        <v>211</v>
      </c>
    </row>
    <row r="5798" spans="1:8" ht="15" customHeight="1">
      <c r="A5798" s="26">
        <v>52107162</v>
      </c>
      <c r="B5798" s="29" t="s">
        <v>8028</v>
      </c>
      <c r="C5798" s="29" t="s">
        <v>22423</v>
      </c>
      <c r="D5798" s="29" t="s">
        <v>35671</v>
      </c>
      <c r="E5798" s="29" t="s">
        <v>48384</v>
      </c>
      <c r="F5798" s="36" t="s">
        <v>54401</v>
      </c>
      <c r="G5798" s="39">
        <v>3611798.98</v>
      </c>
      <c r="H5798" s="42">
        <v>211</v>
      </c>
    </row>
    <row r="5799" spans="1:8" ht="15" customHeight="1">
      <c r="A5799" s="26">
        <v>52126185</v>
      </c>
      <c r="B5799" s="29" t="s">
        <v>8029</v>
      </c>
      <c r="C5799" s="29" t="s">
        <v>22424</v>
      </c>
      <c r="D5799" s="29" t="s">
        <v>35672</v>
      </c>
      <c r="E5799" s="29" t="s">
        <v>46376</v>
      </c>
      <c r="F5799" s="36" t="s">
        <v>54401</v>
      </c>
      <c r="G5799" s="39">
        <f>4353166.45+78869</f>
        <v>4432035.45</v>
      </c>
      <c r="H5799" s="42">
        <v>211</v>
      </c>
    </row>
    <row r="5800" spans="1:8" ht="15" customHeight="1">
      <c r="A5800" s="26">
        <v>52141350</v>
      </c>
      <c r="B5800" s="29" t="s">
        <v>8030</v>
      </c>
      <c r="C5800" s="29" t="s">
        <v>22425</v>
      </c>
      <c r="D5800" s="29" t="s">
        <v>35673</v>
      </c>
      <c r="E5800" s="29" t="s">
        <v>48385</v>
      </c>
      <c r="F5800" s="36" t="s">
        <v>54401</v>
      </c>
      <c r="G5800" s="39">
        <v>85990.17</v>
      </c>
      <c r="H5800" s="42">
        <v>211</v>
      </c>
    </row>
    <row r="5801" spans="1:8" ht="15" customHeight="1">
      <c r="A5801" s="26">
        <v>52146308</v>
      </c>
      <c r="B5801" s="29" t="s">
        <v>8031</v>
      </c>
      <c r="C5801" s="29" t="s">
        <v>22426</v>
      </c>
      <c r="D5801" s="29" t="s">
        <v>35674</v>
      </c>
      <c r="E5801" s="29" t="s">
        <v>48386</v>
      </c>
      <c r="F5801" s="36" t="s">
        <v>54401</v>
      </c>
      <c r="G5801" s="39">
        <f>1276709.14-49000</f>
        <v>1227709.1399999999</v>
      </c>
      <c r="H5801" s="42">
        <v>211</v>
      </c>
    </row>
    <row r="5802" spans="1:8" ht="15" customHeight="1">
      <c r="A5802" s="26">
        <v>52150537</v>
      </c>
      <c r="B5802" s="29" t="s">
        <v>8032</v>
      </c>
      <c r="C5802" s="29" t="s">
        <v>22427</v>
      </c>
      <c r="D5802" s="29" t="s">
        <v>35675</v>
      </c>
      <c r="E5802" s="29" t="s">
        <v>48387</v>
      </c>
      <c r="F5802" s="36" t="s">
        <v>54414</v>
      </c>
      <c r="G5802" s="39">
        <v>1690056.88</v>
      </c>
      <c r="H5802" s="42">
        <v>211</v>
      </c>
    </row>
    <row r="5803" spans="1:8" ht="15" customHeight="1">
      <c r="A5803" s="26">
        <v>52151672</v>
      </c>
      <c r="B5803" s="29" t="s">
        <v>8033</v>
      </c>
      <c r="C5803" s="29" t="s">
        <v>22428</v>
      </c>
      <c r="D5803" s="29" t="s">
        <v>35676</v>
      </c>
      <c r="E5803" s="29" t="s">
        <v>48388</v>
      </c>
      <c r="F5803" s="36" t="s">
        <v>54401</v>
      </c>
      <c r="G5803" s="39">
        <v>118217.58</v>
      </c>
      <c r="H5803" s="42">
        <v>211</v>
      </c>
    </row>
    <row r="5804" spans="1:8" ht="15" customHeight="1">
      <c r="A5804" s="26">
        <v>52151703</v>
      </c>
      <c r="B5804" s="29" t="s">
        <v>8034</v>
      </c>
      <c r="C5804" s="29" t="s">
        <v>17204</v>
      </c>
      <c r="D5804" s="29" t="s">
        <v>30349</v>
      </c>
      <c r="E5804" s="29" t="s">
        <v>43926</v>
      </c>
      <c r="F5804" s="36" t="s">
        <v>54401</v>
      </c>
      <c r="G5804" s="39">
        <v>103591.32</v>
      </c>
      <c r="H5804" s="42">
        <v>211</v>
      </c>
    </row>
    <row r="5805" spans="1:8" ht="15" customHeight="1">
      <c r="A5805" s="26">
        <v>52152648</v>
      </c>
      <c r="B5805" s="29" t="s">
        <v>8035</v>
      </c>
      <c r="C5805" s="29" t="s">
        <v>22429</v>
      </c>
      <c r="D5805" s="29" t="s">
        <v>35677</v>
      </c>
      <c r="E5805" s="29" t="s">
        <v>48389</v>
      </c>
      <c r="F5805" s="36" t="s">
        <v>54401</v>
      </c>
      <c r="G5805" s="39">
        <v>1300802.52</v>
      </c>
      <c r="H5805" s="42">
        <v>211</v>
      </c>
    </row>
    <row r="5806" spans="1:8" ht="15" customHeight="1">
      <c r="A5806" s="26">
        <v>52155525</v>
      </c>
      <c r="B5806" s="29" t="s">
        <v>8036</v>
      </c>
      <c r="C5806" s="29" t="s">
        <v>22430</v>
      </c>
      <c r="D5806" s="29" t="s">
        <v>35678</v>
      </c>
      <c r="E5806" s="29" t="s">
        <v>48390</v>
      </c>
      <c r="F5806" s="36" t="s">
        <v>54401</v>
      </c>
      <c r="G5806" s="39">
        <v>1073626.17</v>
      </c>
      <c r="H5806" s="42">
        <v>211</v>
      </c>
    </row>
    <row r="5807" spans="1:8" ht="15" customHeight="1">
      <c r="A5807" s="26">
        <v>52158175</v>
      </c>
      <c r="B5807" s="29" t="s">
        <v>8037</v>
      </c>
      <c r="C5807" s="29" t="s">
        <v>17337</v>
      </c>
      <c r="D5807" s="29" t="s">
        <v>35679</v>
      </c>
      <c r="E5807" s="29" t="s">
        <v>43926</v>
      </c>
      <c r="F5807" s="36" t="s">
        <v>54401</v>
      </c>
      <c r="G5807" s="39">
        <v>151287.73000000001</v>
      </c>
      <c r="H5807" s="42">
        <v>211</v>
      </c>
    </row>
    <row r="5808" spans="1:8" ht="15" customHeight="1">
      <c r="A5808" s="26">
        <v>52178794</v>
      </c>
      <c r="B5808" s="29" t="s">
        <v>8038</v>
      </c>
      <c r="C5808" s="29" t="s">
        <v>22431</v>
      </c>
      <c r="D5808" s="29" t="s">
        <v>35680</v>
      </c>
      <c r="E5808" s="29" t="s">
        <v>48391</v>
      </c>
      <c r="F5808" s="36" t="s">
        <v>54401</v>
      </c>
      <c r="G5808" s="39">
        <f>5123859.97-8445</f>
        <v>5115414.97</v>
      </c>
      <c r="H5808" s="42">
        <v>211</v>
      </c>
    </row>
    <row r="5809" spans="1:8" ht="15" customHeight="1">
      <c r="A5809" s="26">
        <v>52182605</v>
      </c>
      <c r="B5809" s="29" t="s">
        <v>8039</v>
      </c>
      <c r="C5809" s="29" t="s">
        <v>22432</v>
      </c>
      <c r="D5809" s="29" t="s">
        <v>35681</v>
      </c>
      <c r="E5809" s="29" t="s">
        <v>48392</v>
      </c>
      <c r="F5809" s="36" t="s">
        <v>54401</v>
      </c>
      <c r="G5809" s="39">
        <f>3758232.88+73994-27000+547501</f>
        <v>4352727.88</v>
      </c>
      <c r="H5809" s="42">
        <v>211</v>
      </c>
    </row>
    <row r="5810" spans="1:8" ht="15" customHeight="1">
      <c r="A5810" s="26">
        <v>52193803</v>
      </c>
      <c r="B5810" s="29" t="s">
        <v>8040</v>
      </c>
      <c r="C5810" s="29" t="s">
        <v>22433</v>
      </c>
      <c r="D5810" s="29" t="s">
        <v>32659</v>
      </c>
      <c r="E5810" s="29" t="s">
        <v>727</v>
      </c>
      <c r="F5810" s="36" t="s">
        <v>54401</v>
      </c>
      <c r="G5810" s="39">
        <v>174616.78</v>
      </c>
      <c r="H5810" s="42">
        <v>211</v>
      </c>
    </row>
    <row r="5811" spans="1:8" ht="15" customHeight="1">
      <c r="A5811" s="26">
        <v>52204461</v>
      </c>
      <c r="B5811" s="29" t="s">
        <v>8041</v>
      </c>
      <c r="C5811" s="29" t="s">
        <v>22434</v>
      </c>
      <c r="D5811" s="29" t="s">
        <v>35682</v>
      </c>
      <c r="E5811" s="29" t="s">
        <v>43926</v>
      </c>
      <c r="F5811" s="36" t="s">
        <v>54401</v>
      </c>
      <c r="G5811" s="39">
        <f>1814709.82+729082</f>
        <v>2543791.8200000003</v>
      </c>
      <c r="H5811" s="42">
        <v>211</v>
      </c>
    </row>
    <row r="5812" spans="1:8" ht="15" customHeight="1">
      <c r="A5812" s="26">
        <v>52209448</v>
      </c>
      <c r="B5812" s="29" t="s">
        <v>8042</v>
      </c>
      <c r="C5812" s="29" t="s">
        <v>22435</v>
      </c>
      <c r="D5812" s="29" t="s">
        <v>35683</v>
      </c>
      <c r="E5812" s="29" t="s">
        <v>48393</v>
      </c>
      <c r="F5812" s="36" t="s">
        <v>54401</v>
      </c>
      <c r="G5812" s="39">
        <v>123835.27</v>
      </c>
      <c r="H5812" s="42">
        <v>211</v>
      </c>
    </row>
    <row r="5813" spans="1:8" ht="15" customHeight="1">
      <c r="A5813" s="26">
        <v>52224256</v>
      </c>
      <c r="B5813" s="29" t="s">
        <v>8043</v>
      </c>
      <c r="C5813" s="29" t="s">
        <v>17204</v>
      </c>
      <c r="D5813" s="29" t="s">
        <v>35684</v>
      </c>
      <c r="E5813" s="29" t="s">
        <v>43926</v>
      </c>
      <c r="F5813" s="36" t="s">
        <v>54401</v>
      </c>
      <c r="G5813" s="39">
        <v>34184.03</v>
      </c>
      <c r="H5813" s="42">
        <v>211</v>
      </c>
    </row>
    <row r="5814" spans="1:8" ht="15" customHeight="1">
      <c r="A5814" s="26">
        <v>52228940</v>
      </c>
      <c r="B5814" s="29" t="s">
        <v>8044</v>
      </c>
      <c r="C5814" s="26" t="s">
        <v>22436</v>
      </c>
      <c r="D5814" s="26" t="s">
        <v>35685</v>
      </c>
      <c r="E5814" s="26" t="s">
        <v>48394</v>
      </c>
      <c r="F5814" s="37" t="s">
        <v>54401</v>
      </c>
      <c r="G5814" s="39">
        <v>39257.54</v>
      </c>
      <c r="H5814" s="42">
        <v>211</v>
      </c>
    </row>
    <row r="5815" spans="1:8" ht="15" customHeight="1">
      <c r="A5815" s="26">
        <v>52233490</v>
      </c>
      <c r="B5815" s="29" t="s">
        <v>8045</v>
      </c>
      <c r="C5815" s="29" t="s">
        <v>22437</v>
      </c>
      <c r="D5815" s="29" t="s">
        <v>35686</v>
      </c>
      <c r="E5815" s="29" t="s">
        <v>48395</v>
      </c>
      <c r="F5815" s="36" t="s">
        <v>54401</v>
      </c>
      <c r="G5815" s="39">
        <v>263487.71000000002</v>
      </c>
      <c r="H5815" s="42">
        <v>211</v>
      </c>
    </row>
    <row r="5816" spans="1:8" ht="15" customHeight="1">
      <c r="A5816" s="26">
        <v>52260571</v>
      </c>
      <c r="B5816" s="29" t="s">
        <v>8046</v>
      </c>
      <c r="C5816" s="29" t="s">
        <v>22438</v>
      </c>
      <c r="D5816" s="29" t="s">
        <v>35687</v>
      </c>
      <c r="E5816" s="29" t="s">
        <v>48396</v>
      </c>
      <c r="F5816" s="36" t="s">
        <v>54412</v>
      </c>
      <c r="G5816" s="39">
        <v>665183.31999999995</v>
      </c>
      <c r="H5816" s="42">
        <v>211</v>
      </c>
    </row>
    <row r="5817" spans="1:8" ht="15" customHeight="1">
      <c r="A5817" s="26">
        <v>52261799</v>
      </c>
      <c r="B5817" s="29" t="s">
        <v>8047</v>
      </c>
      <c r="C5817" s="29" t="s">
        <v>22439</v>
      </c>
      <c r="D5817" s="29" t="s">
        <v>35688</v>
      </c>
      <c r="E5817" s="29" t="s">
        <v>43926</v>
      </c>
      <c r="F5817" s="36" t="s">
        <v>54401</v>
      </c>
      <c r="G5817" s="39">
        <v>193475.94</v>
      </c>
      <c r="H5817" s="42">
        <v>211</v>
      </c>
    </row>
    <row r="5818" spans="1:8" ht="15" customHeight="1">
      <c r="A5818" s="26">
        <v>52263302</v>
      </c>
      <c r="B5818" s="29" t="s">
        <v>8048</v>
      </c>
      <c r="C5818" s="29" t="s">
        <v>22440</v>
      </c>
      <c r="D5818" s="29" t="s">
        <v>35689</v>
      </c>
      <c r="E5818" s="29" t="s">
        <v>48397</v>
      </c>
      <c r="F5818" s="36" t="s">
        <v>54401</v>
      </c>
      <c r="G5818" s="39">
        <v>141568.89000000001</v>
      </c>
      <c r="H5818" s="42">
        <v>211</v>
      </c>
    </row>
    <row r="5819" spans="1:8" ht="15" customHeight="1">
      <c r="A5819" s="26">
        <v>52264145</v>
      </c>
      <c r="B5819" s="29" t="s">
        <v>8049</v>
      </c>
      <c r="C5819" s="29" t="s">
        <v>22441</v>
      </c>
      <c r="D5819" s="29" t="s">
        <v>35690</v>
      </c>
      <c r="E5819" s="29" t="s">
        <v>48398</v>
      </c>
      <c r="F5819" s="36" t="s">
        <v>54409</v>
      </c>
      <c r="G5819" s="39">
        <f>7586878.35-65694</f>
        <v>7521184.3499999996</v>
      </c>
      <c r="H5819" s="42">
        <v>211</v>
      </c>
    </row>
    <row r="5820" spans="1:8" ht="15" customHeight="1">
      <c r="A5820" s="26">
        <v>52265497</v>
      </c>
      <c r="B5820" s="29" t="s">
        <v>8050</v>
      </c>
      <c r="C5820" s="29" t="s">
        <v>22442</v>
      </c>
      <c r="D5820" s="29" t="s">
        <v>35691</v>
      </c>
      <c r="E5820" s="29" t="s">
        <v>48399</v>
      </c>
      <c r="F5820" s="36" t="s">
        <v>54423</v>
      </c>
      <c r="G5820" s="39">
        <v>101715.88</v>
      </c>
      <c r="H5820" s="42">
        <v>211</v>
      </c>
    </row>
    <row r="5821" spans="1:8" ht="15" customHeight="1">
      <c r="A5821" s="26">
        <v>52271544</v>
      </c>
      <c r="B5821" s="29" t="s">
        <v>8051</v>
      </c>
      <c r="C5821" s="29" t="s">
        <v>22443</v>
      </c>
      <c r="D5821" s="29" t="s">
        <v>35692</v>
      </c>
      <c r="E5821" s="29" t="s">
        <v>48400</v>
      </c>
      <c r="F5821" s="36" t="s">
        <v>54401</v>
      </c>
      <c r="G5821" s="39">
        <v>973390.74</v>
      </c>
      <c r="H5821" s="42">
        <v>211</v>
      </c>
    </row>
    <row r="5822" spans="1:8" ht="15" customHeight="1">
      <c r="A5822" s="26">
        <v>52284037</v>
      </c>
      <c r="B5822" s="29" t="s">
        <v>8052</v>
      </c>
      <c r="C5822" s="29" t="s">
        <v>22444</v>
      </c>
      <c r="D5822" s="29" t="s">
        <v>35693</v>
      </c>
      <c r="E5822" s="29" t="s">
        <v>48401</v>
      </c>
      <c r="F5822" s="36" t="s">
        <v>54401</v>
      </c>
      <c r="G5822" s="39">
        <v>5734495.8300000001</v>
      </c>
      <c r="H5822" s="42">
        <v>211</v>
      </c>
    </row>
    <row r="5823" spans="1:8" ht="15" customHeight="1">
      <c r="A5823" s="26">
        <v>52300888</v>
      </c>
      <c r="B5823" s="29" t="s">
        <v>8053</v>
      </c>
      <c r="C5823" s="29" t="s">
        <v>22445</v>
      </c>
      <c r="D5823" s="29" t="s">
        <v>35694</v>
      </c>
      <c r="E5823" s="29" t="s">
        <v>48402</v>
      </c>
      <c r="F5823" s="36" t="s">
        <v>54401</v>
      </c>
      <c r="G5823" s="39">
        <v>198174.42</v>
      </c>
      <c r="H5823" s="42">
        <v>211</v>
      </c>
    </row>
    <row r="5824" spans="1:8" ht="15" customHeight="1">
      <c r="A5824" s="26">
        <v>52306817</v>
      </c>
      <c r="B5824" s="29" t="s">
        <v>8054</v>
      </c>
      <c r="C5824" s="29" t="s">
        <v>22446</v>
      </c>
      <c r="D5824" s="29" t="s">
        <v>35695</v>
      </c>
      <c r="E5824" s="29" t="s">
        <v>48403</v>
      </c>
      <c r="F5824" s="36" t="s">
        <v>54401</v>
      </c>
      <c r="G5824" s="39">
        <v>3673641.8</v>
      </c>
      <c r="H5824" s="42">
        <v>211</v>
      </c>
    </row>
    <row r="5825" spans="1:8" ht="15" customHeight="1">
      <c r="A5825" s="26">
        <v>52314936</v>
      </c>
      <c r="B5825" s="29" t="s">
        <v>8055</v>
      </c>
      <c r="C5825" s="29" t="s">
        <v>17204</v>
      </c>
      <c r="D5825" s="29" t="s">
        <v>30349</v>
      </c>
      <c r="E5825" s="29" t="s">
        <v>43926</v>
      </c>
      <c r="F5825" s="36" t="s">
        <v>54401</v>
      </c>
      <c r="G5825" s="39">
        <v>896507.18</v>
      </c>
      <c r="H5825" s="42">
        <v>211</v>
      </c>
    </row>
    <row r="5826" spans="1:8" ht="15" customHeight="1">
      <c r="A5826" s="26">
        <v>52319121</v>
      </c>
      <c r="B5826" s="29" t="s">
        <v>8056</v>
      </c>
      <c r="C5826" s="29" t="s">
        <v>17204</v>
      </c>
      <c r="D5826" s="29" t="s">
        <v>35696</v>
      </c>
      <c r="E5826" s="29" t="s">
        <v>43926</v>
      </c>
      <c r="F5826" s="36" t="s">
        <v>54401</v>
      </c>
      <c r="G5826" s="39">
        <v>387608.01</v>
      </c>
      <c r="H5826" s="42">
        <v>211</v>
      </c>
    </row>
    <row r="5827" spans="1:8" ht="15" customHeight="1">
      <c r="A5827" s="26">
        <v>52319459</v>
      </c>
      <c r="B5827" s="29" t="s">
        <v>8057</v>
      </c>
      <c r="C5827" s="29" t="s">
        <v>22447</v>
      </c>
      <c r="D5827" s="29" t="s">
        <v>35697</v>
      </c>
      <c r="E5827" s="29" t="s">
        <v>48404</v>
      </c>
      <c r="F5827" s="36" t="s">
        <v>54409</v>
      </c>
      <c r="G5827" s="39">
        <v>2277354.8199999998</v>
      </c>
      <c r="H5827" s="42">
        <v>211</v>
      </c>
    </row>
    <row r="5828" spans="1:8" ht="15" customHeight="1">
      <c r="A5828" s="26">
        <v>52327480</v>
      </c>
      <c r="B5828" s="29" t="s">
        <v>8058</v>
      </c>
      <c r="C5828" s="29" t="s">
        <v>22448</v>
      </c>
      <c r="D5828" s="29" t="s">
        <v>35698</v>
      </c>
      <c r="E5828" s="29" t="s">
        <v>47366</v>
      </c>
      <c r="F5828" s="36" t="s">
        <v>54401</v>
      </c>
      <c r="G5828" s="39">
        <v>2071079.21</v>
      </c>
      <c r="H5828" s="42">
        <v>211</v>
      </c>
    </row>
    <row r="5829" spans="1:8" ht="15" customHeight="1">
      <c r="A5829" s="26">
        <v>52327988</v>
      </c>
      <c r="B5829" s="29" t="s">
        <v>8059</v>
      </c>
      <c r="C5829" s="29" t="s">
        <v>20646</v>
      </c>
      <c r="D5829" s="29" t="s">
        <v>35699</v>
      </c>
      <c r="E5829" s="29" t="s">
        <v>48405</v>
      </c>
      <c r="F5829" s="36" t="s">
        <v>54401</v>
      </c>
      <c r="G5829" s="39">
        <v>148591.71</v>
      </c>
      <c r="H5829" s="42">
        <v>211</v>
      </c>
    </row>
    <row r="5830" spans="1:8" ht="15" customHeight="1">
      <c r="A5830" s="26">
        <v>52329916</v>
      </c>
      <c r="B5830" s="29" t="s">
        <v>8060</v>
      </c>
      <c r="C5830" s="29" t="s">
        <v>22449</v>
      </c>
      <c r="D5830" s="29" t="s">
        <v>35700</v>
      </c>
      <c r="E5830" s="29" t="s">
        <v>48406</v>
      </c>
      <c r="F5830" s="36" t="s">
        <v>54413</v>
      </c>
      <c r="G5830" s="39">
        <f>4815881.98-17008</f>
        <v>4798873.9800000004</v>
      </c>
      <c r="H5830" s="42">
        <v>211</v>
      </c>
    </row>
    <row r="5831" spans="1:8" ht="15" customHeight="1">
      <c r="A5831" s="26">
        <v>52331352</v>
      </c>
      <c r="B5831" s="29" t="s">
        <v>8061</v>
      </c>
      <c r="C5831" s="29" t="s">
        <v>17204</v>
      </c>
      <c r="D5831" s="29" t="s">
        <v>35701</v>
      </c>
      <c r="E5831" s="29" t="s">
        <v>43926</v>
      </c>
      <c r="F5831" s="36" t="s">
        <v>54401</v>
      </c>
      <c r="G5831" s="39">
        <v>24663.7</v>
      </c>
      <c r="H5831" s="42">
        <v>211</v>
      </c>
    </row>
    <row r="5832" spans="1:8" ht="15" customHeight="1">
      <c r="A5832" s="26">
        <v>52334620</v>
      </c>
      <c r="B5832" s="29" t="s">
        <v>8062</v>
      </c>
      <c r="C5832" s="29" t="s">
        <v>22450</v>
      </c>
      <c r="D5832" s="29" t="s">
        <v>35702</v>
      </c>
      <c r="E5832" s="29" t="s">
        <v>45106</v>
      </c>
      <c r="F5832" s="36" t="s">
        <v>54401</v>
      </c>
      <c r="G5832" s="39">
        <v>3310212.25</v>
      </c>
      <c r="H5832" s="42">
        <v>211</v>
      </c>
    </row>
    <row r="5833" spans="1:8" ht="15" customHeight="1">
      <c r="A5833" s="26">
        <v>52335900</v>
      </c>
      <c r="B5833" s="29" t="s">
        <v>8063</v>
      </c>
      <c r="C5833" s="29" t="s">
        <v>22451</v>
      </c>
      <c r="D5833" s="29" t="s">
        <v>35703</v>
      </c>
      <c r="E5833" s="29" t="s">
        <v>43926</v>
      </c>
      <c r="F5833" s="36" t="s">
        <v>54401</v>
      </c>
      <c r="G5833" s="39">
        <v>1492601.42</v>
      </c>
      <c r="H5833" s="42">
        <v>211</v>
      </c>
    </row>
    <row r="5834" spans="1:8" ht="15" customHeight="1">
      <c r="A5834" s="26">
        <v>52337351</v>
      </c>
      <c r="B5834" s="29" t="s">
        <v>8064</v>
      </c>
      <c r="C5834" s="29" t="s">
        <v>22452</v>
      </c>
      <c r="D5834" s="29" t="s">
        <v>35704</v>
      </c>
      <c r="E5834" s="29" t="s">
        <v>48407</v>
      </c>
      <c r="F5834" s="36" t="s">
        <v>54401</v>
      </c>
      <c r="G5834" s="39">
        <v>317042.62</v>
      </c>
      <c r="H5834" s="42">
        <v>211</v>
      </c>
    </row>
    <row r="5835" spans="1:8" ht="15" customHeight="1">
      <c r="A5835" s="26">
        <v>52339922</v>
      </c>
      <c r="B5835" s="29" t="s">
        <v>8065</v>
      </c>
      <c r="C5835" s="29" t="s">
        <v>22453</v>
      </c>
      <c r="D5835" s="29" t="s">
        <v>35705</v>
      </c>
      <c r="E5835" s="29" t="s">
        <v>44023</v>
      </c>
      <c r="F5835" s="36" t="s">
        <v>54401</v>
      </c>
      <c r="G5835" s="39">
        <v>353501.09</v>
      </c>
      <c r="H5835" s="42">
        <v>211</v>
      </c>
    </row>
    <row r="5836" spans="1:8" ht="15" customHeight="1">
      <c r="A5836" s="26">
        <v>52343596</v>
      </c>
      <c r="B5836" s="29" t="s">
        <v>8066</v>
      </c>
      <c r="C5836" s="29" t="s">
        <v>22454</v>
      </c>
      <c r="D5836" s="29" t="s">
        <v>35706</v>
      </c>
      <c r="E5836" s="29" t="s">
        <v>48408</v>
      </c>
      <c r="F5836" s="36" t="s">
        <v>54401</v>
      </c>
      <c r="G5836" s="39">
        <v>50611.6</v>
      </c>
      <c r="H5836" s="42">
        <v>211</v>
      </c>
    </row>
    <row r="5837" spans="1:8" ht="15" customHeight="1">
      <c r="A5837" s="26">
        <v>52346623</v>
      </c>
      <c r="B5837" s="29" t="s">
        <v>8067</v>
      </c>
      <c r="C5837" s="29" t="s">
        <v>22455</v>
      </c>
      <c r="D5837" s="29" t="s">
        <v>35707</v>
      </c>
      <c r="E5837" s="29" t="s">
        <v>47110</v>
      </c>
      <c r="F5837" s="36" t="s">
        <v>54401</v>
      </c>
      <c r="G5837" s="39">
        <v>642583.11</v>
      </c>
      <c r="H5837" s="42">
        <v>211</v>
      </c>
    </row>
    <row r="5838" spans="1:8" ht="15" customHeight="1">
      <c r="A5838" s="26">
        <v>52347925</v>
      </c>
      <c r="B5838" s="29" t="s">
        <v>8068</v>
      </c>
      <c r="C5838" s="29" t="s">
        <v>22456</v>
      </c>
      <c r="D5838" s="29" t="s">
        <v>35708</v>
      </c>
      <c r="E5838" s="29" t="s">
        <v>48409</v>
      </c>
      <c r="F5838" s="36" t="s">
        <v>54401</v>
      </c>
      <c r="G5838" s="39">
        <v>522440.6</v>
      </c>
      <c r="H5838" s="42">
        <v>211</v>
      </c>
    </row>
    <row r="5839" spans="1:8" ht="15" customHeight="1">
      <c r="A5839" s="26">
        <v>52350184</v>
      </c>
      <c r="B5839" s="29" t="s">
        <v>8069</v>
      </c>
      <c r="C5839" s="29" t="s">
        <v>17204</v>
      </c>
      <c r="D5839" s="29" t="s">
        <v>35709</v>
      </c>
      <c r="E5839" s="29" t="s">
        <v>43926</v>
      </c>
      <c r="F5839" s="36" t="s">
        <v>54401</v>
      </c>
      <c r="G5839" s="39">
        <v>272226.68</v>
      </c>
      <c r="H5839" s="42">
        <v>211</v>
      </c>
    </row>
    <row r="5840" spans="1:8" ht="15" customHeight="1">
      <c r="A5840" s="26">
        <v>52351410</v>
      </c>
      <c r="B5840" s="29" t="s">
        <v>8070</v>
      </c>
      <c r="C5840" s="26" t="s">
        <v>22457</v>
      </c>
      <c r="D5840" s="26" t="s">
        <v>35710</v>
      </c>
      <c r="E5840" s="26" t="s">
        <v>48410</v>
      </c>
      <c r="F5840" s="37" t="s">
        <v>54401</v>
      </c>
      <c r="G5840" s="39">
        <v>2153058.2000000002</v>
      </c>
      <c r="H5840" s="42">
        <v>211</v>
      </c>
    </row>
    <row r="5841" spans="1:8" ht="15" customHeight="1">
      <c r="A5841" s="26">
        <v>52384526</v>
      </c>
      <c r="B5841" s="29" t="s">
        <v>8071</v>
      </c>
      <c r="C5841" s="29" t="s">
        <v>22458</v>
      </c>
      <c r="D5841" s="29" t="s">
        <v>35711</v>
      </c>
      <c r="E5841" s="29" t="s">
        <v>48411</v>
      </c>
      <c r="F5841" s="36" t="s">
        <v>54401</v>
      </c>
      <c r="G5841" s="39">
        <v>251317.63</v>
      </c>
      <c r="H5841" s="42">
        <v>211</v>
      </c>
    </row>
    <row r="5842" spans="1:8" ht="15" customHeight="1">
      <c r="A5842" s="26">
        <v>52384599</v>
      </c>
      <c r="B5842" s="29" t="s">
        <v>8072</v>
      </c>
      <c r="C5842" s="29" t="s">
        <v>22459</v>
      </c>
      <c r="D5842" s="29" t="s">
        <v>35712</v>
      </c>
      <c r="E5842" s="29" t="s">
        <v>48412</v>
      </c>
      <c r="F5842" s="36" t="s">
        <v>54401</v>
      </c>
      <c r="G5842" s="39">
        <v>4790756.55</v>
      </c>
      <c r="H5842" s="42">
        <v>211</v>
      </c>
    </row>
    <row r="5843" spans="1:8" ht="15" customHeight="1">
      <c r="A5843" s="26">
        <v>52392638</v>
      </c>
      <c r="B5843" s="29" t="s">
        <v>8073</v>
      </c>
      <c r="C5843" s="29" t="s">
        <v>22460</v>
      </c>
      <c r="D5843" s="29" t="s">
        <v>35713</v>
      </c>
      <c r="E5843" s="29" t="s">
        <v>43926</v>
      </c>
      <c r="F5843" s="36" t="s">
        <v>54401</v>
      </c>
      <c r="G5843" s="39">
        <v>5112737.95</v>
      </c>
      <c r="H5843" s="42">
        <v>211</v>
      </c>
    </row>
    <row r="5844" spans="1:8" ht="15" customHeight="1">
      <c r="A5844" s="26">
        <v>52392887</v>
      </c>
      <c r="B5844" s="29" t="s">
        <v>8074</v>
      </c>
      <c r="C5844" s="29" t="s">
        <v>22461</v>
      </c>
      <c r="D5844" s="29" t="s">
        <v>35714</v>
      </c>
      <c r="E5844" s="29" t="s">
        <v>44973</v>
      </c>
      <c r="F5844" s="36" t="s">
        <v>54401</v>
      </c>
      <c r="G5844" s="39">
        <v>1633027.81</v>
      </c>
      <c r="H5844" s="42">
        <v>211</v>
      </c>
    </row>
    <row r="5845" spans="1:8" ht="15" customHeight="1">
      <c r="A5845" s="26">
        <v>52397174</v>
      </c>
      <c r="B5845" s="29" t="s">
        <v>8075</v>
      </c>
      <c r="C5845" s="29" t="s">
        <v>22462</v>
      </c>
      <c r="D5845" s="29" t="s">
        <v>35715</v>
      </c>
      <c r="E5845" s="29" t="s">
        <v>48413</v>
      </c>
      <c r="F5845" s="36" t="s">
        <v>54401</v>
      </c>
      <c r="G5845" s="39">
        <v>1465855.23</v>
      </c>
      <c r="H5845" s="42">
        <v>211</v>
      </c>
    </row>
    <row r="5846" spans="1:8" ht="15" customHeight="1">
      <c r="A5846" s="26">
        <v>52411896</v>
      </c>
      <c r="B5846" s="29" t="s">
        <v>8076</v>
      </c>
      <c r="C5846" s="29" t="s">
        <v>22463</v>
      </c>
      <c r="D5846" s="29" t="s">
        <v>35716</v>
      </c>
      <c r="E5846" s="29" t="s">
        <v>44882</v>
      </c>
      <c r="F5846" s="36" t="s">
        <v>54401</v>
      </c>
      <c r="G5846" s="39">
        <v>2666615.59</v>
      </c>
      <c r="H5846" s="42">
        <v>211</v>
      </c>
    </row>
    <row r="5847" spans="1:8" ht="15" customHeight="1">
      <c r="A5847" s="26">
        <v>52420457</v>
      </c>
      <c r="B5847" s="29" t="s">
        <v>8077</v>
      </c>
      <c r="C5847" s="29" t="s">
        <v>22464</v>
      </c>
      <c r="D5847" s="29" t="s">
        <v>35717</v>
      </c>
      <c r="E5847" s="29" t="s">
        <v>48414</v>
      </c>
      <c r="F5847" s="36" t="s">
        <v>54401</v>
      </c>
      <c r="G5847" s="39">
        <v>3779114.28</v>
      </c>
      <c r="H5847" s="42">
        <v>211</v>
      </c>
    </row>
    <row r="5848" spans="1:8" ht="15" customHeight="1">
      <c r="A5848" s="26">
        <v>52421014</v>
      </c>
      <c r="B5848" s="29" t="s">
        <v>8078</v>
      </c>
      <c r="C5848" s="29" t="s">
        <v>17204</v>
      </c>
      <c r="D5848" s="29" t="s">
        <v>35718</v>
      </c>
      <c r="E5848" s="29" t="s">
        <v>43926</v>
      </c>
      <c r="F5848" s="36" t="s">
        <v>54401</v>
      </c>
      <c r="G5848" s="39">
        <v>284590.17</v>
      </c>
      <c r="H5848" s="42">
        <v>211</v>
      </c>
    </row>
    <row r="5849" spans="1:8" ht="15" customHeight="1">
      <c r="A5849" s="26">
        <v>52421158</v>
      </c>
      <c r="B5849" s="29" t="s">
        <v>8079</v>
      </c>
      <c r="C5849" s="29" t="s">
        <v>22465</v>
      </c>
      <c r="D5849" s="29" t="s">
        <v>35719</v>
      </c>
      <c r="E5849" s="29" t="s">
        <v>48415</v>
      </c>
      <c r="F5849" s="36" t="s">
        <v>54401</v>
      </c>
      <c r="G5849" s="39">
        <v>910069.7</v>
      </c>
      <c r="H5849" s="42">
        <v>211</v>
      </c>
    </row>
    <row r="5850" spans="1:8" ht="15" customHeight="1">
      <c r="A5850" s="26">
        <v>52421979</v>
      </c>
      <c r="B5850" s="29" t="s">
        <v>8080</v>
      </c>
      <c r="C5850" s="29" t="s">
        <v>22466</v>
      </c>
      <c r="D5850" s="29" t="s">
        <v>35720</v>
      </c>
      <c r="E5850" s="29" t="s">
        <v>48416</v>
      </c>
      <c r="F5850" s="36" t="s">
        <v>54401</v>
      </c>
      <c r="G5850" s="39">
        <f>1572814.63+370139</f>
        <v>1942953.63</v>
      </c>
      <c r="H5850" s="42">
        <v>211</v>
      </c>
    </row>
    <row r="5851" spans="1:8" ht="15" customHeight="1">
      <c r="A5851" s="26">
        <v>52424731</v>
      </c>
      <c r="B5851" s="29" t="s">
        <v>8081</v>
      </c>
      <c r="C5851" s="29" t="s">
        <v>22467</v>
      </c>
      <c r="D5851" s="29" t="s">
        <v>35721</v>
      </c>
      <c r="E5851" s="29" t="s">
        <v>48417</v>
      </c>
      <c r="F5851" s="36" t="s">
        <v>54401</v>
      </c>
      <c r="G5851" s="39">
        <f>1048494.93+851870</f>
        <v>1900364.9300000002</v>
      </c>
      <c r="H5851" s="42">
        <v>211</v>
      </c>
    </row>
    <row r="5852" spans="1:8" ht="15" customHeight="1">
      <c r="A5852" s="26">
        <v>52425535</v>
      </c>
      <c r="B5852" s="29" t="s">
        <v>8082</v>
      </c>
      <c r="C5852" s="29" t="s">
        <v>22468</v>
      </c>
      <c r="D5852" s="29" t="s">
        <v>35722</v>
      </c>
      <c r="E5852" s="29" t="s">
        <v>48418</v>
      </c>
      <c r="F5852" s="36" t="s">
        <v>54401</v>
      </c>
      <c r="G5852" s="39">
        <f>5451468.08+58451+143364</f>
        <v>5653283.0800000001</v>
      </c>
      <c r="H5852" s="42">
        <v>211</v>
      </c>
    </row>
    <row r="5853" spans="1:8" ht="15" customHeight="1">
      <c r="A5853" s="26">
        <v>52430462</v>
      </c>
      <c r="B5853" s="29" t="s">
        <v>8083</v>
      </c>
      <c r="C5853" s="29" t="s">
        <v>22469</v>
      </c>
      <c r="D5853" s="29" t="s">
        <v>35723</v>
      </c>
      <c r="E5853" s="29" t="s">
        <v>48419</v>
      </c>
      <c r="F5853" s="36" t="s">
        <v>54401</v>
      </c>
      <c r="G5853" s="39">
        <v>69543.03</v>
      </c>
      <c r="H5853" s="42">
        <v>211</v>
      </c>
    </row>
    <row r="5854" spans="1:8" ht="15" customHeight="1">
      <c r="A5854" s="26">
        <v>52431376</v>
      </c>
      <c r="B5854" s="29" t="s">
        <v>8084</v>
      </c>
      <c r="C5854" s="29" t="s">
        <v>22470</v>
      </c>
      <c r="D5854" s="29" t="s">
        <v>35724</v>
      </c>
      <c r="E5854" s="29" t="s">
        <v>48420</v>
      </c>
      <c r="F5854" s="36" t="s">
        <v>54429</v>
      </c>
      <c r="G5854" s="39">
        <f>38690420.56-207752</f>
        <v>38482668.560000002</v>
      </c>
      <c r="H5854" s="42">
        <v>211</v>
      </c>
    </row>
    <row r="5855" spans="1:8" ht="15" customHeight="1">
      <c r="A5855" s="26">
        <v>52446857</v>
      </c>
      <c r="B5855" s="29" t="s">
        <v>8085</v>
      </c>
      <c r="C5855" s="29" t="s">
        <v>22471</v>
      </c>
      <c r="D5855" s="29" t="s">
        <v>35725</v>
      </c>
      <c r="E5855" s="29" t="s">
        <v>43949</v>
      </c>
      <c r="F5855" s="36" t="s">
        <v>54401</v>
      </c>
      <c r="G5855" s="39">
        <f>1672788.72+876317+29369</f>
        <v>2578474.7199999997</v>
      </c>
      <c r="H5855" s="42">
        <v>211</v>
      </c>
    </row>
    <row r="5856" spans="1:8" ht="15" customHeight="1">
      <c r="A5856" s="26">
        <v>52456112</v>
      </c>
      <c r="B5856" s="29" t="s">
        <v>8086</v>
      </c>
      <c r="C5856" s="29" t="s">
        <v>20582</v>
      </c>
      <c r="D5856" s="29" t="s">
        <v>33797</v>
      </c>
      <c r="E5856" s="29" t="s">
        <v>48421</v>
      </c>
      <c r="F5856" s="36" t="s">
        <v>54420</v>
      </c>
      <c r="G5856" s="39">
        <f>2430764.1+635117</f>
        <v>3065881.1</v>
      </c>
      <c r="H5856" s="42">
        <v>211</v>
      </c>
    </row>
    <row r="5857" spans="1:8" ht="15" customHeight="1">
      <c r="A5857" s="26">
        <v>52457200</v>
      </c>
      <c r="B5857" s="29" t="s">
        <v>8087</v>
      </c>
      <c r="C5857" s="29" t="s">
        <v>22472</v>
      </c>
      <c r="D5857" s="29" t="s">
        <v>35726</v>
      </c>
      <c r="E5857" s="29" t="s">
        <v>48422</v>
      </c>
      <c r="F5857" s="36" t="s">
        <v>54401</v>
      </c>
      <c r="G5857" s="39">
        <v>358674.12</v>
      </c>
      <c r="H5857" s="42">
        <v>211</v>
      </c>
    </row>
    <row r="5858" spans="1:8" ht="15" customHeight="1">
      <c r="A5858" s="26">
        <v>52460957</v>
      </c>
      <c r="B5858" s="29" t="s">
        <v>8088</v>
      </c>
      <c r="C5858" s="26" t="s">
        <v>22473</v>
      </c>
      <c r="D5858" s="26" t="s">
        <v>35727</v>
      </c>
      <c r="E5858" s="26" t="s">
        <v>48423</v>
      </c>
      <c r="F5858" s="37" t="s">
        <v>54401</v>
      </c>
      <c r="G5858" s="39">
        <v>470152.78</v>
      </c>
      <c r="H5858" s="42">
        <v>211</v>
      </c>
    </row>
    <row r="5859" spans="1:8" ht="15" customHeight="1">
      <c r="A5859" s="26">
        <v>52463864</v>
      </c>
      <c r="B5859" s="29" t="s">
        <v>8089</v>
      </c>
      <c r="C5859" s="29" t="s">
        <v>22474</v>
      </c>
      <c r="D5859" s="29" t="s">
        <v>35728</v>
      </c>
      <c r="E5859" s="29" t="s">
        <v>48424</v>
      </c>
      <c r="F5859" s="36" t="s">
        <v>54401</v>
      </c>
      <c r="G5859" s="39">
        <v>333878.90000000002</v>
      </c>
      <c r="H5859" s="42">
        <v>211</v>
      </c>
    </row>
    <row r="5860" spans="1:8" ht="15" customHeight="1">
      <c r="A5860" s="26">
        <v>52468150</v>
      </c>
      <c r="B5860" s="29" t="s">
        <v>8090</v>
      </c>
      <c r="C5860" s="29" t="s">
        <v>22475</v>
      </c>
      <c r="D5860" s="29" t="s">
        <v>35729</v>
      </c>
      <c r="E5860" s="29" t="s">
        <v>43926</v>
      </c>
      <c r="F5860" s="36" t="s">
        <v>54401</v>
      </c>
      <c r="G5860" s="39">
        <v>80476.19</v>
      </c>
      <c r="H5860" s="42">
        <v>211</v>
      </c>
    </row>
    <row r="5861" spans="1:8" ht="15" customHeight="1">
      <c r="A5861" s="26">
        <v>52471333</v>
      </c>
      <c r="B5861" s="29" t="s">
        <v>8091</v>
      </c>
      <c r="C5861" s="29" t="s">
        <v>22476</v>
      </c>
      <c r="D5861" s="29" t="s">
        <v>35730</v>
      </c>
      <c r="E5861" s="29" t="s">
        <v>48425</v>
      </c>
      <c r="F5861" s="36" t="s">
        <v>54401</v>
      </c>
      <c r="G5861" s="39">
        <v>12605.04</v>
      </c>
      <c r="H5861" s="42">
        <v>211</v>
      </c>
    </row>
    <row r="5862" spans="1:8" ht="15" customHeight="1">
      <c r="A5862" s="26">
        <v>52484184</v>
      </c>
      <c r="B5862" s="29" t="s">
        <v>8092</v>
      </c>
      <c r="C5862" s="29" t="s">
        <v>22477</v>
      </c>
      <c r="D5862" s="29" t="s">
        <v>30511</v>
      </c>
      <c r="E5862" s="29" t="s">
        <v>48426</v>
      </c>
      <c r="F5862" s="36" t="s">
        <v>54401</v>
      </c>
      <c r="G5862" s="39">
        <f>420244.54+1671765+219783</f>
        <v>2311792.54</v>
      </c>
      <c r="H5862" s="42">
        <v>211</v>
      </c>
    </row>
    <row r="5863" spans="1:8" ht="15" customHeight="1">
      <c r="A5863" s="26">
        <v>52487534</v>
      </c>
      <c r="B5863" s="29" t="s">
        <v>8093</v>
      </c>
      <c r="C5863" s="29" t="s">
        <v>22478</v>
      </c>
      <c r="D5863" s="29" t="s">
        <v>35731</v>
      </c>
      <c r="E5863" s="29" t="s">
        <v>48427</v>
      </c>
      <c r="F5863" s="36" t="s">
        <v>54402</v>
      </c>
      <c r="G5863" s="39">
        <v>947823.95</v>
      </c>
      <c r="H5863" s="42">
        <v>211</v>
      </c>
    </row>
    <row r="5864" spans="1:8" ht="15" customHeight="1">
      <c r="A5864" s="26">
        <v>52488622</v>
      </c>
      <c r="B5864" s="29" t="s">
        <v>8094</v>
      </c>
      <c r="C5864" s="29" t="s">
        <v>22479</v>
      </c>
      <c r="D5864" s="29" t="s">
        <v>35732</v>
      </c>
      <c r="E5864" s="29" t="s">
        <v>48428</v>
      </c>
      <c r="F5864" s="36" t="s">
        <v>54401</v>
      </c>
      <c r="G5864" s="39">
        <v>451727.01</v>
      </c>
      <c r="H5864" s="42">
        <v>211</v>
      </c>
    </row>
    <row r="5865" spans="1:8" ht="15" customHeight="1">
      <c r="A5865" s="26">
        <v>52491439</v>
      </c>
      <c r="B5865" s="29" t="s">
        <v>8095</v>
      </c>
      <c r="C5865" s="29" t="s">
        <v>22480</v>
      </c>
      <c r="D5865" s="29" t="s">
        <v>35733</v>
      </c>
      <c r="E5865" s="29" t="s">
        <v>48429</v>
      </c>
      <c r="F5865" s="36" t="s">
        <v>54401</v>
      </c>
      <c r="G5865" s="39">
        <f>187908.12+6016719-60023</f>
        <v>6144604.1200000001</v>
      </c>
      <c r="H5865" s="42">
        <v>211</v>
      </c>
    </row>
    <row r="5866" spans="1:8" ht="15" customHeight="1">
      <c r="A5866" s="26">
        <v>52495766</v>
      </c>
      <c r="B5866" s="29" t="s">
        <v>8096</v>
      </c>
      <c r="C5866" s="29" t="s">
        <v>22481</v>
      </c>
      <c r="D5866" s="29" t="s">
        <v>35734</v>
      </c>
      <c r="E5866" s="29" t="s">
        <v>48430</v>
      </c>
      <c r="F5866" s="36" t="s">
        <v>54401</v>
      </c>
      <c r="G5866" s="39">
        <v>28905.72</v>
      </c>
      <c r="H5866" s="42">
        <v>211</v>
      </c>
    </row>
    <row r="5867" spans="1:8" ht="15" customHeight="1">
      <c r="A5867" s="26">
        <v>52503311</v>
      </c>
      <c r="B5867" s="29" t="s">
        <v>8097</v>
      </c>
      <c r="C5867" s="26" t="s">
        <v>17204</v>
      </c>
      <c r="D5867" s="26" t="s">
        <v>30349</v>
      </c>
      <c r="E5867" s="26" t="s">
        <v>43926</v>
      </c>
      <c r="F5867" s="37" t="s">
        <v>54401</v>
      </c>
      <c r="G5867" s="39">
        <v>12300</v>
      </c>
      <c r="H5867" s="42">
        <v>211</v>
      </c>
    </row>
    <row r="5868" spans="1:8" ht="15" customHeight="1">
      <c r="A5868" s="26">
        <v>52505309</v>
      </c>
      <c r="B5868" s="29" t="s">
        <v>8098</v>
      </c>
      <c r="C5868" s="29" t="s">
        <v>22482</v>
      </c>
      <c r="D5868" s="29" t="s">
        <v>35735</v>
      </c>
      <c r="E5868" s="29" t="s">
        <v>48431</v>
      </c>
      <c r="F5868" s="36" t="s">
        <v>54401</v>
      </c>
      <c r="G5868" s="39">
        <f>1067105.57+262846</f>
        <v>1329951.57</v>
      </c>
      <c r="H5868" s="42">
        <v>211</v>
      </c>
    </row>
    <row r="5869" spans="1:8" ht="15" customHeight="1">
      <c r="A5869" s="26">
        <v>52516457</v>
      </c>
      <c r="B5869" s="29" t="s">
        <v>8099</v>
      </c>
      <c r="C5869" s="29" t="s">
        <v>22483</v>
      </c>
      <c r="D5869" s="29" t="s">
        <v>35736</v>
      </c>
      <c r="E5869" s="29" t="s">
        <v>48432</v>
      </c>
      <c r="F5869" s="36" t="s">
        <v>54412</v>
      </c>
      <c r="G5869" s="39">
        <v>719846.73</v>
      </c>
      <c r="H5869" s="42">
        <v>211</v>
      </c>
    </row>
    <row r="5870" spans="1:8" ht="15" customHeight="1">
      <c r="A5870" s="26">
        <v>52519322</v>
      </c>
      <c r="B5870" s="29" t="s">
        <v>8100</v>
      </c>
      <c r="C5870" s="29" t="s">
        <v>22484</v>
      </c>
      <c r="D5870" s="29" t="s">
        <v>35737</v>
      </c>
      <c r="E5870" s="29" t="s">
        <v>48433</v>
      </c>
      <c r="F5870" s="36" t="s">
        <v>54401</v>
      </c>
      <c r="G5870" s="39">
        <f>2355965.7+37200</f>
        <v>2393165.7000000002</v>
      </c>
      <c r="H5870" s="42">
        <v>211</v>
      </c>
    </row>
    <row r="5871" spans="1:8" ht="15" customHeight="1">
      <c r="A5871" s="26">
        <v>52521839</v>
      </c>
      <c r="B5871" s="29" t="s">
        <v>8101</v>
      </c>
      <c r="C5871" s="29" t="s">
        <v>22485</v>
      </c>
      <c r="D5871" s="29" t="s">
        <v>35738</v>
      </c>
      <c r="E5871" s="29" t="s">
        <v>48434</v>
      </c>
      <c r="F5871" s="36" t="s">
        <v>54401</v>
      </c>
      <c r="G5871" s="39">
        <v>27250.13</v>
      </c>
      <c r="H5871" s="42">
        <v>211</v>
      </c>
    </row>
    <row r="5872" spans="1:8" ht="15" customHeight="1">
      <c r="A5872" s="26">
        <v>52526368</v>
      </c>
      <c r="B5872" s="29" t="s">
        <v>8102</v>
      </c>
      <c r="C5872" s="29" t="s">
        <v>22486</v>
      </c>
      <c r="D5872" s="29" t="s">
        <v>35739</v>
      </c>
      <c r="E5872" s="29" t="s">
        <v>48435</v>
      </c>
      <c r="F5872" s="36" t="s">
        <v>54401</v>
      </c>
      <c r="G5872" s="39">
        <f>3567289.73+1236148</f>
        <v>4803437.7300000004</v>
      </c>
      <c r="H5872" s="42">
        <v>211</v>
      </c>
    </row>
    <row r="5873" spans="1:8" ht="15" customHeight="1">
      <c r="A5873" s="26">
        <v>52527339</v>
      </c>
      <c r="B5873" s="29" t="s">
        <v>8103</v>
      </c>
      <c r="C5873" s="29" t="s">
        <v>17204</v>
      </c>
      <c r="D5873" s="29" t="s">
        <v>30349</v>
      </c>
      <c r="E5873" s="29" t="s">
        <v>43926</v>
      </c>
      <c r="F5873" s="36" t="s">
        <v>54401</v>
      </c>
      <c r="G5873" s="39">
        <v>99021.08</v>
      </c>
      <c r="H5873" s="42">
        <v>211</v>
      </c>
    </row>
    <row r="5874" spans="1:8" ht="15" customHeight="1">
      <c r="A5874" s="26">
        <v>52528475</v>
      </c>
      <c r="B5874" s="29" t="s">
        <v>8104</v>
      </c>
      <c r="C5874" s="29" t="s">
        <v>22487</v>
      </c>
      <c r="D5874" s="29" t="s">
        <v>35740</v>
      </c>
      <c r="E5874" s="29" t="s">
        <v>48436</v>
      </c>
      <c r="F5874" s="36" t="s">
        <v>54401</v>
      </c>
      <c r="G5874" s="39">
        <f>2136467.61+42515</f>
        <v>2178982.61</v>
      </c>
      <c r="H5874" s="42">
        <v>211</v>
      </c>
    </row>
    <row r="5875" spans="1:8" ht="15" customHeight="1">
      <c r="A5875" s="26">
        <v>52531515</v>
      </c>
      <c r="B5875" s="29" t="s">
        <v>8105</v>
      </c>
      <c r="C5875" s="29" t="s">
        <v>22488</v>
      </c>
      <c r="D5875" s="29" t="s">
        <v>35741</v>
      </c>
      <c r="E5875" s="29" t="s">
        <v>48437</v>
      </c>
      <c r="F5875" s="36" t="s">
        <v>54401</v>
      </c>
      <c r="G5875" s="39">
        <v>1967958.77</v>
      </c>
      <c r="H5875" s="42">
        <v>211</v>
      </c>
    </row>
    <row r="5876" spans="1:8" ht="15" customHeight="1">
      <c r="A5876" s="26">
        <v>52532063</v>
      </c>
      <c r="B5876" s="29" t="s">
        <v>8106</v>
      </c>
      <c r="C5876" s="29" t="s">
        <v>22489</v>
      </c>
      <c r="D5876" s="29" t="s">
        <v>35742</v>
      </c>
      <c r="E5876" s="29" t="s">
        <v>48438</v>
      </c>
      <c r="F5876" s="36" t="s">
        <v>54401</v>
      </c>
      <c r="G5876" s="39">
        <v>286128.83</v>
      </c>
      <c r="H5876" s="42">
        <v>211</v>
      </c>
    </row>
    <row r="5877" spans="1:8" ht="15" customHeight="1">
      <c r="A5877" s="26">
        <v>52538160</v>
      </c>
      <c r="B5877" s="29" t="s">
        <v>8107</v>
      </c>
      <c r="C5877" s="29" t="s">
        <v>17204</v>
      </c>
      <c r="D5877" s="29" t="s">
        <v>35743</v>
      </c>
      <c r="E5877" s="29" t="s">
        <v>43926</v>
      </c>
      <c r="F5877" s="36" t="s">
        <v>54401</v>
      </c>
      <c r="G5877" s="39">
        <v>44556.43</v>
      </c>
      <c r="H5877" s="42">
        <v>211</v>
      </c>
    </row>
    <row r="5878" spans="1:8" ht="15" customHeight="1">
      <c r="A5878" s="26">
        <v>52538561</v>
      </c>
      <c r="B5878" s="29" t="s">
        <v>8108</v>
      </c>
      <c r="C5878" s="29" t="s">
        <v>22490</v>
      </c>
      <c r="D5878" s="29" t="s">
        <v>35744</v>
      </c>
      <c r="E5878" s="29" t="s">
        <v>48439</v>
      </c>
      <c r="F5878" s="36" t="s">
        <v>54401</v>
      </c>
      <c r="G5878" s="39">
        <v>3240756.21</v>
      </c>
      <c r="H5878" s="42">
        <v>211</v>
      </c>
    </row>
    <row r="5879" spans="1:8" ht="15" customHeight="1">
      <c r="A5879" s="26">
        <v>52552955</v>
      </c>
      <c r="B5879" s="29" t="s">
        <v>8109</v>
      </c>
      <c r="C5879" s="29" t="s">
        <v>22491</v>
      </c>
      <c r="D5879" s="29" t="s">
        <v>35745</v>
      </c>
      <c r="E5879" s="29" t="s">
        <v>48440</v>
      </c>
      <c r="F5879" s="36" t="s">
        <v>54401</v>
      </c>
      <c r="G5879" s="39">
        <v>596241.96</v>
      </c>
      <c r="H5879" s="42">
        <v>211</v>
      </c>
    </row>
    <row r="5880" spans="1:8" ht="15" customHeight="1">
      <c r="A5880" s="26">
        <v>52588176</v>
      </c>
      <c r="B5880" s="29" t="s">
        <v>8110</v>
      </c>
      <c r="C5880" s="29" t="s">
        <v>22492</v>
      </c>
      <c r="D5880" s="29" t="s">
        <v>35746</v>
      </c>
      <c r="E5880" s="29" t="s">
        <v>48441</v>
      </c>
      <c r="F5880" s="36" t="s">
        <v>54401</v>
      </c>
      <c r="G5880" s="39">
        <f>1958261.56-63000</f>
        <v>1895261.56</v>
      </c>
      <c r="H5880" s="42">
        <v>211</v>
      </c>
    </row>
    <row r="5881" spans="1:8" ht="15" customHeight="1">
      <c r="A5881" s="26">
        <v>52600715</v>
      </c>
      <c r="B5881" s="29" t="s">
        <v>8111</v>
      </c>
      <c r="C5881" s="29" t="s">
        <v>22493</v>
      </c>
      <c r="D5881" s="29" t="s">
        <v>35747</v>
      </c>
      <c r="E5881" s="29" t="s">
        <v>48442</v>
      </c>
      <c r="F5881" s="36" t="s">
        <v>54401</v>
      </c>
      <c r="G5881" s="39">
        <v>533380.79</v>
      </c>
      <c r="H5881" s="42">
        <v>211</v>
      </c>
    </row>
    <row r="5882" spans="1:8" ht="15" customHeight="1">
      <c r="A5882" s="26">
        <v>52603648</v>
      </c>
      <c r="B5882" s="29" t="s">
        <v>8112</v>
      </c>
      <c r="C5882" s="29" t="s">
        <v>22494</v>
      </c>
      <c r="D5882" s="29" t="s">
        <v>35748</v>
      </c>
      <c r="E5882" s="29" t="s">
        <v>48443</v>
      </c>
      <c r="F5882" s="36" t="s">
        <v>54401</v>
      </c>
      <c r="G5882" s="39">
        <v>34449.1</v>
      </c>
      <c r="H5882" s="42">
        <v>211</v>
      </c>
    </row>
    <row r="5883" spans="1:8" ht="15" customHeight="1">
      <c r="A5883" s="26">
        <v>52619435</v>
      </c>
      <c r="B5883" s="29" t="s">
        <v>8113</v>
      </c>
      <c r="C5883" s="29" t="s">
        <v>22495</v>
      </c>
      <c r="D5883" s="29" t="s">
        <v>35749</v>
      </c>
      <c r="E5883" s="29" t="s">
        <v>48444</v>
      </c>
      <c r="F5883" s="36" t="s">
        <v>54401</v>
      </c>
      <c r="G5883" s="39">
        <f>1152366.9+511503</f>
        <v>1663869.9</v>
      </c>
      <c r="H5883" s="42">
        <v>211</v>
      </c>
    </row>
    <row r="5884" spans="1:8" ht="15" customHeight="1">
      <c r="A5884" s="26">
        <v>52645848</v>
      </c>
      <c r="B5884" s="29" t="s">
        <v>8114</v>
      </c>
      <c r="C5884" s="29" t="s">
        <v>22496</v>
      </c>
      <c r="D5884" s="29" t="s">
        <v>35750</v>
      </c>
      <c r="E5884" s="29" t="s">
        <v>48445</v>
      </c>
      <c r="F5884" s="36" t="s">
        <v>54401</v>
      </c>
      <c r="G5884" s="39">
        <v>40514.239999999998</v>
      </c>
      <c r="H5884" s="42">
        <v>211</v>
      </c>
    </row>
    <row r="5885" spans="1:8" ht="15" customHeight="1">
      <c r="A5885" s="26">
        <v>52646306</v>
      </c>
      <c r="B5885" s="29" t="s">
        <v>8115</v>
      </c>
      <c r="C5885" s="29" t="s">
        <v>22497</v>
      </c>
      <c r="D5885" s="29" t="s">
        <v>35751</v>
      </c>
      <c r="E5885" s="29" t="s">
        <v>48446</v>
      </c>
      <c r="F5885" s="36" t="s">
        <v>54407</v>
      </c>
      <c r="G5885" s="39">
        <f>29969783.44-207542</f>
        <v>29762241.440000001</v>
      </c>
      <c r="H5885" s="42">
        <v>211</v>
      </c>
    </row>
    <row r="5886" spans="1:8" ht="15" customHeight="1">
      <c r="A5886" s="26">
        <v>52655503</v>
      </c>
      <c r="B5886" s="29" t="s">
        <v>8116</v>
      </c>
      <c r="C5886" s="29" t="s">
        <v>22498</v>
      </c>
      <c r="D5886" s="29" t="s">
        <v>35752</v>
      </c>
      <c r="E5886" s="29" t="s">
        <v>48447</v>
      </c>
      <c r="F5886" s="36" t="s">
        <v>54401</v>
      </c>
      <c r="G5886" s="39">
        <v>29403</v>
      </c>
      <c r="H5886" s="42">
        <v>211</v>
      </c>
    </row>
    <row r="5887" spans="1:8" ht="15" customHeight="1">
      <c r="A5887" s="26">
        <v>52655951</v>
      </c>
      <c r="B5887" s="29" t="s">
        <v>8117</v>
      </c>
      <c r="C5887" s="29" t="s">
        <v>17204</v>
      </c>
      <c r="D5887" s="29" t="s">
        <v>35753</v>
      </c>
      <c r="E5887" s="29" t="s">
        <v>43926</v>
      </c>
      <c r="F5887" s="36" t="s">
        <v>54401</v>
      </c>
      <c r="G5887" s="39">
        <v>863012.98</v>
      </c>
      <c r="H5887" s="42">
        <v>211</v>
      </c>
    </row>
    <row r="5888" spans="1:8" ht="15" customHeight="1">
      <c r="A5888" s="26">
        <v>52699453</v>
      </c>
      <c r="B5888" s="29" t="s">
        <v>8118</v>
      </c>
      <c r="C5888" s="29" t="s">
        <v>17204</v>
      </c>
      <c r="D5888" s="29" t="s">
        <v>30349</v>
      </c>
      <c r="E5888" s="29" t="s">
        <v>43926</v>
      </c>
      <c r="F5888" s="36" t="s">
        <v>54401</v>
      </c>
      <c r="G5888" s="39">
        <v>102107.5</v>
      </c>
      <c r="H5888" s="42">
        <v>211</v>
      </c>
    </row>
    <row r="5889" spans="1:8" ht="15" customHeight="1">
      <c r="A5889" s="26">
        <v>52715199</v>
      </c>
      <c r="B5889" s="29" t="s">
        <v>8119</v>
      </c>
      <c r="C5889" s="29" t="s">
        <v>22499</v>
      </c>
      <c r="D5889" s="29" t="s">
        <v>35754</v>
      </c>
      <c r="E5889" s="29" t="s">
        <v>45603</v>
      </c>
      <c r="F5889" s="36" t="s">
        <v>54401</v>
      </c>
      <c r="G5889" s="39">
        <v>459631.31</v>
      </c>
      <c r="H5889" s="42">
        <v>211</v>
      </c>
    </row>
    <row r="5890" spans="1:8" ht="15" customHeight="1">
      <c r="A5890" s="26">
        <v>52737681</v>
      </c>
      <c r="B5890" s="29" t="s">
        <v>8120</v>
      </c>
      <c r="C5890" s="29" t="s">
        <v>22500</v>
      </c>
      <c r="D5890" s="29" t="s">
        <v>35755</v>
      </c>
      <c r="E5890" s="29" t="s">
        <v>43926</v>
      </c>
      <c r="F5890" s="36" t="s">
        <v>54401</v>
      </c>
      <c r="G5890" s="39">
        <v>1041843.4</v>
      </c>
      <c r="H5890" s="42">
        <v>211</v>
      </c>
    </row>
    <row r="5891" spans="1:8" ht="15" customHeight="1">
      <c r="A5891" s="26">
        <v>52743523</v>
      </c>
      <c r="B5891" s="29" t="s">
        <v>8121</v>
      </c>
      <c r="C5891" s="29" t="s">
        <v>22501</v>
      </c>
      <c r="D5891" s="29" t="s">
        <v>35756</v>
      </c>
      <c r="E5891" s="29" t="s">
        <v>43926</v>
      </c>
      <c r="F5891" s="36" t="s">
        <v>54401</v>
      </c>
      <c r="G5891" s="39">
        <f>1276774.65+840447</f>
        <v>2117221.65</v>
      </c>
      <c r="H5891" s="42">
        <v>211</v>
      </c>
    </row>
    <row r="5892" spans="1:8" ht="15" customHeight="1">
      <c r="A5892" s="26">
        <v>52755465</v>
      </c>
      <c r="B5892" s="29" t="s">
        <v>8122</v>
      </c>
      <c r="C5892" s="29" t="s">
        <v>22502</v>
      </c>
      <c r="D5892" s="29" t="s">
        <v>35757</v>
      </c>
      <c r="E5892" s="29" t="s">
        <v>43926</v>
      </c>
      <c r="F5892" s="36" t="s">
        <v>54401</v>
      </c>
      <c r="G5892" s="39">
        <v>86907.35</v>
      </c>
      <c r="H5892" s="42">
        <v>211</v>
      </c>
    </row>
    <row r="5893" spans="1:8" ht="15" customHeight="1">
      <c r="A5893" s="26">
        <v>52759534</v>
      </c>
      <c r="B5893" s="29" t="s">
        <v>8123</v>
      </c>
      <c r="C5893" s="29" t="s">
        <v>22503</v>
      </c>
      <c r="D5893" s="29" t="s">
        <v>35758</v>
      </c>
      <c r="E5893" s="29" t="s">
        <v>43926</v>
      </c>
      <c r="F5893" s="36" t="s">
        <v>54401</v>
      </c>
      <c r="G5893" s="39">
        <v>1168071.29</v>
      </c>
      <c r="H5893" s="42">
        <v>211</v>
      </c>
    </row>
    <row r="5894" spans="1:8" ht="15" customHeight="1">
      <c r="A5894" s="26">
        <v>52763068</v>
      </c>
      <c r="B5894" s="29" t="s">
        <v>8124</v>
      </c>
      <c r="C5894" s="29" t="s">
        <v>22504</v>
      </c>
      <c r="D5894" s="29" t="s">
        <v>35759</v>
      </c>
      <c r="E5894" s="29" t="s">
        <v>48448</v>
      </c>
      <c r="F5894" s="36" t="s">
        <v>54401</v>
      </c>
      <c r="G5894" s="39">
        <v>451087.06</v>
      </c>
      <c r="H5894" s="42">
        <v>211</v>
      </c>
    </row>
    <row r="5895" spans="1:8" ht="15" customHeight="1">
      <c r="A5895" s="26">
        <v>52763929</v>
      </c>
      <c r="B5895" s="29" t="s">
        <v>8125</v>
      </c>
      <c r="C5895" s="29" t="s">
        <v>22505</v>
      </c>
      <c r="D5895" s="29" t="s">
        <v>35760</v>
      </c>
      <c r="E5895" s="29" t="s">
        <v>48449</v>
      </c>
      <c r="F5895" s="36" t="s">
        <v>54401</v>
      </c>
      <c r="G5895" s="39">
        <v>406664.13</v>
      </c>
      <c r="H5895" s="42">
        <v>211</v>
      </c>
    </row>
    <row r="5896" spans="1:8" ht="15" customHeight="1">
      <c r="A5896" s="26">
        <v>52769562</v>
      </c>
      <c r="B5896" s="29" t="s">
        <v>8126</v>
      </c>
      <c r="C5896" s="26" t="s">
        <v>17204</v>
      </c>
      <c r="D5896" s="26" t="s">
        <v>30349</v>
      </c>
      <c r="E5896" s="26" t="s">
        <v>43926</v>
      </c>
      <c r="F5896" s="37" t="s">
        <v>54401</v>
      </c>
      <c r="G5896" s="39">
        <v>209696.63</v>
      </c>
      <c r="H5896" s="42">
        <v>211</v>
      </c>
    </row>
    <row r="5897" spans="1:8" ht="15" customHeight="1">
      <c r="A5897" s="26">
        <v>52782462</v>
      </c>
      <c r="B5897" s="29" t="s">
        <v>8127</v>
      </c>
      <c r="C5897" s="26" t="s">
        <v>22506</v>
      </c>
      <c r="D5897" s="26" t="s">
        <v>30813</v>
      </c>
      <c r="E5897" s="26" t="s">
        <v>48450</v>
      </c>
      <c r="F5897" s="37" t="s">
        <v>54401</v>
      </c>
      <c r="G5897" s="39">
        <v>1529010.87</v>
      </c>
      <c r="H5897" s="42">
        <v>211</v>
      </c>
    </row>
    <row r="5898" spans="1:8" ht="15" customHeight="1">
      <c r="A5898" s="26">
        <v>52790816</v>
      </c>
      <c r="B5898" s="29" t="s">
        <v>8128</v>
      </c>
      <c r="C5898" s="26" t="s">
        <v>22507</v>
      </c>
      <c r="D5898" s="26" t="s">
        <v>35761</v>
      </c>
      <c r="E5898" s="26" t="s">
        <v>48451</v>
      </c>
      <c r="F5898" s="37" t="s">
        <v>54401</v>
      </c>
      <c r="G5898" s="39">
        <v>257615.97</v>
      </c>
      <c r="H5898" s="42">
        <v>211</v>
      </c>
    </row>
    <row r="5899" spans="1:8" ht="15" customHeight="1">
      <c r="A5899" s="26">
        <v>52794371</v>
      </c>
      <c r="B5899" s="29" t="s">
        <v>8129</v>
      </c>
      <c r="C5899" s="29" t="s">
        <v>22508</v>
      </c>
      <c r="D5899" s="29" t="s">
        <v>35762</v>
      </c>
      <c r="E5899" s="29" t="s">
        <v>48452</v>
      </c>
      <c r="F5899" s="36" t="s">
        <v>54401</v>
      </c>
      <c r="G5899" s="39">
        <v>5711927.0999999996</v>
      </c>
      <c r="H5899" s="42">
        <v>211</v>
      </c>
    </row>
    <row r="5900" spans="1:8" ht="15" customHeight="1">
      <c r="A5900" s="26">
        <v>52796333</v>
      </c>
      <c r="B5900" s="29" t="s">
        <v>8130</v>
      </c>
      <c r="C5900" s="29" t="s">
        <v>22509</v>
      </c>
      <c r="D5900" s="29" t="s">
        <v>35763</v>
      </c>
      <c r="E5900" s="29" t="s">
        <v>48453</v>
      </c>
      <c r="F5900" s="36" t="s">
        <v>54401</v>
      </c>
      <c r="G5900" s="39">
        <v>5327417.0999999996</v>
      </c>
      <c r="H5900" s="42">
        <v>211</v>
      </c>
    </row>
    <row r="5901" spans="1:8" ht="15" customHeight="1">
      <c r="A5901" s="26">
        <v>52796613</v>
      </c>
      <c r="B5901" s="29" t="s">
        <v>8131</v>
      </c>
      <c r="C5901" s="29" t="s">
        <v>19307</v>
      </c>
      <c r="D5901" s="29" t="s">
        <v>35764</v>
      </c>
      <c r="E5901" s="29" t="s">
        <v>44840</v>
      </c>
      <c r="F5901" s="36" t="s">
        <v>54401</v>
      </c>
      <c r="G5901" s="39">
        <v>1070803.55</v>
      </c>
      <c r="H5901" s="42">
        <v>211</v>
      </c>
    </row>
    <row r="5902" spans="1:8" ht="15" customHeight="1">
      <c r="A5902" s="26">
        <v>52802681</v>
      </c>
      <c r="B5902" s="29" t="s">
        <v>8132</v>
      </c>
      <c r="C5902" s="29" t="s">
        <v>22510</v>
      </c>
      <c r="D5902" s="29" t="s">
        <v>35765</v>
      </c>
      <c r="E5902" s="29" t="s">
        <v>48454</v>
      </c>
      <c r="F5902" s="36" t="s">
        <v>54401</v>
      </c>
      <c r="G5902" s="39">
        <v>4264125.97</v>
      </c>
      <c r="H5902" s="42">
        <v>211</v>
      </c>
    </row>
    <row r="5903" spans="1:8" ht="15" customHeight="1">
      <c r="A5903" s="26">
        <v>52811403</v>
      </c>
      <c r="B5903" s="29" t="s">
        <v>8133</v>
      </c>
      <c r="C5903" s="26" t="s">
        <v>22511</v>
      </c>
      <c r="D5903" s="26" t="s">
        <v>35766</v>
      </c>
      <c r="E5903" s="26" t="s">
        <v>48455</v>
      </c>
      <c r="F5903" s="37" t="s">
        <v>54401</v>
      </c>
      <c r="G5903" s="39">
        <f>887757.63+826633</f>
        <v>1714390.63</v>
      </c>
      <c r="H5903" s="42">
        <v>211</v>
      </c>
    </row>
    <row r="5904" spans="1:8" ht="15" customHeight="1">
      <c r="A5904" s="26">
        <v>52811754</v>
      </c>
      <c r="B5904" s="29" t="s">
        <v>8134</v>
      </c>
      <c r="C5904" s="26" t="s">
        <v>22512</v>
      </c>
      <c r="D5904" s="26" t="s">
        <v>35767</v>
      </c>
      <c r="E5904" s="26" t="s">
        <v>48456</v>
      </c>
      <c r="F5904" s="37" t="s">
        <v>54409</v>
      </c>
      <c r="G5904" s="39">
        <v>740968.73</v>
      </c>
      <c r="H5904" s="42">
        <v>211</v>
      </c>
    </row>
    <row r="5905" spans="1:8" ht="15" customHeight="1">
      <c r="A5905" s="26">
        <v>52818645</v>
      </c>
      <c r="B5905" s="29" t="s">
        <v>8135</v>
      </c>
      <c r="C5905" s="29" t="s">
        <v>22513</v>
      </c>
      <c r="D5905" s="29" t="s">
        <v>35768</v>
      </c>
      <c r="E5905" s="29" t="s">
        <v>48457</v>
      </c>
      <c r="F5905" s="36" t="s">
        <v>54401</v>
      </c>
      <c r="G5905" s="39">
        <f>1631885.59+337724</f>
        <v>1969609.59</v>
      </c>
      <c r="H5905" s="42">
        <v>211</v>
      </c>
    </row>
    <row r="5906" spans="1:8" ht="15" customHeight="1">
      <c r="A5906" s="26">
        <v>52819956</v>
      </c>
      <c r="B5906" s="29" t="s">
        <v>8136</v>
      </c>
      <c r="C5906" s="26" t="s">
        <v>22514</v>
      </c>
      <c r="D5906" s="26" t="s">
        <v>35769</v>
      </c>
      <c r="E5906" s="26" t="s">
        <v>48458</v>
      </c>
      <c r="F5906" s="37" t="s">
        <v>54401</v>
      </c>
      <c r="G5906" s="39">
        <v>462455.94</v>
      </c>
      <c r="H5906" s="42">
        <v>211</v>
      </c>
    </row>
    <row r="5907" spans="1:8" ht="15" customHeight="1">
      <c r="A5907" s="26">
        <v>52829382</v>
      </c>
      <c r="B5907" s="29" t="s">
        <v>8137</v>
      </c>
      <c r="C5907" s="29" t="s">
        <v>22515</v>
      </c>
      <c r="D5907" s="29" t="s">
        <v>35770</v>
      </c>
      <c r="E5907" s="29" t="s">
        <v>43926</v>
      </c>
      <c r="F5907" s="36" t="s">
        <v>54401</v>
      </c>
      <c r="G5907" s="39">
        <v>249263.81</v>
      </c>
      <c r="H5907" s="42">
        <v>211</v>
      </c>
    </row>
    <row r="5908" spans="1:8" ht="15" customHeight="1">
      <c r="A5908" s="26">
        <v>52830672</v>
      </c>
      <c r="B5908" s="29" t="s">
        <v>8138</v>
      </c>
      <c r="C5908" s="29" t="s">
        <v>22516</v>
      </c>
      <c r="D5908" s="29" t="s">
        <v>35771</v>
      </c>
      <c r="E5908" s="29" t="s">
        <v>48459</v>
      </c>
      <c r="F5908" s="36" t="s">
        <v>54401</v>
      </c>
      <c r="G5908" s="39">
        <f>3252762.79+41080</f>
        <v>3293842.79</v>
      </c>
      <c r="H5908" s="42">
        <v>211</v>
      </c>
    </row>
    <row r="5909" spans="1:8" ht="15" customHeight="1">
      <c r="A5909" s="26">
        <v>52833984</v>
      </c>
      <c r="B5909" s="29" t="s">
        <v>8139</v>
      </c>
      <c r="C5909" s="29" t="s">
        <v>22517</v>
      </c>
      <c r="D5909" s="29" t="s">
        <v>35772</v>
      </c>
      <c r="E5909" s="29" t="s">
        <v>44324</v>
      </c>
      <c r="F5909" s="36" t="s">
        <v>54401</v>
      </c>
      <c r="G5909" s="39">
        <f>748307.76+194566</f>
        <v>942873.76</v>
      </c>
      <c r="H5909" s="42">
        <v>211</v>
      </c>
    </row>
    <row r="5910" spans="1:8" ht="15" customHeight="1">
      <c r="A5910" s="26">
        <v>52834968</v>
      </c>
      <c r="B5910" s="29" t="s">
        <v>8140</v>
      </c>
      <c r="C5910" s="29" t="s">
        <v>22518</v>
      </c>
      <c r="D5910" s="29" t="s">
        <v>35773</v>
      </c>
      <c r="E5910" s="29" t="s">
        <v>48460</v>
      </c>
      <c r="F5910" s="36" t="s">
        <v>54401</v>
      </c>
      <c r="G5910" s="39">
        <v>410601.38</v>
      </c>
      <c r="H5910" s="42">
        <v>211</v>
      </c>
    </row>
    <row r="5911" spans="1:8" ht="15" customHeight="1">
      <c r="A5911" s="26">
        <v>52835547</v>
      </c>
      <c r="B5911" s="29" t="s">
        <v>8141</v>
      </c>
      <c r="C5911" s="29" t="s">
        <v>22519</v>
      </c>
      <c r="D5911" s="29" t="s">
        <v>35774</v>
      </c>
      <c r="E5911" s="29" t="s">
        <v>48461</v>
      </c>
      <c r="F5911" s="36" t="s">
        <v>54401</v>
      </c>
      <c r="G5911" s="39">
        <v>1569752.8</v>
      </c>
      <c r="H5911" s="42">
        <v>211</v>
      </c>
    </row>
    <row r="5912" spans="1:8" ht="15" customHeight="1">
      <c r="A5912" s="26">
        <v>52835969</v>
      </c>
      <c r="B5912" s="29" t="s">
        <v>8142</v>
      </c>
      <c r="C5912" s="26" t="s">
        <v>17204</v>
      </c>
      <c r="D5912" s="26" t="s">
        <v>35775</v>
      </c>
      <c r="E5912" s="26" t="s">
        <v>43926</v>
      </c>
      <c r="F5912" s="37" t="s">
        <v>54401</v>
      </c>
      <c r="G5912" s="39">
        <v>282396.03000000003</v>
      </c>
      <c r="H5912" s="42">
        <v>211</v>
      </c>
    </row>
    <row r="5913" spans="1:8" ht="15" customHeight="1">
      <c r="A5913" s="26">
        <v>52840259</v>
      </c>
      <c r="B5913" s="29" t="s">
        <v>8143</v>
      </c>
      <c r="C5913" s="29" t="s">
        <v>22520</v>
      </c>
      <c r="D5913" s="29" t="s">
        <v>35776</v>
      </c>
      <c r="E5913" s="29" t="s">
        <v>48462</v>
      </c>
      <c r="F5913" s="36" t="s">
        <v>54413</v>
      </c>
      <c r="G5913" s="39">
        <v>94789.53</v>
      </c>
      <c r="H5913" s="42">
        <v>211</v>
      </c>
    </row>
    <row r="5914" spans="1:8" ht="15" customHeight="1">
      <c r="A5914" s="26">
        <v>52840739</v>
      </c>
      <c r="B5914" s="29" t="s">
        <v>8144</v>
      </c>
      <c r="C5914" s="29" t="s">
        <v>22521</v>
      </c>
      <c r="D5914" s="29" t="s">
        <v>35777</v>
      </c>
      <c r="E5914" s="29" t="s">
        <v>48463</v>
      </c>
      <c r="F5914" s="36" t="s">
        <v>54401</v>
      </c>
      <c r="G5914" s="39">
        <v>86869.85</v>
      </c>
      <c r="H5914" s="42">
        <v>211</v>
      </c>
    </row>
    <row r="5915" spans="1:8" ht="15" customHeight="1">
      <c r="A5915" s="26">
        <v>52845132</v>
      </c>
      <c r="B5915" s="29" t="s">
        <v>8145</v>
      </c>
      <c r="C5915" s="26" t="s">
        <v>22522</v>
      </c>
      <c r="D5915" s="26" t="s">
        <v>35778</v>
      </c>
      <c r="E5915" s="26" t="s">
        <v>43926</v>
      </c>
      <c r="F5915" s="37" t="s">
        <v>54401</v>
      </c>
      <c r="G5915" s="39">
        <f>27742.85+1774503</f>
        <v>1802245.85</v>
      </c>
      <c r="H5915" s="42">
        <v>211</v>
      </c>
    </row>
    <row r="5916" spans="1:8" ht="15" customHeight="1">
      <c r="A5916" s="26">
        <v>52847520</v>
      </c>
      <c r="B5916" s="29" t="s">
        <v>8146</v>
      </c>
      <c r="C5916" s="29" t="s">
        <v>22523</v>
      </c>
      <c r="D5916" s="29" t="s">
        <v>35779</v>
      </c>
      <c r="E5916" s="29" t="s">
        <v>43928</v>
      </c>
      <c r="F5916" s="36" t="s">
        <v>54401</v>
      </c>
      <c r="G5916" s="39">
        <v>1897926.98</v>
      </c>
      <c r="H5916" s="42">
        <v>211</v>
      </c>
    </row>
    <row r="5917" spans="1:8" ht="15" customHeight="1">
      <c r="A5917" s="26">
        <v>52852076</v>
      </c>
      <c r="B5917" s="29" t="s">
        <v>8147</v>
      </c>
      <c r="C5917" s="29" t="s">
        <v>22524</v>
      </c>
      <c r="D5917" s="29" t="s">
        <v>35780</v>
      </c>
      <c r="E5917" s="29" t="s">
        <v>46045</v>
      </c>
      <c r="F5917" s="36" t="s">
        <v>54401</v>
      </c>
      <c r="G5917" s="39">
        <f>2567699.31+44855</f>
        <v>2612554.31</v>
      </c>
      <c r="H5917" s="42">
        <v>211</v>
      </c>
    </row>
    <row r="5918" spans="1:8" ht="15" customHeight="1">
      <c r="A5918" s="26">
        <v>52856123</v>
      </c>
      <c r="B5918" s="29" t="s">
        <v>8148</v>
      </c>
      <c r="C5918" s="29" t="s">
        <v>22525</v>
      </c>
      <c r="D5918" s="29" t="s">
        <v>35781</v>
      </c>
      <c r="E5918" s="29" t="s">
        <v>48088</v>
      </c>
      <c r="F5918" s="36" t="s">
        <v>54401</v>
      </c>
      <c r="G5918" s="39">
        <f>1560284.8+112339</f>
        <v>1672623.8</v>
      </c>
      <c r="H5918" s="42">
        <v>211</v>
      </c>
    </row>
    <row r="5919" spans="1:8" ht="15" customHeight="1">
      <c r="A5919" s="26">
        <v>52860547</v>
      </c>
      <c r="B5919" s="29" t="s">
        <v>8149</v>
      </c>
      <c r="C5919" s="29" t="s">
        <v>22526</v>
      </c>
      <c r="D5919" s="29" t="s">
        <v>35782</v>
      </c>
      <c r="E5919" s="29" t="s">
        <v>48464</v>
      </c>
      <c r="F5919" s="36" t="s">
        <v>54401</v>
      </c>
      <c r="G5919" s="39">
        <v>3146729.92</v>
      </c>
      <c r="H5919" s="42">
        <v>211</v>
      </c>
    </row>
    <row r="5920" spans="1:8" ht="15" customHeight="1">
      <c r="A5920" s="26">
        <v>52864492</v>
      </c>
      <c r="B5920" s="29" t="s">
        <v>8150</v>
      </c>
      <c r="C5920" s="26" t="s">
        <v>22527</v>
      </c>
      <c r="D5920" s="26" t="s">
        <v>35783</v>
      </c>
      <c r="E5920" s="26" t="s">
        <v>44270</v>
      </c>
      <c r="F5920" s="37" t="s">
        <v>54401</v>
      </c>
      <c r="G5920" s="39">
        <v>1349300.17</v>
      </c>
      <c r="H5920" s="42">
        <v>211</v>
      </c>
    </row>
    <row r="5921" spans="1:8" ht="15" customHeight="1">
      <c r="A5921" s="26">
        <v>52867824</v>
      </c>
      <c r="B5921" s="29" t="s">
        <v>8151</v>
      </c>
      <c r="C5921" s="29" t="s">
        <v>22528</v>
      </c>
      <c r="D5921" s="29" t="s">
        <v>35784</v>
      </c>
      <c r="E5921" s="29" t="s">
        <v>48465</v>
      </c>
      <c r="F5921" s="36" t="s">
        <v>54401</v>
      </c>
      <c r="G5921" s="39">
        <v>2942550.38</v>
      </c>
      <c r="H5921" s="42">
        <v>211</v>
      </c>
    </row>
    <row r="5922" spans="1:8" ht="15" customHeight="1">
      <c r="A5922" s="26">
        <v>52879594</v>
      </c>
      <c r="B5922" s="29" t="s">
        <v>8152</v>
      </c>
      <c r="C5922" s="29" t="s">
        <v>22529</v>
      </c>
      <c r="D5922" s="29" t="s">
        <v>35785</v>
      </c>
      <c r="E5922" s="29" t="s">
        <v>48466</v>
      </c>
      <c r="F5922" s="36" t="s">
        <v>54401</v>
      </c>
      <c r="G5922" s="39">
        <v>135535.74</v>
      </c>
      <c r="H5922" s="42">
        <v>211</v>
      </c>
    </row>
    <row r="5923" spans="1:8" ht="15" customHeight="1">
      <c r="A5923" s="26">
        <v>52885038</v>
      </c>
      <c r="B5923" s="29" t="s">
        <v>8153</v>
      </c>
      <c r="C5923" s="29" t="s">
        <v>17204</v>
      </c>
      <c r="D5923" s="29" t="s">
        <v>35786</v>
      </c>
      <c r="E5923" s="29" t="s">
        <v>43926</v>
      </c>
      <c r="F5923" s="36" t="s">
        <v>54401</v>
      </c>
      <c r="G5923" s="39">
        <v>93705.62</v>
      </c>
      <c r="H5923" s="42">
        <v>211</v>
      </c>
    </row>
    <row r="5924" spans="1:8" ht="15" customHeight="1">
      <c r="A5924" s="26">
        <v>52890810</v>
      </c>
      <c r="B5924" s="29" t="s">
        <v>8154</v>
      </c>
      <c r="C5924" s="29" t="s">
        <v>22530</v>
      </c>
      <c r="D5924" s="29" t="s">
        <v>35787</v>
      </c>
      <c r="E5924" s="29" t="s">
        <v>48467</v>
      </c>
      <c r="F5924" s="36" t="s">
        <v>54401</v>
      </c>
      <c r="G5924" s="39">
        <v>195242.4</v>
      </c>
      <c r="H5924" s="42">
        <v>211</v>
      </c>
    </row>
    <row r="5925" spans="1:8" ht="15" customHeight="1">
      <c r="A5925" s="26">
        <v>52902599</v>
      </c>
      <c r="B5925" s="29" t="s">
        <v>8155</v>
      </c>
      <c r="C5925" s="29" t="s">
        <v>17204</v>
      </c>
      <c r="D5925" s="29" t="s">
        <v>30349</v>
      </c>
      <c r="E5925" s="29" t="s">
        <v>43926</v>
      </c>
      <c r="F5925" s="36" t="s">
        <v>54401</v>
      </c>
      <c r="G5925" s="39">
        <f>38216.81+455074</f>
        <v>493290.81</v>
      </c>
      <c r="H5925" s="42">
        <v>211</v>
      </c>
    </row>
    <row r="5926" spans="1:8" ht="15" customHeight="1">
      <c r="A5926" s="26">
        <v>52903900</v>
      </c>
      <c r="B5926" s="29" t="s">
        <v>8156</v>
      </c>
      <c r="C5926" s="29" t="s">
        <v>22531</v>
      </c>
      <c r="D5926" s="29" t="s">
        <v>35788</v>
      </c>
      <c r="E5926" s="29" t="s">
        <v>48468</v>
      </c>
      <c r="F5926" s="36" t="s">
        <v>54401</v>
      </c>
      <c r="G5926" s="39">
        <v>3502437.26</v>
      </c>
      <c r="H5926" s="42">
        <v>211</v>
      </c>
    </row>
    <row r="5927" spans="1:8" ht="15" customHeight="1">
      <c r="A5927" s="26">
        <v>52905394</v>
      </c>
      <c r="B5927" s="29" t="s">
        <v>8157</v>
      </c>
      <c r="C5927" s="29" t="s">
        <v>22532</v>
      </c>
      <c r="D5927" s="29" t="s">
        <v>30376</v>
      </c>
      <c r="E5927" s="29" t="s">
        <v>48469</v>
      </c>
      <c r="F5927" s="36" t="s">
        <v>54401</v>
      </c>
      <c r="G5927" s="39">
        <v>536688.13</v>
      </c>
      <c r="H5927" s="42">
        <v>211</v>
      </c>
    </row>
    <row r="5928" spans="1:8" ht="15" customHeight="1">
      <c r="A5928" s="26">
        <v>52910059</v>
      </c>
      <c r="B5928" s="29" t="s">
        <v>8158</v>
      </c>
      <c r="C5928" s="29" t="s">
        <v>17204</v>
      </c>
      <c r="D5928" s="29" t="s">
        <v>30349</v>
      </c>
      <c r="E5928" s="29" t="s">
        <v>43926</v>
      </c>
      <c r="F5928" s="36" t="s">
        <v>54401</v>
      </c>
      <c r="G5928" s="39">
        <v>140497.57</v>
      </c>
      <c r="H5928" s="42">
        <v>211</v>
      </c>
    </row>
    <row r="5929" spans="1:8" ht="15" customHeight="1">
      <c r="A5929" s="26">
        <v>52915573</v>
      </c>
      <c r="B5929" s="29" t="s">
        <v>8159</v>
      </c>
      <c r="C5929" s="29" t="s">
        <v>17204</v>
      </c>
      <c r="D5929" s="29" t="s">
        <v>30349</v>
      </c>
      <c r="E5929" s="29" t="s">
        <v>43926</v>
      </c>
      <c r="F5929" s="36" t="s">
        <v>54401</v>
      </c>
      <c r="G5929" s="39">
        <v>55256.480000000003</v>
      </c>
      <c r="H5929" s="42">
        <v>211</v>
      </c>
    </row>
    <row r="5930" spans="1:8" ht="15" customHeight="1">
      <c r="A5930" s="26">
        <v>52919077</v>
      </c>
      <c r="B5930" s="29" t="s">
        <v>8160</v>
      </c>
      <c r="C5930" s="26" t="s">
        <v>22533</v>
      </c>
      <c r="D5930" s="26" t="s">
        <v>35789</v>
      </c>
      <c r="E5930" s="26" t="s">
        <v>48470</v>
      </c>
      <c r="F5930" s="37" t="s">
        <v>54401</v>
      </c>
      <c r="G5930" s="39">
        <v>3153837.48</v>
      </c>
      <c r="H5930" s="42">
        <v>211</v>
      </c>
    </row>
    <row r="5931" spans="1:8" ht="15" customHeight="1">
      <c r="A5931" s="26">
        <v>52932399</v>
      </c>
      <c r="B5931" s="29" t="s">
        <v>8161</v>
      </c>
      <c r="C5931" s="26" t="s">
        <v>22534</v>
      </c>
      <c r="D5931" s="26" t="s">
        <v>35790</v>
      </c>
      <c r="E5931" s="26" t="s">
        <v>48471</v>
      </c>
      <c r="F5931" s="37" t="s">
        <v>54401</v>
      </c>
      <c r="G5931" s="39">
        <v>40405.64</v>
      </c>
      <c r="H5931" s="42">
        <v>211</v>
      </c>
    </row>
    <row r="5932" spans="1:8" ht="15" customHeight="1">
      <c r="A5932" s="26">
        <v>52933305</v>
      </c>
      <c r="B5932" s="29" t="s">
        <v>8162</v>
      </c>
      <c r="C5932" s="29" t="s">
        <v>22535</v>
      </c>
      <c r="D5932" s="29" t="s">
        <v>35791</v>
      </c>
      <c r="E5932" s="29" t="s">
        <v>44913</v>
      </c>
      <c r="F5932" s="36" t="s">
        <v>54401</v>
      </c>
      <c r="G5932" s="39">
        <v>434720.04</v>
      </c>
      <c r="H5932" s="42">
        <v>211</v>
      </c>
    </row>
    <row r="5933" spans="1:8" ht="15" customHeight="1">
      <c r="A5933" s="26">
        <v>52950864</v>
      </c>
      <c r="B5933" s="29" t="s">
        <v>8163</v>
      </c>
      <c r="C5933" s="29" t="s">
        <v>22536</v>
      </c>
      <c r="D5933" s="29" t="s">
        <v>35792</v>
      </c>
      <c r="E5933" s="29" t="s">
        <v>48472</v>
      </c>
      <c r="F5933" s="36" t="s">
        <v>54401</v>
      </c>
      <c r="G5933" s="39">
        <v>530397.93000000005</v>
      </c>
      <c r="H5933" s="42">
        <v>211</v>
      </c>
    </row>
    <row r="5934" spans="1:8" ht="15" customHeight="1">
      <c r="A5934" s="26">
        <v>52955942</v>
      </c>
      <c r="B5934" s="29" t="s">
        <v>8164</v>
      </c>
      <c r="C5934" s="29" t="s">
        <v>22537</v>
      </c>
      <c r="D5934" s="29" t="s">
        <v>35793</v>
      </c>
      <c r="E5934" s="29" t="s">
        <v>43926</v>
      </c>
      <c r="F5934" s="36" t="s">
        <v>54401</v>
      </c>
      <c r="G5934" s="39">
        <v>348730.55</v>
      </c>
      <c r="H5934" s="42">
        <v>211</v>
      </c>
    </row>
    <row r="5935" spans="1:8" ht="15" customHeight="1">
      <c r="A5935" s="26">
        <v>52966959</v>
      </c>
      <c r="B5935" s="29" t="s">
        <v>8165</v>
      </c>
      <c r="C5935" s="29" t="s">
        <v>17204</v>
      </c>
      <c r="D5935" s="29" t="s">
        <v>35794</v>
      </c>
      <c r="E5935" s="29" t="s">
        <v>43926</v>
      </c>
      <c r="F5935" s="36" t="s">
        <v>54401</v>
      </c>
      <c r="G5935" s="39">
        <v>21999.47</v>
      </c>
      <c r="H5935" s="42">
        <v>211</v>
      </c>
    </row>
    <row r="5936" spans="1:8" ht="15" customHeight="1">
      <c r="A5936" s="26">
        <v>52968131</v>
      </c>
      <c r="B5936" s="29" t="s">
        <v>8166</v>
      </c>
      <c r="C5936" s="29" t="s">
        <v>22538</v>
      </c>
      <c r="D5936" s="29" t="s">
        <v>35795</v>
      </c>
      <c r="E5936" s="29" t="s">
        <v>48473</v>
      </c>
      <c r="F5936" s="36" t="s">
        <v>54401</v>
      </c>
      <c r="G5936" s="39">
        <v>32338.54</v>
      </c>
      <c r="H5936" s="42">
        <v>211</v>
      </c>
    </row>
    <row r="5937" spans="1:8" ht="15" customHeight="1">
      <c r="A5937" s="26">
        <v>52968995</v>
      </c>
      <c r="B5937" s="29" t="s">
        <v>8167</v>
      </c>
      <c r="C5937" s="29" t="s">
        <v>22539</v>
      </c>
      <c r="D5937" s="29" t="s">
        <v>35796</v>
      </c>
      <c r="E5937" s="29" t="s">
        <v>48474</v>
      </c>
      <c r="F5937" s="36" t="s">
        <v>54401</v>
      </c>
      <c r="G5937" s="39">
        <v>200626.89</v>
      </c>
      <c r="H5937" s="42">
        <v>211</v>
      </c>
    </row>
    <row r="5938" spans="1:8" ht="15" customHeight="1">
      <c r="A5938" s="26">
        <v>52973171</v>
      </c>
      <c r="B5938" s="29" t="s">
        <v>8168</v>
      </c>
      <c r="C5938" s="29" t="s">
        <v>22540</v>
      </c>
      <c r="D5938" s="29" t="s">
        <v>35797</v>
      </c>
      <c r="E5938" s="29" t="s">
        <v>48475</v>
      </c>
      <c r="F5938" s="36" t="s">
        <v>54401</v>
      </c>
      <c r="G5938" s="39">
        <v>3156664.36</v>
      </c>
      <c r="H5938" s="42">
        <v>211</v>
      </c>
    </row>
    <row r="5939" spans="1:8" ht="15" customHeight="1">
      <c r="A5939" s="26">
        <v>52975578</v>
      </c>
      <c r="B5939" s="29" t="s">
        <v>8169</v>
      </c>
      <c r="C5939" s="29" t="s">
        <v>22541</v>
      </c>
      <c r="D5939" s="29" t="s">
        <v>35798</v>
      </c>
      <c r="E5939" s="29" t="s">
        <v>48476</v>
      </c>
      <c r="F5939" s="36" t="s">
        <v>54401</v>
      </c>
      <c r="G5939" s="39">
        <f>5955768.64+138933</f>
        <v>6094701.6399999997</v>
      </c>
      <c r="H5939" s="42">
        <v>211</v>
      </c>
    </row>
    <row r="5940" spans="1:8" ht="15" customHeight="1">
      <c r="A5940" s="26">
        <v>52976398</v>
      </c>
      <c r="B5940" s="29" t="s">
        <v>8170</v>
      </c>
      <c r="C5940" s="29" t="s">
        <v>22542</v>
      </c>
      <c r="D5940" s="29" t="s">
        <v>35799</v>
      </c>
      <c r="E5940" s="29" t="s">
        <v>44164</v>
      </c>
      <c r="F5940" s="36" t="s">
        <v>54401</v>
      </c>
      <c r="G5940" s="39">
        <v>571612.12</v>
      </c>
      <c r="H5940" s="42">
        <v>211</v>
      </c>
    </row>
    <row r="5941" spans="1:8" ht="15" customHeight="1">
      <c r="A5941" s="26">
        <v>52976797</v>
      </c>
      <c r="B5941" s="29" t="s">
        <v>8171</v>
      </c>
      <c r="C5941" s="29" t="s">
        <v>22543</v>
      </c>
      <c r="D5941" s="29" t="s">
        <v>35800</v>
      </c>
      <c r="E5941" s="29" t="s">
        <v>48477</v>
      </c>
      <c r="F5941" s="36" t="s">
        <v>54401</v>
      </c>
      <c r="G5941" s="39">
        <v>563506.09</v>
      </c>
      <c r="H5941" s="42">
        <v>211</v>
      </c>
    </row>
    <row r="5942" spans="1:8" ht="15" customHeight="1">
      <c r="A5942" s="26">
        <v>52987983</v>
      </c>
      <c r="B5942" s="29" t="s">
        <v>8172</v>
      </c>
      <c r="C5942" s="29" t="s">
        <v>22544</v>
      </c>
      <c r="D5942" s="29" t="s">
        <v>35801</v>
      </c>
      <c r="E5942" s="29" t="s">
        <v>48478</v>
      </c>
      <c r="F5942" s="36" t="s">
        <v>54401</v>
      </c>
      <c r="G5942" s="39">
        <v>568379.80000000005</v>
      </c>
      <c r="H5942" s="42">
        <v>211</v>
      </c>
    </row>
    <row r="5943" spans="1:8" ht="15" customHeight="1">
      <c r="A5943" s="26">
        <v>52990542</v>
      </c>
      <c r="B5943" s="29" t="s">
        <v>8173</v>
      </c>
      <c r="C5943" s="29" t="s">
        <v>22545</v>
      </c>
      <c r="D5943" s="29" t="s">
        <v>35802</v>
      </c>
      <c r="E5943" s="29" t="s">
        <v>48479</v>
      </c>
      <c r="F5943" s="36" t="s">
        <v>54401</v>
      </c>
      <c r="G5943" s="39">
        <v>383783.58</v>
      </c>
      <c r="H5943" s="42">
        <v>211</v>
      </c>
    </row>
    <row r="5944" spans="1:8" ht="15" customHeight="1">
      <c r="A5944" s="26">
        <v>52995975</v>
      </c>
      <c r="B5944" s="29" t="s">
        <v>8174</v>
      </c>
      <c r="C5944" s="29" t="s">
        <v>22546</v>
      </c>
      <c r="D5944" s="29" t="s">
        <v>35803</v>
      </c>
      <c r="E5944" s="29" t="s">
        <v>48480</v>
      </c>
      <c r="F5944" s="36" t="s">
        <v>54401</v>
      </c>
      <c r="G5944" s="39">
        <v>350639.76</v>
      </c>
      <c r="H5944" s="42">
        <v>211</v>
      </c>
    </row>
    <row r="5945" spans="1:8" ht="15" customHeight="1">
      <c r="A5945" s="26">
        <v>52997568</v>
      </c>
      <c r="B5945" s="29" t="s">
        <v>8175</v>
      </c>
      <c r="C5945" s="29" t="s">
        <v>17204</v>
      </c>
      <c r="D5945" s="29" t="s">
        <v>35804</v>
      </c>
      <c r="E5945" s="29" t="s">
        <v>43926</v>
      </c>
      <c r="F5945" s="36" t="s">
        <v>54401</v>
      </c>
      <c r="G5945" s="39">
        <v>180196.11</v>
      </c>
      <c r="H5945" s="42">
        <v>211</v>
      </c>
    </row>
    <row r="5946" spans="1:8" ht="15" customHeight="1">
      <c r="A5946" s="26">
        <v>53000295</v>
      </c>
      <c r="B5946" s="29" t="s">
        <v>8176</v>
      </c>
      <c r="C5946" s="29" t="s">
        <v>22547</v>
      </c>
      <c r="D5946" s="29" t="s">
        <v>35805</v>
      </c>
      <c r="E5946" s="29" t="s">
        <v>48126</v>
      </c>
      <c r="F5946" s="36" t="s">
        <v>54401</v>
      </c>
      <c r="G5946" s="39">
        <v>290830.24</v>
      </c>
      <c r="H5946" s="42">
        <v>211</v>
      </c>
    </row>
    <row r="5947" spans="1:8" ht="15" customHeight="1">
      <c r="A5947" s="26">
        <v>53012113</v>
      </c>
      <c r="B5947" s="29" t="s">
        <v>8177</v>
      </c>
      <c r="C5947" s="26" t="s">
        <v>17204</v>
      </c>
      <c r="D5947" s="26" t="s">
        <v>30349</v>
      </c>
      <c r="E5947" s="26" t="s">
        <v>43926</v>
      </c>
      <c r="F5947" s="37" t="s">
        <v>54401</v>
      </c>
      <c r="G5947" s="39">
        <v>17305.939999999999</v>
      </c>
      <c r="H5947" s="42">
        <v>211</v>
      </c>
    </row>
    <row r="5948" spans="1:8" ht="15" customHeight="1">
      <c r="A5948" s="26">
        <v>53012407</v>
      </c>
      <c r="B5948" s="29" t="s">
        <v>8178</v>
      </c>
      <c r="C5948" s="29" t="s">
        <v>22548</v>
      </c>
      <c r="D5948" s="29" t="s">
        <v>35806</v>
      </c>
      <c r="E5948" s="29" t="s">
        <v>48481</v>
      </c>
      <c r="F5948" s="36" t="s">
        <v>54401</v>
      </c>
      <c r="G5948" s="39">
        <v>558841.75</v>
      </c>
      <c r="H5948" s="42">
        <v>211</v>
      </c>
    </row>
    <row r="5949" spans="1:8" ht="15" customHeight="1">
      <c r="A5949" s="26">
        <v>53016557</v>
      </c>
      <c r="B5949" s="29" t="s">
        <v>8179</v>
      </c>
      <c r="C5949" s="29" t="s">
        <v>22549</v>
      </c>
      <c r="D5949" s="29" t="s">
        <v>35807</v>
      </c>
      <c r="E5949" s="29" t="s">
        <v>48482</v>
      </c>
      <c r="F5949" s="36" t="s">
        <v>54401</v>
      </c>
      <c r="G5949" s="39">
        <v>4599804.26</v>
      </c>
      <c r="H5949" s="42">
        <v>211</v>
      </c>
    </row>
    <row r="5950" spans="1:8" ht="15" customHeight="1">
      <c r="A5950" s="26">
        <v>53027900</v>
      </c>
      <c r="B5950" s="29" t="s">
        <v>8180</v>
      </c>
      <c r="C5950" s="29" t="s">
        <v>22550</v>
      </c>
      <c r="D5950" s="29" t="s">
        <v>35808</v>
      </c>
      <c r="E5950" s="29" t="s">
        <v>48483</v>
      </c>
      <c r="F5950" s="36" t="s">
        <v>54443</v>
      </c>
      <c r="G5950" s="39">
        <f>346853.78+15362961</f>
        <v>15709814.779999999</v>
      </c>
      <c r="H5950" s="42">
        <v>211</v>
      </c>
    </row>
    <row r="5951" spans="1:8" ht="15" customHeight="1">
      <c r="A5951" s="26">
        <v>53037601</v>
      </c>
      <c r="B5951" s="29" t="s">
        <v>8181</v>
      </c>
      <c r="C5951" s="29" t="s">
        <v>22551</v>
      </c>
      <c r="D5951" s="29" t="s">
        <v>35809</v>
      </c>
      <c r="E5951" s="29" t="s">
        <v>48484</v>
      </c>
      <c r="F5951" s="36" t="s">
        <v>54402</v>
      </c>
      <c r="G5951" s="39">
        <v>80512.66</v>
      </c>
      <c r="H5951" s="42">
        <v>211</v>
      </c>
    </row>
    <row r="5952" spans="1:8" ht="15" customHeight="1">
      <c r="A5952" s="26">
        <v>53038358</v>
      </c>
      <c r="B5952" s="29" t="s">
        <v>8182</v>
      </c>
      <c r="C5952" s="29" t="s">
        <v>22552</v>
      </c>
      <c r="D5952" s="29" t="s">
        <v>30349</v>
      </c>
      <c r="E5952" s="29" t="s">
        <v>43926</v>
      </c>
      <c r="F5952" s="36" t="s">
        <v>54401</v>
      </c>
      <c r="G5952" s="39">
        <v>295298.13</v>
      </c>
      <c r="H5952" s="42">
        <v>211</v>
      </c>
    </row>
    <row r="5953" spans="1:8" ht="15" customHeight="1">
      <c r="A5953" s="26">
        <v>53039552</v>
      </c>
      <c r="B5953" s="29" t="s">
        <v>8183</v>
      </c>
      <c r="C5953" s="29" t="s">
        <v>22553</v>
      </c>
      <c r="D5953" s="29" t="s">
        <v>35810</v>
      </c>
      <c r="E5953" s="29" t="s">
        <v>48485</v>
      </c>
      <c r="F5953" s="36" t="s">
        <v>54401</v>
      </c>
      <c r="G5953" s="39">
        <v>60873.03</v>
      </c>
      <c r="H5953" s="42">
        <v>211</v>
      </c>
    </row>
    <row r="5954" spans="1:8" ht="15" customHeight="1">
      <c r="A5954" s="26">
        <v>53042285</v>
      </c>
      <c r="B5954" s="29" t="s">
        <v>8184</v>
      </c>
      <c r="C5954" s="29" t="s">
        <v>22554</v>
      </c>
      <c r="D5954" s="29" t="s">
        <v>35811</v>
      </c>
      <c r="E5954" s="29" t="s">
        <v>48486</v>
      </c>
      <c r="F5954" s="36" t="s">
        <v>54401</v>
      </c>
      <c r="G5954" s="39">
        <v>3843499.98</v>
      </c>
      <c r="H5954" s="42">
        <v>211</v>
      </c>
    </row>
    <row r="5955" spans="1:8" ht="15" customHeight="1">
      <c r="A5955" s="26">
        <v>53044959</v>
      </c>
      <c r="B5955" s="29" t="s">
        <v>8185</v>
      </c>
      <c r="C5955" s="26" t="s">
        <v>22555</v>
      </c>
      <c r="D5955" s="26" t="s">
        <v>35812</v>
      </c>
      <c r="E5955" s="26" t="s">
        <v>48487</v>
      </c>
      <c r="F5955" s="37" t="s">
        <v>54401</v>
      </c>
      <c r="G5955" s="39">
        <v>2464533.91</v>
      </c>
      <c r="H5955" s="42">
        <v>211</v>
      </c>
    </row>
    <row r="5956" spans="1:8" ht="15" customHeight="1">
      <c r="A5956" s="26">
        <v>53051575</v>
      </c>
      <c r="B5956" s="29" t="s">
        <v>8186</v>
      </c>
      <c r="C5956" s="29" t="s">
        <v>22556</v>
      </c>
      <c r="D5956" s="29" t="s">
        <v>35813</v>
      </c>
      <c r="E5956" s="29" t="s">
        <v>48488</v>
      </c>
      <c r="F5956" s="36" t="s">
        <v>54401</v>
      </c>
      <c r="G5956" s="39">
        <v>290527.18</v>
      </c>
      <c r="H5956" s="42">
        <v>211</v>
      </c>
    </row>
    <row r="5957" spans="1:8" ht="15" customHeight="1">
      <c r="A5957" s="26">
        <v>53053957</v>
      </c>
      <c r="B5957" s="29" t="s">
        <v>8187</v>
      </c>
      <c r="C5957" s="29" t="s">
        <v>22557</v>
      </c>
      <c r="D5957" s="29" t="s">
        <v>35814</v>
      </c>
      <c r="E5957" s="29" t="s">
        <v>48489</v>
      </c>
      <c r="F5957" s="36" t="s">
        <v>54401</v>
      </c>
      <c r="G5957" s="39">
        <v>1478264.36</v>
      </c>
      <c r="H5957" s="42">
        <v>211</v>
      </c>
    </row>
    <row r="5958" spans="1:8" ht="15" customHeight="1">
      <c r="A5958" s="26">
        <v>53063320</v>
      </c>
      <c r="B5958" s="29" t="s">
        <v>8188</v>
      </c>
      <c r="C5958" s="29" t="s">
        <v>22558</v>
      </c>
      <c r="D5958" s="29" t="s">
        <v>35815</v>
      </c>
      <c r="E5958" s="29" t="s">
        <v>46451</v>
      </c>
      <c r="F5958" s="36" t="s">
        <v>54401</v>
      </c>
      <c r="G5958" s="39">
        <v>308222.61</v>
      </c>
      <c r="H5958" s="42">
        <v>211</v>
      </c>
    </row>
    <row r="5959" spans="1:8" ht="15" customHeight="1">
      <c r="A5959" s="26">
        <v>53070577</v>
      </c>
      <c r="B5959" s="29" t="s">
        <v>8189</v>
      </c>
      <c r="C5959" s="29" t="s">
        <v>22559</v>
      </c>
      <c r="D5959" s="29" t="s">
        <v>35816</v>
      </c>
      <c r="E5959" s="29" t="s">
        <v>44019</v>
      </c>
      <c r="F5959" s="36" t="s">
        <v>54401</v>
      </c>
      <c r="G5959" s="39">
        <v>486608.82</v>
      </c>
      <c r="H5959" s="42">
        <v>211</v>
      </c>
    </row>
    <row r="5960" spans="1:8" ht="15" customHeight="1">
      <c r="A5960" s="26">
        <v>53071833</v>
      </c>
      <c r="B5960" s="29" t="s">
        <v>8190</v>
      </c>
      <c r="C5960" s="29" t="s">
        <v>22560</v>
      </c>
      <c r="D5960" s="29" t="s">
        <v>35817</v>
      </c>
      <c r="E5960" s="29" t="s">
        <v>48490</v>
      </c>
      <c r="F5960" s="36" t="s">
        <v>54401</v>
      </c>
      <c r="G5960" s="39">
        <v>4911532.82</v>
      </c>
      <c r="H5960" s="42">
        <v>211</v>
      </c>
    </row>
    <row r="5961" spans="1:8" ht="15" customHeight="1">
      <c r="A5961" s="26">
        <v>53073685</v>
      </c>
      <c r="B5961" s="29" t="s">
        <v>8191</v>
      </c>
      <c r="C5961" s="29" t="s">
        <v>22561</v>
      </c>
      <c r="D5961" s="29" t="s">
        <v>35818</v>
      </c>
      <c r="E5961" s="29" t="s">
        <v>48491</v>
      </c>
      <c r="F5961" s="36" t="s">
        <v>54401</v>
      </c>
      <c r="G5961" s="39">
        <f>6630872.07+121767</f>
        <v>6752639.0700000003</v>
      </c>
      <c r="H5961" s="42">
        <v>211</v>
      </c>
    </row>
    <row r="5962" spans="1:8" ht="15" customHeight="1">
      <c r="A5962" s="26">
        <v>53075242</v>
      </c>
      <c r="B5962" s="29" t="s">
        <v>8192</v>
      </c>
      <c r="C5962" s="29" t="s">
        <v>22562</v>
      </c>
      <c r="D5962" s="29" t="s">
        <v>35819</v>
      </c>
      <c r="E5962" s="29" t="s">
        <v>44250</v>
      </c>
      <c r="F5962" s="36" t="s">
        <v>54401</v>
      </c>
      <c r="G5962" s="39">
        <f>1631070.6+407442</f>
        <v>2038512.6</v>
      </c>
      <c r="H5962" s="42">
        <v>211</v>
      </c>
    </row>
    <row r="5963" spans="1:8" ht="15" customHeight="1">
      <c r="A5963" s="26">
        <v>53090407</v>
      </c>
      <c r="B5963" s="29" t="s">
        <v>8193</v>
      </c>
      <c r="C5963" s="26" t="s">
        <v>17204</v>
      </c>
      <c r="D5963" s="26" t="s">
        <v>30349</v>
      </c>
      <c r="E5963" s="26" t="s">
        <v>43926</v>
      </c>
      <c r="F5963" s="37" t="s">
        <v>54401</v>
      </c>
      <c r="G5963" s="39">
        <v>225040.27</v>
      </c>
      <c r="H5963" s="42">
        <v>211</v>
      </c>
    </row>
    <row r="5964" spans="1:8" ht="15" customHeight="1">
      <c r="A5964" s="26">
        <v>53093983</v>
      </c>
      <c r="B5964" s="29" t="s">
        <v>8194</v>
      </c>
      <c r="C5964" s="29" t="s">
        <v>17204</v>
      </c>
      <c r="D5964" s="29" t="s">
        <v>30349</v>
      </c>
      <c r="E5964" s="29" t="s">
        <v>43926</v>
      </c>
      <c r="F5964" s="36" t="s">
        <v>54401</v>
      </c>
      <c r="G5964" s="39">
        <v>215914.53</v>
      </c>
      <c r="H5964" s="42">
        <v>211</v>
      </c>
    </row>
    <row r="5965" spans="1:8" ht="15" customHeight="1">
      <c r="A5965" s="26">
        <v>53102942</v>
      </c>
      <c r="B5965" s="29" t="s">
        <v>8195</v>
      </c>
      <c r="C5965" s="29" t="s">
        <v>22563</v>
      </c>
      <c r="D5965" s="29" t="s">
        <v>35820</v>
      </c>
      <c r="E5965" s="29" t="s">
        <v>48492</v>
      </c>
      <c r="F5965" s="36" t="s">
        <v>54401</v>
      </c>
      <c r="G5965" s="39">
        <f>1237224.74+133833</f>
        <v>1371057.74</v>
      </c>
      <c r="H5965" s="42">
        <v>211</v>
      </c>
    </row>
    <row r="5966" spans="1:8" ht="15" customHeight="1">
      <c r="A5966" s="26">
        <v>53103970</v>
      </c>
      <c r="B5966" s="29" t="s">
        <v>8196</v>
      </c>
      <c r="C5966" s="29" t="s">
        <v>22564</v>
      </c>
      <c r="D5966" s="29" t="s">
        <v>35821</v>
      </c>
      <c r="E5966" s="29" t="s">
        <v>48493</v>
      </c>
      <c r="F5966" s="36" t="s">
        <v>54401</v>
      </c>
      <c r="G5966" s="39">
        <v>353680.08</v>
      </c>
      <c r="H5966" s="42">
        <v>211</v>
      </c>
    </row>
    <row r="5967" spans="1:8" ht="15" customHeight="1">
      <c r="A5967" s="26">
        <v>53105014</v>
      </c>
      <c r="B5967" s="29" t="s">
        <v>8197</v>
      </c>
      <c r="C5967" s="29" t="s">
        <v>22565</v>
      </c>
      <c r="D5967" s="29" t="s">
        <v>35822</v>
      </c>
      <c r="E5967" s="29" t="s">
        <v>44830</v>
      </c>
      <c r="F5967" s="36" t="s">
        <v>54401</v>
      </c>
      <c r="G5967" s="39">
        <v>90366.58</v>
      </c>
      <c r="H5967" s="42">
        <v>211</v>
      </c>
    </row>
    <row r="5968" spans="1:8" ht="15" customHeight="1">
      <c r="A5968" s="26">
        <v>53106749</v>
      </c>
      <c r="B5968" s="29" t="s">
        <v>8198</v>
      </c>
      <c r="C5968" s="29" t="s">
        <v>17204</v>
      </c>
      <c r="D5968" s="29" t="s">
        <v>35823</v>
      </c>
      <c r="E5968" s="29" t="s">
        <v>43926</v>
      </c>
      <c r="F5968" s="36" t="s">
        <v>54401</v>
      </c>
      <c r="G5968" s="39">
        <v>85691.85</v>
      </c>
      <c r="H5968" s="42">
        <v>211</v>
      </c>
    </row>
    <row r="5969" spans="1:8" ht="15" customHeight="1">
      <c r="A5969" s="26">
        <v>53119496</v>
      </c>
      <c r="B5969" s="29" t="s">
        <v>8199</v>
      </c>
      <c r="C5969" s="29" t="s">
        <v>22566</v>
      </c>
      <c r="D5969" s="29" t="s">
        <v>35824</v>
      </c>
      <c r="E5969" s="29" t="s">
        <v>43926</v>
      </c>
      <c r="F5969" s="36" t="s">
        <v>54401</v>
      </c>
      <c r="G5969" s="39">
        <v>67298.23</v>
      </c>
      <c r="H5969" s="42">
        <v>211</v>
      </c>
    </row>
    <row r="5970" spans="1:8" ht="15" customHeight="1">
      <c r="A5970" s="26">
        <v>53122331</v>
      </c>
      <c r="B5970" s="29" t="s">
        <v>8200</v>
      </c>
      <c r="C5970" s="29" t="s">
        <v>22567</v>
      </c>
      <c r="D5970" s="29" t="s">
        <v>35825</v>
      </c>
      <c r="E5970" s="29" t="s">
        <v>48494</v>
      </c>
      <c r="F5970" s="36" t="s">
        <v>54401</v>
      </c>
      <c r="G5970" s="39">
        <v>643007.19999999995</v>
      </c>
      <c r="H5970" s="42">
        <v>211</v>
      </c>
    </row>
    <row r="5971" spans="1:8" ht="15" customHeight="1">
      <c r="A5971" s="26">
        <v>53122670</v>
      </c>
      <c r="B5971" s="29" t="s">
        <v>8201</v>
      </c>
      <c r="C5971" s="29" t="s">
        <v>22568</v>
      </c>
      <c r="D5971" s="29" t="s">
        <v>35826</v>
      </c>
      <c r="E5971" s="29" t="s">
        <v>44023</v>
      </c>
      <c r="F5971" s="36" t="s">
        <v>54401</v>
      </c>
      <c r="G5971" s="39">
        <v>2415309.44</v>
      </c>
      <c r="H5971" s="42">
        <v>211</v>
      </c>
    </row>
    <row r="5972" spans="1:8" ht="15" customHeight="1">
      <c r="A5972" s="26">
        <v>53123805</v>
      </c>
      <c r="B5972" s="29" t="s">
        <v>8202</v>
      </c>
      <c r="C5972" s="26" t="s">
        <v>22569</v>
      </c>
      <c r="D5972" s="26" t="s">
        <v>35827</v>
      </c>
      <c r="E5972" s="26" t="s">
        <v>48495</v>
      </c>
      <c r="F5972" s="37" t="s">
        <v>54401</v>
      </c>
      <c r="G5972" s="39">
        <v>113117.75999999999</v>
      </c>
      <c r="H5972" s="42">
        <v>211</v>
      </c>
    </row>
    <row r="5973" spans="1:8" ht="15" customHeight="1">
      <c r="A5973" s="26">
        <v>53123834</v>
      </c>
      <c r="B5973" s="29" t="s">
        <v>8203</v>
      </c>
      <c r="C5973" s="29" t="s">
        <v>22570</v>
      </c>
      <c r="D5973" s="29" t="s">
        <v>35828</v>
      </c>
      <c r="E5973" s="29" t="s">
        <v>48496</v>
      </c>
      <c r="F5973" s="36" t="s">
        <v>54401</v>
      </c>
      <c r="G5973" s="39">
        <v>2314866.5099999998</v>
      </c>
      <c r="H5973" s="42">
        <v>211</v>
      </c>
    </row>
    <row r="5974" spans="1:8" ht="15" customHeight="1">
      <c r="A5974" s="26">
        <v>53134146</v>
      </c>
      <c r="B5974" s="29" t="s">
        <v>8204</v>
      </c>
      <c r="C5974" s="29" t="s">
        <v>22571</v>
      </c>
      <c r="D5974" s="29" t="s">
        <v>35829</v>
      </c>
      <c r="E5974" s="29" t="s">
        <v>48248</v>
      </c>
      <c r="F5974" s="36" t="s">
        <v>54401</v>
      </c>
      <c r="G5974" s="39">
        <v>1250836.23</v>
      </c>
      <c r="H5974" s="42">
        <v>211</v>
      </c>
    </row>
    <row r="5975" spans="1:8" ht="15" customHeight="1">
      <c r="A5975" s="26">
        <v>53153752</v>
      </c>
      <c r="B5975" s="29" t="s">
        <v>8205</v>
      </c>
      <c r="C5975" s="29" t="s">
        <v>22572</v>
      </c>
      <c r="D5975" s="29" t="s">
        <v>35830</v>
      </c>
      <c r="E5975" s="29" t="s">
        <v>48497</v>
      </c>
      <c r="F5975" s="36" t="s">
        <v>54401</v>
      </c>
      <c r="G5975" s="39">
        <v>683346.68</v>
      </c>
      <c r="H5975" s="42">
        <v>211</v>
      </c>
    </row>
    <row r="5976" spans="1:8" ht="15" customHeight="1">
      <c r="A5976" s="26">
        <v>53159472</v>
      </c>
      <c r="B5976" s="29" t="s">
        <v>8206</v>
      </c>
      <c r="C5976" s="29" t="s">
        <v>22573</v>
      </c>
      <c r="D5976" s="29" t="s">
        <v>35831</v>
      </c>
      <c r="E5976" s="29" t="s">
        <v>48498</v>
      </c>
      <c r="F5976" s="36" t="s">
        <v>54435</v>
      </c>
      <c r="G5976" s="39">
        <v>504156.42</v>
      </c>
      <c r="H5976" s="42">
        <v>211</v>
      </c>
    </row>
    <row r="5977" spans="1:8" ht="15" customHeight="1">
      <c r="A5977" s="26">
        <v>53165277</v>
      </c>
      <c r="B5977" s="29" t="s">
        <v>8207</v>
      </c>
      <c r="C5977" s="29" t="s">
        <v>22574</v>
      </c>
      <c r="D5977" s="29" t="s">
        <v>35832</v>
      </c>
      <c r="E5977" s="29" t="s">
        <v>44345</v>
      </c>
      <c r="F5977" s="36" t="s">
        <v>54401</v>
      </c>
      <c r="G5977" s="39">
        <v>649695.6</v>
      </c>
      <c r="H5977" s="42">
        <v>211</v>
      </c>
    </row>
    <row r="5978" spans="1:8" ht="15" customHeight="1">
      <c r="A5978" s="26">
        <v>53165349</v>
      </c>
      <c r="B5978" s="29" t="s">
        <v>8208</v>
      </c>
      <c r="C5978" s="26" t="s">
        <v>17204</v>
      </c>
      <c r="D5978" s="26" t="s">
        <v>30349</v>
      </c>
      <c r="E5978" s="26" t="s">
        <v>43926</v>
      </c>
      <c r="F5978" s="37" t="s">
        <v>54401</v>
      </c>
      <c r="G5978" s="39">
        <v>455282.36</v>
      </c>
      <c r="H5978" s="42">
        <v>211</v>
      </c>
    </row>
    <row r="5979" spans="1:8" ht="15" customHeight="1">
      <c r="A5979" s="26">
        <v>53892256</v>
      </c>
      <c r="B5979" s="29" t="s">
        <v>8209</v>
      </c>
      <c r="C5979" s="29" t="s">
        <v>22575</v>
      </c>
      <c r="D5979" s="29" t="s">
        <v>35833</v>
      </c>
      <c r="E5979" s="29" t="s">
        <v>48499</v>
      </c>
      <c r="F5979" s="36" t="s">
        <v>54401</v>
      </c>
      <c r="G5979" s="39">
        <v>164936.13</v>
      </c>
      <c r="H5979" s="42">
        <v>211</v>
      </c>
    </row>
    <row r="5980" spans="1:8" ht="15" customHeight="1">
      <c r="A5980" s="26">
        <v>53894236</v>
      </c>
      <c r="B5980" s="29" t="s">
        <v>8210</v>
      </c>
      <c r="C5980" s="29" t="s">
        <v>22576</v>
      </c>
      <c r="D5980" s="29" t="s">
        <v>35834</v>
      </c>
      <c r="E5980" s="29" t="s">
        <v>48500</v>
      </c>
      <c r="F5980" s="36" t="s">
        <v>54401</v>
      </c>
      <c r="G5980" s="39">
        <v>921829.04</v>
      </c>
      <c r="H5980" s="42">
        <v>211</v>
      </c>
    </row>
    <row r="5981" spans="1:8" ht="15" customHeight="1">
      <c r="A5981" s="26">
        <v>53894707</v>
      </c>
      <c r="B5981" s="29" t="s">
        <v>8211</v>
      </c>
      <c r="C5981" s="29" t="s">
        <v>22577</v>
      </c>
      <c r="D5981" s="29" t="s">
        <v>35835</v>
      </c>
      <c r="E5981" s="29" t="s">
        <v>48501</v>
      </c>
      <c r="F5981" s="36" t="s">
        <v>54401</v>
      </c>
      <c r="G5981" s="39">
        <v>353042.12</v>
      </c>
      <c r="H5981" s="42">
        <v>211</v>
      </c>
    </row>
    <row r="5982" spans="1:8" ht="15" customHeight="1">
      <c r="A5982" s="26">
        <v>55061391</v>
      </c>
      <c r="B5982" s="29" t="s">
        <v>8212</v>
      </c>
      <c r="C5982" s="29" t="s">
        <v>22578</v>
      </c>
      <c r="D5982" s="29" t="s">
        <v>35836</v>
      </c>
      <c r="E5982" s="29" t="s">
        <v>48502</v>
      </c>
      <c r="F5982" s="36" t="s">
        <v>54423</v>
      </c>
      <c r="G5982" s="39">
        <f>2473906.61+862751</f>
        <v>3336657.61</v>
      </c>
      <c r="H5982" s="42">
        <v>211</v>
      </c>
    </row>
    <row r="5983" spans="1:8" ht="15" customHeight="1">
      <c r="A5983" s="26">
        <v>55064782</v>
      </c>
      <c r="B5983" s="29" t="s">
        <v>8213</v>
      </c>
      <c r="C5983" s="29" t="s">
        <v>17337</v>
      </c>
      <c r="D5983" s="29" t="s">
        <v>35837</v>
      </c>
      <c r="E5983" s="29" t="s">
        <v>48503</v>
      </c>
      <c r="F5983" s="36" t="s">
        <v>54401</v>
      </c>
      <c r="G5983" s="39">
        <f>7818213.53+1936718-81815+69069</f>
        <v>9742185.5300000012</v>
      </c>
      <c r="H5983" s="42">
        <v>211</v>
      </c>
    </row>
    <row r="5984" spans="1:8" ht="15" customHeight="1">
      <c r="A5984" s="26">
        <v>55159554</v>
      </c>
      <c r="B5984" s="29" t="s">
        <v>8214</v>
      </c>
      <c r="C5984" s="29" t="s">
        <v>22579</v>
      </c>
      <c r="D5984" s="29" t="s">
        <v>35838</v>
      </c>
      <c r="E5984" s="29" t="s">
        <v>48504</v>
      </c>
      <c r="F5984" s="36" t="s">
        <v>54401</v>
      </c>
      <c r="G5984" s="39">
        <v>53854.11</v>
      </c>
      <c r="H5984" s="42">
        <v>211</v>
      </c>
    </row>
    <row r="5985" spans="1:8" ht="15" customHeight="1">
      <c r="A5985" s="26">
        <v>55195729</v>
      </c>
      <c r="B5985" s="29" t="s">
        <v>8215</v>
      </c>
      <c r="C5985" s="29" t="s">
        <v>22580</v>
      </c>
      <c r="D5985" s="29" t="s">
        <v>35839</v>
      </c>
      <c r="E5985" s="29" t="s">
        <v>48505</v>
      </c>
      <c r="F5985" s="36" t="s">
        <v>54401</v>
      </c>
      <c r="G5985" s="39">
        <f>3428394.15+304274</f>
        <v>3732668.15</v>
      </c>
      <c r="H5985" s="42">
        <v>211</v>
      </c>
    </row>
    <row r="5986" spans="1:8" ht="15" customHeight="1">
      <c r="A5986" s="26">
        <v>56097630</v>
      </c>
      <c r="B5986" s="29" t="s">
        <v>8216</v>
      </c>
      <c r="C5986" s="29" t="s">
        <v>22581</v>
      </c>
      <c r="D5986" s="29" t="s">
        <v>35840</v>
      </c>
      <c r="E5986" s="29" t="s">
        <v>48506</v>
      </c>
      <c r="F5986" s="36" t="s">
        <v>54401</v>
      </c>
      <c r="G5986" s="39">
        <v>115310.04</v>
      </c>
      <c r="H5986" s="42">
        <v>211</v>
      </c>
    </row>
    <row r="5987" spans="1:8" ht="15" customHeight="1">
      <c r="A5987" s="26">
        <v>59836491</v>
      </c>
      <c r="B5987" s="29" t="s">
        <v>8217</v>
      </c>
      <c r="C5987" s="29" t="s">
        <v>22582</v>
      </c>
      <c r="D5987" s="29" t="s">
        <v>35841</v>
      </c>
      <c r="E5987" s="29" t="s">
        <v>48507</v>
      </c>
      <c r="F5987" s="36" t="s">
        <v>54401</v>
      </c>
      <c r="G5987" s="39">
        <v>833951.42</v>
      </c>
      <c r="H5987" s="42">
        <v>211</v>
      </c>
    </row>
    <row r="5988" spans="1:8" ht="15" customHeight="1">
      <c r="A5988" s="26">
        <v>60250463</v>
      </c>
      <c r="B5988" s="29" t="s">
        <v>8218</v>
      </c>
      <c r="C5988" s="29" t="s">
        <v>17204</v>
      </c>
      <c r="D5988" s="29" t="s">
        <v>35842</v>
      </c>
      <c r="E5988" s="29" t="s">
        <v>43926</v>
      </c>
      <c r="F5988" s="36" t="s">
        <v>54401</v>
      </c>
      <c r="G5988" s="39">
        <v>20321.07</v>
      </c>
      <c r="H5988" s="42">
        <v>211</v>
      </c>
    </row>
    <row r="5989" spans="1:8" ht="15" customHeight="1">
      <c r="A5989" s="26">
        <v>60255522</v>
      </c>
      <c r="B5989" s="29" t="s">
        <v>8219</v>
      </c>
      <c r="C5989" s="29" t="s">
        <v>17204</v>
      </c>
      <c r="D5989" s="29" t="s">
        <v>35843</v>
      </c>
      <c r="E5989" s="29" t="s">
        <v>43926</v>
      </c>
      <c r="F5989" s="36" t="s">
        <v>54401</v>
      </c>
      <c r="G5989" s="39">
        <v>13157</v>
      </c>
      <c r="H5989" s="42">
        <v>211</v>
      </c>
    </row>
    <row r="5990" spans="1:8" ht="15" customHeight="1">
      <c r="A5990" s="26">
        <v>60260201</v>
      </c>
      <c r="B5990" s="29" t="s">
        <v>8220</v>
      </c>
      <c r="C5990" s="29" t="s">
        <v>22583</v>
      </c>
      <c r="D5990" s="29" t="s">
        <v>35844</v>
      </c>
      <c r="E5990" s="29" t="s">
        <v>48508</v>
      </c>
      <c r="F5990" s="36" t="s">
        <v>54407</v>
      </c>
      <c r="G5990" s="39">
        <v>129389.49</v>
      </c>
      <c r="H5990" s="42">
        <v>211</v>
      </c>
    </row>
    <row r="5991" spans="1:8" ht="15" customHeight="1">
      <c r="A5991" s="26">
        <v>60265587</v>
      </c>
      <c r="B5991" s="29" t="s">
        <v>8221</v>
      </c>
      <c r="C5991" s="29" t="s">
        <v>22584</v>
      </c>
      <c r="D5991" s="29" t="s">
        <v>35845</v>
      </c>
      <c r="E5991" s="29" t="s">
        <v>48509</v>
      </c>
      <c r="F5991" s="36" t="s">
        <v>54401</v>
      </c>
      <c r="G5991" s="39">
        <v>48123.83</v>
      </c>
      <c r="H5991" s="42">
        <v>211</v>
      </c>
    </row>
    <row r="5992" spans="1:8" ht="15" customHeight="1">
      <c r="A5992" s="26">
        <v>60275721</v>
      </c>
      <c r="B5992" s="29" t="s">
        <v>8222</v>
      </c>
      <c r="C5992" s="29" t="s">
        <v>22585</v>
      </c>
      <c r="D5992" s="29" t="s">
        <v>35846</v>
      </c>
      <c r="E5992" s="29" t="s">
        <v>48510</v>
      </c>
      <c r="F5992" s="36" t="s">
        <v>54407</v>
      </c>
      <c r="G5992" s="39">
        <v>1043345.32</v>
      </c>
      <c r="H5992" s="42">
        <v>211</v>
      </c>
    </row>
    <row r="5993" spans="1:8" ht="15" customHeight="1">
      <c r="A5993" s="26">
        <v>60313050</v>
      </c>
      <c r="B5993" s="29" t="s">
        <v>8223</v>
      </c>
      <c r="C5993" s="29" t="s">
        <v>22586</v>
      </c>
      <c r="D5993" s="29" t="s">
        <v>35847</v>
      </c>
      <c r="E5993" s="29" t="s">
        <v>48511</v>
      </c>
      <c r="F5993" s="36" t="s">
        <v>54402</v>
      </c>
      <c r="G5993" s="39">
        <f>34667960.3-487827</f>
        <v>34180133.299999997</v>
      </c>
      <c r="H5993" s="42">
        <v>211</v>
      </c>
    </row>
    <row r="5994" spans="1:8" ht="15" customHeight="1">
      <c r="A5994" s="26">
        <v>60319632</v>
      </c>
      <c r="B5994" s="29" t="s">
        <v>8224</v>
      </c>
      <c r="C5994" s="29" t="s">
        <v>22587</v>
      </c>
      <c r="D5994" s="29" t="s">
        <v>35848</v>
      </c>
      <c r="E5994" s="29" t="s">
        <v>48512</v>
      </c>
      <c r="F5994" s="36" t="s">
        <v>54401</v>
      </c>
      <c r="G5994" s="39">
        <v>165128.32999999999</v>
      </c>
      <c r="H5994" s="42">
        <v>211</v>
      </c>
    </row>
    <row r="5995" spans="1:8" ht="15" customHeight="1">
      <c r="A5995" s="26">
        <v>60330914</v>
      </c>
      <c r="B5995" s="29" t="s">
        <v>8225</v>
      </c>
      <c r="C5995" s="29" t="s">
        <v>22588</v>
      </c>
      <c r="D5995" s="29" t="s">
        <v>35849</v>
      </c>
      <c r="E5995" s="29" t="s">
        <v>48513</v>
      </c>
      <c r="F5995" s="36" t="s">
        <v>54401</v>
      </c>
      <c r="G5995" s="39">
        <v>195114.12</v>
      </c>
      <c r="H5995" s="42">
        <v>211</v>
      </c>
    </row>
    <row r="5996" spans="1:8" ht="15" customHeight="1">
      <c r="A5996" s="26">
        <v>60337724</v>
      </c>
      <c r="B5996" s="29" t="s">
        <v>8226</v>
      </c>
      <c r="C5996" s="29" t="s">
        <v>22589</v>
      </c>
      <c r="D5996" s="29" t="s">
        <v>35850</v>
      </c>
      <c r="E5996" s="29" t="s">
        <v>48514</v>
      </c>
      <c r="F5996" s="36" t="s">
        <v>54401</v>
      </c>
      <c r="G5996" s="39">
        <f>2015762.85+139915</f>
        <v>2155677.85</v>
      </c>
      <c r="H5996" s="42">
        <v>211</v>
      </c>
    </row>
    <row r="5997" spans="1:8" ht="15" customHeight="1">
      <c r="A5997" s="26">
        <v>60362807</v>
      </c>
      <c r="B5997" s="29" t="s">
        <v>8227</v>
      </c>
      <c r="C5997" s="29" t="s">
        <v>22590</v>
      </c>
      <c r="D5997" s="29" t="s">
        <v>35851</v>
      </c>
      <c r="E5997" s="29" t="s">
        <v>48515</v>
      </c>
      <c r="F5997" s="36" t="s">
        <v>54401</v>
      </c>
      <c r="G5997" s="39">
        <v>158758.79</v>
      </c>
      <c r="H5997" s="42">
        <v>211</v>
      </c>
    </row>
    <row r="5998" spans="1:8" ht="15" customHeight="1">
      <c r="A5998" s="26">
        <v>60369416</v>
      </c>
      <c r="B5998" s="29" t="s">
        <v>8228</v>
      </c>
      <c r="C5998" s="29" t="s">
        <v>22591</v>
      </c>
      <c r="D5998" s="29" t="s">
        <v>35852</v>
      </c>
      <c r="E5998" s="29" t="s">
        <v>48516</v>
      </c>
      <c r="F5998" s="36" t="s">
        <v>54401</v>
      </c>
      <c r="G5998" s="39">
        <v>373224.58</v>
      </c>
      <c r="H5998" s="42">
        <v>211</v>
      </c>
    </row>
    <row r="5999" spans="1:8" ht="15" customHeight="1">
      <c r="A5999" s="26">
        <v>60371324</v>
      </c>
      <c r="B5999" s="29" t="s">
        <v>8229</v>
      </c>
      <c r="C5999" s="29" t="s">
        <v>22592</v>
      </c>
      <c r="D5999" s="29" t="s">
        <v>35853</v>
      </c>
      <c r="E5999" s="29" t="s">
        <v>48517</v>
      </c>
      <c r="F5999" s="36" t="s">
        <v>54401</v>
      </c>
      <c r="G5999" s="39">
        <v>365758.31</v>
      </c>
      <c r="H5999" s="42">
        <v>211</v>
      </c>
    </row>
    <row r="6000" spans="1:8" ht="15" customHeight="1">
      <c r="A6000" s="26">
        <v>60379385</v>
      </c>
      <c r="B6000" s="29" t="s">
        <v>8230</v>
      </c>
      <c r="C6000" s="29" t="s">
        <v>17204</v>
      </c>
      <c r="D6000" s="29" t="s">
        <v>35854</v>
      </c>
      <c r="E6000" s="29" t="s">
        <v>43926</v>
      </c>
      <c r="F6000" s="36" t="s">
        <v>54401</v>
      </c>
      <c r="G6000" s="39">
        <v>274066.59000000003</v>
      </c>
      <c r="H6000" s="42">
        <v>211</v>
      </c>
    </row>
    <row r="6001" spans="1:8" ht="15" customHeight="1">
      <c r="A6001" s="26">
        <v>60388469</v>
      </c>
      <c r="B6001" s="29" t="s">
        <v>8231</v>
      </c>
      <c r="C6001" s="29" t="s">
        <v>22593</v>
      </c>
      <c r="D6001" s="29" t="s">
        <v>35855</v>
      </c>
      <c r="E6001" s="29" t="s">
        <v>48518</v>
      </c>
      <c r="F6001" s="36" t="s">
        <v>54406</v>
      </c>
      <c r="G6001" s="39">
        <v>1182455.9099999999</v>
      </c>
      <c r="H6001" s="42">
        <v>211</v>
      </c>
    </row>
    <row r="6002" spans="1:8" ht="15" customHeight="1">
      <c r="A6002" s="26">
        <v>60402643</v>
      </c>
      <c r="B6002" s="29" t="s">
        <v>8232</v>
      </c>
      <c r="C6002" s="29" t="s">
        <v>17204</v>
      </c>
      <c r="D6002" s="29" t="s">
        <v>35856</v>
      </c>
      <c r="E6002" s="29" t="s">
        <v>43926</v>
      </c>
      <c r="F6002" s="36" t="s">
        <v>54401</v>
      </c>
      <c r="G6002" s="39">
        <v>1034435.96</v>
      </c>
      <c r="H6002" s="42">
        <v>211</v>
      </c>
    </row>
    <row r="6003" spans="1:8" ht="15" customHeight="1">
      <c r="A6003" s="26">
        <v>60410899</v>
      </c>
      <c r="B6003" s="29" t="s">
        <v>8233</v>
      </c>
      <c r="C6003" s="29" t="s">
        <v>22594</v>
      </c>
      <c r="D6003" s="29" t="s">
        <v>35857</v>
      </c>
      <c r="E6003" s="29" t="s">
        <v>48519</v>
      </c>
      <c r="F6003" s="36" t="s">
        <v>54401</v>
      </c>
      <c r="G6003" s="39">
        <v>6586.97</v>
      </c>
      <c r="H6003" s="42">
        <v>211</v>
      </c>
    </row>
    <row r="6004" spans="1:8" ht="15" customHeight="1">
      <c r="A6004" s="26">
        <v>60447950</v>
      </c>
      <c r="B6004" s="29" t="s">
        <v>8234</v>
      </c>
      <c r="C6004" s="29" t="s">
        <v>22595</v>
      </c>
      <c r="D6004" s="29" t="s">
        <v>35858</v>
      </c>
      <c r="E6004" s="29" t="s">
        <v>48520</v>
      </c>
      <c r="F6004" s="36" t="s">
        <v>54401</v>
      </c>
      <c r="G6004" s="39">
        <v>279775.61</v>
      </c>
      <c r="H6004" s="42">
        <v>211</v>
      </c>
    </row>
    <row r="6005" spans="1:8" ht="15" customHeight="1">
      <c r="A6005" s="26">
        <v>63277383</v>
      </c>
      <c r="B6005" s="29" t="s">
        <v>8235</v>
      </c>
      <c r="C6005" s="29" t="s">
        <v>17204</v>
      </c>
      <c r="D6005" s="29" t="s">
        <v>35859</v>
      </c>
      <c r="E6005" s="29" t="s">
        <v>43926</v>
      </c>
      <c r="F6005" s="36" t="s">
        <v>54401</v>
      </c>
      <c r="G6005" s="39">
        <v>337422.27</v>
      </c>
      <c r="H6005" s="42">
        <v>211</v>
      </c>
    </row>
    <row r="6006" spans="1:8" ht="15" customHeight="1">
      <c r="A6006" s="26">
        <v>63303055</v>
      </c>
      <c r="B6006" s="29" t="s">
        <v>8236</v>
      </c>
      <c r="C6006" s="29" t="s">
        <v>22596</v>
      </c>
      <c r="D6006" s="29" t="s">
        <v>35860</v>
      </c>
      <c r="E6006" s="29" t="s">
        <v>43928</v>
      </c>
      <c r="F6006" s="36" t="s">
        <v>54401</v>
      </c>
      <c r="G6006" s="39">
        <v>77684.039999999994</v>
      </c>
      <c r="H6006" s="42">
        <v>211</v>
      </c>
    </row>
    <row r="6007" spans="1:8" ht="15" customHeight="1">
      <c r="A6007" s="26">
        <v>63307571</v>
      </c>
      <c r="B6007" s="29" t="s">
        <v>8237</v>
      </c>
      <c r="C6007" s="29" t="s">
        <v>22597</v>
      </c>
      <c r="D6007" s="29" t="s">
        <v>35861</v>
      </c>
      <c r="E6007" s="29" t="s">
        <v>48521</v>
      </c>
      <c r="F6007" s="36" t="s">
        <v>54401</v>
      </c>
      <c r="G6007" s="39">
        <f>1787695.37-140254</f>
        <v>1647441.37</v>
      </c>
      <c r="H6007" s="42">
        <v>211</v>
      </c>
    </row>
    <row r="6008" spans="1:8" ht="15" customHeight="1">
      <c r="A6008" s="26">
        <v>63311279</v>
      </c>
      <c r="B6008" s="29" t="s">
        <v>8238</v>
      </c>
      <c r="C6008" s="29" t="s">
        <v>22598</v>
      </c>
      <c r="D6008" s="29" t="s">
        <v>35862</v>
      </c>
      <c r="E6008" s="29" t="s">
        <v>48522</v>
      </c>
      <c r="F6008" s="36" t="s">
        <v>54401</v>
      </c>
      <c r="G6008" s="39">
        <v>1899945.88</v>
      </c>
      <c r="H6008" s="42">
        <v>211</v>
      </c>
    </row>
    <row r="6009" spans="1:8" ht="15" customHeight="1">
      <c r="A6009" s="26">
        <v>63317607</v>
      </c>
      <c r="B6009" s="29" t="s">
        <v>8239</v>
      </c>
      <c r="C6009" s="29" t="s">
        <v>22599</v>
      </c>
      <c r="D6009" s="29" t="s">
        <v>35863</v>
      </c>
      <c r="E6009" s="29" t="s">
        <v>43926</v>
      </c>
      <c r="F6009" s="36" t="s">
        <v>54401</v>
      </c>
      <c r="G6009" s="39">
        <v>99262.52</v>
      </c>
      <c r="H6009" s="42">
        <v>211</v>
      </c>
    </row>
    <row r="6010" spans="1:8" ht="15" customHeight="1">
      <c r="A6010" s="26">
        <v>63317682</v>
      </c>
      <c r="B6010" s="29" t="s">
        <v>8240</v>
      </c>
      <c r="C6010" s="29" t="s">
        <v>22600</v>
      </c>
      <c r="D6010" s="29" t="s">
        <v>35864</v>
      </c>
      <c r="E6010" s="29" t="s">
        <v>48523</v>
      </c>
      <c r="F6010" s="36" t="s">
        <v>54413</v>
      </c>
      <c r="G6010" s="39">
        <v>61476.19</v>
      </c>
      <c r="H6010" s="42">
        <v>211</v>
      </c>
    </row>
    <row r="6011" spans="1:8" ht="15" customHeight="1">
      <c r="A6011" s="26">
        <v>63341481</v>
      </c>
      <c r="B6011" s="29" t="s">
        <v>8241</v>
      </c>
      <c r="C6011" s="29" t="s">
        <v>22601</v>
      </c>
      <c r="D6011" s="29" t="s">
        <v>35865</v>
      </c>
      <c r="E6011" s="29" t="s">
        <v>48524</v>
      </c>
      <c r="F6011" s="36" t="s">
        <v>54401</v>
      </c>
      <c r="G6011" s="39">
        <v>13613.45</v>
      </c>
      <c r="H6011" s="42">
        <v>211</v>
      </c>
    </row>
    <row r="6012" spans="1:8" ht="15" customHeight="1">
      <c r="A6012" s="26">
        <v>63344798</v>
      </c>
      <c r="B6012" s="29" t="s">
        <v>8242</v>
      </c>
      <c r="C6012" s="29" t="s">
        <v>22602</v>
      </c>
      <c r="D6012" s="29" t="s">
        <v>35866</v>
      </c>
      <c r="E6012" s="29" t="s">
        <v>48525</v>
      </c>
      <c r="F6012" s="36" t="s">
        <v>54401</v>
      </c>
      <c r="G6012" s="39">
        <v>1902605.47</v>
      </c>
      <c r="H6012" s="42">
        <v>211</v>
      </c>
    </row>
    <row r="6013" spans="1:8" ht="15" customHeight="1">
      <c r="A6013" s="26">
        <v>63359665</v>
      </c>
      <c r="B6013" s="29" t="s">
        <v>8243</v>
      </c>
      <c r="C6013" s="29" t="s">
        <v>22603</v>
      </c>
      <c r="D6013" s="29" t="s">
        <v>35867</v>
      </c>
      <c r="E6013" s="29" t="s">
        <v>48526</v>
      </c>
      <c r="F6013" s="36" t="s">
        <v>54401</v>
      </c>
      <c r="G6013" s="39">
        <v>426220.63</v>
      </c>
      <c r="H6013" s="42">
        <v>211</v>
      </c>
    </row>
    <row r="6014" spans="1:8" ht="15" customHeight="1">
      <c r="A6014" s="26">
        <v>63369530</v>
      </c>
      <c r="B6014" s="29" t="s">
        <v>8244</v>
      </c>
      <c r="C6014" s="29" t="s">
        <v>22604</v>
      </c>
      <c r="D6014" s="29" t="s">
        <v>35868</v>
      </c>
      <c r="E6014" s="29" t="s">
        <v>46082</v>
      </c>
      <c r="F6014" s="36" t="s">
        <v>54401</v>
      </c>
      <c r="G6014" s="39">
        <v>3407684.3</v>
      </c>
      <c r="H6014" s="42">
        <v>211</v>
      </c>
    </row>
    <row r="6015" spans="1:8" ht="15" customHeight="1">
      <c r="A6015" s="26">
        <v>63392293</v>
      </c>
      <c r="B6015" s="29" t="s">
        <v>8245</v>
      </c>
      <c r="C6015" s="29" t="s">
        <v>22605</v>
      </c>
      <c r="D6015" s="29" t="s">
        <v>35869</v>
      </c>
      <c r="E6015" s="29" t="s">
        <v>43926</v>
      </c>
      <c r="F6015" s="36" t="s">
        <v>54401</v>
      </c>
      <c r="G6015" s="39">
        <v>429392.5</v>
      </c>
      <c r="H6015" s="42">
        <v>211</v>
      </c>
    </row>
    <row r="6016" spans="1:8" ht="15" customHeight="1">
      <c r="A6016" s="26">
        <v>63392710</v>
      </c>
      <c r="B6016" s="29" t="s">
        <v>8246</v>
      </c>
      <c r="C6016" s="26" t="s">
        <v>17204</v>
      </c>
      <c r="D6016" s="26" t="s">
        <v>30349</v>
      </c>
      <c r="E6016" s="26" t="s">
        <v>43926</v>
      </c>
      <c r="F6016" s="37" t="s">
        <v>54401</v>
      </c>
      <c r="G6016" s="39">
        <v>44408.07</v>
      </c>
      <c r="H6016" s="42">
        <v>211</v>
      </c>
    </row>
    <row r="6017" spans="1:8" ht="15" customHeight="1">
      <c r="A6017" s="26">
        <v>63396296</v>
      </c>
      <c r="B6017" s="29" t="s">
        <v>8247</v>
      </c>
      <c r="C6017" s="29" t="s">
        <v>22606</v>
      </c>
      <c r="D6017" s="29" t="s">
        <v>35870</v>
      </c>
      <c r="E6017" s="29" t="s">
        <v>48527</v>
      </c>
      <c r="F6017" s="36" t="s">
        <v>54401</v>
      </c>
      <c r="G6017" s="39">
        <v>738561.42</v>
      </c>
      <c r="H6017" s="42">
        <v>211</v>
      </c>
    </row>
    <row r="6018" spans="1:8" ht="15" customHeight="1">
      <c r="A6018" s="26">
        <v>63396487</v>
      </c>
      <c r="B6018" s="29" t="s">
        <v>8248</v>
      </c>
      <c r="C6018" s="29" t="s">
        <v>22607</v>
      </c>
      <c r="D6018" s="29" t="s">
        <v>35871</v>
      </c>
      <c r="E6018" s="29" t="s">
        <v>48528</v>
      </c>
      <c r="F6018" s="36" t="s">
        <v>54401</v>
      </c>
      <c r="G6018" s="39">
        <v>503179.64</v>
      </c>
      <c r="H6018" s="42">
        <v>211</v>
      </c>
    </row>
    <row r="6019" spans="1:8" ht="15" customHeight="1">
      <c r="A6019" s="26">
        <v>63397184</v>
      </c>
      <c r="B6019" s="29" t="s">
        <v>8249</v>
      </c>
      <c r="C6019" s="29" t="s">
        <v>22608</v>
      </c>
      <c r="D6019" s="29" t="s">
        <v>30349</v>
      </c>
      <c r="E6019" s="29" t="s">
        <v>717</v>
      </c>
      <c r="F6019" s="36" t="s">
        <v>54401</v>
      </c>
      <c r="G6019" s="39">
        <v>271022.51</v>
      </c>
      <c r="H6019" s="42">
        <v>211</v>
      </c>
    </row>
    <row r="6020" spans="1:8" ht="15" customHeight="1">
      <c r="A6020" s="26">
        <v>63398575</v>
      </c>
      <c r="B6020" s="29" t="s">
        <v>8250</v>
      </c>
      <c r="C6020" s="29" t="s">
        <v>22609</v>
      </c>
      <c r="D6020" s="29" t="s">
        <v>35872</v>
      </c>
      <c r="E6020" s="29" t="s">
        <v>48529</v>
      </c>
      <c r="F6020" s="36" t="s">
        <v>54401</v>
      </c>
      <c r="G6020" s="39">
        <v>486934.23</v>
      </c>
      <c r="H6020" s="42">
        <v>211</v>
      </c>
    </row>
    <row r="6021" spans="1:8" ht="15" customHeight="1">
      <c r="A6021" s="26">
        <v>63481637</v>
      </c>
      <c r="B6021" s="29" t="s">
        <v>8251</v>
      </c>
      <c r="C6021" s="29" t="s">
        <v>22610</v>
      </c>
      <c r="D6021" s="29" t="s">
        <v>35873</v>
      </c>
      <c r="E6021" s="29" t="s">
        <v>47346</v>
      </c>
      <c r="F6021" s="36" t="s">
        <v>54401</v>
      </c>
      <c r="G6021" s="39">
        <v>368138.13</v>
      </c>
      <c r="H6021" s="42">
        <v>211</v>
      </c>
    </row>
    <row r="6022" spans="1:8" ht="15" customHeight="1">
      <c r="A6022" s="26">
        <v>63481729</v>
      </c>
      <c r="B6022" s="29" t="s">
        <v>8252</v>
      </c>
      <c r="C6022" s="29" t="s">
        <v>22611</v>
      </c>
      <c r="D6022" s="29" t="s">
        <v>35874</v>
      </c>
      <c r="E6022" s="29" t="s">
        <v>44802</v>
      </c>
      <c r="F6022" s="36" t="s">
        <v>54401</v>
      </c>
      <c r="G6022" s="39">
        <v>224781.13</v>
      </c>
      <c r="H6022" s="42">
        <v>211</v>
      </c>
    </row>
    <row r="6023" spans="1:8" ht="15" customHeight="1">
      <c r="A6023" s="26">
        <v>63492894</v>
      </c>
      <c r="B6023" s="29" t="s">
        <v>8253</v>
      </c>
      <c r="C6023" s="29" t="s">
        <v>22612</v>
      </c>
      <c r="D6023" s="29" t="s">
        <v>35875</v>
      </c>
      <c r="E6023" s="29" t="s">
        <v>48530</v>
      </c>
      <c r="F6023" s="36" t="s">
        <v>54401</v>
      </c>
      <c r="G6023" s="39">
        <v>348377.52</v>
      </c>
      <c r="H6023" s="42">
        <v>211</v>
      </c>
    </row>
    <row r="6024" spans="1:8" ht="15" customHeight="1">
      <c r="A6024" s="26">
        <v>63499047</v>
      </c>
      <c r="B6024" s="29" t="s">
        <v>8254</v>
      </c>
      <c r="C6024" s="29" t="s">
        <v>22613</v>
      </c>
      <c r="D6024" s="29" t="s">
        <v>35876</v>
      </c>
      <c r="E6024" s="29" t="s">
        <v>43928</v>
      </c>
      <c r="F6024" s="36" t="s">
        <v>54401</v>
      </c>
      <c r="G6024" s="39">
        <v>31897.69</v>
      </c>
      <c r="H6024" s="42">
        <v>211</v>
      </c>
    </row>
    <row r="6025" spans="1:8" ht="15" customHeight="1">
      <c r="A6025" s="26">
        <v>63502919</v>
      </c>
      <c r="B6025" s="29" t="s">
        <v>8255</v>
      </c>
      <c r="C6025" s="29" t="s">
        <v>22614</v>
      </c>
      <c r="D6025" s="29" t="s">
        <v>35877</v>
      </c>
      <c r="E6025" s="29" t="s">
        <v>48531</v>
      </c>
      <c r="F6025" s="36" t="s">
        <v>54401</v>
      </c>
      <c r="G6025" s="39">
        <v>264788.15000000002</v>
      </c>
      <c r="H6025" s="42">
        <v>211</v>
      </c>
    </row>
    <row r="6026" spans="1:8" ht="15" customHeight="1">
      <c r="A6026" s="26">
        <v>63504909</v>
      </c>
      <c r="B6026" s="29" t="s">
        <v>8256</v>
      </c>
      <c r="C6026" s="29" t="s">
        <v>22615</v>
      </c>
      <c r="D6026" s="29" t="s">
        <v>35878</v>
      </c>
      <c r="E6026" s="29" t="s">
        <v>48532</v>
      </c>
      <c r="F6026" s="36" t="s">
        <v>54402</v>
      </c>
      <c r="G6026" s="39">
        <v>322215.69</v>
      </c>
      <c r="H6026" s="42">
        <v>211</v>
      </c>
    </row>
    <row r="6027" spans="1:8" ht="15" customHeight="1">
      <c r="A6027" s="26">
        <v>63505134</v>
      </c>
      <c r="B6027" s="29" t="s">
        <v>8257</v>
      </c>
      <c r="C6027" s="29" t="s">
        <v>22616</v>
      </c>
      <c r="D6027" s="29" t="s">
        <v>35879</v>
      </c>
      <c r="E6027" s="29" t="s">
        <v>45053</v>
      </c>
      <c r="F6027" s="36" t="s">
        <v>54401</v>
      </c>
      <c r="G6027" s="39">
        <v>917191.07</v>
      </c>
      <c r="H6027" s="42">
        <v>211</v>
      </c>
    </row>
    <row r="6028" spans="1:8" ht="15" customHeight="1">
      <c r="A6028" s="26">
        <v>63509009</v>
      </c>
      <c r="B6028" s="29" t="s">
        <v>8258</v>
      </c>
      <c r="C6028" s="29" t="s">
        <v>22617</v>
      </c>
      <c r="D6028" s="29" t="s">
        <v>35880</v>
      </c>
      <c r="E6028" s="29" t="s">
        <v>1643</v>
      </c>
      <c r="F6028" s="36" t="s">
        <v>54401</v>
      </c>
      <c r="G6028" s="39">
        <v>3291224.16</v>
      </c>
      <c r="H6028" s="42">
        <v>211</v>
      </c>
    </row>
    <row r="6029" spans="1:8" ht="15" customHeight="1">
      <c r="A6029" s="26">
        <v>63510513</v>
      </c>
      <c r="B6029" s="29" t="s">
        <v>8259</v>
      </c>
      <c r="C6029" s="29" t="s">
        <v>22618</v>
      </c>
      <c r="D6029" s="29" t="s">
        <v>35881</v>
      </c>
      <c r="E6029" s="29" t="s">
        <v>48533</v>
      </c>
      <c r="F6029" s="36" t="s">
        <v>54401</v>
      </c>
      <c r="G6029" s="39">
        <v>2464790.77</v>
      </c>
      <c r="H6029" s="42">
        <v>211</v>
      </c>
    </row>
    <row r="6030" spans="1:8" ht="15" customHeight="1">
      <c r="A6030" s="26">
        <v>63515079</v>
      </c>
      <c r="B6030" s="29" t="s">
        <v>8260</v>
      </c>
      <c r="C6030" s="29" t="s">
        <v>22619</v>
      </c>
      <c r="D6030" s="29" t="s">
        <v>35882</v>
      </c>
      <c r="E6030" s="29" t="s">
        <v>48534</v>
      </c>
      <c r="F6030" s="36" t="s">
        <v>54401</v>
      </c>
      <c r="G6030" s="39">
        <v>427315.87</v>
      </c>
      <c r="H6030" s="42">
        <v>211</v>
      </c>
    </row>
    <row r="6031" spans="1:8" ht="15" customHeight="1">
      <c r="A6031" s="26">
        <v>63515848</v>
      </c>
      <c r="B6031" s="29" t="s">
        <v>8261</v>
      </c>
      <c r="C6031" s="29" t="s">
        <v>22620</v>
      </c>
      <c r="D6031" s="29" t="s">
        <v>35883</v>
      </c>
      <c r="E6031" s="29" t="s">
        <v>48535</v>
      </c>
      <c r="F6031" s="36" t="s">
        <v>54401</v>
      </c>
      <c r="G6031" s="39">
        <v>405136.97</v>
      </c>
      <c r="H6031" s="42">
        <v>211</v>
      </c>
    </row>
    <row r="6032" spans="1:8" ht="15" customHeight="1">
      <c r="A6032" s="26">
        <v>63537947</v>
      </c>
      <c r="B6032" s="29" t="s">
        <v>8262</v>
      </c>
      <c r="C6032" s="29" t="s">
        <v>17204</v>
      </c>
      <c r="D6032" s="29" t="s">
        <v>35884</v>
      </c>
      <c r="E6032" s="29" t="s">
        <v>43926</v>
      </c>
      <c r="F6032" s="36" t="s">
        <v>54401</v>
      </c>
      <c r="G6032" s="39">
        <v>73417.37</v>
      </c>
      <c r="H6032" s="42">
        <v>211</v>
      </c>
    </row>
    <row r="6033" spans="1:8" ht="15" customHeight="1">
      <c r="A6033" s="26">
        <v>63538023</v>
      </c>
      <c r="B6033" s="29" t="s">
        <v>8263</v>
      </c>
      <c r="C6033" s="29" t="s">
        <v>22621</v>
      </c>
      <c r="D6033" s="29" t="s">
        <v>35885</v>
      </c>
      <c r="E6033" s="29" t="s">
        <v>48536</v>
      </c>
      <c r="F6033" s="36" t="s">
        <v>54401</v>
      </c>
      <c r="G6033" s="39">
        <f>5652754.41+198340</f>
        <v>5851094.4100000001</v>
      </c>
      <c r="H6033" s="42">
        <v>211</v>
      </c>
    </row>
    <row r="6034" spans="1:8" ht="15" customHeight="1">
      <c r="A6034" s="26">
        <v>63539677</v>
      </c>
      <c r="B6034" s="29" t="s">
        <v>8264</v>
      </c>
      <c r="C6034" s="29" t="s">
        <v>22622</v>
      </c>
      <c r="D6034" s="29" t="s">
        <v>35886</v>
      </c>
      <c r="E6034" s="29" t="s">
        <v>48537</v>
      </c>
      <c r="F6034" s="36" t="s">
        <v>54401</v>
      </c>
      <c r="G6034" s="39">
        <v>3041947.67</v>
      </c>
      <c r="H6034" s="42">
        <v>211</v>
      </c>
    </row>
    <row r="6035" spans="1:8" ht="15" customHeight="1">
      <c r="A6035" s="26">
        <v>63546092</v>
      </c>
      <c r="B6035" s="29" t="s">
        <v>8265</v>
      </c>
      <c r="C6035" s="29" t="s">
        <v>22623</v>
      </c>
      <c r="D6035" s="29" t="s">
        <v>35887</v>
      </c>
      <c r="E6035" s="29" t="s">
        <v>48538</v>
      </c>
      <c r="F6035" s="36" t="s">
        <v>54401</v>
      </c>
      <c r="G6035" s="39">
        <v>193124.17</v>
      </c>
      <c r="H6035" s="42">
        <v>211</v>
      </c>
    </row>
    <row r="6036" spans="1:8" ht="15" customHeight="1">
      <c r="A6036" s="26">
        <v>63547166</v>
      </c>
      <c r="B6036" s="29" t="s">
        <v>8266</v>
      </c>
      <c r="C6036" s="29" t="s">
        <v>22624</v>
      </c>
      <c r="D6036" s="29" t="s">
        <v>35888</v>
      </c>
      <c r="E6036" s="29" t="s">
        <v>48539</v>
      </c>
      <c r="F6036" s="36" t="s">
        <v>54412</v>
      </c>
      <c r="G6036" s="39">
        <v>244644.27</v>
      </c>
      <c r="H6036" s="42">
        <v>211</v>
      </c>
    </row>
    <row r="6037" spans="1:8" ht="15" customHeight="1">
      <c r="A6037" s="26">
        <v>63553948</v>
      </c>
      <c r="B6037" s="29" t="s">
        <v>8267</v>
      </c>
      <c r="C6037" s="29" t="s">
        <v>17204</v>
      </c>
      <c r="D6037" s="29" t="s">
        <v>35889</v>
      </c>
      <c r="E6037" s="29" t="s">
        <v>43926</v>
      </c>
      <c r="F6037" s="36" t="s">
        <v>54401</v>
      </c>
      <c r="G6037" s="39">
        <v>41767.86</v>
      </c>
      <c r="H6037" s="42">
        <v>211</v>
      </c>
    </row>
    <row r="6038" spans="1:8" ht="15" customHeight="1">
      <c r="A6038" s="26">
        <v>63560817</v>
      </c>
      <c r="B6038" s="29" t="s">
        <v>8268</v>
      </c>
      <c r="C6038" s="29" t="s">
        <v>22625</v>
      </c>
      <c r="D6038" s="29" t="s">
        <v>35890</v>
      </c>
      <c r="E6038" s="29" t="s">
        <v>48540</v>
      </c>
      <c r="F6038" s="36" t="s">
        <v>54401</v>
      </c>
      <c r="G6038" s="39">
        <v>187838.07</v>
      </c>
      <c r="H6038" s="42">
        <v>211</v>
      </c>
    </row>
    <row r="6039" spans="1:8" ht="15" customHeight="1">
      <c r="A6039" s="26">
        <v>63561596</v>
      </c>
      <c r="B6039" s="29" t="s">
        <v>8269</v>
      </c>
      <c r="C6039" s="29" t="s">
        <v>17204</v>
      </c>
      <c r="D6039" s="29" t="s">
        <v>30349</v>
      </c>
      <c r="E6039" s="29" t="s">
        <v>43926</v>
      </c>
      <c r="F6039" s="36" t="s">
        <v>54401</v>
      </c>
      <c r="G6039" s="39">
        <v>306096.34000000003</v>
      </c>
      <c r="H6039" s="42">
        <v>211</v>
      </c>
    </row>
    <row r="6040" spans="1:8" ht="15" customHeight="1">
      <c r="A6040" s="26">
        <v>65708602</v>
      </c>
      <c r="B6040" s="29" t="s">
        <v>8270</v>
      </c>
      <c r="C6040" s="29" t="s">
        <v>17204</v>
      </c>
      <c r="D6040" s="29" t="s">
        <v>35891</v>
      </c>
      <c r="E6040" s="29" t="s">
        <v>43926</v>
      </c>
      <c r="F6040" s="36" t="s">
        <v>54401</v>
      </c>
      <c r="G6040" s="39">
        <v>97458.03</v>
      </c>
      <c r="H6040" s="42">
        <v>211</v>
      </c>
    </row>
    <row r="6041" spans="1:8" ht="15" customHeight="1">
      <c r="A6041" s="26">
        <v>65709648</v>
      </c>
      <c r="B6041" s="29" t="s">
        <v>8271</v>
      </c>
      <c r="C6041" s="29" t="s">
        <v>22626</v>
      </c>
      <c r="D6041" s="29" t="s">
        <v>35892</v>
      </c>
      <c r="E6041" s="29" t="s">
        <v>48541</v>
      </c>
      <c r="F6041" s="36" t="s">
        <v>54401</v>
      </c>
      <c r="G6041" s="39">
        <v>1635689.74</v>
      </c>
      <c r="H6041" s="42">
        <v>211</v>
      </c>
    </row>
    <row r="6042" spans="1:8" ht="15" customHeight="1">
      <c r="A6042" s="26">
        <v>65712517</v>
      </c>
      <c r="B6042" s="29" t="s">
        <v>8272</v>
      </c>
      <c r="C6042" s="29" t="s">
        <v>22627</v>
      </c>
      <c r="D6042" s="29" t="s">
        <v>35893</v>
      </c>
      <c r="E6042" s="29" t="s">
        <v>48542</v>
      </c>
      <c r="F6042" s="36" t="s">
        <v>54401</v>
      </c>
      <c r="G6042" s="39">
        <v>134386.26999999999</v>
      </c>
      <c r="H6042" s="42">
        <v>211</v>
      </c>
    </row>
    <row r="6043" spans="1:8" ht="15" customHeight="1">
      <c r="A6043" s="26">
        <v>65715982</v>
      </c>
      <c r="B6043" s="29" t="s">
        <v>8273</v>
      </c>
      <c r="C6043" s="29" t="s">
        <v>22628</v>
      </c>
      <c r="D6043" s="29" t="s">
        <v>35894</v>
      </c>
      <c r="E6043" s="29" t="s">
        <v>48543</v>
      </c>
      <c r="F6043" s="36" t="s">
        <v>54401</v>
      </c>
      <c r="G6043" s="39">
        <v>146351.97</v>
      </c>
      <c r="H6043" s="42">
        <v>211</v>
      </c>
    </row>
    <row r="6044" spans="1:8" ht="15" customHeight="1">
      <c r="A6044" s="26">
        <v>65752956</v>
      </c>
      <c r="B6044" s="29" t="s">
        <v>8274</v>
      </c>
      <c r="C6044" s="29" t="s">
        <v>22629</v>
      </c>
      <c r="D6044" s="29" t="s">
        <v>35895</v>
      </c>
      <c r="E6044" s="29" t="s">
        <v>46369</v>
      </c>
      <c r="F6044" s="36" t="s">
        <v>54401</v>
      </c>
      <c r="G6044" s="39">
        <v>893759.89</v>
      </c>
      <c r="H6044" s="42">
        <v>211</v>
      </c>
    </row>
    <row r="6045" spans="1:8" ht="15" customHeight="1">
      <c r="A6045" s="26">
        <v>66713639</v>
      </c>
      <c r="B6045" s="29" t="s">
        <v>8275</v>
      </c>
      <c r="C6045" s="29" t="s">
        <v>22630</v>
      </c>
      <c r="D6045" s="29" t="s">
        <v>35896</v>
      </c>
      <c r="E6045" s="29" t="s">
        <v>48544</v>
      </c>
      <c r="F6045" s="36" t="s">
        <v>54401</v>
      </c>
      <c r="G6045" s="39">
        <v>637826.35</v>
      </c>
      <c r="H6045" s="42">
        <v>211</v>
      </c>
    </row>
    <row r="6046" spans="1:8" ht="15" customHeight="1">
      <c r="A6046" s="26">
        <v>66834798</v>
      </c>
      <c r="B6046" s="29" t="s">
        <v>8276</v>
      </c>
      <c r="C6046" s="29" t="s">
        <v>22631</v>
      </c>
      <c r="D6046" s="29" t="s">
        <v>35897</v>
      </c>
      <c r="E6046" s="29" t="s">
        <v>48545</v>
      </c>
      <c r="F6046" s="36" t="s">
        <v>54401</v>
      </c>
      <c r="G6046" s="39">
        <v>82167.509999999995</v>
      </c>
      <c r="H6046" s="42">
        <v>211</v>
      </c>
    </row>
    <row r="6047" spans="1:8" ht="15" customHeight="1">
      <c r="A6047" s="26">
        <v>66958344</v>
      </c>
      <c r="B6047" s="29" t="s">
        <v>8277</v>
      </c>
      <c r="C6047" s="29" t="s">
        <v>22632</v>
      </c>
      <c r="D6047" s="29" t="s">
        <v>35898</v>
      </c>
      <c r="E6047" s="29" t="s">
        <v>48546</v>
      </c>
      <c r="F6047" s="36" t="s">
        <v>54401</v>
      </c>
      <c r="G6047" s="39">
        <f>1915147.77+482429</f>
        <v>2397576.77</v>
      </c>
      <c r="H6047" s="42">
        <v>211</v>
      </c>
    </row>
    <row r="6048" spans="1:8" ht="15" customHeight="1">
      <c r="A6048" s="26">
        <v>67001440</v>
      </c>
      <c r="B6048" s="29" t="s">
        <v>8278</v>
      </c>
      <c r="C6048" s="29" t="s">
        <v>22633</v>
      </c>
      <c r="D6048" s="29" t="s">
        <v>35899</v>
      </c>
      <c r="E6048" s="29" t="s">
        <v>48547</v>
      </c>
      <c r="F6048" s="36" t="s">
        <v>54401</v>
      </c>
      <c r="G6048" s="39">
        <f>2156114.28+401544</f>
        <v>2557658.2799999998</v>
      </c>
      <c r="H6048" s="42">
        <v>211</v>
      </c>
    </row>
    <row r="6049" spans="1:8" ht="15" customHeight="1">
      <c r="A6049" s="26">
        <v>68245877</v>
      </c>
      <c r="B6049" s="29" t="s">
        <v>8279</v>
      </c>
      <c r="C6049" s="29" t="s">
        <v>22634</v>
      </c>
      <c r="D6049" s="29" t="s">
        <v>35900</v>
      </c>
      <c r="E6049" s="29" t="s">
        <v>48548</v>
      </c>
      <c r="F6049" s="36" t="s">
        <v>54401</v>
      </c>
      <c r="G6049" s="39">
        <f>1861198.41+149820</f>
        <v>2011018.41</v>
      </c>
      <c r="H6049" s="42">
        <v>211</v>
      </c>
    </row>
    <row r="6050" spans="1:8" ht="15" customHeight="1">
      <c r="A6050" s="26">
        <v>68249243</v>
      </c>
      <c r="B6050" s="29" t="s">
        <v>8280</v>
      </c>
      <c r="C6050" s="29" t="s">
        <v>22635</v>
      </c>
      <c r="D6050" s="29" t="s">
        <v>35901</v>
      </c>
      <c r="E6050" s="29" t="s">
        <v>45006</v>
      </c>
      <c r="F6050" s="36" t="s">
        <v>54401</v>
      </c>
      <c r="G6050" s="39">
        <v>812099.68</v>
      </c>
      <c r="H6050" s="42">
        <v>211</v>
      </c>
    </row>
    <row r="6051" spans="1:8" ht="15" customHeight="1">
      <c r="A6051" s="26">
        <v>68285104</v>
      </c>
      <c r="B6051" s="29" t="s">
        <v>8281</v>
      </c>
      <c r="C6051" s="29" t="s">
        <v>22636</v>
      </c>
      <c r="D6051" s="29" t="s">
        <v>35902</v>
      </c>
      <c r="E6051" s="29" t="s">
        <v>48549</v>
      </c>
      <c r="F6051" s="36" t="s">
        <v>54401</v>
      </c>
      <c r="G6051" s="39">
        <v>44026.46</v>
      </c>
      <c r="H6051" s="42">
        <v>211</v>
      </c>
    </row>
    <row r="6052" spans="1:8" ht="15" customHeight="1">
      <c r="A6052" s="26">
        <v>68291703</v>
      </c>
      <c r="B6052" s="29" t="s">
        <v>8282</v>
      </c>
      <c r="C6052" s="29" t="s">
        <v>22637</v>
      </c>
      <c r="D6052" s="29" t="s">
        <v>35903</v>
      </c>
      <c r="E6052" s="29" t="s">
        <v>45314</v>
      </c>
      <c r="F6052" s="36" t="s">
        <v>54401</v>
      </c>
      <c r="G6052" s="39">
        <v>341840.89</v>
      </c>
      <c r="H6052" s="42">
        <v>211</v>
      </c>
    </row>
    <row r="6053" spans="1:8" ht="15" customHeight="1">
      <c r="A6053" s="26">
        <v>68292485</v>
      </c>
      <c r="B6053" s="29" t="s">
        <v>8283</v>
      </c>
      <c r="C6053" s="29" t="s">
        <v>22638</v>
      </c>
      <c r="D6053" s="29" t="s">
        <v>35904</v>
      </c>
      <c r="E6053" s="29" t="s">
        <v>48550</v>
      </c>
      <c r="F6053" s="36" t="s">
        <v>54401</v>
      </c>
      <c r="G6053" s="39">
        <v>354009.86</v>
      </c>
      <c r="H6053" s="42">
        <v>211</v>
      </c>
    </row>
    <row r="6054" spans="1:8" ht="15" customHeight="1">
      <c r="A6054" s="26">
        <v>68294626</v>
      </c>
      <c r="B6054" s="29" t="s">
        <v>8284</v>
      </c>
      <c r="C6054" s="29" t="s">
        <v>22639</v>
      </c>
      <c r="D6054" s="29" t="s">
        <v>35905</v>
      </c>
      <c r="E6054" s="29" t="s">
        <v>43926</v>
      </c>
      <c r="F6054" s="36" t="s">
        <v>54401</v>
      </c>
      <c r="G6054" s="39">
        <v>252116.05</v>
      </c>
      <c r="H6054" s="42">
        <v>211</v>
      </c>
    </row>
    <row r="6055" spans="1:8" ht="15" customHeight="1">
      <c r="A6055" s="26">
        <v>68300344</v>
      </c>
      <c r="B6055" s="29" t="s">
        <v>8285</v>
      </c>
      <c r="C6055" s="29" t="s">
        <v>22640</v>
      </c>
      <c r="D6055" s="29" t="s">
        <v>35906</v>
      </c>
      <c r="E6055" s="29" t="s">
        <v>48551</v>
      </c>
      <c r="F6055" s="36" t="s">
        <v>54401</v>
      </c>
      <c r="G6055" s="39">
        <v>52036.97</v>
      </c>
      <c r="H6055" s="42">
        <v>211</v>
      </c>
    </row>
    <row r="6056" spans="1:8" ht="15" customHeight="1">
      <c r="A6056" s="26">
        <v>68303924</v>
      </c>
      <c r="B6056" s="29" t="s">
        <v>8286</v>
      </c>
      <c r="C6056" s="29" t="s">
        <v>22641</v>
      </c>
      <c r="D6056" s="29" t="s">
        <v>35907</v>
      </c>
      <c r="E6056" s="29" t="s">
        <v>48552</v>
      </c>
      <c r="F6056" s="36" t="s">
        <v>54417</v>
      </c>
      <c r="G6056" s="39">
        <v>685920.85</v>
      </c>
      <c r="H6056" s="42">
        <v>211</v>
      </c>
    </row>
    <row r="6057" spans="1:8" ht="15" customHeight="1">
      <c r="A6057" s="26">
        <v>69005628</v>
      </c>
      <c r="B6057" s="29" t="s">
        <v>8287</v>
      </c>
      <c r="C6057" s="29" t="s">
        <v>22642</v>
      </c>
      <c r="D6057" s="29" t="s">
        <v>35908</v>
      </c>
      <c r="E6057" s="29" t="s">
        <v>48553</v>
      </c>
      <c r="F6057" s="36" t="s">
        <v>54406</v>
      </c>
      <c r="G6057" s="39">
        <v>2661511.2200000002</v>
      </c>
      <c r="H6057" s="42">
        <v>211</v>
      </c>
    </row>
    <row r="6058" spans="1:8" ht="15" customHeight="1">
      <c r="A6058" s="26">
        <v>70033327</v>
      </c>
      <c r="B6058" s="29" t="s">
        <v>8288</v>
      </c>
      <c r="C6058" s="29" t="s">
        <v>22643</v>
      </c>
      <c r="D6058" s="29" t="s">
        <v>35909</v>
      </c>
      <c r="E6058" s="29" t="s">
        <v>48554</v>
      </c>
      <c r="F6058" s="36" t="s">
        <v>54401</v>
      </c>
      <c r="G6058" s="39">
        <v>6004864.3899999997</v>
      </c>
      <c r="H6058" s="42">
        <v>211</v>
      </c>
    </row>
    <row r="6059" spans="1:8" ht="15" customHeight="1">
      <c r="A6059" s="26">
        <v>71087080</v>
      </c>
      <c r="B6059" s="29" t="s">
        <v>8289</v>
      </c>
      <c r="C6059" s="29" t="s">
        <v>22644</v>
      </c>
      <c r="D6059" s="29" t="s">
        <v>35910</v>
      </c>
      <c r="E6059" s="29" t="s">
        <v>48555</v>
      </c>
      <c r="F6059" s="36" t="s">
        <v>54401</v>
      </c>
      <c r="G6059" s="39">
        <v>754462.42</v>
      </c>
      <c r="H6059" s="42">
        <v>211</v>
      </c>
    </row>
    <row r="6060" spans="1:8" ht="15" customHeight="1">
      <c r="A6060" s="26">
        <v>71188784</v>
      </c>
      <c r="B6060" s="29" t="s">
        <v>8290</v>
      </c>
      <c r="C6060" s="29" t="s">
        <v>22645</v>
      </c>
      <c r="D6060" s="29" t="s">
        <v>33157</v>
      </c>
      <c r="E6060" s="29" t="s">
        <v>45235</v>
      </c>
      <c r="F6060" s="36" t="s">
        <v>54401</v>
      </c>
      <c r="G6060" s="39">
        <v>3820542.22</v>
      </c>
      <c r="H6060" s="42">
        <v>211</v>
      </c>
    </row>
    <row r="6061" spans="1:8" ht="15" customHeight="1">
      <c r="A6061" s="26">
        <v>71194904</v>
      </c>
      <c r="B6061" s="29" t="s">
        <v>8291</v>
      </c>
      <c r="C6061" s="29" t="s">
        <v>22646</v>
      </c>
      <c r="D6061" s="29" t="s">
        <v>35911</v>
      </c>
      <c r="E6061" s="29" t="s">
        <v>48556</v>
      </c>
      <c r="F6061" s="36" t="s">
        <v>54401</v>
      </c>
      <c r="G6061" s="39">
        <v>639393.22</v>
      </c>
      <c r="H6061" s="42">
        <v>211</v>
      </c>
    </row>
    <row r="6062" spans="1:8" ht="15" customHeight="1">
      <c r="A6062" s="26">
        <v>71218177</v>
      </c>
      <c r="B6062" s="29" t="s">
        <v>8292</v>
      </c>
      <c r="C6062" s="29" t="s">
        <v>22647</v>
      </c>
      <c r="D6062" s="29" t="s">
        <v>35912</v>
      </c>
      <c r="E6062" s="29" t="s">
        <v>48557</v>
      </c>
      <c r="F6062" s="36" t="s">
        <v>54401</v>
      </c>
      <c r="G6062" s="39">
        <v>224584.72</v>
      </c>
      <c r="H6062" s="42">
        <v>211</v>
      </c>
    </row>
    <row r="6063" spans="1:8" ht="15" customHeight="1">
      <c r="A6063" s="26">
        <v>71225226</v>
      </c>
      <c r="B6063" s="29" t="s">
        <v>8293</v>
      </c>
      <c r="C6063" s="29" t="s">
        <v>22648</v>
      </c>
      <c r="D6063" s="29" t="s">
        <v>35913</v>
      </c>
      <c r="E6063" s="29" t="s">
        <v>48558</v>
      </c>
      <c r="F6063" s="36" t="s">
        <v>54401</v>
      </c>
      <c r="G6063" s="39">
        <f>3597282.29-32495</f>
        <v>3564787.29</v>
      </c>
      <c r="H6063" s="42">
        <v>211</v>
      </c>
    </row>
    <row r="6064" spans="1:8" ht="15" customHeight="1">
      <c r="A6064" s="26">
        <v>71748781</v>
      </c>
      <c r="B6064" s="29" t="s">
        <v>8294</v>
      </c>
      <c r="C6064" s="29" t="s">
        <v>22649</v>
      </c>
      <c r="D6064" s="29" t="s">
        <v>35914</v>
      </c>
      <c r="E6064" s="29" t="s">
        <v>48559</v>
      </c>
      <c r="F6064" s="36" t="s">
        <v>54401</v>
      </c>
      <c r="G6064" s="39">
        <v>3094988.55</v>
      </c>
      <c r="H6064" s="42">
        <v>211</v>
      </c>
    </row>
    <row r="6065" spans="1:8" ht="15" customHeight="1">
      <c r="A6065" s="26">
        <v>71759777</v>
      </c>
      <c r="B6065" s="29" t="s">
        <v>8295</v>
      </c>
      <c r="C6065" s="29" t="s">
        <v>22650</v>
      </c>
      <c r="D6065" s="29" t="s">
        <v>35915</v>
      </c>
      <c r="E6065" s="29" t="s">
        <v>48560</v>
      </c>
      <c r="F6065" s="36" t="s">
        <v>54409</v>
      </c>
      <c r="G6065" s="39">
        <v>472692.6</v>
      </c>
      <c r="H6065" s="42">
        <v>211</v>
      </c>
    </row>
    <row r="6066" spans="1:8" ht="15" customHeight="1">
      <c r="A6066" s="26">
        <v>71822332</v>
      </c>
      <c r="B6066" s="29" t="s">
        <v>8296</v>
      </c>
      <c r="C6066" s="29" t="s">
        <v>22651</v>
      </c>
      <c r="D6066" s="29" t="s">
        <v>35916</v>
      </c>
      <c r="E6066" s="29" t="s">
        <v>43926</v>
      </c>
      <c r="F6066" s="36" t="s">
        <v>54401</v>
      </c>
      <c r="G6066" s="39">
        <v>388866.81</v>
      </c>
      <c r="H6066" s="42">
        <v>211</v>
      </c>
    </row>
    <row r="6067" spans="1:8" ht="15" customHeight="1">
      <c r="A6067" s="26">
        <v>72170297</v>
      </c>
      <c r="B6067" s="29" t="s">
        <v>8297</v>
      </c>
      <c r="C6067" s="29" t="s">
        <v>22652</v>
      </c>
      <c r="D6067" s="29" t="s">
        <v>35917</v>
      </c>
      <c r="E6067" s="29" t="s">
        <v>48561</v>
      </c>
      <c r="F6067" s="36" t="s">
        <v>54401</v>
      </c>
      <c r="G6067" s="39">
        <v>191940.05</v>
      </c>
      <c r="H6067" s="42">
        <v>211</v>
      </c>
    </row>
    <row r="6068" spans="1:8" ht="15" customHeight="1">
      <c r="A6068" s="26">
        <v>72211770</v>
      </c>
      <c r="B6068" s="30" t="s">
        <v>8298</v>
      </c>
      <c r="C6068" s="29" t="s">
        <v>18440</v>
      </c>
      <c r="D6068" s="29" t="s">
        <v>31590</v>
      </c>
      <c r="E6068" s="29" t="s">
        <v>43926</v>
      </c>
      <c r="F6068" s="36" t="s">
        <v>54401</v>
      </c>
      <c r="G6068" s="39">
        <v>345699.73</v>
      </c>
      <c r="H6068" s="42">
        <v>211</v>
      </c>
    </row>
    <row r="6069" spans="1:8" ht="15" customHeight="1">
      <c r="A6069" s="26">
        <v>72240919</v>
      </c>
      <c r="B6069" s="30" t="s">
        <v>8299</v>
      </c>
      <c r="C6069" s="29" t="s">
        <v>17204</v>
      </c>
      <c r="D6069" s="29" t="s">
        <v>30349</v>
      </c>
      <c r="E6069" s="29" t="s">
        <v>43926</v>
      </c>
      <c r="F6069" s="36" t="s">
        <v>54401</v>
      </c>
      <c r="G6069" s="39">
        <v>167483.65</v>
      </c>
      <c r="H6069" s="42">
        <v>211</v>
      </c>
    </row>
    <row r="6070" spans="1:8" ht="15" customHeight="1">
      <c r="A6070" s="26">
        <v>72241179</v>
      </c>
      <c r="B6070" s="30" t="s">
        <v>8300</v>
      </c>
      <c r="C6070" s="26" t="s">
        <v>17204</v>
      </c>
      <c r="D6070" s="26" t="s">
        <v>30349</v>
      </c>
      <c r="E6070" s="26" t="s">
        <v>43926</v>
      </c>
      <c r="F6070" s="37" t="s">
        <v>54401</v>
      </c>
      <c r="G6070" s="39">
        <v>27530.7</v>
      </c>
      <c r="H6070" s="42">
        <v>211</v>
      </c>
    </row>
    <row r="6071" spans="1:8" ht="15" customHeight="1">
      <c r="A6071" s="26">
        <v>72246865</v>
      </c>
      <c r="B6071" s="30" t="s">
        <v>8301</v>
      </c>
      <c r="C6071" s="26" t="s">
        <v>17204</v>
      </c>
      <c r="D6071" s="26" t="s">
        <v>30349</v>
      </c>
      <c r="E6071" s="26" t="s">
        <v>43926</v>
      </c>
      <c r="F6071" s="37" t="s">
        <v>54401</v>
      </c>
      <c r="G6071" s="39">
        <v>1287771.6499999999</v>
      </c>
      <c r="H6071" s="42">
        <v>211</v>
      </c>
    </row>
    <row r="6072" spans="1:8" ht="15" customHeight="1">
      <c r="A6072" s="26">
        <v>72250445</v>
      </c>
      <c r="B6072" s="30" t="s">
        <v>8302</v>
      </c>
      <c r="C6072" s="29" t="s">
        <v>17204</v>
      </c>
      <c r="D6072" s="29" t="s">
        <v>30349</v>
      </c>
      <c r="E6072" s="29" t="s">
        <v>43926</v>
      </c>
      <c r="F6072" s="36" t="s">
        <v>54401</v>
      </c>
      <c r="G6072" s="39">
        <v>245171.45</v>
      </c>
      <c r="H6072" s="42">
        <v>211</v>
      </c>
    </row>
    <row r="6073" spans="1:8" ht="15" customHeight="1">
      <c r="A6073" s="26">
        <v>72251655</v>
      </c>
      <c r="B6073" s="30" t="s">
        <v>8303</v>
      </c>
      <c r="C6073" s="29" t="s">
        <v>22653</v>
      </c>
      <c r="D6073" s="29" t="s">
        <v>35918</v>
      </c>
      <c r="E6073" s="29" t="s">
        <v>48562</v>
      </c>
      <c r="F6073" s="36" t="s">
        <v>54401</v>
      </c>
      <c r="G6073" s="39">
        <f>2015990.11+182162</f>
        <v>2198152.1100000003</v>
      </c>
      <c r="H6073" s="42">
        <v>211</v>
      </c>
    </row>
    <row r="6074" spans="1:8" ht="15" customHeight="1">
      <c r="A6074" s="26">
        <v>72278715</v>
      </c>
      <c r="B6074" s="30" t="s">
        <v>8304</v>
      </c>
      <c r="C6074" s="29" t="s">
        <v>22654</v>
      </c>
      <c r="D6074" s="29" t="s">
        <v>35919</v>
      </c>
      <c r="E6074" s="29" t="s">
        <v>48563</v>
      </c>
      <c r="F6074" s="36" t="s">
        <v>54401</v>
      </c>
      <c r="G6074" s="39">
        <v>596383.30000000005</v>
      </c>
      <c r="H6074" s="42">
        <v>211</v>
      </c>
    </row>
    <row r="6075" spans="1:8" ht="15" customHeight="1">
      <c r="A6075" s="26">
        <v>72281116</v>
      </c>
      <c r="B6075" s="30" t="s">
        <v>8305</v>
      </c>
      <c r="C6075" s="29" t="s">
        <v>22655</v>
      </c>
      <c r="D6075" s="29" t="s">
        <v>35920</v>
      </c>
      <c r="E6075" s="29" t="s">
        <v>43928</v>
      </c>
      <c r="F6075" s="36" t="s">
        <v>54401</v>
      </c>
      <c r="G6075" s="39">
        <v>363026.9</v>
      </c>
      <c r="H6075" s="42">
        <v>211</v>
      </c>
    </row>
    <row r="6076" spans="1:8" ht="15" customHeight="1">
      <c r="A6076" s="26">
        <v>72285507</v>
      </c>
      <c r="B6076" s="30" t="s">
        <v>4044</v>
      </c>
      <c r="C6076" s="26" t="s">
        <v>18842</v>
      </c>
      <c r="D6076" s="26" t="s">
        <v>35921</v>
      </c>
      <c r="E6076" s="26" t="s">
        <v>48564</v>
      </c>
      <c r="F6076" s="37" t="s">
        <v>54401</v>
      </c>
      <c r="G6076" s="39">
        <v>267622.12</v>
      </c>
      <c r="H6076" s="42">
        <v>211</v>
      </c>
    </row>
    <row r="6077" spans="1:8" ht="15" customHeight="1">
      <c r="A6077" s="26">
        <v>72286355</v>
      </c>
      <c r="B6077" s="30" t="s">
        <v>8306</v>
      </c>
      <c r="C6077" s="29" t="s">
        <v>22656</v>
      </c>
      <c r="D6077" s="29" t="s">
        <v>30376</v>
      </c>
      <c r="E6077" s="29" t="s">
        <v>44942</v>
      </c>
      <c r="F6077" s="36" t="s">
        <v>54401</v>
      </c>
      <c r="G6077" s="39">
        <v>6056362.2800000003</v>
      </c>
      <c r="H6077" s="42">
        <v>211</v>
      </c>
    </row>
    <row r="6078" spans="1:8" ht="15" customHeight="1">
      <c r="A6078" s="26">
        <v>72288668</v>
      </c>
      <c r="B6078" s="30" t="s">
        <v>8307</v>
      </c>
      <c r="C6078" s="29" t="s">
        <v>22657</v>
      </c>
      <c r="D6078" s="29" t="s">
        <v>35922</v>
      </c>
      <c r="E6078" s="29" t="s">
        <v>48565</v>
      </c>
      <c r="F6078" s="36" t="s">
        <v>54401</v>
      </c>
      <c r="G6078" s="39">
        <v>231197.21</v>
      </c>
      <c r="H6078" s="42">
        <v>211</v>
      </c>
    </row>
    <row r="6079" spans="1:8" ht="15" customHeight="1">
      <c r="A6079" s="26">
        <v>72298437</v>
      </c>
      <c r="B6079" s="30" t="s">
        <v>8308</v>
      </c>
      <c r="C6079" s="29" t="s">
        <v>22658</v>
      </c>
      <c r="D6079" s="29" t="s">
        <v>35923</v>
      </c>
      <c r="E6079" s="29" t="s">
        <v>48566</v>
      </c>
      <c r="F6079" s="36" t="s">
        <v>54413</v>
      </c>
      <c r="G6079" s="39">
        <v>2578883.7999999998</v>
      </c>
      <c r="H6079" s="42">
        <v>211</v>
      </c>
    </row>
    <row r="6080" spans="1:8" ht="15" customHeight="1">
      <c r="A6080" s="26">
        <v>72300927</v>
      </c>
      <c r="B6080" s="30" t="s">
        <v>8309</v>
      </c>
      <c r="C6080" s="29" t="s">
        <v>22659</v>
      </c>
      <c r="D6080" s="29" t="s">
        <v>35924</v>
      </c>
      <c r="E6080" s="29" t="s">
        <v>43926</v>
      </c>
      <c r="F6080" s="36" t="s">
        <v>54401</v>
      </c>
      <c r="G6080" s="39">
        <v>17510.919999999998</v>
      </c>
      <c r="H6080" s="42">
        <v>211</v>
      </c>
    </row>
    <row r="6081" spans="1:8" ht="15" customHeight="1">
      <c r="A6081" s="26">
        <v>72325323</v>
      </c>
      <c r="B6081" s="30" t="s">
        <v>8310</v>
      </c>
      <c r="C6081" s="29" t="s">
        <v>22660</v>
      </c>
      <c r="D6081" s="29" t="s">
        <v>35925</v>
      </c>
      <c r="E6081" s="29" t="s">
        <v>48567</v>
      </c>
      <c r="F6081" s="36" t="s">
        <v>54401</v>
      </c>
      <c r="G6081" s="39">
        <v>2339102.13</v>
      </c>
      <c r="H6081" s="42">
        <v>211</v>
      </c>
    </row>
    <row r="6082" spans="1:8" ht="15" customHeight="1">
      <c r="A6082" s="26">
        <v>72326310</v>
      </c>
      <c r="B6082" s="30" t="s">
        <v>8311</v>
      </c>
      <c r="C6082" s="26" t="s">
        <v>22661</v>
      </c>
      <c r="D6082" s="26" t="s">
        <v>30376</v>
      </c>
      <c r="E6082" s="26" t="s">
        <v>48568</v>
      </c>
      <c r="F6082" s="37" t="s">
        <v>54401</v>
      </c>
      <c r="G6082" s="39">
        <v>537687.15</v>
      </c>
      <c r="H6082" s="42">
        <v>211</v>
      </c>
    </row>
    <row r="6083" spans="1:8" ht="15" customHeight="1">
      <c r="A6083" s="26">
        <v>72335843</v>
      </c>
      <c r="B6083" s="30" t="s">
        <v>8312</v>
      </c>
      <c r="C6083" s="29" t="s">
        <v>22662</v>
      </c>
      <c r="D6083" s="29" t="s">
        <v>35926</v>
      </c>
      <c r="E6083" s="29" t="s">
        <v>48569</v>
      </c>
      <c r="F6083" s="36" t="s">
        <v>54401</v>
      </c>
      <c r="G6083" s="39">
        <f>3811558.4+1048222</f>
        <v>4859780.4000000004</v>
      </c>
      <c r="H6083" s="42">
        <v>211</v>
      </c>
    </row>
    <row r="6084" spans="1:8" ht="15" customHeight="1">
      <c r="A6084" s="26">
        <v>73073212</v>
      </c>
      <c r="B6084" s="30" t="s">
        <v>8313</v>
      </c>
      <c r="C6084" s="29" t="s">
        <v>22663</v>
      </c>
      <c r="D6084" s="29" t="s">
        <v>35927</v>
      </c>
      <c r="E6084" s="29" t="s">
        <v>48570</v>
      </c>
      <c r="F6084" s="36" t="s">
        <v>54401</v>
      </c>
      <c r="G6084" s="39">
        <v>1320430.25</v>
      </c>
      <c r="H6084" s="42">
        <v>211</v>
      </c>
    </row>
    <row r="6085" spans="1:8" ht="15" customHeight="1">
      <c r="A6085" s="26">
        <v>73089456</v>
      </c>
      <c r="B6085" s="30" t="s">
        <v>8314</v>
      </c>
      <c r="C6085" s="29" t="s">
        <v>22664</v>
      </c>
      <c r="D6085" s="29" t="s">
        <v>35928</v>
      </c>
      <c r="E6085" s="29" t="s">
        <v>44254</v>
      </c>
      <c r="F6085" s="36" t="s">
        <v>54401</v>
      </c>
      <c r="G6085" s="39">
        <v>604968.56999999995</v>
      </c>
      <c r="H6085" s="42">
        <v>211</v>
      </c>
    </row>
    <row r="6086" spans="1:8" ht="15" customHeight="1">
      <c r="A6086" s="26">
        <v>73090761</v>
      </c>
      <c r="B6086" s="30" t="s">
        <v>8315</v>
      </c>
      <c r="C6086" s="29" t="s">
        <v>22665</v>
      </c>
      <c r="D6086" s="29" t="s">
        <v>35929</v>
      </c>
      <c r="E6086" s="29" t="s">
        <v>48571</v>
      </c>
      <c r="F6086" s="36" t="s">
        <v>54401</v>
      </c>
      <c r="G6086" s="39">
        <v>60413.18</v>
      </c>
      <c r="H6086" s="42">
        <v>211</v>
      </c>
    </row>
    <row r="6087" spans="1:8" ht="15" customHeight="1">
      <c r="A6087" s="26">
        <v>73203716</v>
      </c>
      <c r="B6087" s="30" t="s">
        <v>8316</v>
      </c>
      <c r="C6087" s="29" t="s">
        <v>22666</v>
      </c>
      <c r="D6087" s="29" t="s">
        <v>35930</v>
      </c>
      <c r="E6087" s="29" t="s">
        <v>43926</v>
      </c>
      <c r="F6087" s="36" t="s">
        <v>54420</v>
      </c>
      <c r="G6087" s="39">
        <v>77016.94</v>
      </c>
      <c r="H6087" s="42">
        <v>211</v>
      </c>
    </row>
    <row r="6088" spans="1:8" ht="15" customHeight="1">
      <c r="A6088" s="26">
        <v>74020311</v>
      </c>
      <c r="B6088" s="30" t="s">
        <v>8317</v>
      </c>
      <c r="C6088" s="29" t="s">
        <v>22667</v>
      </c>
      <c r="D6088" s="29" t="s">
        <v>35931</v>
      </c>
      <c r="E6088" s="29" t="s">
        <v>45378</v>
      </c>
      <c r="F6088" s="36" t="s">
        <v>54401</v>
      </c>
      <c r="G6088" s="39">
        <v>48821.599999999999</v>
      </c>
      <c r="H6088" s="42">
        <v>211</v>
      </c>
    </row>
    <row r="6089" spans="1:8" ht="15" customHeight="1">
      <c r="A6089" s="26">
        <v>74020443</v>
      </c>
      <c r="B6089" s="30" t="s">
        <v>8318</v>
      </c>
      <c r="C6089" s="29" t="s">
        <v>22668</v>
      </c>
      <c r="D6089" s="29" t="s">
        <v>35932</v>
      </c>
      <c r="E6089" s="29" t="s">
        <v>45603</v>
      </c>
      <c r="F6089" s="36" t="s">
        <v>54401</v>
      </c>
      <c r="G6089" s="39">
        <v>7179147.0599999996</v>
      </c>
      <c r="H6089" s="42">
        <v>211</v>
      </c>
    </row>
    <row r="6090" spans="1:8" ht="15" customHeight="1">
      <c r="A6090" s="26">
        <v>74080258</v>
      </c>
      <c r="B6090" s="30" t="s">
        <v>8319</v>
      </c>
      <c r="C6090" s="29" t="s">
        <v>22669</v>
      </c>
      <c r="D6090" s="29" t="s">
        <v>35933</v>
      </c>
      <c r="E6090" s="29" t="s">
        <v>43926</v>
      </c>
      <c r="F6090" s="36" t="s">
        <v>54401</v>
      </c>
      <c r="G6090" s="39">
        <v>1640655.43</v>
      </c>
      <c r="H6090" s="42">
        <v>211</v>
      </c>
    </row>
    <row r="6091" spans="1:8" ht="15" customHeight="1">
      <c r="A6091" s="26">
        <v>74080343</v>
      </c>
      <c r="B6091" s="30" t="s">
        <v>8320</v>
      </c>
      <c r="C6091" s="29" t="s">
        <v>22670</v>
      </c>
      <c r="D6091" s="29" t="s">
        <v>35934</v>
      </c>
      <c r="E6091" s="29" t="s">
        <v>48572</v>
      </c>
      <c r="F6091" s="36" t="s">
        <v>54401</v>
      </c>
      <c r="G6091" s="39">
        <v>118363.98</v>
      </c>
      <c r="H6091" s="42">
        <v>211</v>
      </c>
    </row>
    <row r="6092" spans="1:8" ht="15" customHeight="1">
      <c r="A6092" s="26">
        <v>74080449</v>
      </c>
      <c r="B6092" s="30" t="s">
        <v>8321</v>
      </c>
      <c r="C6092" s="29" t="s">
        <v>22671</v>
      </c>
      <c r="D6092" s="29" t="s">
        <v>35935</v>
      </c>
      <c r="E6092" s="29" t="s">
        <v>43926</v>
      </c>
      <c r="F6092" s="36" t="s">
        <v>54401</v>
      </c>
      <c r="G6092" s="39">
        <v>1578143.88</v>
      </c>
      <c r="H6092" s="42">
        <v>211</v>
      </c>
    </row>
    <row r="6093" spans="1:8" ht="15" customHeight="1">
      <c r="A6093" s="26">
        <v>74080451</v>
      </c>
      <c r="B6093" s="30" t="s">
        <v>8322</v>
      </c>
      <c r="C6093" s="29" t="s">
        <v>22672</v>
      </c>
      <c r="D6093" s="29" t="s">
        <v>35936</v>
      </c>
      <c r="E6093" s="29" t="s">
        <v>48573</v>
      </c>
      <c r="F6093" s="36" t="s">
        <v>54401</v>
      </c>
      <c r="G6093" s="39">
        <v>423994.2</v>
      </c>
      <c r="H6093" s="42">
        <v>211</v>
      </c>
    </row>
    <row r="6094" spans="1:8" ht="15" customHeight="1">
      <c r="A6094" s="26">
        <v>74080574</v>
      </c>
      <c r="B6094" s="30" t="s">
        <v>8323</v>
      </c>
      <c r="C6094" s="29" t="s">
        <v>22673</v>
      </c>
      <c r="D6094" s="29" t="s">
        <v>34189</v>
      </c>
      <c r="E6094" s="29" t="s">
        <v>48574</v>
      </c>
      <c r="F6094" s="36" t="s">
        <v>54401</v>
      </c>
      <c r="G6094" s="39">
        <v>1331881.8400000001</v>
      </c>
      <c r="H6094" s="42">
        <v>211</v>
      </c>
    </row>
    <row r="6095" spans="1:8" ht="15" customHeight="1">
      <c r="A6095" s="26">
        <v>74080589</v>
      </c>
      <c r="B6095" s="30" t="s">
        <v>8324</v>
      </c>
      <c r="C6095" s="29" t="s">
        <v>22674</v>
      </c>
      <c r="D6095" s="29" t="s">
        <v>35937</v>
      </c>
      <c r="E6095" s="29" t="s">
        <v>48575</v>
      </c>
      <c r="F6095" s="36" t="s">
        <v>54401</v>
      </c>
      <c r="G6095" s="39">
        <v>3133878.23</v>
      </c>
      <c r="H6095" s="42">
        <v>211</v>
      </c>
    </row>
    <row r="6096" spans="1:8" ht="15" customHeight="1">
      <c r="A6096" s="26">
        <v>74080828</v>
      </c>
      <c r="B6096" s="30" t="s">
        <v>8325</v>
      </c>
      <c r="C6096" s="29" t="s">
        <v>22675</v>
      </c>
      <c r="D6096" s="29" t="s">
        <v>35938</v>
      </c>
      <c r="E6096" s="29" t="s">
        <v>48576</v>
      </c>
      <c r="F6096" s="36" t="s">
        <v>54402</v>
      </c>
      <c r="G6096" s="39">
        <f>12011666.52-253119</f>
        <v>11758547.52</v>
      </c>
      <c r="H6096" s="42">
        <v>211</v>
      </c>
    </row>
    <row r="6097" spans="1:8" ht="15" customHeight="1">
      <c r="A6097" s="26">
        <v>74080850</v>
      </c>
      <c r="B6097" s="30" t="s">
        <v>8326</v>
      </c>
      <c r="C6097" s="29" t="s">
        <v>22676</v>
      </c>
      <c r="D6097" s="29" t="s">
        <v>35939</v>
      </c>
      <c r="E6097" s="29" t="s">
        <v>48577</v>
      </c>
      <c r="F6097" s="36" t="s">
        <v>54401</v>
      </c>
      <c r="G6097" s="39">
        <f>2058305.56+260452</f>
        <v>2318757.56</v>
      </c>
      <c r="H6097" s="42">
        <v>211</v>
      </c>
    </row>
    <row r="6098" spans="1:8" ht="15" customHeight="1">
      <c r="A6098" s="26">
        <v>74080894</v>
      </c>
      <c r="B6098" s="30" t="s">
        <v>8327</v>
      </c>
      <c r="C6098" s="26" t="s">
        <v>22677</v>
      </c>
      <c r="D6098" s="26" t="s">
        <v>35940</v>
      </c>
      <c r="E6098" s="26" t="s">
        <v>43926</v>
      </c>
      <c r="F6098" s="37" t="s">
        <v>54401</v>
      </c>
      <c r="G6098" s="39">
        <v>412412.86</v>
      </c>
      <c r="H6098" s="42">
        <v>211</v>
      </c>
    </row>
    <row r="6099" spans="1:8" ht="15" customHeight="1">
      <c r="A6099" s="26">
        <v>74081649</v>
      </c>
      <c r="B6099" s="30" t="s">
        <v>8328</v>
      </c>
      <c r="C6099" s="29" t="s">
        <v>22678</v>
      </c>
      <c r="D6099" s="29" t="s">
        <v>35941</v>
      </c>
      <c r="E6099" s="29" t="s">
        <v>48578</v>
      </c>
      <c r="F6099" s="36" t="s">
        <v>54402</v>
      </c>
      <c r="G6099" s="39">
        <f>9339453.28-12057</f>
        <v>9327396.2799999993</v>
      </c>
      <c r="H6099" s="42">
        <v>211</v>
      </c>
    </row>
    <row r="6100" spans="1:8" ht="15" customHeight="1">
      <c r="A6100" s="26">
        <v>74081707</v>
      </c>
      <c r="B6100" s="30" t="s">
        <v>8329</v>
      </c>
      <c r="C6100" s="29" t="s">
        <v>22679</v>
      </c>
      <c r="D6100" s="29" t="s">
        <v>35942</v>
      </c>
      <c r="E6100" s="29" t="s">
        <v>43926</v>
      </c>
      <c r="F6100" s="36" t="s">
        <v>54401</v>
      </c>
      <c r="G6100" s="39">
        <v>214429.57</v>
      </c>
      <c r="H6100" s="42">
        <v>211</v>
      </c>
    </row>
    <row r="6101" spans="1:8" ht="15" customHeight="1">
      <c r="A6101" s="26">
        <v>74081742</v>
      </c>
      <c r="B6101" s="30" t="s">
        <v>8330</v>
      </c>
      <c r="C6101" s="29" t="s">
        <v>17204</v>
      </c>
      <c r="D6101" s="29" t="s">
        <v>35943</v>
      </c>
      <c r="E6101" s="29" t="s">
        <v>43926</v>
      </c>
      <c r="F6101" s="36" t="s">
        <v>54401</v>
      </c>
      <c r="G6101" s="39">
        <v>921525.89</v>
      </c>
      <c r="H6101" s="42">
        <v>211</v>
      </c>
    </row>
    <row r="6102" spans="1:8" ht="15" customHeight="1">
      <c r="A6102" s="26">
        <v>74081771</v>
      </c>
      <c r="B6102" s="30" t="s">
        <v>8331</v>
      </c>
      <c r="C6102" s="29" t="s">
        <v>22680</v>
      </c>
      <c r="D6102" s="29" t="s">
        <v>35944</v>
      </c>
      <c r="E6102" s="29" t="s">
        <v>48579</v>
      </c>
      <c r="F6102" s="36" t="s">
        <v>54401</v>
      </c>
      <c r="G6102" s="39">
        <v>769001.13</v>
      </c>
      <c r="H6102" s="42">
        <v>211</v>
      </c>
    </row>
    <row r="6103" spans="1:8" ht="15" customHeight="1">
      <c r="A6103" s="26">
        <v>74081883</v>
      </c>
      <c r="B6103" s="30" t="s">
        <v>8332</v>
      </c>
      <c r="C6103" s="26" t="s">
        <v>22681</v>
      </c>
      <c r="D6103" s="26" t="s">
        <v>35945</v>
      </c>
      <c r="E6103" s="26" t="s">
        <v>48580</v>
      </c>
      <c r="F6103" s="37" t="s">
        <v>54401</v>
      </c>
      <c r="G6103" s="39">
        <v>561379.79</v>
      </c>
      <c r="H6103" s="42">
        <v>211</v>
      </c>
    </row>
    <row r="6104" spans="1:8" ht="15" customHeight="1">
      <c r="A6104" s="26">
        <v>74081900</v>
      </c>
      <c r="B6104" s="30" t="s">
        <v>8333</v>
      </c>
      <c r="C6104" s="29" t="s">
        <v>22682</v>
      </c>
      <c r="D6104" s="29" t="s">
        <v>35946</v>
      </c>
      <c r="E6104" s="29" t="s">
        <v>48581</v>
      </c>
      <c r="F6104" s="36" t="s">
        <v>54401</v>
      </c>
      <c r="G6104" s="39">
        <v>2371563.4</v>
      </c>
      <c r="H6104" s="42">
        <v>211</v>
      </c>
    </row>
    <row r="6105" spans="1:8" ht="15" customHeight="1">
      <c r="A6105" s="26">
        <v>74081925</v>
      </c>
      <c r="B6105" s="30" t="s">
        <v>8334</v>
      </c>
      <c r="C6105" s="29" t="s">
        <v>22683</v>
      </c>
      <c r="D6105" s="29" t="s">
        <v>35947</v>
      </c>
      <c r="E6105" s="29" t="s">
        <v>48582</v>
      </c>
      <c r="F6105" s="36" t="s">
        <v>54401</v>
      </c>
      <c r="G6105" s="39">
        <v>124857.59</v>
      </c>
      <c r="H6105" s="42">
        <v>211</v>
      </c>
    </row>
    <row r="6106" spans="1:8" ht="15" customHeight="1">
      <c r="A6106" s="26">
        <v>74081940</v>
      </c>
      <c r="B6106" s="30" t="s">
        <v>8335</v>
      </c>
      <c r="C6106" s="29" t="s">
        <v>17204</v>
      </c>
      <c r="D6106" s="29" t="s">
        <v>35948</v>
      </c>
      <c r="E6106" s="29" t="s">
        <v>48583</v>
      </c>
      <c r="F6106" s="36" t="s">
        <v>54401</v>
      </c>
      <c r="G6106" s="39">
        <v>1290223.8799999999</v>
      </c>
      <c r="H6106" s="42">
        <v>211</v>
      </c>
    </row>
    <row r="6107" spans="1:8" ht="15" customHeight="1">
      <c r="A6107" s="26">
        <v>74082161</v>
      </c>
      <c r="B6107" s="30" t="s">
        <v>8336</v>
      </c>
      <c r="C6107" s="29" t="s">
        <v>22684</v>
      </c>
      <c r="D6107" s="29" t="s">
        <v>35949</v>
      </c>
      <c r="E6107" s="29" t="s">
        <v>43926</v>
      </c>
      <c r="F6107" s="36" t="s">
        <v>54401</v>
      </c>
      <c r="G6107" s="39">
        <v>757132.3</v>
      </c>
      <c r="H6107" s="42">
        <v>211</v>
      </c>
    </row>
    <row r="6108" spans="1:8" ht="15" customHeight="1">
      <c r="A6108" s="26">
        <v>74082475</v>
      </c>
      <c r="B6108" s="30" t="s">
        <v>8337</v>
      </c>
      <c r="C6108" s="29" t="s">
        <v>22685</v>
      </c>
      <c r="D6108" s="29" t="s">
        <v>35950</v>
      </c>
      <c r="E6108" s="29" t="s">
        <v>48584</v>
      </c>
      <c r="F6108" s="36" t="s">
        <v>54401</v>
      </c>
      <c r="G6108" s="39">
        <f>5644654.01+39660</f>
        <v>5684314.0099999998</v>
      </c>
      <c r="H6108" s="42">
        <v>211</v>
      </c>
    </row>
    <row r="6109" spans="1:8" ht="15" customHeight="1">
      <c r="A6109" s="26">
        <v>74082574</v>
      </c>
      <c r="B6109" s="30" t="s">
        <v>8338</v>
      </c>
      <c r="C6109" s="29" t="s">
        <v>22686</v>
      </c>
      <c r="D6109" s="29" t="s">
        <v>35951</v>
      </c>
      <c r="E6109" s="29" t="s">
        <v>48585</v>
      </c>
      <c r="F6109" s="36" t="s">
        <v>54419</v>
      </c>
      <c r="G6109" s="39">
        <f>4017973.24-66137</f>
        <v>3951836.24</v>
      </c>
      <c r="H6109" s="42">
        <v>211</v>
      </c>
    </row>
    <row r="6110" spans="1:8" ht="15" customHeight="1">
      <c r="A6110" s="26">
        <v>74082625</v>
      </c>
      <c r="B6110" s="30" t="s">
        <v>8339</v>
      </c>
      <c r="C6110" s="29" t="s">
        <v>22687</v>
      </c>
      <c r="D6110" s="29" t="s">
        <v>35952</v>
      </c>
      <c r="E6110" s="29" t="s">
        <v>48586</v>
      </c>
      <c r="F6110" s="36" t="s">
        <v>54401</v>
      </c>
      <c r="G6110" s="39">
        <v>1942107.17</v>
      </c>
      <c r="H6110" s="42">
        <v>211</v>
      </c>
    </row>
    <row r="6111" spans="1:8" ht="15" customHeight="1">
      <c r="A6111" s="26">
        <v>74082920</v>
      </c>
      <c r="B6111" s="30" t="s">
        <v>8340</v>
      </c>
      <c r="C6111" s="26" t="s">
        <v>17204</v>
      </c>
      <c r="D6111" s="26" t="s">
        <v>30349</v>
      </c>
      <c r="E6111" s="26" t="s">
        <v>43926</v>
      </c>
      <c r="F6111" s="37" t="s">
        <v>54401</v>
      </c>
      <c r="G6111" s="39">
        <v>34287.379999999997</v>
      </c>
      <c r="H6111" s="42">
        <v>211</v>
      </c>
    </row>
    <row r="6112" spans="1:8" ht="15" customHeight="1">
      <c r="A6112" s="26">
        <v>74082929</v>
      </c>
      <c r="B6112" s="30" t="s">
        <v>8341</v>
      </c>
      <c r="C6112" s="29" t="s">
        <v>22688</v>
      </c>
      <c r="D6112" s="29" t="s">
        <v>35953</v>
      </c>
      <c r="E6112" s="29" t="s">
        <v>44345</v>
      </c>
      <c r="F6112" s="36" t="s">
        <v>54401</v>
      </c>
      <c r="G6112" s="39">
        <v>307140.39</v>
      </c>
      <c r="H6112" s="42">
        <v>211</v>
      </c>
    </row>
    <row r="6113" spans="1:8" ht="15" customHeight="1">
      <c r="A6113" s="26">
        <v>74082940</v>
      </c>
      <c r="B6113" s="30" t="s">
        <v>8342</v>
      </c>
      <c r="C6113" s="26" t="s">
        <v>17204</v>
      </c>
      <c r="D6113" s="26" t="s">
        <v>30349</v>
      </c>
      <c r="E6113" s="26" t="s">
        <v>43926</v>
      </c>
      <c r="F6113" s="37" t="s">
        <v>54401</v>
      </c>
      <c r="G6113" s="39">
        <v>124290.5</v>
      </c>
      <c r="H6113" s="42">
        <v>211</v>
      </c>
    </row>
    <row r="6114" spans="1:8" ht="15" customHeight="1">
      <c r="A6114" s="26">
        <v>74083011</v>
      </c>
      <c r="B6114" s="30" t="s">
        <v>8343</v>
      </c>
      <c r="C6114" s="29" t="s">
        <v>22689</v>
      </c>
      <c r="D6114" s="29" t="s">
        <v>35954</v>
      </c>
      <c r="E6114" s="29" t="s">
        <v>45949</v>
      </c>
      <c r="F6114" s="36" t="s">
        <v>54401</v>
      </c>
      <c r="G6114" s="39">
        <v>4089492.82</v>
      </c>
      <c r="H6114" s="42">
        <v>211</v>
      </c>
    </row>
    <row r="6115" spans="1:8" ht="15" customHeight="1">
      <c r="A6115" s="26">
        <v>74083174</v>
      </c>
      <c r="B6115" s="30" t="s">
        <v>8344</v>
      </c>
      <c r="C6115" s="29" t="s">
        <v>22690</v>
      </c>
      <c r="D6115" s="29" t="s">
        <v>35955</v>
      </c>
      <c r="E6115" s="29" t="s">
        <v>48587</v>
      </c>
      <c r="F6115" s="36" t="s">
        <v>54406</v>
      </c>
      <c r="G6115" s="39">
        <v>1174081.73</v>
      </c>
      <c r="H6115" s="42">
        <v>211</v>
      </c>
    </row>
    <row r="6116" spans="1:8" ht="15" customHeight="1">
      <c r="A6116" s="26">
        <v>74083371</v>
      </c>
      <c r="B6116" s="30" t="s">
        <v>8345</v>
      </c>
      <c r="C6116" s="29" t="s">
        <v>22691</v>
      </c>
      <c r="D6116" s="29" t="s">
        <v>35956</v>
      </c>
      <c r="E6116" s="29" t="s">
        <v>43926</v>
      </c>
      <c r="F6116" s="36" t="s">
        <v>54401</v>
      </c>
      <c r="G6116" s="39">
        <v>1222577.07</v>
      </c>
      <c r="H6116" s="42">
        <v>211</v>
      </c>
    </row>
    <row r="6117" spans="1:8" ht="15" customHeight="1">
      <c r="A6117" s="26">
        <v>74083516</v>
      </c>
      <c r="B6117" s="30" t="s">
        <v>8346</v>
      </c>
      <c r="C6117" s="29" t="s">
        <v>22692</v>
      </c>
      <c r="D6117" s="29" t="s">
        <v>35957</v>
      </c>
      <c r="E6117" s="29" t="s">
        <v>43926</v>
      </c>
      <c r="F6117" s="36" t="s">
        <v>54401</v>
      </c>
      <c r="G6117" s="39">
        <v>935892.73</v>
      </c>
      <c r="H6117" s="42">
        <v>211</v>
      </c>
    </row>
    <row r="6118" spans="1:8" ht="15" customHeight="1">
      <c r="A6118" s="26">
        <v>74083645</v>
      </c>
      <c r="B6118" s="30" t="s">
        <v>8347</v>
      </c>
      <c r="C6118" s="29" t="s">
        <v>22693</v>
      </c>
      <c r="D6118" s="29" t="s">
        <v>35958</v>
      </c>
      <c r="E6118" s="29" t="s">
        <v>48588</v>
      </c>
      <c r="F6118" s="36" t="s">
        <v>54402</v>
      </c>
      <c r="G6118" s="39">
        <v>4248030.45</v>
      </c>
      <c r="H6118" s="42">
        <v>211</v>
      </c>
    </row>
    <row r="6119" spans="1:8" ht="15" customHeight="1">
      <c r="A6119" s="26">
        <v>74083678</v>
      </c>
      <c r="B6119" s="30" t="s">
        <v>8348</v>
      </c>
      <c r="C6119" s="29" t="s">
        <v>22694</v>
      </c>
      <c r="D6119" s="29" t="s">
        <v>35959</v>
      </c>
      <c r="E6119" s="29" t="s">
        <v>46276</v>
      </c>
      <c r="F6119" s="36" t="s">
        <v>54401</v>
      </c>
      <c r="G6119" s="39">
        <v>91898.06</v>
      </c>
      <c r="H6119" s="42">
        <v>211</v>
      </c>
    </row>
    <row r="6120" spans="1:8" ht="15" customHeight="1">
      <c r="A6120" s="26">
        <v>74083840</v>
      </c>
      <c r="B6120" s="30" t="s">
        <v>8349</v>
      </c>
      <c r="C6120" s="29" t="s">
        <v>22695</v>
      </c>
      <c r="D6120" s="29" t="s">
        <v>35960</v>
      </c>
      <c r="E6120" s="29" t="s">
        <v>48589</v>
      </c>
      <c r="F6120" s="36" t="s">
        <v>54401</v>
      </c>
      <c r="G6120" s="39">
        <v>533554.92000000004</v>
      </c>
      <c r="H6120" s="42">
        <v>211</v>
      </c>
    </row>
    <row r="6121" spans="1:8" ht="15" customHeight="1">
      <c r="A6121" s="26">
        <v>74083883</v>
      </c>
      <c r="B6121" s="26" t="s">
        <v>8350</v>
      </c>
      <c r="C6121" s="32"/>
      <c r="D6121" s="32"/>
      <c r="E6121" s="26" t="s">
        <v>48590</v>
      </c>
      <c r="F6121" s="26" t="s">
        <v>54402</v>
      </c>
      <c r="G6121" s="41">
        <v>1646697.85</v>
      </c>
      <c r="H6121" s="26">
        <v>4729</v>
      </c>
    </row>
    <row r="6122" spans="1:8" ht="15" customHeight="1">
      <c r="A6122" s="26">
        <v>74083894</v>
      </c>
      <c r="B6122" s="30" t="s">
        <v>8351</v>
      </c>
      <c r="C6122" s="29" t="s">
        <v>22696</v>
      </c>
      <c r="D6122" s="29" t="s">
        <v>35961</v>
      </c>
      <c r="E6122" s="29" t="s">
        <v>48591</v>
      </c>
      <c r="F6122" s="36" t="s">
        <v>54401</v>
      </c>
      <c r="G6122" s="39">
        <f>6262537.48+830582</f>
        <v>7093119.4800000004</v>
      </c>
      <c r="H6122" s="42">
        <v>211</v>
      </c>
    </row>
    <row r="6123" spans="1:8" ht="15" customHeight="1">
      <c r="A6123" s="26">
        <v>74083995</v>
      </c>
      <c r="B6123" s="30" t="s">
        <v>8352</v>
      </c>
      <c r="C6123" s="29" t="s">
        <v>22697</v>
      </c>
      <c r="D6123" s="29" t="s">
        <v>35962</v>
      </c>
      <c r="E6123" s="29" t="s">
        <v>48592</v>
      </c>
      <c r="F6123" s="36" t="s">
        <v>54402</v>
      </c>
      <c r="G6123" s="39">
        <v>111882.36</v>
      </c>
      <c r="H6123" s="42">
        <v>211</v>
      </c>
    </row>
    <row r="6124" spans="1:8" ht="15" customHeight="1">
      <c r="A6124" s="26">
        <v>74084018</v>
      </c>
      <c r="B6124" s="30" t="s">
        <v>8353</v>
      </c>
      <c r="C6124" s="29" t="s">
        <v>22698</v>
      </c>
      <c r="D6124" s="29" t="s">
        <v>35963</v>
      </c>
      <c r="E6124" s="29" t="s">
        <v>48593</v>
      </c>
      <c r="F6124" s="36" t="s">
        <v>54401</v>
      </c>
      <c r="G6124" s="39">
        <v>291617.28000000003</v>
      </c>
      <c r="H6124" s="42">
        <v>211</v>
      </c>
    </row>
    <row r="6125" spans="1:8" ht="15" customHeight="1">
      <c r="A6125" s="26">
        <v>74084126</v>
      </c>
      <c r="B6125" s="30" t="s">
        <v>8354</v>
      </c>
      <c r="C6125" s="29" t="s">
        <v>22699</v>
      </c>
      <c r="D6125" s="29" t="s">
        <v>35964</v>
      </c>
      <c r="E6125" s="29" t="s">
        <v>48594</v>
      </c>
      <c r="F6125" s="36" t="s">
        <v>54401</v>
      </c>
      <c r="G6125" s="39">
        <v>372555.95</v>
      </c>
      <c r="H6125" s="42">
        <v>211</v>
      </c>
    </row>
    <row r="6126" spans="1:8" ht="15" customHeight="1">
      <c r="A6126" s="26">
        <v>74084372</v>
      </c>
      <c r="B6126" s="30" t="s">
        <v>8355</v>
      </c>
      <c r="C6126" s="29" t="s">
        <v>17204</v>
      </c>
      <c r="D6126" s="29" t="s">
        <v>35965</v>
      </c>
      <c r="E6126" s="29" t="s">
        <v>43926</v>
      </c>
      <c r="F6126" s="36" t="s">
        <v>54401</v>
      </c>
      <c r="G6126" s="39">
        <v>96891.94</v>
      </c>
      <c r="H6126" s="42">
        <v>211</v>
      </c>
    </row>
    <row r="6127" spans="1:8" ht="15" customHeight="1">
      <c r="A6127" s="26">
        <v>74084490</v>
      </c>
      <c r="B6127" s="30" t="s">
        <v>8356</v>
      </c>
      <c r="C6127" s="29" t="s">
        <v>22700</v>
      </c>
      <c r="D6127" s="29" t="s">
        <v>35966</v>
      </c>
      <c r="E6127" s="29" t="s">
        <v>48595</v>
      </c>
      <c r="F6127" s="36" t="s">
        <v>54428</v>
      </c>
      <c r="G6127" s="39">
        <v>1315484.92</v>
      </c>
      <c r="H6127" s="42">
        <v>211</v>
      </c>
    </row>
    <row r="6128" spans="1:8" ht="15" customHeight="1">
      <c r="A6128" s="26">
        <v>74084511</v>
      </c>
      <c r="B6128" s="30" t="s">
        <v>8357</v>
      </c>
      <c r="C6128" s="29" t="s">
        <v>17204</v>
      </c>
      <c r="D6128" s="29" t="s">
        <v>35967</v>
      </c>
      <c r="E6128" s="29" t="s">
        <v>43926</v>
      </c>
      <c r="F6128" s="36" t="s">
        <v>54401</v>
      </c>
      <c r="G6128" s="39">
        <f>3124330.5-415369</f>
        <v>2708961.5</v>
      </c>
      <c r="H6128" s="42">
        <v>211</v>
      </c>
    </row>
    <row r="6129" spans="1:8" ht="15" customHeight="1">
      <c r="A6129" s="26">
        <v>74084706</v>
      </c>
      <c r="B6129" s="30" t="s">
        <v>8358</v>
      </c>
      <c r="C6129" s="29" t="s">
        <v>22701</v>
      </c>
      <c r="D6129" s="29" t="s">
        <v>35968</v>
      </c>
      <c r="E6129" s="29" t="s">
        <v>47812</v>
      </c>
      <c r="F6129" s="36" t="s">
        <v>54401</v>
      </c>
      <c r="G6129" s="39">
        <v>1196159.1299999999</v>
      </c>
      <c r="H6129" s="42">
        <v>211</v>
      </c>
    </row>
    <row r="6130" spans="1:8" ht="15" customHeight="1">
      <c r="A6130" s="26">
        <v>74084853</v>
      </c>
      <c r="B6130" s="30" t="s">
        <v>8359</v>
      </c>
      <c r="C6130" s="29" t="s">
        <v>22702</v>
      </c>
      <c r="D6130" s="29" t="s">
        <v>35969</v>
      </c>
      <c r="E6130" s="29" t="s">
        <v>48596</v>
      </c>
      <c r="F6130" s="36" t="s">
        <v>54401</v>
      </c>
      <c r="G6130" s="39">
        <v>1060071.07</v>
      </c>
      <c r="H6130" s="42">
        <v>211</v>
      </c>
    </row>
    <row r="6131" spans="1:8" ht="15" customHeight="1">
      <c r="A6131" s="26">
        <v>74084871</v>
      </c>
      <c r="B6131" s="30" t="s">
        <v>8360</v>
      </c>
      <c r="C6131" s="29" t="s">
        <v>22703</v>
      </c>
      <c r="D6131" s="29" t="s">
        <v>35970</v>
      </c>
      <c r="E6131" s="29" t="s">
        <v>47326</v>
      </c>
      <c r="F6131" s="36" t="s">
        <v>54401</v>
      </c>
      <c r="G6131" s="39">
        <f>3760508.24+175767</f>
        <v>3936275.24</v>
      </c>
      <c r="H6131" s="42">
        <v>211</v>
      </c>
    </row>
    <row r="6132" spans="1:8" ht="15" customHeight="1">
      <c r="A6132" s="26">
        <v>74084891</v>
      </c>
      <c r="B6132" s="30" t="s">
        <v>8361</v>
      </c>
      <c r="C6132" s="29" t="s">
        <v>22704</v>
      </c>
      <c r="D6132" s="29" t="s">
        <v>35971</v>
      </c>
      <c r="E6132" s="29" t="s">
        <v>48597</v>
      </c>
      <c r="F6132" s="36" t="s">
        <v>54401</v>
      </c>
      <c r="G6132" s="39">
        <v>4906238.51</v>
      </c>
      <c r="H6132" s="42">
        <v>211</v>
      </c>
    </row>
    <row r="6133" spans="1:8" ht="15" customHeight="1">
      <c r="A6133" s="26">
        <v>74084999</v>
      </c>
      <c r="B6133" s="30" t="s">
        <v>8362</v>
      </c>
      <c r="C6133" s="29" t="s">
        <v>22705</v>
      </c>
      <c r="D6133" s="29" t="s">
        <v>35972</v>
      </c>
      <c r="E6133" s="29" t="s">
        <v>48598</v>
      </c>
      <c r="F6133" s="36" t="s">
        <v>54430</v>
      </c>
      <c r="G6133" s="39">
        <f>7893146.17-180000</f>
        <v>7713146.1699999999</v>
      </c>
      <c r="H6133" s="42">
        <v>211</v>
      </c>
    </row>
    <row r="6134" spans="1:8" ht="15" customHeight="1">
      <c r="A6134" s="26">
        <v>74085227</v>
      </c>
      <c r="B6134" s="30" t="s">
        <v>8363</v>
      </c>
      <c r="C6134" s="29" t="s">
        <v>17204</v>
      </c>
      <c r="D6134" s="29" t="s">
        <v>35973</v>
      </c>
      <c r="E6134" s="29" t="s">
        <v>48599</v>
      </c>
      <c r="F6134" s="36" t="s">
        <v>54401</v>
      </c>
      <c r="G6134" s="39">
        <v>148900.15</v>
      </c>
      <c r="H6134" s="42">
        <v>211</v>
      </c>
    </row>
    <row r="6135" spans="1:8" ht="15" customHeight="1">
      <c r="A6135" s="26">
        <v>74085425</v>
      </c>
      <c r="B6135" s="30" t="s">
        <v>8364</v>
      </c>
      <c r="C6135" s="29" t="s">
        <v>22706</v>
      </c>
      <c r="D6135" s="29" t="s">
        <v>35974</v>
      </c>
      <c r="E6135" s="29" t="s">
        <v>48600</v>
      </c>
      <c r="F6135" s="36" t="s">
        <v>54401</v>
      </c>
      <c r="G6135" s="39">
        <v>28964.29</v>
      </c>
      <c r="H6135" s="42">
        <v>211</v>
      </c>
    </row>
    <row r="6136" spans="1:8" ht="15" customHeight="1">
      <c r="A6136" s="26">
        <v>74085516</v>
      </c>
      <c r="B6136" s="30" t="s">
        <v>8365</v>
      </c>
      <c r="C6136" s="29" t="s">
        <v>22707</v>
      </c>
      <c r="D6136" s="29" t="s">
        <v>35975</v>
      </c>
      <c r="E6136" s="29" t="s">
        <v>43926</v>
      </c>
      <c r="F6136" s="36" t="s">
        <v>54401</v>
      </c>
      <c r="G6136" s="39">
        <v>2016492.15</v>
      </c>
      <c r="H6136" s="42">
        <v>211</v>
      </c>
    </row>
    <row r="6137" spans="1:8" ht="15" customHeight="1">
      <c r="A6137" s="26">
        <v>74085534</v>
      </c>
      <c r="B6137" s="30" t="s">
        <v>8366</v>
      </c>
      <c r="C6137" s="29" t="s">
        <v>22708</v>
      </c>
      <c r="D6137" s="29" t="s">
        <v>35976</v>
      </c>
      <c r="E6137" s="29" t="s">
        <v>48601</v>
      </c>
      <c r="F6137" s="36" t="s">
        <v>54401</v>
      </c>
      <c r="G6137" s="39">
        <v>911382.06</v>
      </c>
      <c r="H6137" s="42">
        <v>211</v>
      </c>
    </row>
    <row r="6138" spans="1:8" ht="15" customHeight="1">
      <c r="A6138" s="26">
        <v>74085634</v>
      </c>
      <c r="B6138" s="30" t="s">
        <v>8367</v>
      </c>
      <c r="C6138" s="29" t="s">
        <v>22709</v>
      </c>
      <c r="D6138" s="29" t="s">
        <v>35977</v>
      </c>
      <c r="E6138" s="29" t="s">
        <v>48602</v>
      </c>
      <c r="F6138" s="36" t="s">
        <v>54401</v>
      </c>
      <c r="G6138" s="39">
        <f>2381411.83+166183</f>
        <v>2547594.83</v>
      </c>
      <c r="H6138" s="42">
        <v>211</v>
      </c>
    </row>
    <row r="6139" spans="1:8" ht="15" customHeight="1">
      <c r="A6139" s="26">
        <v>74107830</v>
      </c>
      <c r="B6139" s="30" t="s">
        <v>8368</v>
      </c>
      <c r="C6139" s="29" t="s">
        <v>22710</v>
      </c>
      <c r="D6139" s="29" t="s">
        <v>35978</v>
      </c>
      <c r="E6139" s="29" t="s">
        <v>43926</v>
      </c>
      <c r="F6139" s="36" t="s">
        <v>54401</v>
      </c>
      <c r="G6139" s="39">
        <v>128809.39</v>
      </c>
      <c r="H6139" s="42">
        <v>211</v>
      </c>
    </row>
    <row r="6140" spans="1:8" ht="15" customHeight="1">
      <c r="A6140" s="26">
        <v>74130347</v>
      </c>
      <c r="B6140" s="30" t="s">
        <v>8369</v>
      </c>
      <c r="C6140" s="29" t="s">
        <v>22711</v>
      </c>
      <c r="D6140" s="29" t="s">
        <v>35979</v>
      </c>
      <c r="E6140" s="29" t="s">
        <v>48603</v>
      </c>
      <c r="F6140" s="36" t="s">
        <v>54413</v>
      </c>
      <c r="G6140" s="39">
        <v>2127215.7799999998</v>
      </c>
      <c r="H6140" s="42">
        <v>211</v>
      </c>
    </row>
    <row r="6141" spans="1:8" ht="15" customHeight="1">
      <c r="A6141" s="26">
        <v>74130398</v>
      </c>
      <c r="B6141" s="30" t="s">
        <v>8370</v>
      </c>
      <c r="C6141" s="29" t="s">
        <v>17204</v>
      </c>
      <c r="D6141" s="29" t="s">
        <v>30349</v>
      </c>
      <c r="E6141" s="29" t="s">
        <v>43926</v>
      </c>
      <c r="F6141" s="36" t="s">
        <v>54401</v>
      </c>
      <c r="G6141" s="39">
        <v>148564.44</v>
      </c>
      <c r="H6141" s="42">
        <v>211</v>
      </c>
    </row>
    <row r="6142" spans="1:8" ht="15" customHeight="1">
      <c r="A6142" s="26">
        <v>74130473</v>
      </c>
      <c r="B6142" s="30" t="s">
        <v>8371</v>
      </c>
      <c r="C6142" s="29" t="s">
        <v>22712</v>
      </c>
      <c r="D6142" s="29" t="s">
        <v>35980</v>
      </c>
      <c r="E6142" s="29" t="s">
        <v>48604</v>
      </c>
      <c r="F6142" s="36" t="s">
        <v>54401</v>
      </c>
      <c r="G6142" s="39">
        <f>2528604.27+356325+49485+1477322</f>
        <v>4411736.2699999996</v>
      </c>
      <c r="H6142" s="42">
        <v>211</v>
      </c>
    </row>
    <row r="6143" spans="1:8" ht="15" customHeight="1">
      <c r="A6143" s="26">
        <v>74130641</v>
      </c>
      <c r="B6143" s="30" t="s">
        <v>8372</v>
      </c>
      <c r="C6143" s="29" t="s">
        <v>22713</v>
      </c>
      <c r="D6143" s="29" t="s">
        <v>35981</v>
      </c>
      <c r="E6143" s="29" t="s">
        <v>48605</v>
      </c>
      <c r="F6143" s="36" t="s">
        <v>54401</v>
      </c>
      <c r="G6143" s="39">
        <f>2172013.8+711371</f>
        <v>2883384.8</v>
      </c>
      <c r="H6143" s="42">
        <v>211</v>
      </c>
    </row>
    <row r="6144" spans="1:8" ht="15" customHeight="1">
      <c r="A6144" s="26">
        <v>74130687</v>
      </c>
      <c r="B6144" s="30" t="s">
        <v>8373</v>
      </c>
      <c r="C6144" s="29" t="s">
        <v>22714</v>
      </c>
      <c r="D6144" s="29" t="s">
        <v>35982</v>
      </c>
      <c r="E6144" s="29" t="s">
        <v>48606</v>
      </c>
      <c r="F6144" s="36" t="s">
        <v>54401</v>
      </c>
      <c r="G6144" s="39">
        <f>320379.79-6238+559692</f>
        <v>873833.79</v>
      </c>
      <c r="H6144" s="42">
        <v>211</v>
      </c>
    </row>
    <row r="6145" spans="1:8" ht="15" customHeight="1">
      <c r="A6145" s="26">
        <v>74130928</v>
      </c>
      <c r="B6145" s="30" t="s">
        <v>8374</v>
      </c>
      <c r="C6145" s="29" t="s">
        <v>22715</v>
      </c>
      <c r="D6145" s="29" t="s">
        <v>35983</v>
      </c>
      <c r="E6145" s="29" t="s">
        <v>48607</v>
      </c>
      <c r="F6145" s="36" t="s">
        <v>54401</v>
      </c>
      <c r="G6145" s="39">
        <f>834860.6+404463</f>
        <v>1239323.6000000001</v>
      </c>
      <c r="H6145" s="42">
        <v>211</v>
      </c>
    </row>
    <row r="6146" spans="1:8" ht="15" customHeight="1">
      <c r="A6146" s="26">
        <v>74170151</v>
      </c>
      <c r="B6146" s="30" t="s">
        <v>8375</v>
      </c>
      <c r="C6146" s="26" t="s">
        <v>17204</v>
      </c>
      <c r="D6146" s="26" t="s">
        <v>35984</v>
      </c>
      <c r="E6146" s="26" t="s">
        <v>48608</v>
      </c>
      <c r="F6146" s="37" t="s">
        <v>54401</v>
      </c>
      <c r="G6146" s="39">
        <v>842065.15</v>
      </c>
      <c r="H6146" s="42">
        <v>211</v>
      </c>
    </row>
    <row r="6147" spans="1:8" ht="15" customHeight="1">
      <c r="A6147" s="26">
        <v>74170346</v>
      </c>
      <c r="B6147" s="30" t="s">
        <v>8376</v>
      </c>
      <c r="C6147" s="29" t="s">
        <v>22716</v>
      </c>
      <c r="D6147" s="29" t="s">
        <v>35985</v>
      </c>
      <c r="E6147" s="29" t="s">
        <v>48609</v>
      </c>
      <c r="F6147" s="36" t="s">
        <v>54434</v>
      </c>
      <c r="G6147" s="39">
        <f>963809.53+27276171-30655</f>
        <v>28209325.530000001</v>
      </c>
      <c r="H6147" s="42">
        <v>211</v>
      </c>
    </row>
    <row r="6148" spans="1:8" ht="15" customHeight="1">
      <c r="A6148" s="26">
        <v>74170557</v>
      </c>
      <c r="B6148" s="30" t="s">
        <v>8377</v>
      </c>
      <c r="C6148" s="29" t="s">
        <v>22717</v>
      </c>
      <c r="D6148" s="29" t="s">
        <v>35986</v>
      </c>
      <c r="E6148" s="29" t="s">
        <v>43926</v>
      </c>
      <c r="F6148" s="36" t="s">
        <v>54401</v>
      </c>
      <c r="G6148" s="39">
        <v>77830.78</v>
      </c>
      <c r="H6148" s="42">
        <v>211</v>
      </c>
    </row>
    <row r="6149" spans="1:8" ht="15" customHeight="1">
      <c r="A6149" s="26">
        <v>74171094</v>
      </c>
      <c r="B6149" s="30" t="s">
        <v>8378</v>
      </c>
      <c r="C6149" s="29" t="s">
        <v>22718</v>
      </c>
      <c r="D6149" s="29" t="s">
        <v>35987</v>
      </c>
      <c r="E6149" s="29" t="s">
        <v>48610</v>
      </c>
      <c r="F6149" s="36" t="s">
        <v>54401</v>
      </c>
      <c r="G6149" s="39">
        <v>726664.22</v>
      </c>
      <c r="H6149" s="42">
        <v>211</v>
      </c>
    </row>
    <row r="6150" spans="1:8" ht="15" customHeight="1">
      <c r="A6150" s="26">
        <v>74180930</v>
      </c>
      <c r="B6150" s="30" t="s">
        <v>8379</v>
      </c>
      <c r="C6150" s="29" t="s">
        <v>22719</v>
      </c>
      <c r="D6150" s="29" t="s">
        <v>35988</v>
      </c>
      <c r="E6150" s="29" t="s">
        <v>48611</v>
      </c>
      <c r="F6150" s="36" t="s">
        <v>54401</v>
      </c>
      <c r="G6150" s="39">
        <v>45012.65</v>
      </c>
      <c r="H6150" s="42">
        <v>211</v>
      </c>
    </row>
    <row r="6151" spans="1:8" ht="15" customHeight="1">
      <c r="A6151" s="26">
        <v>74181074</v>
      </c>
      <c r="B6151" s="30" t="s">
        <v>8380</v>
      </c>
      <c r="C6151" s="29" t="s">
        <v>22720</v>
      </c>
      <c r="D6151" s="29" t="s">
        <v>35989</v>
      </c>
      <c r="E6151" s="29" t="s">
        <v>44093</v>
      </c>
      <c r="F6151" s="36" t="s">
        <v>54401</v>
      </c>
      <c r="G6151" s="39">
        <f>1631902.7+2418331</f>
        <v>4050233.7</v>
      </c>
      <c r="H6151" s="42">
        <v>211</v>
      </c>
    </row>
    <row r="6152" spans="1:8" ht="15" customHeight="1">
      <c r="A6152" s="26">
        <v>74181204</v>
      </c>
      <c r="B6152" s="30" t="s">
        <v>8381</v>
      </c>
      <c r="C6152" s="29" t="s">
        <v>22721</v>
      </c>
      <c r="D6152" s="29" t="s">
        <v>35990</v>
      </c>
      <c r="E6152" s="29" t="s">
        <v>48612</v>
      </c>
      <c r="F6152" s="36" t="s">
        <v>54401</v>
      </c>
      <c r="G6152" s="39">
        <v>2780082.03</v>
      </c>
      <c r="H6152" s="42">
        <v>211</v>
      </c>
    </row>
    <row r="6153" spans="1:8" ht="15" customHeight="1">
      <c r="A6153" s="26">
        <v>74181287</v>
      </c>
      <c r="B6153" s="30" t="s">
        <v>8382</v>
      </c>
      <c r="C6153" s="29" t="s">
        <v>22722</v>
      </c>
      <c r="D6153" s="29" t="s">
        <v>35991</v>
      </c>
      <c r="E6153" s="29" t="s">
        <v>48613</v>
      </c>
      <c r="F6153" s="36" t="s">
        <v>54409</v>
      </c>
      <c r="G6153" s="39">
        <v>285315.15000000002</v>
      </c>
      <c r="H6153" s="42">
        <v>211</v>
      </c>
    </row>
    <row r="6154" spans="1:8" ht="15" customHeight="1">
      <c r="A6154" s="26">
        <v>74181321</v>
      </c>
      <c r="B6154" s="30" t="s">
        <v>8383</v>
      </c>
      <c r="C6154" s="29" t="s">
        <v>22723</v>
      </c>
      <c r="D6154" s="29" t="s">
        <v>35992</v>
      </c>
      <c r="E6154" s="29" t="s">
        <v>48614</v>
      </c>
      <c r="F6154" s="36" t="s">
        <v>54401</v>
      </c>
      <c r="G6154" s="39">
        <f>10194826.46-10100000+4050796-301277</f>
        <v>3844345.4600000009</v>
      </c>
      <c r="H6154" s="42">
        <v>211</v>
      </c>
    </row>
    <row r="6155" spans="1:8" ht="15" customHeight="1">
      <c r="A6155" s="26">
        <v>74181424</v>
      </c>
      <c r="B6155" s="30" t="s">
        <v>8384</v>
      </c>
      <c r="C6155" s="29" t="s">
        <v>22724</v>
      </c>
      <c r="D6155" s="29" t="s">
        <v>35993</v>
      </c>
      <c r="E6155" s="29" t="s">
        <v>48018</v>
      </c>
      <c r="F6155" s="36" t="s">
        <v>54401</v>
      </c>
      <c r="G6155" s="39">
        <f>2495193.7+22954</f>
        <v>2518147.7000000002</v>
      </c>
      <c r="H6155" s="42">
        <v>211</v>
      </c>
    </row>
    <row r="6156" spans="1:8" ht="15" customHeight="1">
      <c r="A6156" s="26">
        <v>74181757</v>
      </c>
      <c r="B6156" s="30" t="s">
        <v>8385</v>
      </c>
      <c r="C6156" s="29" t="s">
        <v>22725</v>
      </c>
      <c r="D6156" s="29" t="s">
        <v>35994</v>
      </c>
      <c r="E6156" s="29" t="s">
        <v>48615</v>
      </c>
      <c r="F6156" s="36" t="s">
        <v>54401</v>
      </c>
      <c r="G6156" s="39">
        <v>229489.81</v>
      </c>
      <c r="H6156" s="42">
        <v>211</v>
      </c>
    </row>
    <row r="6157" spans="1:8" ht="15" customHeight="1">
      <c r="A6157" s="26">
        <v>74182135</v>
      </c>
      <c r="B6157" s="30" t="s">
        <v>8386</v>
      </c>
      <c r="C6157" s="29" t="s">
        <v>22726</v>
      </c>
      <c r="D6157" s="29" t="s">
        <v>35995</v>
      </c>
      <c r="E6157" s="29" t="s">
        <v>48616</v>
      </c>
      <c r="F6157" s="36" t="s">
        <v>54401</v>
      </c>
      <c r="G6157" s="39">
        <v>2615554.16</v>
      </c>
      <c r="H6157" s="42">
        <v>211</v>
      </c>
    </row>
    <row r="6158" spans="1:8" ht="15" customHeight="1">
      <c r="A6158" s="26">
        <v>74182201</v>
      </c>
      <c r="B6158" s="30" t="s">
        <v>8387</v>
      </c>
      <c r="C6158" s="29" t="s">
        <v>22727</v>
      </c>
      <c r="D6158" s="29" t="s">
        <v>35996</v>
      </c>
      <c r="E6158" s="29" t="s">
        <v>48617</v>
      </c>
      <c r="F6158" s="36" t="s">
        <v>54406</v>
      </c>
      <c r="G6158" s="39">
        <f>3086067.33-57300</f>
        <v>3028767.33</v>
      </c>
      <c r="H6158" s="42">
        <v>211</v>
      </c>
    </row>
    <row r="6159" spans="1:8" ht="15" customHeight="1">
      <c r="A6159" s="26">
        <v>74182363</v>
      </c>
      <c r="B6159" s="30" t="s">
        <v>8388</v>
      </c>
      <c r="C6159" s="26" t="s">
        <v>22728</v>
      </c>
      <c r="D6159" s="26" t="s">
        <v>35997</v>
      </c>
      <c r="E6159" s="26" t="s">
        <v>48618</v>
      </c>
      <c r="F6159" s="37" t="s">
        <v>54401</v>
      </c>
      <c r="G6159" s="39">
        <v>2602241.3199999998</v>
      </c>
      <c r="H6159" s="42">
        <v>211</v>
      </c>
    </row>
    <row r="6160" spans="1:8" ht="15" customHeight="1">
      <c r="A6160" s="26">
        <v>74182698</v>
      </c>
      <c r="B6160" s="30" t="s">
        <v>8389</v>
      </c>
      <c r="C6160" s="29" t="s">
        <v>22729</v>
      </c>
      <c r="D6160" s="29" t="s">
        <v>35998</v>
      </c>
      <c r="E6160" s="29" t="s">
        <v>48619</v>
      </c>
      <c r="F6160" s="36" t="s">
        <v>54402</v>
      </c>
      <c r="G6160" s="39">
        <v>307929.44</v>
      </c>
      <c r="H6160" s="42">
        <v>211</v>
      </c>
    </row>
    <row r="6161" spans="1:8" ht="15" customHeight="1">
      <c r="A6161" s="26">
        <v>74182905</v>
      </c>
      <c r="B6161" s="30" t="s">
        <v>8390</v>
      </c>
      <c r="C6161" s="29" t="s">
        <v>22730</v>
      </c>
      <c r="D6161" s="29" t="s">
        <v>35999</v>
      </c>
      <c r="E6161" s="29" t="s">
        <v>43926</v>
      </c>
      <c r="F6161" s="36" t="s">
        <v>54401</v>
      </c>
      <c r="G6161" s="39">
        <v>573441.46</v>
      </c>
      <c r="H6161" s="42">
        <v>211</v>
      </c>
    </row>
    <row r="6162" spans="1:8" ht="15" customHeight="1">
      <c r="A6162" s="26">
        <v>74183151</v>
      </c>
      <c r="B6162" s="30" t="s">
        <v>8391</v>
      </c>
      <c r="C6162" s="29" t="s">
        <v>22731</v>
      </c>
      <c r="D6162" s="29" t="s">
        <v>36000</v>
      </c>
      <c r="E6162" s="29" t="s">
        <v>48620</v>
      </c>
      <c r="F6162" s="36" t="s">
        <v>54402</v>
      </c>
      <c r="G6162" s="39">
        <f>11388790.36-13619</f>
        <v>11375171.359999999</v>
      </c>
      <c r="H6162" s="42">
        <v>211</v>
      </c>
    </row>
    <row r="6163" spans="1:8" ht="15" customHeight="1">
      <c r="A6163" s="26">
        <v>74183267</v>
      </c>
      <c r="B6163" s="30" t="s">
        <v>8392</v>
      </c>
      <c r="C6163" s="29" t="s">
        <v>22732</v>
      </c>
      <c r="D6163" s="29" t="s">
        <v>36001</v>
      </c>
      <c r="E6163" s="29" t="s">
        <v>48018</v>
      </c>
      <c r="F6163" s="36" t="s">
        <v>54401</v>
      </c>
      <c r="G6163" s="39">
        <v>1938802.61</v>
      </c>
      <c r="H6163" s="42">
        <v>211</v>
      </c>
    </row>
    <row r="6164" spans="1:8" ht="15" customHeight="1">
      <c r="A6164" s="26">
        <v>74183450</v>
      </c>
      <c r="B6164" s="30" t="s">
        <v>8393</v>
      </c>
      <c r="C6164" s="29" t="s">
        <v>22733</v>
      </c>
      <c r="D6164" s="29" t="s">
        <v>36002</v>
      </c>
      <c r="E6164" s="29" t="s">
        <v>48621</v>
      </c>
      <c r="F6164" s="36" t="s">
        <v>54401</v>
      </c>
      <c r="G6164" s="39">
        <f>4975229.92+179822</f>
        <v>5155051.92</v>
      </c>
      <c r="H6164" s="42">
        <v>211</v>
      </c>
    </row>
    <row r="6165" spans="1:8" ht="15" customHeight="1">
      <c r="A6165" s="26">
        <v>74183630</v>
      </c>
      <c r="B6165" s="30" t="s">
        <v>8394</v>
      </c>
      <c r="C6165" s="29" t="s">
        <v>17337</v>
      </c>
      <c r="D6165" s="29" t="s">
        <v>36003</v>
      </c>
      <c r="E6165" s="29" t="s">
        <v>48622</v>
      </c>
      <c r="F6165" s="36" t="s">
        <v>54406</v>
      </c>
      <c r="G6165" s="39">
        <v>163947.04999999999</v>
      </c>
      <c r="H6165" s="42">
        <v>211</v>
      </c>
    </row>
    <row r="6166" spans="1:8" ht="15" customHeight="1">
      <c r="A6166" s="26">
        <v>74183657</v>
      </c>
      <c r="B6166" s="30" t="s">
        <v>8395</v>
      </c>
      <c r="C6166" s="29" t="s">
        <v>22734</v>
      </c>
      <c r="D6166" s="29" t="s">
        <v>36004</v>
      </c>
      <c r="E6166" s="29" t="s">
        <v>48623</v>
      </c>
      <c r="F6166" s="36" t="s">
        <v>54401</v>
      </c>
      <c r="G6166" s="39">
        <v>2240479.4700000002</v>
      </c>
      <c r="H6166" s="42">
        <v>211</v>
      </c>
    </row>
    <row r="6167" spans="1:8" ht="15" customHeight="1">
      <c r="A6167" s="26">
        <v>74183810</v>
      </c>
      <c r="B6167" s="30" t="s">
        <v>8396</v>
      </c>
      <c r="C6167" s="29" t="s">
        <v>22735</v>
      </c>
      <c r="D6167" s="29" t="s">
        <v>36005</v>
      </c>
      <c r="E6167" s="29" t="s">
        <v>48107</v>
      </c>
      <c r="F6167" s="36" t="s">
        <v>54401</v>
      </c>
      <c r="G6167" s="39">
        <f>2904328.87+416848</f>
        <v>3321176.87</v>
      </c>
      <c r="H6167" s="42">
        <v>211</v>
      </c>
    </row>
    <row r="6168" spans="1:8" ht="15" customHeight="1">
      <c r="A6168" s="26">
        <v>74183829</v>
      </c>
      <c r="B6168" s="30" t="s">
        <v>8397</v>
      </c>
      <c r="C6168" s="29" t="s">
        <v>22736</v>
      </c>
      <c r="D6168" s="29" t="s">
        <v>36006</v>
      </c>
      <c r="E6168" s="29" t="s">
        <v>48624</v>
      </c>
      <c r="F6168" s="36" t="s">
        <v>54401</v>
      </c>
      <c r="G6168" s="39">
        <f>4681418.34-15010</f>
        <v>4666408.34</v>
      </c>
      <c r="H6168" s="42">
        <v>211</v>
      </c>
    </row>
    <row r="6169" spans="1:8" ht="15" customHeight="1">
      <c r="A6169" s="26">
        <v>74184357</v>
      </c>
      <c r="B6169" s="30" t="s">
        <v>8398</v>
      </c>
      <c r="C6169" s="29" t="s">
        <v>22737</v>
      </c>
      <c r="D6169" s="29" t="s">
        <v>36007</v>
      </c>
      <c r="E6169" s="29" t="s">
        <v>48625</v>
      </c>
      <c r="F6169" s="36" t="s">
        <v>54401</v>
      </c>
      <c r="G6169" s="39">
        <v>62183.88</v>
      </c>
      <c r="H6169" s="42">
        <v>211</v>
      </c>
    </row>
    <row r="6170" spans="1:8" ht="15" customHeight="1">
      <c r="A6170" s="26">
        <v>74184867</v>
      </c>
      <c r="B6170" s="30" t="s">
        <v>8399</v>
      </c>
      <c r="C6170" s="29" t="s">
        <v>22738</v>
      </c>
      <c r="D6170" s="29" t="s">
        <v>36008</v>
      </c>
      <c r="E6170" s="29" t="s">
        <v>48626</v>
      </c>
      <c r="F6170" s="36" t="s">
        <v>54401</v>
      </c>
      <c r="G6170" s="39">
        <v>6203064.6399999997</v>
      </c>
      <c r="H6170" s="42">
        <v>211</v>
      </c>
    </row>
    <row r="6171" spans="1:8" ht="15" customHeight="1">
      <c r="A6171" s="26">
        <v>74185202</v>
      </c>
      <c r="B6171" s="30" t="s">
        <v>8400</v>
      </c>
      <c r="C6171" s="29" t="s">
        <v>22739</v>
      </c>
      <c r="D6171" s="29" t="s">
        <v>32659</v>
      </c>
      <c r="E6171" s="29" t="s">
        <v>717</v>
      </c>
      <c r="F6171" s="36" t="s">
        <v>54401</v>
      </c>
      <c r="G6171" s="39">
        <v>199692.43</v>
      </c>
      <c r="H6171" s="42">
        <v>211</v>
      </c>
    </row>
    <row r="6172" spans="1:8" ht="15" customHeight="1">
      <c r="A6172" s="26">
        <v>74185227</v>
      </c>
      <c r="B6172" s="30" t="s">
        <v>8401</v>
      </c>
      <c r="C6172" s="29" t="s">
        <v>22740</v>
      </c>
      <c r="D6172" s="29" t="s">
        <v>36009</v>
      </c>
      <c r="E6172" s="29" t="s">
        <v>48627</v>
      </c>
      <c r="F6172" s="36" t="s">
        <v>54401</v>
      </c>
      <c r="G6172" s="39">
        <v>851354.85</v>
      </c>
      <c r="H6172" s="42">
        <v>211</v>
      </c>
    </row>
    <row r="6173" spans="1:8" ht="15" customHeight="1">
      <c r="A6173" s="26">
        <v>74185438</v>
      </c>
      <c r="B6173" s="30" t="s">
        <v>8402</v>
      </c>
      <c r="C6173" s="29" t="s">
        <v>22741</v>
      </c>
      <c r="D6173" s="29" t="s">
        <v>36010</v>
      </c>
      <c r="E6173" s="29" t="s">
        <v>48628</v>
      </c>
      <c r="F6173" s="36" t="s">
        <v>54401</v>
      </c>
      <c r="G6173" s="39">
        <v>60983.33</v>
      </c>
      <c r="H6173" s="42">
        <v>211</v>
      </c>
    </row>
    <row r="6174" spans="1:8" ht="15" customHeight="1">
      <c r="A6174" s="26">
        <v>74185439</v>
      </c>
      <c r="B6174" s="30" t="s">
        <v>8403</v>
      </c>
      <c r="C6174" s="29" t="s">
        <v>22742</v>
      </c>
      <c r="D6174" s="29" t="s">
        <v>36011</v>
      </c>
      <c r="E6174" s="29" t="s">
        <v>47083</v>
      </c>
      <c r="F6174" s="36" t="s">
        <v>54401</v>
      </c>
      <c r="G6174" s="39">
        <v>5267446.1100000003</v>
      </c>
      <c r="H6174" s="42">
        <v>211</v>
      </c>
    </row>
    <row r="6175" spans="1:8" ht="15" customHeight="1">
      <c r="A6175" s="26">
        <v>74185553</v>
      </c>
      <c r="B6175" s="30" t="s">
        <v>8404</v>
      </c>
      <c r="C6175" s="29" t="s">
        <v>22743</v>
      </c>
      <c r="D6175" s="29" t="s">
        <v>36012</v>
      </c>
      <c r="E6175" s="29" t="s">
        <v>43926</v>
      </c>
      <c r="F6175" s="36" t="s">
        <v>54401</v>
      </c>
      <c r="G6175" s="39">
        <v>389132.4</v>
      </c>
      <c r="H6175" s="42">
        <v>211</v>
      </c>
    </row>
    <row r="6176" spans="1:8" ht="15" customHeight="1">
      <c r="A6176" s="26">
        <v>74185767</v>
      </c>
      <c r="B6176" s="30" t="s">
        <v>8405</v>
      </c>
      <c r="C6176" s="29" t="s">
        <v>22744</v>
      </c>
      <c r="D6176" s="29" t="s">
        <v>36013</v>
      </c>
      <c r="E6176" s="29" t="s">
        <v>48629</v>
      </c>
      <c r="F6176" s="36" t="s">
        <v>54401</v>
      </c>
      <c r="G6176" s="39">
        <f>1775848.75-17252</f>
        <v>1758596.75</v>
      </c>
      <c r="H6176" s="42">
        <v>211</v>
      </c>
    </row>
    <row r="6177" spans="1:8" ht="15" customHeight="1">
      <c r="A6177" s="26">
        <v>74185805</v>
      </c>
      <c r="B6177" s="30" t="s">
        <v>8406</v>
      </c>
      <c r="C6177" s="29" t="s">
        <v>22745</v>
      </c>
      <c r="D6177" s="29" t="s">
        <v>36014</v>
      </c>
      <c r="E6177" s="29" t="s">
        <v>47785</v>
      </c>
      <c r="F6177" s="36" t="s">
        <v>54401</v>
      </c>
      <c r="G6177" s="39">
        <v>1653991.82</v>
      </c>
      <c r="H6177" s="42">
        <v>211</v>
      </c>
    </row>
    <row r="6178" spans="1:8" ht="15" customHeight="1">
      <c r="A6178" s="26">
        <v>74185829</v>
      </c>
      <c r="B6178" s="30" t="s">
        <v>8407</v>
      </c>
      <c r="C6178" s="29" t="s">
        <v>22746</v>
      </c>
      <c r="D6178" s="29" t="s">
        <v>36015</v>
      </c>
      <c r="E6178" s="29" t="s">
        <v>48630</v>
      </c>
      <c r="F6178" s="36" t="s">
        <v>54409</v>
      </c>
      <c r="G6178" s="39">
        <f>5667831.38+74122</f>
        <v>5741953.3799999999</v>
      </c>
      <c r="H6178" s="42">
        <v>211</v>
      </c>
    </row>
    <row r="6179" spans="1:8" ht="15" customHeight="1">
      <c r="A6179" s="26">
        <v>74186245</v>
      </c>
      <c r="B6179" s="30" t="s">
        <v>8408</v>
      </c>
      <c r="C6179" s="29" t="s">
        <v>22747</v>
      </c>
      <c r="D6179" s="29" t="s">
        <v>36016</v>
      </c>
      <c r="E6179" s="29" t="s">
        <v>46691</v>
      </c>
      <c r="F6179" s="36" t="s">
        <v>54401</v>
      </c>
      <c r="G6179" s="39">
        <v>461242.55</v>
      </c>
      <c r="H6179" s="42">
        <v>211</v>
      </c>
    </row>
    <row r="6180" spans="1:8" ht="15" customHeight="1">
      <c r="A6180" s="26">
        <v>74186342</v>
      </c>
      <c r="B6180" s="30" t="s">
        <v>8409</v>
      </c>
      <c r="C6180" s="29" t="s">
        <v>22748</v>
      </c>
      <c r="D6180" s="29" t="s">
        <v>36017</v>
      </c>
      <c r="E6180" s="29" t="s">
        <v>48631</v>
      </c>
      <c r="F6180" s="36" t="s">
        <v>54401</v>
      </c>
      <c r="G6180" s="39">
        <v>1748381.77</v>
      </c>
      <c r="H6180" s="42">
        <v>211</v>
      </c>
    </row>
    <row r="6181" spans="1:8" ht="15" customHeight="1">
      <c r="A6181" s="26">
        <v>74186368</v>
      </c>
      <c r="B6181" s="30" t="s">
        <v>8410</v>
      </c>
      <c r="C6181" s="29" t="s">
        <v>22749</v>
      </c>
      <c r="D6181" s="29" t="s">
        <v>36018</v>
      </c>
      <c r="E6181" s="29" t="s">
        <v>48632</v>
      </c>
      <c r="F6181" s="36" t="s">
        <v>54401</v>
      </c>
      <c r="G6181" s="39">
        <v>19665.09</v>
      </c>
      <c r="H6181" s="42">
        <v>211</v>
      </c>
    </row>
    <row r="6182" spans="1:8" ht="15" customHeight="1">
      <c r="A6182" s="26">
        <v>74186422</v>
      </c>
      <c r="B6182" s="30" t="s">
        <v>8411</v>
      </c>
      <c r="C6182" s="29" t="s">
        <v>22750</v>
      </c>
      <c r="D6182" s="29" t="s">
        <v>36019</v>
      </c>
      <c r="E6182" s="29" t="s">
        <v>48633</v>
      </c>
      <c r="F6182" s="36" t="s">
        <v>54402</v>
      </c>
      <c r="G6182" s="39">
        <v>263755.83</v>
      </c>
      <c r="H6182" s="42">
        <v>211</v>
      </c>
    </row>
    <row r="6183" spans="1:8" ht="15" customHeight="1">
      <c r="A6183" s="26">
        <v>74186757</v>
      </c>
      <c r="B6183" s="30" t="s">
        <v>8412</v>
      </c>
      <c r="C6183" s="29" t="s">
        <v>22751</v>
      </c>
      <c r="D6183" s="29" t="s">
        <v>36020</v>
      </c>
      <c r="E6183" s="29" t="s">
        <v>43926</v>
      </c>
      <c r="F6183" s="36" t="s">
        <v>54401</v>
      </c>
      <c r="G6183" s="39">
        <v>72774.97</v>
      </c>
      <c r="H6183" s="42">
        <v>211</v>
      </c>
    </row>
    <row r="6184" spans="1:8" ht="15" customHeight="1">
      <c r="A6184" s="26">
        <v>74186793</v>
      </c>
      <c r="B6184" s="30" t="s">
        <v>8413</v>
      </c>
      <c r="C6184" s="29" t="s">
        <v>22752</v>
      </c>
      <c r="D6184" s="29" t="s">
        <v>36021</v>
      </c>
      <c r="E6184" s="29" t="s">
        <v>48634</v>
      </c>
      <c r="F6184" s="36" t="s">
        <v>54401</v>
      </c>
      <c r="G6184" s="39">
        <v>594540.72</v>
      </c>
      <c r="H6184" s="42">
        <v>211</v>
      </c>
    </row>
    <row r="6185" spans="1:8" ht="15" customHeight="1">
      <c r="A6185" s="26">
        <v>74186836</v>
      </c>
      <c r="B6185" s="30" t="s">
        <v>8414</v>
      </c>
      <c r="C6185" s="29" t="s">
        <v>22753</v>
      </c>
      <c r="D6185" s="29" t="s">
        <v>36022</v>
      </c>
      <c r="E6185" s="29" t="s">
        <v>48635</v>
      </c>
      <c r="F6185" s="36" t="s">
        <v>54401</v>
      </c>
      <c r="G6185" s="39">
        <f>5928268.9+344395</f>
        <v>6272663.9000000004</v>
      </c>
      <c r="H6185" s="42">
        <v>211</v>
      </c>
    </row>
    <row r="6186" spans="1:8" ht="15" customHeight="1">
      <c r="A6186" s="26">
        <v>74186875</v>
      </c>
      <c r="B6186" s="30" t="s">
        <v>8415</v>
      </c>
      <c r="C6186" s="29" t="s">
        <v>22754</v>
      </c>
      <c r="D6186" s="29" t="s">
        <v>36023</v>
      </c>
      <c r="E6186" s="29" t="s">
        <v>47191</v>
      </c>
      <c r="F6186" s="36" t="s">
        <v>54401</v>
      </c>
      <c r="G6186" s="39">
        <v>5105752.8099999996</v>
      </c>
      <c r="H6186" s="42">
        <v>211</v>
      </c>
    </row>
    <row r="6187" spans="1:8" ht="15" customHeight="1">
      <c r="A6187" s="26">
        <v>74187003</v>
      </c>
      <c r="B6187" s="30" t="s">
        <v>8416</v>
      </c>
      <c r="C6187" s="29" t="s">
        <v>22755</v>
      </c>
      <c r="D6187" s="29" t="s">
        <v>36024</v>
      </c>
      <c r="E6187" s="29" t="s">
        <v>48636</v>
      </c>
      <c r="F6187" s="36" t="s">
        <v>54401</v>
      </c>
      <c r="G6187" s="39">
        <v>112808.77</v>
      </c>
      <c r="H6187" s="42">
        <v>211</v>
      </c>
    </row>
    <row r="6188" spans="1:8" ht="15" customHeight="1">
      <c r="A6188" s="26">
        <v>74187273</v>
      </c>
      <c r="B6188" s="30" t="s">
        <v>8417</v>
      </c>
      <c r="C6188" s="29" t="s">
        <v>22756</v>
      </c>
      <c r="D6188" s="29" t="s">
        <v>36025</v>
      </c>
      <c r="E6188" s="29" t="s">
        <v>48637</v>
      </c>
      <c r="F6188" s="36" t="s">
        <v>54401</v>
      </c>
      <c r="G6188" s="39">
        <v>482142.7</v>
      </c>
      <c r="H6188" s="42">
        <v>211</v>
      </c>
    </row>
    <row r="6189" spans="1:8" ht="15" customHeight="1">
      <c r="A6189" s="26">
        <v>74187290</v>
      </c>
      <c r="B6189" s="30" t="s">
        <v>8418</v>
      </c>
      <c r="C6189" s="29" t="s">
        <v>22757</v>
      </c>
      <c r="D6189" s="29" t="s">
        <v>36026</v>
      </c>
      <c r="E6189" s="29" t="s">
        <v>46911</v>
      </c>
      <c r="F6189" s="36" t="s">
        <v>54401</v>
      </c>
      <c r="G6189" s="39">
        <v>3871290.23</v>
      </c>
      <c r="H6189" s="42">
        <v>211</v>
      </c>
    </row>
    <row r="6190" spans="1:8" ht="15" customHeight="1">
      <c r="A6190" s="26">
        <v>74187340</v>
      </c>
      <c r="B6190" s="30" t="s">
        <v>8419</v>
      </c>
      <c r="C6190" s="29" t="s">
        <v>22758</v>
      </c>
      <c r="D6190" s="29" t="s">
        <v>36027</v>
      </c>
      <c r="E6190" s="29" t="s">
        <v>46572</v>
      </c>
      <c r="F6190" s="36" t="s">
        <v>54401</v>
      </c>
      <c r="G6190" s="39">
        <v>529004.29</v>
      </c>
      <c r="H6190" s="42">
        <v>211</v>
      </c>
    </row>
    <row r="6191" spans="1:8" ht="15" customHeight="1">
      <c r="A6191" s="26">
        <v>74187430</v>
      </c>
      <c r="B6191" s="30" t="s">
        <v>8420</v>
      </c>
      <c r="C6191" s="29" t="s">
        <v>22759</v>
      </c>
      <c r="D6191" s="29" t="s">
        <v>36028</v>
      </c>
      <c r="E6191" s="29" t="s">
        <v>48638</v>
      </c>
      <c r="F6191" s="36" t="s">
        <v>54401</v>
      </c>
      <c r="G6191" s="39">
        <v>5984447.5999999996</v>
      </c>
      <c r="H6191" s="42">
        <v>211</v>
      </c>
    </row>
    <row r="6192" spans="1:8" ht="15" customHeight="1">
      <c r="A6192" s="26">
        <v>74187519</v>
      </c>
      <c r="B6192" s="30" t="s">
        <v>8421</v>
      </c>
      <c r="C6192" s="26" t="s">
        <v>22760</v>
      </c>
      <c r="D6192" s="26" t="s">
        <v>36029</v>
      </c>
      <c r="E6192" s="26" t="s">
        <v>48639</v>
      </c>
      <c r="F6192" s="37" t="s">
        <v>54406</v>
      </c>
      <c r="G6192" s="39">
        <v>278916.99</v>
      </c>
      <c r="H6192" s="42">
        <v>211</v>
      </c>
    </row>
    <row r="6193" spans="1:8" ht="15" customHeight="1">
      <c r="A6193" s="26">
        <v>74187655</v>
      </c>
      <c r="B6193" s="30" t="s">
        <v>8422</v>
      </c>
      <c r="C6193" s="29" t="s">
        <v>22761</v>
      </c>
      <c r="D6193" s="29" t="s">
        <v>36030</v>
      </c>
      <c r="E6193" s="29" t="s">
        <v>48640</v>
      </c>
      <c r="F6193" s="36" t="s">
        <v>54401</v>
      </c>
      <c r="G6193" s="39">
        <v>1884729.98</v>
      </c>
      <c r="H6193" s="42">
        <v>211</v>
      </c>
    </row>
    <row r="6194" spans="1:8" ht="15" customHeight="1">
      <c r="A6194" s="26">
        <v>74187947</v>
      </c>
      <c r="B6194" s="30" t="s">
        <v>8423</v>
      </c>
      <c r="C6194" s="26" t="s">
        <v>22762</v>
      </c>
      <c r="D6194" s="26" t="s">
        <v>36031</v>
      </c>
      <c r="E6194" s="26" t="s">
        <v>48641</v>
      </c>
      <c r="F6194" s="37" t="s">
        <v>54401</v>
      </c>
      <c r="G6194" s="39">
        <v>25565.48</v>
      </c>
      <c r="H6194" s="42">
        <v>211</v>
      </c>
    </row>
    <row r="6195" spans="1:8" ht="15" customHeight="1">
      <c r="A6195" s="26">
        <v>74187977</v>
      </c>
      <c r="B6195" s="30" t="s">
        <v>8424</v>
      </c>
      <c r="C6195" s="29" t="s">
        <v>22763</v>
      </c>
      <c r="D6195" s="29" t="s">
        <v>36032</v>
      </c>
      <c r="E6195" s="29" t="s">
        <v>43926</v>
      </c>
      <c r="F6195" s="36" t="s">
        <v>54401</v>
      </c>
      <c r="G6195" s="39">
        <v>14028.51</v>
      </c>
      <c r="H6195" s="42">
        <v>211</v>
      </c>
    </row>
    <row r="6196" spans="1:8" ht="15" customHeight="1">
      <c r="A6196" s="26">
        <v>74188055</v>
      </c>
      <c r="B6196" s="30" t="s">
        <v>8425</v>
      </c>
      <c r="C6196" s="29" t="s">
        <v>22764</v>
      </c>
      <c r="D6196" s="29" t="s">
        <v>36033</v>
      </c>
      <c r="E6196" s="29" t="s">
        <v>43926</v>
      </c>
      <c r="F6196" s="36" t="s">
        <v>54401</v>
      </c>
      <c r="G6196" s="39">
        <v>205947.62</v>
      </c>
      <c r="H6196" s="42">
        <v>211</v>
      </c>
    </row>
    <row r="6197" spans="1:8" ht="15" customHeight="1">
      <c r="A6197" s="26">
        <v>74188169</v>
      </c>
      <c r="B6197" s="30" t="s">
        <v>8426</v>
      </c>
      <c r="C6197" s="29" t="s">
        <v>22765</v>
      </c>
      <c r="D6197" s="29" t="s">
        <v>36034</v>
      </c>
      <c r="E6197" s="29" t="s">
        <v>48642</v>
      </c>
      <c r="F6197" s="36" t="s">
        <v>54401</v>
      </c>
      <c r="G6197" s="39">
        <v>254337.48</v>
      </c>
      <c r="H6197" s="42">
        <v>211</v>
      </c>
    </row>
    <row r="6198" spans="1:8" ht="15" customHeight="1">
      <c r="A6198" s="26">
        <v>74188288</v>
      </c>
      <c r="B6198" s="30" t="s">
        <v>8427</v>
      </c>
      <c r="C6198" s="29" t="s">
        <v>22766</v>
      </c>
      <c r="D6198" s="29" t="s">
        <v>36035</v>
      </c>
      <c r="E6198" s="29" t="s">
        <v>48643</v>
      </c>
      <c r="F6198" s="36" t="s">
        <v>54401</v>
      </c>
      <c r="G6198" s="39">
        <f>6274261.05+34141</f>
        <v>6308402.0499999998</v>
      </c>
      <c r="H6198" s="42">
        <v>211</v>
      </c>
    </row>
    <row r="6199" spans="1:8" ht="15" customHeight="1">
      <c r="A6199" s="26">
        <v>74188427</v>
      </c>
      <c r="B6199" s="30" t="s">
        <v>8428</v>
      </c>
      <c r="C6199" s="29" t="s">
        <v>22767</v>
      </c>
      <c r="D6199" s="29" t="s">
        <v>36036</v>
      </c>
      <c r="E6199" s="29" t="s">
        <v>48644</v>
      </c>
      <c r="F6199" s="36" t="s">
        <v>54402</v>
      </c>
      <c r="G6199" s="39">
        <v>1012565.16</v>
      </c>
      <c r="H6199" s="42">
        <v>211</v>
      </c>
    </row>
    <row r="6200" spans="1:8" ht="15" customHeight="1">
      <c r="A6200" s="26">
        <v>74188548</v>
      </c>
      <c r="B6200" s="30" t="s">
        <v>8429</v>
      </c>
      <c r="C6200" s="29" t="s">
        <v>22768</v>
      </c>
      <c r="D6200" s="29" t="s">
        <v>36037</v>
      </c>
      <c r="E6200" s="29" t="s">
        <v>48645</v>
      </c>
      <c r="F6200" s="36" t="s">
        <v>54406</v>
      </c>
      <c r="G6200" s="39">
        <v>945674.47</v>
      </c>
      <c r="H6200" s="42">
        <v>211</v>
      </c>
    </row>
    <row r="6201" spans="1:8" ht="15" customHeight="1">
      <c r="A6201" s="26">
        <v>74188608</v>
      </c>
      <c r="B6201" s="30" t="s">
        <v>8430</v>
      </c>
      <c r="C6201" s="29" t="s">
        <v>22769</v>
      </c>
      <c r="D6201" s="29" t="s">
        <v>36038</v>
      </c>
      <c r="E6201" s="29" t="s">
        <v>48646</v>
      </c>
      <c r="F6201" s="36" t="s">
        <v>54401</v>
      </c>
      <c r="G6201" s="39">
        <v>4212130.1399999997</v>
      </c>
      <c r="H6201" s="42">
        <v>211</v>
      </c>
    </row>
    <row r="6202" spans="1:8" ht="15" customHeight="1">
      <c r="A6202" s="26">
        <v>74188667</v>
      </c>
      <c r="B6202" s="30" t="s">
        <v>8431</v>
      </c>
      <c r="C6202" s="29" t="s">
        <v>22770</v>
      </c>
      <c r="D6202" s="29" t="s">
        <v>36039</v>
      </c>
      <c r="E6202" s="29" t="s">
        <v>48647</v>
      </c>
      <c r="F6202" s="36" t="s">
        <v>54401</v>
      </c>
      <c r="G6202" s="39">
        <v>1522454.16</v>
      </c>
      <c r="H6202" s="42">
        <v>211</v>
      </c>
    </row>
    <row r="6203" spans="1:8" ht="15" customHeight="1">
      <c r="A6203" s="26">
        <v>74188767</v>
      </c>
      <c r="B6203" s="30" t="s">
        <v>8432</v>
      </c>
      <c r="C6203" s="29" t="s">
        <v>22771</v>
      </c>
      <c r="D6203" s="29" t="s">
        <v>36040</v>
      </c>
      <c r="E6203" s="29" t="s">
        <v>48648</v>
      </c>
      <c r="F6203" s="36" t="s">
        <v>54409</v>
      </c>
      <c r="G6203" s="39">
        <v>587313.47</v>
      </c>
      <c r="H6203" s="42">
        <v>211</v>
      </c>
    </row>
    <row r="6204" spans="1:8" ht="15" customHeight="1">
      <c r="A6204" s="26">
        <v>74188955</v>
      </c>
      <c r="B6204" s="30" t="s">
        <v>8433</v>
      </c>
      <c r="C6204" s="29" t="s">
        <v>22772</v>
      </c>
      <c r="D6204" s="29" t="s">
        <v>36041</v>
      </c>
      <c r="E6204" s="29" t="s">
        <v>48649</v>
      </c>
      <c r="F6204" s="36" t="s">
        <v>54401</v>
      </c>
      <c r="G6204" s="39">
        <f>2964665.98+24873</f>
        <v>2989538.98</v>
      </c>
      <c r="H6204" s="42">
        <v>211</v>
      </c>
    </row>
    <row r="6205" spans="1:8" ht="15" customHeight="1">
      <c r="A6205" s="26">
        <v>74189007</v>
      </c>
      <c r="B6205" s="30" t="s">
        <v>8434</v>
      </c>
      <c r="C6205" s="29" t="s">
        <v>22773</v>
      </c>
      <c r="D6205" s="29" t="s">
        <v>36042</v>
      </c>
      <c r="E6205" s="29" t="s">
        <v>48650</v>
      </c>
      <c r="F6205" s="36" t="s">
        <v>54402</v>
      </c>
      <c r="G6205" s="39">
        <v>10826.72</v>
      </c>
      <c r="H6205" s="42">
        <v>211</v>
      </c>
    </row>
    <row r="6206" spans="1:8" ht="15" customHeight="1">
      <c r="A6206" s="26">
        <v>74189098</v>
      </c>
      <c r="B6206" s="30" t="s">
        <v>8435</v>
      </c>
      <c r="C6206" s="29" t="s">
        <v>22774</v>
      </c>
      <c r="D6206" s="29" t="s">
        <v>36043</v>
      </c>
      <c r="E6206" s="29" t="s">
        <v>43926</v>
      </c>
      <c r="F6206" s="36" t="s">
        <v>54401</v>
      </c>
      <c r="G6206" s="39">
        <v>772881.91</v>
      </c>
      <c r="H6206" s="42">
        <v>211</v>
      </c>
    </row>
    <row r="6207" spans="1:8" ht="15" customHeight="1">
      <c r="A6207" s="26">
        <v>74189221</v>
      </c>
      <c r="B6207" s="30" t="s">
        <v>8436</v>
      </c>
      <c r="C6207" s="29" t="s">
        <v>22775</v>
      </c>
      <c r="D6207" s="29" t="s">
        <v>36044</v>
      </c>
      <c r="E6207" s="29" t="s">
        <v>48651</v>
      </c>
      <c r="F6207" s="36" t="s">
        <v>54401</v>
      </c>
      <c r="G6207" s="39">
        <v>3406224.12</v>
      </c>
      <c r="H6207" s="42">
        <v>211</v>
      </c>
    </row>
    <row r="6208" spans="1:8" ht="15" customHeight="1">
      <c r="A6208" s="26">
        <v>74189383</v>
      </c>
      <c r="B6208" s="30" t="s">
        <v>8437</v>
      </c>
      <c r="C6208" s="29" t="s">
        <v>22776</v>
      </c>
      <c r="D6208" s="29" t="s">
        <v>36045</v>
      </c>
      <c r="E6208" s="29" t="s">
        <v>48652</v>
      </c>
      <c r="F6208" s="36" t="s">
        <v>54402</v>
      </c>
      <c r="G6208" s="39">
        <v>765724.46</v>
      </c>
      <c r="H6208" s="42">
        <v>211</v>
      </c>
    </row>
    <row r="6209" spans="1:8" ht="15" customHeight="1">
      <c r="A6209" s="26">
        <v>74189459</v>
      </c>
      <c r="B6209" s="30" t="s">
        <v>8438</v>
      </c>
      <c r="C6209" s="29" t="s">
        <v>22777</v>
      </c>
      <c r="D6209" s="29" t="s">
        <v>36046</v>
      </c>
      <c r="E6209" s="29" t="s">
        <v>48653</v>
      </c>
      <c r="F6209" s="36" t="s">
        <v>54402</v>
      </c>
      <c r="G6209" s="39">
        <f>6097076.19-104780</f>
        <v>5992296.1900000004</v>
      </c>
      <c r="H6209" s="42">
        <v>211</v>
      </c>
    </row>
    <row r="6210" spans="1:8" ht="15" customHeight="1">
      <c r="A6210" s="26">
        <v>74189970</v>
      </c>
      <c r="B6210" s="30" t="s">
        <v>8439</v>
      </c>
      <c r="C6210" s="29" t="s">
        <v>17204</v>
      </c>
      <c r="D6210" s="29" t="s">
        <v>30349</v>
      </c>
      <c r="E6210" s="29" t="s">
        <v>43926</v>
      </c>
      <c r="F6210" s="36" t="s">
        <v>54401</v>
      </c>
      <c r="G6210" s="39">
        <v>246072.24</v>
      </c>
      <c r="H6210" s="42">
        <v>211</v>
      </c>
    </row>
    <row r="6211" spans="1:8" ht="15" customHeight="1">
      <c r="A6211" s="26">
        <v>74241154</v>
      </c>
      <c r="B6211" s="30" t="s">
        <v>8440</v>
      </c>
      <c r="C6211" s="29" t="s">
        <v>22778</v>
      </c>
      <c r="D6211" s="29" t="s">
        <v>36047</v>
      </c>
      <c r="E6211" s="29" t="s">
        <v>48654</v>
      </c>
      <c r="F6211" s="36" t="s">
        <v>54401</v>
      </c>
      <c r="G6211" s="39">
        <v>6408836.1500000004</v>
      </c>
      <c r="H6211" s="42">
        <v>211</v>
      </c>
    </row>
    <row r="6212" spans="1:8" ht="15" customHeight="1">
      <c r="A6212" s="26">
        <v>74242853</v>
      </c>
      <c r="B6212" s="30" t="s">
        <v>8441</v>
      </c>
      <c r="C6212" s="29" t="s">
        <v>22779</v>
      </c>
      <c r="D6212" s="29" t="s">
        <v>36048</v>
      </c>
      <c r="E6212" s="29" t="s">
        <v>43926</v>
      </c>
      <c r="F6212" s="36" t="s">
        <v>54401</v>
      </c>
      <c r="G6212" s="39">
        <f>1532980.76+752466</f>
        <v>2285446.7599999998</v>
      </c>
      <c r="H6212" s="42">
        <v>211</v>
      </c>
    </row>
    <row r="6213" spans="1:8" ht="15" customHeight="1">
      <c r="A6213" s="26">
        <v>74243543</v>
      </c>
      <c r="B6213" s="30" t="s">
        <v>8442</v>
      </c>
      <c r="C6213" s="29" t="s">
        <v>22780</v>
      </c>
      <c r="D6213" s="29" t="s">
        <v>36049</v>
      </c>
      <c r="E6213" s="29" t="s">
        <v>764</v>
      </c>
      <c r="F6213" s="36" t="s">
        <v>54401</v>
      </c>
      <c r="G6213" s="39">
        <f>107325.92+117974+6271258-241463</f>
        <v>6255094.9199999999</v>
      </c>
      <c r="H6213" s="42">
        <v>211</v>
      </c>
    </row>
    <row r="6214" spans="1:8" ht="15" customHeight="1">
      <c r="A6214" s="26">
        <v>74243920</v>
      </c>
      <c r="B6214" s="30" t="s">
        <v>8443</v>
      </c>
      <c r="C6214" s="29" t="s">
        <v>22781</v>
      </c>
      <c r="D6214" s="29" t="s">
        <v>36050</v>
      </c>
      <c r="E6214" s="29" t="s">
        <v>48655</v>
      </c>
      <c r="F6214" s="36" t="s">
        <v>54401</v>
      </c>
      <c r="G6214" s="39">
        <v>44933.7</v>
      </c>
      <c r="H6214" s="42">
        <v>211</v>
      </c>
    </row>
    <row r="6215" spans="1:8" ht="15" customHeight="1">
      <c r="A6215" s="26">
        <v>74244627</v>
      </c>
      <c r="B6215" s="30" t="s">
        <v>8444</v>
      </c>
      <c r="C6215" s="29" t="s">
        <v>22782</v>
      </c>
      <c r="D6215" s="29" t="s">
        <v>36051</v>
      </c>
      <c r="E6215" s="29" t="s">
        <v>45276</v>
      </c>
      <c r="F6215" s="36" t="s">
        <v>54401</v>
      </c>
      <c r="G6215" s="39">
        <f>5471533.49+92497</f>
        <v>5564030.4900000002</v>
      </c>
      <c r="H6215" s="42">
        <v>211</v>
      </c>
    </row>
    <row r="6216" spans="1:8" ht="15" customHeight="1">
      <c r="A6216" s="26">
        <v>74260450</v>
      </c>
      <c r="B6216" s="30" t="s">
        <v>8445</v>
      </c>
      <c r="C6216" s="29" t="s">
        <v>22783</v>
      </c>
      <c r="D6216" s="29" t="s">
        <v>36052</v>
      </c>
      <c r="E6216" s="29" t="s">
        <v>48656</v>
      </c>
      <c r="F6216" s="36" t="s">
        <v>54401</v>
      </c>
      <c r="G6216" s="39">
        <f>1429475.19-6386</f>
        <v>1423089.19</v>
      </c>
      <c r="H6216" s="42">
        <v>211</v>
      </c>
    </row>
    <row r="6217" spans="1:8" ht="15" customHeight="1">
      <c r="A6217" s="26">
        <v>74261262</v>
      </c>
      <c r="B6217" s="30" t="s">
        <v>8446</v>
      </c>
      <c r="C6217" s="29" t="s">
        <v>22784</v>
      </c>
      <c r="D6217" s="29" t="s">
        <v>36053</v>
      </c>
      <c r="E6217" s="29" t="s">
        <v>48657</v>
      </c>
      <c r="F6217" s="36" t="s">
        <v>54401</v>
      </c>
      <c r="G6217" s="39">
        <v>1760171.24</v>
      </c>
      <c r="H6217" s="42">
        <v>211</v>
      </c>
    </row>
    <row r="6218" spans="1:8" ht="15" customHeight="1">
      <c r="A6218" s="26">
        <v>74270009</v>
      </c>
      <c r="B6218" s="30" t="s">
        <v>8447</v>
      </c>
      <c r="C6218" s="29" t="s">
        <v>22785</v>
      </c>
      <c r="D6218" s="29" t="s">
        <v>36054</v>
      </c>
      <c r="E6218" s="29" t="s">
        <v>48658</v>
      </c>
      <c r="F6218" s="36" t="s">
        <v>54401</v>
      </c>
      <c r="G6218" s="39">
        <f>2198453.92+854540</f>
        <v>3052993.92</v>
      </c>
      <c r="H6218" s="42">
        <v>211</v>
      </c>
    </row>
    <row r="6219" spans="1:8" ht="15" customHeight="1">
      <c r="A6219" s="26">
        <v>74270017</v>
      </c>
      <c r="B6219" s="30" t="s">
        <v>8448</v>
      </c>
      <c r="C6219" s="29" t="s">
        <v>22786</v>
      </c>
      <c r="D6219" s="29" t="s">
        <v>36055</v>
      </c>
      <c r="E6219" s="29" t="s">
        <v>48659</v>
      </c>
      <c r="F6219" s="36" t="s">
        <v>54401</v>
      </c>
      <c r="G6219" s="39">
        <f>3030033.58+284111</f>
        <v>3314144.58</v>
      </c>
      <c r="H6219" s="42">
        <v>211</v>
      </c>
    </row>
    <row r="6220" spans="1:8" ht="15" customHeight="1">
      <c r="A6220" s="26">
        <v>74270072</v>
      </c>
      <c r="B6220" s="30" t="s">
        <v>8449</v>
      </c>
      <c r="C6220" s="29" t="s">
        <v>22787</v>
      </c>
      <c r="D6220" s="29" t="s">
        <v>36056</v>
      </c>
      <c r="E6220" s="29" t="s">
        <v>48660</v>
      </c>
      <c r="F6220" s="36" t="s">
        <v>54401</v>
      </c>
      <c r="G6220" s="39">
        <v>2901587.13</v>
      </c>
      <c r="H6220" s="42">
        <v>211</v>
      </c>
    </row>
    <row r="6221" spans="1:8" ht="15" customHeight="1">
      <c r="A6221" s="26">
        <v>74270115</v>
      </c>
      <c r="B6221" s="30" t="s">
        <v>8450</v>
      </c>
      <c r="C6221" s="29" t="s">
        <v>22788</v>
      </c>
      <c r="D6221" s="29" t="s">
        <v>36057</v>
      </c>
      <c r="E6221" s="29" t="s">
        <v>48661</v>
      </c>
      <c r="F6221" s="36" t="s">
        <v>54401</v>
      </c>
      <c r="G6221" s="39">
        <f>2239450.16+190381</f>
        <v>2429831.16</v>
      </c>
      <c r="H6221" s="42">
        <v>211</v>
      </c>
    </row>
    <row r="6222" spans="1:8" ht="15" customHeight="1">
      <c r="A6222" s="26">
        <v>74270152</v>
      </c>
      <c r="B6222" s="30" t="s">
        <v>8451</v>
      </c>
      <c r="C6222" s="29" t="s">
        <v>17204</v>
      </c>
      <c r="D6222" s="29" t="s">
        <v>36058</v>
      </c>
      <c r="E6222" s="29" t="s">
        <v>43926</v>
      </c>
      <c r="F6222" s="36" t="s">
        <v>54401</v>
      </c>
      <c r="G6222" s="39">
        <v>10907.56</v>
      </c>
      <c r="H6222" s="42">
        <v>211</v>
      </c>
    </row>
    <row r="6223" spans="1:8" ht="15" customHeight="1">
      <c r="A6223" s="26">
        <v>74270159</v>
      </c>
      <c r="B6223" s="30" t="s">
        <v>8452</v>
      </c>
      <c r="C6223" s="29" t="s">
        <v>22789</v>
      </c>
      <c r="D6223" s="29" t="s">
        <v>36059</v>
      </c>
      <c r="E6223" s="29" t="s">
        <v>48662</v>
      </c>
      <c r="F6223" s="36" t="s">
        <v>54402</v>
      </c>
      <c r="G6223" s="39">
        <f>21235048.85-50285</f>
        <v>21184763.850000001</v>
      </c>
      <c r="H6223" s="42">
        <v>211</v>
      </c>
    </row>
    <row r="6224" spans="1:8" ht="15" customHeight="1">
      <c r="A6224" s="26">
        <v>74270214</v>
      </c>
      <c r="B6224" s="30" t="s">
        <v>8453</v>
      </c>
      <c r="C6224" s="29" t="s">
        <v>22790</v>
      </c>
      <c r="D6224" s="29" t="s">
        <v>36060</v>
      </c>
      <c r="E6224" s="29" t="s">
        <v>48663</v>
      </c>
      <c r="F6224" s="36" t="s">
        <v>54401</v>
      </c>
      <c r="G6224" s="39">
        <v>178596.62</v>
      </c>
      <c r="H6224" s="42">
        <v>211</v>
      </c>
    </row>
    <row r="6225" spans="1:8" ht="15" customHeight="1">
      <c r="A6225" s="26">
        <v>74270222</v>
      </c>
      <c r="B6225" s="30" t="s">
        <v>8454</v>
      </c>
      <c r="C6225" s="29" t="s">
        <v>22791</v>
      </c>
      <c r="D6225" s="29" t="s">
        <v>36061</v>
      </c>
      <c r="E6225" s="29" t="s">
        <v>48664</v>
      </c>
      <c r="F6225" s="36" t="s">
        <v>54402</v>
      </c>
      <c r="G6225" s="39">
        <v>593908.22</v>
      </c>
      <c r="H6225" s="42">
        <v>211</v>
      </c>
    </row>
    <row r="6226" spans="1:8" ht="15" customHeight="1">
      <c r="A6226" s="26">
        <v>74270257</v>
      </c>
      <c r="B6226" s="30" t="s">
        <v>8455</v>
      </c>
      <c r="C6226" s="29" t="s">
        <v>22792</v>
      </c>
      <c r="D6226" s="29" t="s">
        <v>36062</v>
      </c>
      <c r="E6226" s="29" t="s">
        <v>48665</v>
      </c>
      <c r="F6226" s="36" t="s">
        <v>54401</v>
      </c>
      <c r="G6226" s="39">
        <v>1063152.93</v>
      </c>
      <c r="H6226" s="42">
        <v>211</v>
      </c>
    </row>
    <row r="6227" spans="1:8" ht="15" customHeight="1">
      <c r="A6227" s="26">
        <v>74270271</v>
      </c>
      <c r="B6227" s="30" t="s">
        <v>8456</v>
      </c>
      <c r="C6227" s="29" t="s">
        <v>22793</v>
      </c>
      <c r="D6227" s="29" t="s">
        <v>36063</v>
      </c>
      <c r="E6227" s="29" t="s">
        <v>45132</v>
      </c>
      <c r="F6227" s="36" t="s">
        <v>54423</v>
      </c>
      <c r="G6227" s="39">
        <v>2446982</v>
      </c>
      <c r="H6227" s="42">
        <v>211</v>
      </c>
    </row>
    <row r="6228" spans="1:8" ht="15" customHeight="1">
      <c r="A6228" s="26">
        <v>74270273</v>
      </c>
      <c r="B6228" s="30" t="s">
        <v>8457</v>
      </c>
      <c r="C6228" s="29" t="s">
        <v>22794</v>
      </c>
      <c r="D6228" s="29" t="s">
        <v>36064</v>
      </c>
      <c r="E6228" s="29" t="s">
        <v>48666</v>
      </c>
      <c r="F6228" s="36" t="s">
        <v>54401</v>
      </c>
      <c r="G6228" s="39">
        <v>1852988.72</v>
      </c>
      <c r="H6228" s="42">
        <v>211</v>
      </c>
    </row>
    <row r="6229" spans="1:8" ht="15" customHeight="1">
      <c r="A6229" s="26">
        <v>74270294</v>
      </c>
      <c r="B6229" s="30" t="s">
        <v>8458</v>
      </c>
      <c r="C6229" s="26" t="s">
        <v>17204</v>
      </c>
      <c r="D6229" s="26" t="s">
        <v>36065</v>
      </c>
      <c r="E6229" s="26" t="s">
        <v>43926</v>
      </c>
      <c r="F6229" s="37" t="s">
        <v>54401</v>
      </c>
      <c r="G6229" s="39">
        <v>947862.92</v>
      </c>
      <c r="H6229" s="42">
        <v>211</v>
      </c>
    </row>
    <row r="6230" spans="1:8" ht="15" customHeight="1">
      <c r="A6230" s="26">
        <v>74270371</v>
      </c>
      <c r="B6230" s="30" t="s">
        <v>8459</v>
      </c>
      <c r="C6230" s="29" t="s">
        <v>22795</v>
      </c>
      <c r="D6230" s="29" t="s">
        <v>36066</v>
      </c>
      <c r="E6230" s="29" t="s">
        <v>48667</v>
      </c>
      <c r="F6230" s="36" t="s">
        <v>54401</v>
      </c>
      <c r="G6230" s="39">
        <v>5402993.5599999996</v>
      </c>
      <c r="H6230" s="42">
        <v>211</v>
      </c>
    </row>
    <row r="6231" spans="1:8" ht="15" customHeight="1">
      <c r="A6231" s="26">
        <v>74270489</v>
      </c>
      <c r="B6231" s="30" t="s">
        <v>8460</v>
      </c>
      <c r="C6231" s="29" t="s">
        <v>22796</v>
      </c>
      <c r="D6231" s="29" t="s">
        <v>34409</v>
      </c>
      <c r="E6231" s="29" t="s">
        <v>47398</v>
      </c>
      <c r="F6231" s="36" t="s">
        <v>54401</v>
      </c>
      <c r="G6231" s="39">
        <v>3258288.42</v>
      </c>
      <c r="H6231" s="42">
        <v>211</v>
      </c>
    </row>
    <row r="6232" spans="1:8" ht="15" customHeight="1">
      <c r="A6232" s="26">
        <v>74270589</v>
      </c>
      <c r="B6232" s="30" t="s">
        <v>8461</v>
      </c>
      <c r="C6232" s="29" t="s">
        <v>22797</v>
      </c>
      <c r="D6232" s="29" t="s">
        <v>36067</v>
      </c>
      <c r="E6232" s="29" t="s">
        <v>48668</v>
      </c>
      <c r="F6232" s="36" t="s">
        <v>54430</v>
      </c>
      <c r="G6232" s="39">
        <f>18154591.17-194250</f>
        <v>17960341.170000002</v>
      </c>
      <c r="H6232" s="42">
        <v>211</v>
      </c>
    </row>
    <row r="6233" spans="1:8" ht="15" customHeight="1">
      <c r="A6233" s="26">
        <v>74270649</v>
      </c>
      <c r="B6233" s="30" t="s">
        <v>8462</v>
      </c>
      <c r="C6233" s="29" t="s">
        <v>22798</v>
      </c>
      <c r="D6233" s="29" t="s">
        <v>36068</v>
      </c>
      <c r="E6233" s="29" t="s">
        <v>48669</v>
      </c>
      <c r="F6233" s="36" t="s">
        <v>54401</v>
      </c>
      <c r="G6233" s="39">
        <v>1062707.32</v>
      </c>
      <c r="H6233" s="42">
        <v>211</v>
      </c>
    </row>
    <row r="6234" spans="1:8" ht="15" customHeight="1">
      <c r="A6234" s="26">
        <v>74270725</v>
      </c>
      <c r="B6234" s="30" t="s">
        <v>8463</v>
      </c>
      <c r="C6234" s="29" t="s">
        <v>22799</v>
      </c>
      <c r="D6234" s="29" t="s">
        <v>36069</v>
      </c>
      <c r="E6234" s="29" t="s">
        <v>48670</v>
      </c>
      <c r="F6234" s="36" t="s">
        <v>54401</v>
      </c>
      <c r="G6234" s="39">
        <v>5491867.4500000002</v>
      </c>
      <c r="H6234" s="42">
        <v>211</v>
      </c>
    </row>
    <row r="6235" spans="1:8" ht="15" customHeight="1">
      <c r="A6235" s="26">
        <v>74270796</v>
      </c>
      <c r="B6235" s="30" t="s">
        <v>8464</v>
      </c>
      <c r="C6235" s="29" t="s">
        <v>22800</v>
      </c>
      <c r="D6235" s="29" t="s">
        <v>36070</v>
      </c>
      <c r="E6235" s="29" t="s">
        <v>48671</v>
      </c>
      <c r="F6235" s="36" t="s">
        <v>54401</v>
      </c>
      <c r="G6235" s="39">
        <v>691968.35</v>
      </c>
      <c r="H6235" s="42">
        <v>211</v>
      </c>
    </row>
    <row r="6236" spans="1:8" ht="15" customHeight="1">
      <c r="A6236" s="26">
        <v>74270849</v>
      </c>
      <c r="B6236" s="30" t="s">
        <v>8465</v>
      </c>
      <c r="C6236" s="29" t="s">
        <v>22801</v>
      </c>
      <c r="D6236" s="29" t="s">
        <v>36071</v>
      </c>
      <c r="E6236" s="29" t="s">
        <v>48672</v>
      </c>
      <c r="F6236" s="36" t="s">
        <v>54401</v>
      </c>
      <c r="G6236" s="39">
        <v>385936.01</v>
      </c>
      <c r="H6236" s="42">
        <v>211</v>
      </c>
    </row>
    <row r="6237" spans="1:8" ht="15" customHeight="1">
      <c r="A6237" s="26">
        <v>74270858</v>
      </c>
      <c r="B6237" s="30" t="s">
        <v>8466</v>
      </c>
      <c r="C6237" s="29" t="s">
        <v>22802</v>
      </c>
      <c r="D6237" s="29" t="s">
        <v>36072</v>
      </c>
      <c r="E6237" s="29" t="s">
        <v>48673</v>
      </c>
      <c r="F6237" s="36" t="s">
        <v>54401</v>
      </c>
      <c r="G6237" s="39">
        <v>729535.91</v>
      </c>
      <c r="H6237" s="42">
        <v>211</v>
      </c>
    </row>
    <row r="6238" spans="1:8" ht="15" customHeight="1">
      <c r="A6238" s="26">
        <v>74270912</v>
      </c>
      <c r="B6238" s="30" t="s">
        <v>8467</v>
      </c>
      <c r="C6238" s="29" t="s">
        <v>22803</v>
      </c>
      <c r="D6238" s="29" t="s">
        <v>36073</v>
      </c>
      <c r="E6238" s="29" t="s">
        <v>48674</v>
      </c>
      <c r="F6238" s="36" t="s">
        <v>54401</v>
      </c>
      <c r="G6238" s="39">
        <f>4892753.43+794618</f>
        <v>5687371.4299999997</v>
      </c>
      <c r="H6238" s="42">
        <v>211</v>
      </c>
    </row>
    <row r="6239" spans="1:8" ht="15" customHeight="1">
      <c r="A6239" s="26">
        <v>74270921</v>
      </c>
      <c r="B6239" s="30" t="s">
        <v>8468</v>
      </c>
      <c r="C6239" s="29" t="s">
        <v>22804</v>
      </c>
      <c r="D6239" s="29" t="s">
        <v>36074</v>
      </c>
      <c r="E6239" s="29" t="s">
        <v>48675</v>
      </c>
      <c r="F6239" s="36" t="s">
        <v>54401</v>
      </c>
      <c r="G6239" s="39">
        <f>6494697.87+223197</f>
        <v>6717894.8700000001</v>
      </c>
      <c r="H6239" s="42">
        <v>211</v>
      </c>
    </row>
    <row r="6240" spans="1:8" ht="15" customHeight="1">
      <c r="A6240" s="26">
        <v>74270951</v>
      </c>
      <c r="B6240" s="30" t="s">
        <v>8469</v>
      </c>
      <c r="C6240" s="29" t="s">
        <v>22805</v>
      </c>
      <c r="D6240" s="29" t="s">
        <v>36075</v>
      </c>
      <c r="E6240" s="29" t="s">
        <v>48676</v>
      </c>
      <c r="F6240" s="36" t="s">
        <v>54430</v>
      </c>
      <c r="G6240" s="39">
        <f>6170349.71-87000</f>
        <v>6083349.71</v>
      </c>
      <c r="H6240" s="42">
        <v>211</v>
      </c>
    </row>
    <row r="6241" spans="1:8" ht="15" customHeight="1">
      <c r="A6241" s="26">
        <v>74271002</v>
      </c>
      <c r="B6241" s="30" t="s">
        <v>8470</v>
      </c>
      <c r="C6241" s="29" t="s">
        <v>22806</v>
      </c>
      <c r="D6241" s="29" t="s">
        <v>36076</v>
      </c>
      <c r="E6241" s="29" t="s">
        <v>48677</v>
      </c>
      <c r="F6241" s="36" t="s">
        <v>54401</v>
      </c>
      <c r="G6241" s="39">
        <v>4932116.17</v>
      </c>
      <c r="H6241" s="42">
        <v>211</v>
      </c>
    </row>
    <row r="6242" spans="1:8" ht="15" customHeight="1">
      <c r="A6242" s="26">
        <v>74271060</v>
      </c>
      <c r="B6242" s="30" t="s">
        <v>8471</v>
      </c>
      <c r="C6242" s="29" t="s">
        <v>22807</v>
      </c>
      <c r="D6242" s="29" t="s">
        <v>36077</v>
      </c>
      <c r="E6242" s="29" t="s">
        <v>48678</v>
      </c>
      <c r="F6242" s="36" t="s">
        <v>54401</v>
      </c>
      <c r="G6242" s="39">
        <f>6323842.57+2569837+63882</f>
        <v>8957561.5700000003</v>
      </c>
      <c r="H6242" s="42">
        <v>211</v>
      </c>
    </row>
    <row r="6243" spans="1:8" ht="15" customHeight="1">
      <c r="A6243" s="26">
        <v>74271065</v>
      </c>
      <c r="B6243" s="30" t="s">
        <v>8472</v>
      </c>
      <c r="C6243" s="29" t="s">
        <v>22808</v>
      </c>
      <c r="D6243" s="29" t="s">
        <v>36078</v>
      </c>
      <c r="E6243" s="29" t="s">
        <v>48679</v>
      </c>
      <c r="F6243" s="36" t="s">
        <v>54401</v>
      </c>
      <c r="G6243" s="39">
        <v>153074.88</v>
      </c>
      <c r="H6243" s="42">
        <v>211</v>
      </c>
    </row>
    <row r="6244" spans="1:8" ht="15" customHeight="1">
      <c r="A6244" s="26">
        <v>74271072</v>
      </c>
      <c r="B6244" s="30" t="s">
        <v>8473</v>
      </c>
      <c r="C6244" s="29" t="s">
        <v>22809</v>
      </c>
      <c r="D6244" s="29" t="s">
        <v>36079</v>
      </c>
      <c r="E6244" s="29" t="s">
        <v>48680</v>
      </c>
      <c r="F6244" s="36" t="s">
        <v>54401</v>
      </c>
      <c r="G6244" s="39">
        <v>336805.66</v>
      </c>
      <c r="H6244" s="42">
        <v>211</v>
      </c>
    </row>
    <row r="6245" spans="1:8" ht="15" customHeight="1">
      <c r="A6245" s="26">
        <v>74280222</v>
      </c>
      <c r="B6245" s="30" t="s">
        <v>8474</v>
      </c>
      <c r="C6245" s="29" t="s">
        <v>22810</v>
      </c>
      <c r="D6245" s="29" t="s">
        <v>36080</v>
      </c>
      <c r="E6245" s="29" t="s">
        <v>43926</v>
      </c>
      <c r="F6245" s="36" t="s">
        <v>54401</v>
      </c>
      <c r="G6245" s="39">
        <v>90332.74</v>
      </c>
      <c r="H6245" s="42">
        <v>211</v>
      </c>
    </row>
    <row r="6246" spans="1:8" ht="15" customHeight="1">
      <c r="A6246" s="26">
        <v>74281794</v>
      </c>
      <c r="B6246" s="30" t="s">
        <v>8475</v>
      </c>
      <c r="C6246" s="29" t="s">
        <v>22811</v>
      </c>
      <c r="D6246" s="29" t="s">
        <v>36081</v>
      </c>
      <c r="E6246" s="29" t="s">
        <v>43926</v>
      </c>
      <c r="F6246" s="36" t="s">
        <v>54401</v>
      </c>
      <c r="G6246" s="39">
        <f>7990044.82+121589+120491</f>
        <v>8232124.8200000003</v>
      </c>
      <c r="H6246" s="42">
        <v>211</v>
      </c>
    </row>
    <row r="6247" spans="1:8" ht="15" customHeight="1">
      <c r="A6247" s="26">
        <v>74282845</v>
      </c>
      <c r="B6247" s="30" t="s">
        <v>8476</v>
      </c>
      <c r="C6247" s="29" t="s">
        <v>22812</v>
      </c>
      <c r="D6247" s="29" t="s">
        <v>36082</v>
      </c>
      <c r="E6247" s="29" t="s">
        <v>48681</v>
      </c>
      <c r="F6247" s="36" t="s">
        <v>54440</v>
      </c>
      <c r="G6247" s="39">
        <f>5355465.32-363443</f>
        <v>4992022.32</v>
      </c>
      <c r="H6247" s="42">
        <v>211</v>
      </c>
    </row>
    <row r="6248" spans="1:8" ht="15" customHeight="1">
      <c r="A6248" s="26">
        <v>74300059</v>
      </c>
      <c r="B6248" s="30" t="s">
        <v>8477</v>
      </c>
      <c r="C6248" s="29" t="s">
        <v>22813</v>
      </c>
      <c r="D6248" s="29" t="s">
        <v>36083</v>
      </c>
      <c r="E6248" s="29" t="s">
        <v>48682</v>
      </c>
      <c r="F6248" s="36" t="s">
        <v>54401</v>
      </c>
      <c r="G6248" s="39">
        <v>2083964.5</v>
      </c>
      <c r="H6248" s="42">
        <v>211</v>
      </c>
    </row>
    <row r="6249" spans="1:8" ht="15" customHeight="1">
      <c r="A6249" s="26">
        <v>74300109</v>
      </c>
      <c r="B6249" s="30" t="s">
        <v>8478</v>
      </c>
      <c r="C6249" s="29" t="s">
        <v>22814</v>
      </c>
      <c r="D6249" s="29" t="s">
        <v>36084</v>
      </c>
      <c r="E6249" s="29" t="s">
        <v>48683</v>
      </c>
      <c r="F6249" s="36" t="s">
        <v>54401</v>
      </c>
      <c r="G6249" s="39">
        <v>6304642.3300000001</v>
      </c>
      <c r="H6249" s="42">
        <v>211</v>
      </c>
    </row>
    <row r="6250" spans="1:8" ht="15" customHeight="1">
      <c r="A6250" s="26">
        <v>74300359</v>
      </c>
      <c r="B6250" s="30" t="s">
        <v>8479</v>
      </c>
      <c r="C6250" s="29" t="s">
        <v>22815</v>
      </c>
      <c r="D6250" s="29" t="s">
        <v>36085</v>
      </c>
      <c r="E6250" s="29" t="s">
        <v>48684</v>
      </c>
      <c r="F6250" s="36" t="s">
        <v>54401</v>
      </c>
      <c r="G6250" s="39">
        <v>71210.850000000006</v>
      </c>
      <c r="H6250" s="42">
        <v>211</v>
      </c>
    </row>
    <row r="6251" spans="1:8" ht="15" customHeight="1">
      <c r="A6251" s="26">
        <v>74300477</v>
      </c>
      <c r="B6251" s="30" t="s">
        <v>8480</v>
      </c>
      <c r="C6251" s="29" t="s">
        <v>22816</v>
      </c>
      <c r="D6251" s="29" t="s">
        <v>36086</v>
      </c>
      <c r="E6251" s="29" t="s">
        <v>46975</v>
      </c>
      <c r="F6251" s="36" t="s">
        <v>54401</v>
      </c>
      <c r="G6251" s="39">
        <f>2882170.46+266950</f>
        <v>3149120.46</v>
      </c>
      <c r="H6251" s="42">
        <v>211</v>
      </c>
    </row>
    <row r="6252" spans="1:8" ht="15" customHeight="1">
      <c r="A6252" s="26">
        <v>74300550</v>
      </c>
      <c r="B6252" s="30" t="s">
        <v>8481</v>
      </c>
      <c r="C6252" s="29" t="s">
        <v>22817</v>
      </c>
      <c r="D6252" s="29" t="s">
        <v>36087</v>
      </c>
      <c r="E6252" s="29" t="s">
        <v>48685</v>
      </c>
      <c r="F6252" s="36" t="s">
        <v>54401</v>
      </c>
      <c r="G6252" s="39">
        <v>77579.199999999997</v>
      </c>
      <c r="H6252" s="42">
        <v>211</v>
      </c>
    </row>
    <row r="6253" spans="1:8" ht="15" customHeight="1">
      <c r="A6253" s="26">
        <v>74300687</v>
      </c>
      <c r="B6253" s="30" t="s">
        <v>8482</v>
      </c>
      <c r="C6253" s="29" t="s">
        <v>22818</v>
      </c>
      <c r="D6253" s="29" t="s">
        <v>36088</v>
      </c>
      <c r="E6253" s="29" t="s">
        <v>48686</v>
      </c>
      <c r="F6253" s="36" t="s">
        <v>54401</v>
      </c>
      <c r="G6253" s="39">
        <f>1280384.2+33061</f>
        <v>1313445.2</v>
      </c>
      <c r="H6253" s="42">
        <v>211</v>
      </c>
    </row>
    <row r="6254" spans="1:8" ht="15" customHeight="1">
      <c r="A6254" s="26">
        <v>74300735</v>
      </c>
      <c r="B6254" s="30" t="s">
        <v>8483</v>
      </c>
      <c r="C6254" s="29" t="s">
        <v>22819</v>
      </c>
      <c r="D6254" s="29" t="s">
        <v>36089</v>
      </c>
      <c r="E6254" s="29" t="s">
        <v>48687</v>
      </c>
      <c r="F6254" s="36" t="s">
        <v>54401</v>
      </c>
      <c r="G6254" s="39">
        <v>221842.66</v>
      </c>
      <c r="H6254" s="42">
        <v>211</v>
      </c>
    </row>
    <row r="6255" spans="1:8" ht="15" customHeight="1">
      <c r="A6255" s="26">
        <v>74300780</v>
      </c>
      <c r="B6255" s="30" t="s">
        <v>8484</v>
      </c>
      <c r="C6255" s="29" t="s">
        <v>17204</v>
      </c>
      <c r="D6255" s="29" t="s">
        <v>33855</v>
      </c>
      <c r="E6255" s="29" t="s">
        <v>43926</v>
      </c>
      <c r="F6255" s="36" t="s">
        <v>54401</v>
      </c>
      <c r="G6255" s="39">
        <v>23949.58</v>
      </c>
      <c r="H6255" s="42">
        <v>211</v>
      </c>
    </row>
    <row r="6256" spans="1:8" ht="15" customHeight="1">
      <c r="A6256" s="26">
        <v>74300839</v>
      </c>
      <c r="B6256" s="30" t="s">
        <v>8485</v>
      </c>
      <c r="C6256" s="29" t="s">
        <v>17204</v>
      </c>
      <c r="D6256" s="29" t="s">
        <v>30349</v>
      </c>
      <c r="E6256" s="29" t="s">
        <v>43926</v>
      </c>
      <c r="F6256" s="36" t="s">
        <v>54401</v>
      </c>
      <c r="G6256" s="39">
        <v>527537.49</v>
      </c>
      <c r="H6256" s="42">
        <v>211</v>
      </c>
    </row>
    <row r="6257" spans="1:8" ht="15" customHeight="1">
      <c r="A6257" s="26">
        <v>74300873</v>
      </c>
      <c r="B6257" s="30" t="s">
        <v>8486</v>
      </c>
      <c r="C6257" s="29" t="s">
        <v>22820</v>
      </c>
      <c r="D6257" s="29" t="s">
        <v>36090</v>
      </c>
      <c r="E6257" s="29" t="s">
        <v>48688</v>
      </c>
      <c r="F6257" s="36" t="s">
        <v>54401</v>
      </c>
      <c r="G6257" s="39">
        <v>33073.53</v>
      </c>
      <c r="H6257" s="42">
        <v>211</v>
      </c>
    </row>
    <row r="6258" spans="1:8" ht="15" customHeight="1">
      <c r="A6258" s="26">
        <v>74300974</v>
      </c>
      <c r="B6258" s="30" t="s">
        <v>8487</v>
      </c>
      <c r="C6258" s="29" t="s">
        <v>22821</v>
      </c>
      <c r="D6258" s="29" t="s">
        <v>36091</v>
      </c>
      <c r="E6258" s="29" t="s">
        <v>48689</v>
      </c>
      <c r="F6258" s="36" t="s">
        <v>54423</v>
      </c>
      <c r="G6258" s="39">
        <v>72005.38</v>
      </c>
      <c r="H6258" s="42">
        <v>211</v>
      </c>
    </row>
    <row r="6259" spans="1:8" ht="15" customHeight="1">
      <c r="A6259" s="26">
        <v>74300989</v>
      </c>
      <c r="B6259" s="30" t="s">
        <v>8488</v>
      </c>
      <c r="C6259" s="26" t="s">
        <v>22822</v>
      </c>
      <c r="D6259" s="26" t="s">
        <v>36092</v>
      </c>
      <c r="E6259" s="26" t="s">
        <v>48690</v>
      </c>
      <c r="F6259" s="37" t="s">
        <v>54401</v>
      </c>
      <c r="G6259" s="39">
        <v>1459460.04</v>
      </c>
      <c r="H6259" s="42">
        <v>211</v>
      </c>
    </row>
    <row r="6260" spans="1:8" ht="15" customHeight="1">
      <c r="A6260" s="26">
        <v>74301042</v>
      </c>
      <c r="B6260" s="30" t="s">
        <v>8489</v>
      </c>
      <c r="C6260" s="29" t="s">
        <v>17204</v>
      </c>
      <c r="D6260" s="29" t="s">
        <v>30349</v>
      </c>
      <c r="E6260" s="29" t="s">
        <v>43926</v>
      </c>
      <c r="F6260" s="36" t="s">
        <v>54401</v>
      </c>
      <c r="G6260" s="39">
        <v>114636.07</v>
      </c>
      <c r="H6260" s="42">
        <v>211</v>
      </c>
    </row>
    <row r="6261" spans="1:8" ht="15" customHeight="1">
      <c r="A6261" s="26">
        <v>74301102</v>
      </c>
      <c r="B6261" s="30" t="s">
        <v>8490</v>
      </c>
      <c r="C6261" s="29" t="s">
        <v>22823</v>
      </c>
      <c r="D6261" s="29" t="s">
        <v>36093</v>
      </c>
      <c r="E6261" s="29" t="s">
        <v>44093</v>
      </c>
      <c r="F6261" s="36" t="s">
        <v>54401</v>
      </c>
      <c r="G6261" s="39">
        <f>4273995.25+1869297</f>
        <v>6143292.25</v>
      </c>
      <c r="H6261" s="42">
        <v>211</v>
      </c>
    </row>
    <row r="6262" spans="1:8" ht="15" customHeight="1">
      <c r="A6262" s="26">
        <v>74301135</v>
      </c>
      <c r="B6262" s="30" t="s">
        <v>8491</v>
      </c>
      <c r="C6262" s="29" t="s">
        <v>22824</v>
      </c>
      <c r="D6262" s="29" t="s">
        <v>30623</v>
      </c>
      <c r="E6262" s="29" t="s">
        <v>48691</v>
      </c>
      <c r="F6262" s="36" t="s">
        <v>54401</v>
      </c>
      <c r="G6262" s="39">
        <v>129417.68</v>
      </c>
      <c r="H6262" s="42">
        <v>211</v>
      </c>
    </row>
    <row r="6263" spans="1:8" ht="15" customHeight="1">
      <c r="A6263" s="26">
        <v>74301141</v>
      </c>
      <c r="B6263" s="30" t="s">
        <v>8492</v>
      </c>
      <c r="C6263" s="29" t="s">
        <v>22825</v>
      </c>
      <c r="D6263" s="29" t="s">
        <v>36094</v>
      </c>
      <c r="E6263" s="29" t="s">
        <v>48692</v>
      </c>
      <c r="F6263" s="36" t="s">
        <v>54401</v>
      </c>
      <c r="G6263" s="39">
        <f>3761677.79+155864</f>
        <v>3917541.79</v>
      </c>
      <c r="H6263" s="42">
        <v>211</v>
      </c>
    </row>
    <row r="6264" spans="1:8" ht="15" customHeight="1">
      <c r="A6264" s="26">
        <v>74301169</v>
      </c>
      <c r="B6264" s="30" t="s">
        <v>8493</v>
      </c>
      <c r="C6264" s="29" t="s">
        <v>22826</v>
      </c>
      <c r="D6264" s="29" t="s">
        <v>36095</v>
      </c>
      <c r="E6264" s="29" t="s">
        <v>48693</v>
      </c>
      <c r="F6264" s="36" t="s">
        <v>54401</v>
      </c>
      <c r="G6264" s="39">
        <v>5359013.55</v>
      </c>
      <c r="H6264" s="42">
        <v>211</v>
      </c>
    </row>
    <row r="6265" spans="1:8" ht="15" customHeight="1">
      <c r="A6265" s="26">
        <v>74301190</v>
      </c>
      <c r="B6265" s="30" t="s">
        <v>8494</v>
      </c>
      <c r="C6265" s="29" t="s">
        <v>22827</v>
      </c>
      <c r="D6265" s="29" t="s">
        <v>36096</v>
      </c>
      <c r="E6265" s="29" t="s">
        <v>48694</v>
      </c>
      <c r="F6265" s="36" t="s">
        <v>54401</v>
      </c>
      <c r="G6265" s="39">
        <v>749746.47</v>
      </c>
      <c r="H6265" s="42">
        <v>211</v>
      </c>
    </row>
    <row r="6266" spans="1:8" ht="15" customHeight="1">
      <c r="A6266" s="26">
        <v>74301217</v>
      </c>
      <c r="B6266" s="30" t="s">
        <v>8495</v>
      </c>
      <c r="C6266" s="29" t="s">
        <v>22828</v>
      </c>
      <c r="D6266" s="29" t="s">
        <v>36097</v>
      </c>
      <c r="E6266" s="29" t="s">
        <v>48695</v>
      </c>
      <c r="F6266" s="36" t="s">
        <v>54401</v>
      </c>
      <c r="G6266" s="39">
        <v>18260</v>
      </c>
      <c r="H6266" s="42">
        <v>211</v>
      </c>
    </row>
    <row r="6267" spans="1:8" ht="15" customHeight="1">
      <c r="A6267" s="26">
        <v>74301340</v>
      </c>
      <c r="B6267" s="30" t="s">
        <v>8496</v>
      </c>
      <c r="C6267" s="29" t="s">
        <v>22829</v>
      </c>
      <c r="D6267" s="29" t="s">
        <v>36098</v>
      </c>
      <c r="E6267" s="29" t="s">
        <v>48696</v>
      </c>
      <c r="F6267" s="36" t="s">
        <v>54423</v>
      </c>
      <c r="G6267" s="39">
        <v>1477493.52</v>
      </c>
      <c r="H6267" s="42">
        <v>211</v>
      </c>
    </row>
    <row r="6268" spans="1:8" ht="15" customHeight="1">
      <c r="A6268" s="26">
        <v>74301361</v>
      </c>
      <c r="B6268" s="30" t="s">
        <v>8497</v>
      </c>
      <c r="C6268" s="29" t="s">
        <v>22830</v>
      </c>
      <c r="D6268" s="29" t="s">
        <v>36099</v>
      </c>
      <c r="E6268" s="29" t="s">
        <v>48697</v>
      </c>
      <c r="F6268" s="36" t="s">
        <v>54401</v>
      </c>
      <c r="G6268" s="39">
        <f>1186130.05+105237</f>
        <v>1291367.05</v>
      </c>
      <c r="H6268" s="42">
        <v>211</v>
      </c>
    </row>
    <row r="6269" spans="1:8" ht="15" customHeight="1">
      <c r="A6269" s="26">
        <v>74301422</v>
      </c>
      <c r="B6269" s="30" t="s">
        <v>8498</v>
      </c>
      <c r="C6269" s="29" t="s">
        <v>22831</v>
      </c>
      <c r="D6269" s="29" t="s">
        <v>36100</v>
      </c>
      <c r="E6269" s="29" t="s">
        <v>48698</v>
      </c>
      <c r="F6269" s="36" t="s">
        <v>54412</v>
      </c>
      <c r="G6269" s="39">
        <v>5711502.0800000001</v>
      </c>
      <c r="H6269" s="42">
        <v>211</v>
      </c>
    </row>
    <row r="6270" spans="1:8" ht="15" customHeight="1">
      <c r="A6270" s="26">
        <v>74301425</v>
      </c>
      <c r="B6270" s="30" t="s">
        <v>8499</v>
      </c>
      <c r="C6270" s="29" t="s">
        <v>22832</v>
      </c>
      <c r="D6270" s="29" t="s">
        <v>36101</v>
      </c>
      <c r="E6270" s="29" t="s">
        <v>48699</v>
      </c>
      <c r="F6270" s="36" t="s">
        <v>54401</v>
      </c>
      <c r="G6270" s="39">
        <f>1304316.73+67957</f>
        <v>1372273.73</v>
      </c>
      <c r="H6270" s="42">
        <v>211</v>
      </c>
    </row>
    <row r="6271" spans="1:8" ht="15" customHeight="1">
      <c r="A6271" s="26">
        <v>74301433</v>
      </c>
      <c r="B6271" s="30" t="s">
        <v>8500</v>
      </c>
      <c r="C6271" s="29" t="s">
        <v>22833</v>
      </c>
      <c r="D6271" s="29" t="s">
        <v>36102</v>
      </c>
      <c r="E6271" s="29" t="s">
        <v>46485</v>
      </c>
      <c r="F6271" s="36" t="s">
        <v>54401</v>
      </c>
      <c r="G6271" s="39">
        <v>202381.04</v>
      </c>
      <c r="H6271" s="42">
        <v>211</v>
      </c>
    </row>
    <row r="6272" spans="1:8" ht="15" customHeight="1">
      <c r="A6272" s="26">
        <v>74301434</v>
      </c>
      <c r="B6272" s="30" t="s">
        <v>8501</v>
      </c>
      <c r="C6272" s="29" t="s">
        <v>22834</v>
      </c>
      <c r="D6272" s="29" t="s">
        <v>36103</v>
      </c>
      <c r="E6272" s="29" t="s">
        <v>48700</v>
      </c>
      <c r="F6272" s="36" t="s">
        <v>54401</v>
      </c>
      <c r="G6272" s="39">
        <v>1288219.1399999999</v>
      </c>
      <c r="H6272" s="42">
        <v>211</v>
      </c>
    </row>
    <row r="6273" spans="1:8" ht="15" customHeight="1">
      <c r="A6273" s="26">
        <v>74301486</v>
      </c>
      <c r="B6273" s="30" t="s">
        <v>8502</v>
      </c>
      <c r="C6273" s="29" t="s">
        <v>22835</v>
      </c>
      <c r="D6273" s="29" t="s">
        <v>36104</v>
      </c>
      <c r="E6273" s="29" t="s">
        <v>48701</v>
      </c>
      <c r="F6273" s="36" t="s">
        <v>54401</v>
      </c>
      <c r="G6273" s="39">
        <f>666731.94+1279756</f>
        <v>1946487.94</v>
      </c>
      <c r="H6273" s="42">
        <v>211</v>
      </c>
    </row>
    <row r="6274" spans="1:8" ht="15" customHeight="1">
      <c r="A6274" s="26">
        <v>74301490</v>
      </c>
      <c r="B6274" s="30" t="s">
        <v>8503</v>
      </c>
      <c r="C6274" s="29" t="s">
        <v>22836</v>
      </c>
      <c r="D6274" s="29" t="s">
        <v>36105</v>
      </c>
      <c r="E6274" s="29" t="s">
        <v>47627</v>
      </c>
      <c r="F6274" s="36" t="s">
        <v>54401</v>
      </c>
      <c r="G6274" s="39">
        <f>4035603.17+372413</f>
        <v>4408016.17</v>
      </c>
      <c r="H6274" s="42">
        <v>211</v>
      </c>
    </row>
    <row r="6275" spans="1:8" ht="15" customHeight="1">
      <c r="A6275" s="26">
        <v>74301538</v>
      </c>
      <c r="B6275" s="30" t="s">
        <v>8504</v>
      </c>
      <c r="C6275" s="29" t="s">
        <v>22837</v>
      </c>
      <c r="D6275" s="29" t="s">
        <v>36106</v>
      </c>
      <c r="E6275" s="29" t="s">
        <v>48702</v>
      </c>
      <c r="F6275" s="36" t="s">
        <v>54423</v>
      </c>
      <c r="G6275" s="39">
        <v>1209181.23</v>
      </c>
      <c r="H6275" s="42">
        <v>211</v>
      </c>
    </row>
    <row r="6276" spans="1:8" ht="15" customHeight="1">
      <c r="A6276" s="26">
        <v>74301549</v>
      </c>
      <c r="B6276" s="30" t="s">
        <v>8505</v>
      </c>
      <c r="C6276" s="26" t="s">
        <v>22838</v>
      </c>
      <c r="D6276" s="26" t="s">
        <v>36107</v>
      </c>
      <c r="E6276" s="26" t="s">
        <v>48703</v>
      </c>
      <c r="F6276" s="37" t="s">
        <v>54401</v>
      </c>
      <c r="G6276" s="39">
        <v>4354572.1399999997</v>
      </c>
      <c r="H6276" s="42">
        <v>211</v>
      </c>
    </row>
    <row r="6277" spans="1:8" ht="15" customHeight="1">
      <c r="A6277" s="26">
        <v>74301553</v>
      </c>
      <c r="B6277" s="30" t="s">
        <v>8506</v>
      </c>
      <c r="C6277" s="29" t="s">
        <v>22839</v>
      </c>
      <c r="D6277" s="29" t="s">
        <v>36108</v>
      </c>
      <c r="E6277" s="29" t="s">
        <v>48704</v>
      </c>
      <c r="F6277" s="36" t="s">
        <v>54423</v>
      </c>
      <c r="G6277" s="39">
        <v>5997462.9100000001</v>
      </c>
      <c r="H6277" s="42">
        <v>211</v>
      </c>
    </row>
    <row r="6278" spans="1:8" ht="15" customHeight="1">
      <c r="A6278" s="26">
        <v>74301560</v>
      </c>
      <c r="B6278" s="30" t="s">
        <v>8507</v>
      </c>
      <c r="C6278" s="29" t="s">
        <v>22840</v>
      </c>
      <c r="D6278" s="29" t="s">
        <v>36109</v>
      </c>
      <c r="E6278" s="29" t="s">
        <v>48705</v>
      </c>
      <c r="F6278" s="36" t="s">
        <v>54401</v>
      </c>
      <c r="G6278" s="39">
        <f>3318002.88+111747+32673+35715</f>
        <v>3498137.88</v>
      </c>
      <c r="H6278" s="42">
        <v>211</v>
      </c>
    </row>
    <row r="6279" spans="1:8" ht="15" customHeight="1">
      <c r="A6279" s="26">
        <v>74301574</v>
      </c>
      <c r="B6279" s="30" t="s">
        <v>8508</v>
      </c>
      <c r="C6279" s="29" t="s">
        <v>22841</v>
      </c>
      <c r="D6279" s="29" t="s">
        <v>36110</v>
      </c>
      <c r="E6279" s="29" t="s">
        <v>48706</v>
      </c>
      <c r="F6279" s="36" t="s">
        <v>54401</v>
      </c>
      <c r="G6279" s="39">
        <v>308759.40000000002</v>
      </c>
      <c r="H6279" s="42">
        <v>211</v>
      </c>
    </row>
    <row r="6280" spans="1:8" ht="15" customHeight="1">
      <c r="A6280" s="26">
        <v>74301594</v>
      </c>
      <c r="B6280" s="30" t="s">
        <v>8509</v>
      </c>
      <c r="C6280" s="29" t="s">
        <v>22842</v>
      </c>
      <c r="D6280" s="29" t="s">
        <v>36111</v>
      </c>
      <c r="E6280" s="29" t="s">
        <v>48707</v>
      </c>
      <c r="F6280" s="36" t="s">
        <v>54423</v>
      </c>
      <c r="G6280" s="39">
        <v>718329.38</v>
      </c>
      <c r="H6280" s="42">
        <v>211</v>
      </c>
    </row>
    <row r="6281" spans="1:8" ht="15" customHeight="1">
      <c r="A6281" s="26">
        <v>74301610</v>
      </c>
      <c r="B6281" s="30" t="s">
        <v>8510</v>
      </c>
      <c r="C6281" s="29" t="s">
        <v>17337</v>
      </c>
      <c r="D6281" s="29" t="s">
        <v>36112</v>
      </c>
      <c r="E6281" s="29" t="s">
        <v>43926</v>
      </c>
      <c r="F6281" s="36" t="s">
        <v>54401</v>
      </c>
      <c r="G6281" s="39">
        <v>949594.89</v>
      </c>
      <c r="H6281" s="42">
        <v>211</v>
      </c>
    </row>
    <row r="6282" spans="1:8" ht="15" customHeight="1">
      <c r="A6282" s="26">
        <v>74301647</v>
      </c>
      <c r="B6282" s="30" t="s">
        <v>8511</v>
      </c>
      <c r="C6282" s="29" t="s">
        <v>22843</v>
      </c>
      <c r="D6282" s="29" t="s">
        <v>36113</v>
      </c>
      <c r="E6282" s="29" t="s">
        <v>48708</v>
      </c>
      <c r="F6282" s="36" t="s">
        <v>54401</v>
      </c>
      <c r="G6282" s="39">
        <v>105573.31</v>
      </c>
      <c r="H6282" s="42">
        <v>211</v>
      </c>
    </row>
    <row r="6283" spans="1:8" ht="15" customHeight="1">
      <c r="A6283" s="26">
        <v>74301660</v>
      </c>
      <c r="B6283" s="30" t="s">
        <v>8512</v>
      </c>
      <c r="C6283" s="29" t="s">
        <v>22844</v>
      </c>
      <c r="D6283" s="29" t="s">
        <v>36114</v>
      </c>
      <c r="E6283" s="29" t="s">
        <v>48709</v>
      </c>
      <c r="F6283" s="36" t="s">
        <v>54423</v>
      </c>
      <c r="G6283" s="39">
        <v>3745709.76</v>
      </c>
      <c r="H6283" s="42">
        <v>211</v>
      </c>
    </row>
    <row r="6284" spans="1:8" ht="15" customHeight="1">
      <c r="A6284" s="26">
        <v>74301682</v>
      </c>
      <c r="B6284" s="30" t="s">
        <v>8513</v>
      </c>
      <c r="C6284" s="29" t="s">
        <v>22845</v>
      </c>
      <c r="D6284" s="29" t="s">
        <v>36115</v>
      </c>
      <c r="E6284" s="29" t="s">
        <v>48710</v>
      </c>
      <c r="F6284" s="36" t="s">
        <v>54423</v>
      </c>
      <c r="G6284" s="39">
        <v>1325068.55</v>
      </c>
      <c r="H6284" s="42">
        <v>211</v>
      </c>
    </row>
    <row r="6285" spans="1:8" ht="15" customHeight="1">
      <c r="A6285" s="26">
        <v>74301687</v>
      </c>
      <c r="B6285" s="30" t="s">
        <v>8514</v>
      </c>
      <c r="C6285" s="29" t="s">
        <v>22846</v>
      </c>
      <c r="D6285" s="29" t="s">
        <v>36116</v>
      </c>
      <c r="E6285" s="29" t="s">
        <v>46906</v>
      </c>
      <c r="F6285" s="36" t="s">
        <v>54401</v>
      </c>
      <c r="G6285" s="39">
        <v>322987.84999999998</v>
      </c>
      <c r="H6285" s="42">
        <v>211</v>
      </c>
    </row>
    <row r="6286" spans="1:8" ht="15" customHeight="1">
      <c r="A6286" s="26">
        <v>74301712</v>
      </c>
      <c r="B6286" s="30" t="s">
        <v>8515</v>
      </c>
      <c r="C6286" s="29" t="s">
        <v>22847</v>
      </c>
      <c r="D6286" s="29" t="s">
        <v>36117</v>
      </c>
      <c r="E6286" s="29" t="s">
        <v>48711</v>
      </c>
      <c r="F6286" s="36" t="s">
        <v>54423</v>
      </c>
      <c r="G6286" s="39">
        <v>158394.39000000001</v>
      </c>
      <c r="H6286" s="42">
        <v>211</v>
      </c>
    </row>
    <row r="6287" spans="1:8" ht="15" customHeight="1">
      <c r="A6287" s="26">
        <v>74301733</v>
      </c>
      <c r="B6287" s="30" t="s">
        <v>8516</v>
      </c>
      <c r="C6287" s="26" t="s">
        <v>17204</v>
      </c>
      <c r="D6287" s="26" t="s">
        <v>30349</v>
      </c>
      <c r="E6287" s="26" t="s">
        <v>43926</v>
      </c>
      <c r="F6287" s="37" t="s">
        <v>54401</v>
      </c>
      <c r="G6287" s="39">
        <v>55370.53</v>
      </c>
      <c r="H6287" s="42">
        <v>211</v>
      </c>
    </row>
    <row r="6288" spans="1:8" ht="15" customHeight="1">
      <c r="A6288" s="26">
        <v>74301749</v>
      </c>
      <c r="B6288" s="30" t="s">
        <v>8517</v>
      </c>
      <c r="C6288" s="29" t="s">
        <v>22848</v>
      </c>
      <c r="D6288" s="29" t="s">
        <v>36118</v>
      </c>
      <c r="E6288" s="29" t="s">
        <v>48712</v>
      </c>
      <c r="F6288" s="36" t="s">
        <v>54401</v>
      </c>
      <c r="G6288" s="39">
        <v>398868.78</v>
      </c>
      <c r="H6288" s="42">
        <v>211</v>
      </c>
    </row>
    <row r="6289" spans="1:8" ht="15" customHeight="1">
      <c r="A6289" s="26">
        <v>74301782</v>
      </c>
      <c r="B6289" s="30" t="s">
        <v>8518</v>
      </c>
      <c r="C6289" s="26" t="s">
        <v>22849</v>
      </c>
      <c r="D6289" s="26" t="s">
        <v>36119</v>
      </c>
      <c r="E6289" s="26" t="s">
        <v>43926</v>
      </c>
      <c r="F6289" s="37" t="s">
        <v>54401</v>
      </c>
      <c r="G6289" s="39">
        <v>102140.36</v>
      </c>
      <c r="H6289" s="42">
        <v>211</v>
      </c>
    </row>
    <row r="6290" spans="1:8" ht="15" customHeight="1">
      <c r="A6290" s="26">
        <v>74301831</v>
      </c>
      <c r="B6290" s="30" t="s">
        <v>8519</v>
      </c>
      <c r="C6290" s="29" t="s">
        <v>22850</v>
      </c>
      <c r="D6290" s="29" t="s">
        <v>36120</v>
      </c>
      <c r="E6290" s="29" t="s">
        <v>46479</v>
      </c>
      <c r="F6290" s="36" t="s">
        <v>54423</v>
      </c>
      <c r="G6290" s="39">
        <v>4584914.88</v>
      </c>
      <c r="H6290" s="42">
        <v>211</v>
      </c>
    </row>
    <row r="6291" spans="1:8" ht="15" customHeight="1">
      <c r="A6291" s="26">
        <v>74301874</v>
      </c>
      <c r="B6291" s="30" t="s">
        <v>8520</v>
      </c>
      <c r="C6291" s="29" t="s">
        <v>22851</v>
      </c>
      <c r="D6291" s="29" t="s">
        <v>36121</v>
      </c>
      <c r="E6291" s="29" t="s">
        <v>48713</v>
      </c>
      <c r="F6291" s="36" t="s">
        <v>54401</v>
      </c>
      <c r="G6291" s="39">
        <v>2040239.86</v>
      </c>
      <c r="H6291" s="42">
        <v>211</v>
      </c>
    </row>
    <row r="6292" spans="1:8" ht="15" customHeight="1">
      <c r="A6292" s="26">
        <v>74301923</v>
      </c>
      <c r="B6292" s="30" t="s">
        <v>8521</v>
      </c>
      <c r="C6292" s="29" t="s">
        <v>22852</v>
      </c>
      <c r="D6292" s="29" t="s">
        <v>36122</v>
      </c>
      <c r="E6292" s="29" t="s">
        <v>48714</v>
      </c>
      <c r="F6292" s="36" t="s">
        <v>54401</v>
      </c>
      <c r="G6292" s="39">
        <v>2469114.73</v>
      </c>
      <c r="H6292" s="42">
        <v>211</v>
      </c>
    </row>
    <row r="6293" spans="1:8" ht="15" customHeight="1">
      <c r="A6293" s="26">
        <v>74301996</v>
      </c>
      <c r="B6293" s="30" t="s">
        <v>8522</v>
      </c>
      <c r="C6293" s="29" t="s">
        <v>22853</v>
      </c>
      <c r="D6293" s="29" t="s">
        <v>36123</v>
      </c>
      <c r="E6293" s="29" t="s">
        <v>48715</v>
      </c>
      <c r="F6293" s="36" t="s">
        <v>54401</v>
      </c>
      <c r="G6293" s="39">
        <f>1437268.26+474380</f>
        <v>1911648.26</v>
      </c>
      <c r="H6293" s="42">
        <v>211</v>
      </c>
    </row>
    <row r="6294" spans="1:8" ht="15" customHeight="1">
      <c r="A6294" s="26">
        <v>74302004</v>
      </c>
      <c r="B6294" s="30" t="s">
        <v>8523</v>
      </c>
      <c r="C6294" s="29" t="s">
        <v>17204</v>
      </c>
      <c r="D6294" s="29" t="s">
        <v>36124</v>
      </c>
      <c r="E6294" s="29" t="s">
        <v>48716</v>
      </c>
      <c r="F6294" s="36" t="s">
        <v>54401</v>
      </c>
      <c r="G6294" s="39">
        <v>1498598.04</v>
      </c>
      <c r="H6294" s="42">
        <v>211</v>
      </c>
    </row>
    <row r="6295" spans="1:8" ht="15" customHeight="1">
      <c r="A6295" s="26">
        <v>74302021</v>
      </c>
      <c r="B6295" s="30" t="s">
        <v>8524</v>
      </c>
      <c r="C6295" s="29" t="s">
        <v>22854</v>
      </c>
      <c r="D6295" s="29" t="s">
        <v>36125</v>
      </c>
      <c r="E6295" s="29" t="s">
        <v>48481</v>
      </c>
      <c r="F6295" s="36" t="s">
        <v>54423</v>
      </c>
      <c r="G6295" s="39">
        <v>3389968.18</v>
      </c>
      <c r="H6295" s="42">
        <v>211</v>
      </c>
    </row>
    <row r="6296" spans="1:8" ht="15" customHeight="1">
      <c r="A6296" s="26">
        <v>74302028</v>
      </c>
      <c r="B6296" s="30" t="s">
        <v>8525</v>
      </c>
      <c r="C6296" s="29" t="s">
        <v>22855</v>
      </c>
      <c r="D6296" s="29" t="s">
        <v>36126</v>
      </c>
      <c r="E6296" s="29" t="s">
        <v>48717</v>
      </c>
      <c r="F6296" s="36" t="s">
        <v>54454</v>
      </c>
      <c r="G6296" s="39">
        <v>1714241.04</v>
      </c>
      <c r="H6296" s="42">
        <v>211</v>
      </c>
    </row>
    <row r="6297" spans="1:8" ht="15" customHeight="1">
      <c r="A6297" s="26">
        <v>74302032</v>
      </c>
      <c r="B6297" s="30" t="s">
        <v>8526</v>
      </c>
      <c r="C6297" s="29" t="s">
        <v>22856</v>
      </c>
      <c r="D6297" s="29" t="s">
        <v>36127</v>
      </c>
      <c r="E6297" s="29" t="s">
        <v>43926</v>
      </c>
      <c r="F6297" s="36" t="s">
        <v>54401</v>
      </c>
      <c r="G6297" s="39">
        <f>7327150.05-40949</f>
        <v>7286201.0499999998</v>
      </c>
      <c r="H6297" s="42">
        <v>211</v>
      </c>
    </row>
    <row r="6298" spans="1:8" ht="15" customHeight="1">
      <c r="A6298" s="26">
        <v>74302049</v>
      </c>
      <c r="B6298" s="30" t="s">
        <v>8527</v>
      </c>
      <c r="C6298" s="29" t="s">
        <v>22857</v>
      </c>
      <c r="D6298" s="29" t="s">
        <v>36128</v>
      </c>
      <c r="E6298" s="29" t="s">
        <v>43926</v>
      </c>
      <c r="F6298" s="36" t="s">
        <v>54401</v>
      </c>
      <c r="G6298" s="39">
        <v>273236.77</v>
      </c>
      <c r="H6298" s="42">
        <v>211</v>
      </c>
    </row>
    <row r="6299" spans="1:8" ht="15" customHeight="1">
      <c r="A6299" s="26">
        <v>74302053</v>
      </c>
      <c r="B6299" s="30" t="s">
        <v>8528</v>
      </c>
      <c r="C6299" s="29" t="s">
        <v>22858</v>
      </c>
      <c r="D6299" s="29" t="s">
        <v>36129</v>
      </c>
      <c r="E6299" s="29" t="s">
        <v>48718</v>
      </c>
      <c r="F6299" s="36" t="s">
        <v>54401</v>
      </c>
      <c r="G6299" s="39">
        <f>3508488.59-17252</f>
        <v>3491236.59</v>
      </c>
      <c r="H6299" s="42">
        <v>211</v>
      </c>
    </row>
    <row r="6300" spans="1:8" ht="15" customHeight="1">
      <c r="A6300" s="26">
        <v>74302142</v>
      </c>
      <c r="B6300" s="30" t="s">
        <v>8529</v>
      </c>
      <c r="C6300" s="29" t="s">
        <v>17204</v>
      </c>
      <c r="D6300" s="29" t="s">
        <v>30349</v>
      </c>
      <c r="E6300" s="29" t="s">
        <v>43926</v>
      </c>
      <c r="F6300" s="36" t="s">
        <v>54401</v>
      </c>
      <c r="G6300" s="39">
        <v>86458.66</v>
      </c>
      <c r="H6300" s="42">
        <v>211</v>
      </c>
    </row>
    <row r="6301" spans="1:8" ht="15" customHeight="1">
      <c r="A6301" s="26">
        <v>74302206</v>
      </c>
      <c r="B6301" s="30" t="s">
        <v>8530</v>
      </c>
      <c r="C6301" s="29" t="s">
        <v>22859</v>
      </c>
      <c r="D6301" s="29" t="s">
        <v>36130</v>
      </c>
      <c r="E6301" s="29" t="s">
        <v>48719</v>
      </c>
      <c r="F6301" s="36" t="s">
        <v>54420</v>
      </c>
      <c r="G6301" s="39">
        <v>5888262.2199999997</v>
      </c>
      <c r="H6301" s="42">
        <v>211</v>
      </c>
    </row>
    <row r="6302" spans="1:8" ht="15" customHeight="1">
      <c r="A6302" s="26">
        <v>74302225</v>
      </c>
      <c r="B6302" s="30" t="s">
        <v>8531</v>
      </c>
      <c r="C6302" s="29" t="s">
        <v>22860</v>
      </c>
      <c r="D6302" s="29" t="s">
        <v>36131</v>
      </c>
      <c r="E6302" s="29" t="s">
        <v>44023</v>
      </c>
      <c r="F6302" s="36" t="s">
        <v>54401</v>
      </c>
      <c r="G6302" s="39">
        <v>125515.96</v>
      </c>
      <c r="H6302" s="42">
        <v>211</v>
      </c>
    </row>
    <row r="6303" spans="1:8" ht="15" customHeight="1">
      <c r="A6303" s="26">
        <v>74302248</v>
      </c>
      <c r="B6303" s="30" t="s">
        <v>8532</v>
      </c>
      <c r="C6303" s="29" t="s">
        <v>17204</v>
      </c>
      <c r="D6303" s="29" t="s">
        <v>36132</v>
      </c>
      <c r="E6303" s="29" t="s">
        <v>43926</v>
      </c>
      <c r="F6303" s="36" t="s">
        <v>54401</v>
      </c>
      <c r="G6303" s="39">
        <v>510519.26</v>
      </c>
      <c r="H6303" s="42">
        <v>211</v>
      </c>
    </row>
    <row r="6304" spans="1:8" ht="15" customHeight="1">
      <c r="A6304" s="26">
        <v>74302260</v>
      </c>
      <c r="B6304" s="30" t="s">
        <v>8533</v>
      </c>
      <c r="C6304" s="29" t="s">
        <v>22861</v>
      </c>
      <c r="D6304" s="29" t="s">
        <v>36133</v>
      </c>
      <c r="E6304" s="29" t="s">
        <v>950</v>
      </c>
      <c r="F6304" s="36" t="s">
        <v>54423</v>
      </c>
      <c r="G6304" s="39">
        <v>6040777.8200000003</v>
      </c>
      <c r="H6304" s="42">
        <v>211</v>
      </c>
    </row>
    <row r="6305" spans="1:8" ht="15" customHeight="1">
      <c r="A6305" s="26">
        <v>74302267</v>
      </c>
      <c r="B6305" s="30" t="s">
        <v>8534</v>
      </c>
      <c r="C6305" s="29" t="s">
        <v>22862</v>
      </c>
      <c r="D6305" s="29" t="s">
        <v>36134</v>
      </c>
      <c r="E6305" s="29" t="s">
        <v>48720</v>
      </c>
      <c r="F6305" s="36" t="s">
        <v>54401</v>
      </c>
      <c r="G6305" s="39">
        <v>7202334.7199999997</v>
      </c>
      <c r="H6305" s="42">
        <v>211</v>
      </c>
    </row>
    <row r="6306" spans="1:8" ht="15" customHeight="1">
      <c r="A6306" s="26">
        <v>74302287</v>
      </c>
      <c r="B6306" s="30" t="s">
        <v>8535</v>
      </c>
      <c r="C6306" s="29" t="s">
        <v>22863</v>
      </c>
      <c r="D6306" s="29" t="s">
        <v>36135</v>
      </c>
      <c r="E6306" s="29" t="s">
        <v>48721</v>
      </c>
      <c r="F6306" s="36" t="s">
        <v>54401</v>
      </c>
      <c r="G6306" s="39">
        <v>3703730.63</v>
      </c>
      <c r="H6306" s="42">
        <v>211</v>
      </c>
    </row>
    <row r="6307" spans="1:8" ht="15" customHeight="1">
      <c r="A6307" s="26">
        <v>74302306</v>
      </c>
      <c r="B6307" s="30" t="s">
        <v>8536</v>
      </c>
      <c r="C6307" s="29" t="s">
        <v>22864</v>
      </c>
      <c r="D6307" s="29" t="s">
        <v>36136</v>
      </c>
      <c r="E6307" s="29" t="s">
        <v>43926</v>
      </c>
      <c r="F6307" s="36" t="s">
        <v>54401</v>
      </c>
      <c r="G6307" s="39">
        <f>590833.23+759491</f>
        <v>1350324.23</v>
      </c>
      <c r="H6307" s="42">
        <v>211</v>
      </c>
    </row>
    <row r="6308" spans="1:8" ht="15" customHeight="1">
      <c r="A6308" s="26">
        <v>74302316</v>
      </c>
      <c r="B6308" s="30" t="s">
        <v>8537</v>
      </c>
      <c r="C6308" s="29" t="s">
        <v>22865</v>
      </c>
      <c r="D6308" s="29" t="s">
        <v>36137</v>
      </c>
      <c r="E6308" s="29" t="s">
        <v>48722</v>
      </c>
      <c r="F6308" s="36" t="s">
        <v>54401</v>
      </c>
      <c r="G6308" s="39">
        <v>3458240.33</v>
      </c>
      <c r="H6308" s="42">
        <v>211</v>
      </c>
    </row>
    <row r="6309" spans="1:8" ht="15" customHeight="1">
      <c r="A6309" s="26">
        <v>74302344</v>
      </c>
      <c r="B6309" s="30" t="s">
        <v>8538</v>
      </c>
      <c r="C6309" s="29" t="s">
        <v>22866</v>
      </c>
      <c r="D6309" s="29" t="s">
        <v>36138</v>
      </c>
      <c r="E6309" s="29" t="s">
        <v>48723</v>
      </c>
      <c r="F6309" s="36" t="s">
        <v>54401</v>
      </c>
      <c r="G6309" s="39">
        <v>824110.09</v>
      </c>
      <c r="H6309" s="42">
        <v>211</v>
      </c>
    </row>
    <row r="6310" spans="1:8" ht="15" customHeight="1">
      <c r="A6310" s="26">
        <v>74302388</v>
      </c>
      <c r="B6310" s="30" t="s">
        <v>8539</v>
      </c>
      <c r="C6310" s="29" t="s">
        <v>17204</v>
      </c>
      <c r="D6310" s="29" t="s">
        <v>30349</v>
      </c>
      <c r="E6310" s="29" t="s">
        <v>43926</v>
      </c>
      <c r="F6310" s="36" t="s">
        <v>54401</v>
      </c>
      <c r="G6310" s="39">
        <v>824674.69</v>
      </c>
      <c r="H6310" s="42">
        <v>211</v>
      </c>
    </row>
    <row r="6311" spans="1:8" ht="15" customHeight="1">
      <c r="A6311" s="26">
        <v>74302421</v>
      </c>
      <c r="B6311" s="30" t="s">
        <v>8540</v>
      </c>
      <c r="C6311" s="29" t="s">
        <v>22867</v>
      </c>
      <c r="D6311" s="29" t="s">
        <v>36139</v>
      </c>
      <c r="E6311" s="29" t="s">
        <v>48724</v>
      </c>
      <c r="F6311" s="36" t="s">
        <v>54401</v>
      </c>
      <c r="G6311" s="39">
        <v>492214.66</v>
      </c>
      <c r="H6311" s="42">
        <v>211</v>
      </c>
    </row>
    <row r="6312" spans="1:8" ht="15" customHeight="1">
      <c r="A6312" s="26">
        <v>74302431</v>
      </c>
      <c r="B6312" s="30" t="s">
        <v>8541</v>
      </c>
      <c r="C6312" s="29" t="s">
        <v>22868</v>
      </c>
      <c r="D6312" s="29" t="s">
        <v>36140</v>
      </c>
      <c r="E6312" s="29" t="s">
        <v>43926</v>
      </c>
      <c r="F6312" s="36" t="s">
        <v>54401</v>
      </c>
      <c r="G6312" s="39">
        <v>390585.29</v>
      </c>
      <c r="H6312" s="42">
        <v>211</v>
      </c>
    </row>
    <row r="6313" spans="1:8" ht="15" customHeight="1">
      <c r="A6313" s="26">
        <v>74302455</v>
      </c>
      <c r="B6313" s="30" t="s">
        <v>8542</v>
      </c>
      <c r="C6313" s="29" t="s">
        <v>22869</v>
      </c>
      <c r="D6313" s="29" t="s">
        <v>36141</v>
      </c>
      <c r="E6313" s="29" t="s">
        <v>48725</v>
      </c>
      <c r="F6313" s="36" t="s">
        <v>54423</v>
      </c>
      <c r="G6313" s="39">
        <v>635529.43999999994</v>
      </c>
      <c r="H6313" s="42">
        <v>211</v>
      </c>
    </row>
    <row r="6314" spans="1:8" ht="15" customHeight="1">
      <c r="A6314" s="26">
        <v>74302469</v>
      </c>
      <c r="B6314" s="30" t="s">
        <v>8543</v>
      </c>
      <c r="C6314" s="29" t="s">
        <v>22870</v>
      </c>
      <c r="D6314" s="29" t="s">
        <v>36142</v>
      </c>
      <c r="E6314" s="29" t="s">
        <v>44023</v>
      </c>
      <c r="F6314" s="36" t="s">
        <v>54401</v>
      </c>
      <c r="G6314" s="39">
        <v>3656616.15</v>
      </c>
      <c r="H6314" s="42">
        <v>211</v>
      </c>
    </row>
    <row r="6315" spans="1:8" ht="15" customHeight="1">
      <c r="A6315" s="26">
        <v>74302517</v>
      </c>
      <c r="B6315" s="30" t="s">
        <v>8544</v>
      </c>
      <c r="C6315" s="29" t="s">
        <v>22871</v>
      </c>
      <c r="D6315" s="29" t="s">
        <v>36143</v>
      </c>
      <c r="E6315" s="29" t="s">
        <v>48726</v>
      </c>
      <c r="F6315" s="36" t="s">
        <v>54401</v>
      </c>
      <c r="G6315" s="39">
        <v>6149965.6299999999</v>
      </c>
      <c r="H6315" s="42">
        <v>211</v>
      </c>
    </row>
    <row r="6316" spans="1:8" ht="15" customHeight="1">
      <c r="A6316" s="26">
        <v>74302573</v>
      </c>
      <c r="B6316" s="30" t="s">
        <v>8545</v>
      </c>
      <c r="C6316" s="29" t="s">
        <v>22872</v>
      </c>
      <c r="D6316" s="29" t="s">
        <v>36144</v>
      </c>
      <c r="E6316" s="29" t="s">
        <v>48727</v>
      </c>
      <c r="F6316" s="36" t="s">
        <v>54423</v>
      </c>
      <c r="G6316" s="39">
        <v>718943.1</v>
      </c>
      <c r="H6316" s="42">
        <v>211</v>
      </c>
    </row>
    <row r="6317" spans="1:8" ht="15" customHeight="1">
      <c r="A6317" s="26">
        <v>74302580</v>
      </c>
      <c r="B6317" s="30" t="s">
        <v>8546</v>
      </c>
      <c r="C6317" s="29" t="s">
        <v>22873</v>
      </c>
      <c r="D6317" s="29" t="s">
        <v>36145</v>
      </c>
      <c r="E6317" s="29" t="s">
        <v>48728</v>
      </c>
      <c r="F6317" s="36" t="s">
        <v>54401</v>
      </c>
      <c r="G6317" s="39">
        <v>172118.87</v>
      </c>
      <c r="H6317" s="42">
        <v>211</v>
      </c>
    </row>
    <row r="6318" spans="1:8" ht="15" customHeight="1">
      <c r="A6318" s="26">
        <v>74302624</v>
      </c>
      <c r="B6318" s="30" t="s">
        <v>8547</v>
      </c>
      <c r="C6318" s="29" t="s">
        <v>22874</v>
      </c>
      <c r="D6318" s="29" t="s">
        <v>36146</v>
      </c>
      <c r="E6318" s="29" t="s">
        <v>48729</v>
      </c>
      <c r="F6318" s="36" t="s">
        <v>54413</v>
      </c>
      <c r="G6318" s="39">
        <f>1636421.44+1019163</f>
        <v>2655584.44</v>
      </c>
      <c r="H6318" s="42">
        <v>211</v>
      </c>
    </row>
    <row r="6319" spans="1:8" ht="15" customHeight="1">
      <c r="A6319" s="26">
        <v>74302628</v>
      </c>
      <c r="B6319" s="30" t="s">
        <v>8548</v>
      </c>
      <c r="C6319" s="29" t="s">
        <v>22875</v>
      </c>
      <c r="D6319" s="29" t="s">
        <v>36147</v>
      </c>
      <c r="E6319" s="29" t="s">
        <v>48730</v>
      </c>
      <c r="F6319" s="36" t="s">
        <v>54401</v>
      </c>
      <c r="G6319" s="39">
        <v>613576.24</v>
      </c>
      <c r="H6319" s="42">
        <v>211</v>
      </c>
    </row>
    <row r="6320" spans="1:8" ht="15" customHeight="1">
      <c r="A6320" s="26">
        <v>74302630</v>
      </c>
      <c r="B6320" s="30" t="s">
        <v>8549</v>
      </c>
      <c r="C6320" s="29" t="s">
        <v>22876</v>
      </c>
      <c r="D6320" s="29" t="s">
        <v>36148</v>
      </c>
      <c r="E6320" s="29" t="s">
        <v>48731</v>
      </c>
      <c r="F6320" s="36" t="s">
        <v>54401</v>
      </c>
      <c r="G6320" s="39">
        <v>425185.95</v>
      </c>
      <c r="H6320" s="42">
        <v>211</v>
      </c>
    </row>
    <row r="6321" spans="1:8" ht="15" customHeight="1">
      <c r="A6321" s="26">
        <v>74302645</v>
      </c>
      <c r="B6321" s="30" t="s">
        <v>8550</v>
      </c>
      <c r="C6321" s="29" t="s">
        <v>22877</v>
      </c>
      <c r="D6321" s="29" t="s">
        <v>36149</v>
      </c>
      <c r="E6321" s="29" t="s">
        <v>44093</v>
      </c>
      <c r="F6321" s="36" t="s">
        <v>54401</v>
      </c>
      <c r="G6321" s="39">
        <v>3619999.15</v>
      </c>
      <c r="H6321" s="42">
        <v>211</v>
      </c>
    </row>
    <row r="6322" spans="1:8" ht="15" customHeight="1">
      <c r="A6322" s="26">
        <v>74302666</v>
      </c>
      <c r="B6322" s="30" t="s">
        <v>8551</v>
      </c>
      <c r="C6322" s="29" t="s">
        <v>22878</v>
      </c>
      <c r="D6322" s="29" t="s">
        <v>36150</v>
      </c>
      <c r="E6322" s="29" t="s">
        <v>46539</v>
      </c>
      <c r="F6322" s="36" t="s">
        <v>54401</v>
      </c>
      <c r="G6322" s="39">
        <f>2364152.12-31402+409006+1280</f>
        <v>2743036.12</v>
      </c>
      <c r="H6322" s="42">
        <v>211</v>
      </c>
    </row>
    <row r="6323" spans="1:8" ht="15" customHeight="1">
      <c r="A6323" s="26">
        <v>74302711</v>
      </c>
      <c r="B6323" s="30" t="s">
        <v>8552</v>
      </c>
      <c r="C6323" s="29" t="s">
        <v>22879</v>
      </c>
      <c r="D6323" s="29" t="s">
        <v>36151</v>
      </c>
      <c r="E6323" s="29" t="s">
        <v>48732</v>
      </c>
      <c r="F6323" s="36" t="s">
        <v>54412</v>
      </c>
      <c r="G6323" s="39">
        <v>5281089.8099999996</v>
      </c>
      <c r="H6323" s="42">
        <v>211</v>
      </c>
    </row>
    <row r="6324" spans="1:8" ht="15" customHeight="1">
      <c r="A6324" s="26">
        <v>74302764</v>
      </c>
      <c r="B6324" s="30" t="s">
        <v>8553</v>
      </c>
      <c r="C6324" s="29" t="s">
        <v>22880</v>
      </c>
      <c r="D6324" s="29" t="s">
        <v>36152</v>
      </c>
      <c r="E6324" s="29" t="s">
        <v>48733</v>
      </c>
      <c r="F6324" s="36" t="s">
        <v>54401</v>
      </c>
      <c r="G6324" s="39">
        <v>3792945.99</v>
      </c>
      <c r="H6324" s="42">
        <v>211</v>
      </c>
    </row>
    <row r="6325" spans="1:8" ht="15" customHeight="1">
      <c r="A6325" s="26">
        <v>74302775</v>
      </c>
      <c r="B6325" s="30" t="s">
        <v>8554</v>
      </c>
      <c r="C6325" s="29" t="s">
        <v>22881</v>
      </c>
      <c r="D6325" s="29" t="s">
        <v>36153</v>
      </c>
      <c r="E6325" s="29" t="s">
        <v>48734</v>
      </c>
      <c r="F6325" s="36" t="s">
        <v>54401</v>
      </c>
      <c r="G6325" s="39">
        <v>854287.81</v>
      </c>
      <c r="H6325" s="42">
        <v>211</v>
      </c>
    </row>
    <row r="6326" spans="1:8" ht="15" customHeight="1">
      <c r="A6326" s="26">
        <v>74302837</v>
      </c>
      <c r="B6326" s="30" t="s">
        <v>8555</v>
      </c>
      <c r="C6326" s="29" t="s">
        <v>22882</v>
      </c>
      <c r="D6326" s="29" t="s">
        <v>36154</v>
      </c>
      <c r="E6326" s="29" t="s">
        <v>48735</v>
      </c>
      <c r="F6326" s="36" t="s">
        <v>54401</v>
      </c>
      <c r="G6326" s="39">
        <v>500297.8</v>
      </c>
      <c r="H6326" s="42">
        <v>211</v>
      </c>
    </row>
    <row r="6327" spans="1:8" ht="15" customHeight="1">
      <c r="A6327" s="26">
        <v>74302884</v>
      </c>
      <c r="B6327" s="30" t="s">
        <v>8556</v>
      </c>
      <c r="C6327" s="29" t="s">
        <v>22883</v>
      </c>
      <c r="D6327" s="29" t="s">
        <v>36155</v>
      </c>
      <c r="E6327" s="29" t="s">
        <v>359</v>
      </c>
      <c r="F6327" s="36" t="s">
        <v>54412</v>
      </c>
      <c r="G6327" s="39">
        <v>628733.03</v>
      </c>
      <c r="H6327" s="42">
        <v>211</v>
      </c>
    </row>
    <row r="6328" spans="1:8" ht="15" customHeight="1">
      <c r="A6328" s="26">
        <v>74302902</v>
      </c>
      <c r="B6328" s="30" t="s">
        <v>8557</v>
      </c>
      <c r="C6328" s="29" t="s">
        <v>22884</v>
      </c>
      <c r="D6328" s="29" t="s">
        <v>36156</v>
      </c>
      <c r="E6328" s="29" t="s">
        <v>48153</v>
      </c>
      <c r="F6328" s="36" t="s">
        <v>54401</v>
      </c>
      <c r="G6328" s="39">
        <v>876962.48</v>
      </c>
      <c r="H6328" s="42">
        <v>211</v>
      </c>
    </row>
    <row r="6329" spans="1:8" ht="15" customHeight="1">
      <c r="A6329" s="26">
        <v>74302914</v>
      </c>
      <c r="B6329" s="30" t="s">
        <v>8558</v>
      </c>
      <c r="C6329" s="29" t="s">
        <v>22885</v>
      </c>
      <c r="D6329" s="29" t="s">
        <v>36157</v>
      </c>
      <c r="E6329" s="29" t="s">
        <v>48736</v>
      </c>
      <c r="F6329" s="36" t="s">
        <v>54401</v>
      </c>
      <c r="G6329" s="39">
        <v>1007900.41</v>
      </c>
      <c r="H6329" s="42">
        <v>211</v>
      </c>
    </row>
    <row r="6330" spans="1:8" ht="15" customHeight="1">
      <c r="A6330" s="26">
        <v>74302915</v>
      </c>
      <c r="B6330" s="30" t="s">
        <v>8559</v>
      </c>
      <c r="C6330" s="29" t="s">
        <v>17204</v>
      </c>
      <c r="D6330" s="29" t="s">
        <v>36158</v>
      </c>
      <c r="E6330" s="29" t="s">
        <v>43926</v>
      </c>
      <c r="F6330" s="36" t="s">
        <v>54401</v>
      </c>
      <c r="G6330" s="39">
        <v>3489536.75</v>
      </c>
      <c r="H6330" s="42">
        <v>211</v>
      </c>
    </row>
    <row r="6331" spans="1:8" ht="15" customHeight="1">
      <c r="A6331" s="26">
        <v>74302937</v>
      </c>
      <c r="B6331" s="30" t="s">
        <v>8560</v>
      </c>
      <c r="C6331" s="29" t="s">
        <v>17204</v>
      </c>
      <c r="D6331" s="29" t="s">
        <v>36159</v>
      </c>
      <c r="E6331" s="29" t="s">
        <v>48737</v>
      </c>
      <c r="F6331" s="36" t="s">
        <v>54401</v>
      </c>
      <c r="G6331" s="39">
        <v>539132.23</v>
      </c>
      <c r="H6331" s="42">
        <v>211</v>
      </c>
    </row>
    <row r="6332" spans="1:8" ht="15" customHeight="1">
      <c r="A6332" s="26">
        <v>74320018</v>
      </c>
      <c r="B6332" s="30" t="s">
        <v>8561</v>
      </c>
      <c r="C6332" s="29" t="s">
        <v>22886</v>
      </c>
      <c r="D6332" s="29" t="s">
        <v>36160</v>
      </c>
      <c r="E6332" s="29" t="s">
        <v>48738</v>
      </c>
      <c r="F6332" s="36" t="s">
        <v>54401</v>
      </c>
      <c r="G6332" s="39">
        <v>114010.81</v>
      </c>
      <c r="H6332" s="42">
        <v>211</v>
      </c>
    </row>
    <row r="6333" spans="1:8" ht="15" customHeight="1">
      <c r="A6333" s="26">
        <v>74320168</v>
      </c>
      <c r="B6333" s="30" t="s">
        <v>8562</v>
      </c>
      <c r="C6333" s="29" t="s">
        <v>22887</v>
      </c>
      <c r="D6333" s="29" t="s">
        <v>36161</v>
      </c>
      <c r="E6333" s="29" t="s">
        <v>48739</v>
      </c>
      <c r="F6333" s="36" t="s">
        <v>54407</v>
      </c>
      <c r="G6333" s="39">
        <v>3373458.75</v>
      </c>
      <c r="H6333" s="42">
        <v>211</v>
      </c>
    </row>
    <row r="6334" spans="1:8" ht="15" customHeight="1">
      <c r="A6334" s="26">
        <v>74320190</v>
      </c>
      <c r="B6334" s="30" t="s">
        <v>8563</v>
      </c>
      <c r="C6334" s="29" t="s">
        <v>22888</v>
      </c>
      <c r="D6334" s="29" t="s">
        <v>30376</v>
      </c>
      <c r="E6334" s="29" t="s">
        <v>48740</v>
      </c>
      <c r="F6334" s="36" t="s">
        <v>54401</v>
      </c>
      <c r="G6334" s="39">
        <v>671673.89</v>
      </c>
      <c r="H6334" s="42">
        <v>211</v>
      </c>
    </row>
    <row r="6335" spans="1:8" ht="15" customHeight="1">
      <c r="A6335" s="26">
        <v>74320194</v>
      </c>
      <c r="B6335" s="30" t="s">
        <v>8564</v>
      </c>
      <c r="C6335" s="29" t="s">
        <v>22889</v>
      </c>
      <c r="D6335" s="29" t="s">
        <v>36162</v>
      </c>
      <c r="E6335" s="29" t="s">
        <v>48741</v>
      </c>
      <c r="F6335" s="36" t="s">
        <v>54407</v>
      </c>
      <c r="G6335" s="39">
        <v>53020.73</v>
      </c>
      <c r="H6335" s="42">
        <v>211</v>
      </c>
    </row>
    <row r="6336" spans="1:8" ht="15" customHeight="1">
      <c r="A6336" s="26">
        <v>74320221</v>
      </c>
      <c r="B6336" s="30" t="s">
        <v>8565</v>
      </c>
      <c r="C6336" s="29" t="s">
        <v>22890</v>
      </c>
      <c r="D6336" s="29" t="s">
        <v>36163</v>
      </c>
      <c r="E6336" s="29" t="s">
        <v>44960</v>
      </c>
      <c r="F6336" s="36" t="s">
        <v>54401</v>
      </c>
      <c r="G6336" s="39">
        <f>3922622.99+99803</f>
        <v>4022425.99</v>
      </c>
      <c r="H6336" s="42">
        <v>211</v>
      </c>
    </row>
    <row r="6337" spans="1:8" ht="15" customHeight="1">
      <c r="A6337" s="26">
        <v>74320328</v>
      </c>
      <c r="B6337" s="30" t="s">
        <v>8566</v>
      </c>
      <c r="C6337" s="29" t="s">
        <v>22891</v>
      </c>
      <c r="D6337" s="29" t="s">
        <v>36164</v>
      </c>
      <c r="E6337" s="29" t="s">
        <v>48742</v>
      </c>
      <c r="F6337" s="36" t="s">
        <v>54407</v>
      </c>
      <c r="G6337" s="39">
        <v>1532120.36</v>
      </c>
      <c r="H6337" s="42">
        <v>211</v>
      </c>
    </row>
    <row r="6338" spans="1:8" ht="15" customHeight="1">
      <c r="A6338" s="26">
        <v>74320331</v>
      </c>
      <c r="B6338" s="30" t="s">
        <v>8567</v>
      </c>
      <c r="C6338" s="29" t="s">
        <v>22892</v>
      </c>
      <c r="D6338" s="29" t="s">
        <v>36165</v>
      </c>
      <c r="E6338" s="29" t="s">
        <v>48743</v>
      </c>
      <c r="F6338" s="36" t="s">
        <v>54401</v>
      </c>
      <c r="G6338" s="39">
        <v>3269955.09</v>
      </c>
      <c r="H6338" s="42">
        <v>211</v>
      </c>
    </row>
    <row r="6339" spans="1:8" ht="15" customHeight="1">
      <c r="A6339" s="26">
        <v>74320367</v>
      </c>
      <c r="B6339" s="30" t="s">
        <v>8568</v>
      </c>
      <c r="C6339" s="26" t="s">
        <v>22893</v>
      </c>
      <c r="D6339" s="26" t="s">
        <v>30376</v>
      </c>
      <c r="E6339" s="26" t="s">
        <v>48744</v>
      </c>
      <c r="F6339" s="37" t="s">
        <v>54401</v>
      </c>
      <c r="G6339" s="39">
        <v>243856.47</v>
      </c>
      <c r="H6339" s="42">
        <v>211</v>
      </c>
    </row>
    <row r="6340" spans="1:8" ht="15" customHeight="1">
      <c r="A6340" s="26">
        <v>74320402</v>
      </c>
      <c r="B6340" s="30" t="s">
        <v>8569</v>
      </c>
      <c r="C6340" s="29" t="s">
        <v>17204</v>
      </c>
      <c r="D6340" s="29" t="s">
        <v>30349</v>
      </c>
      <c r="E6340" s="29" t="s">
        <v>43926</v>
      </c>
      <c r="F6340" s="36" t="s">
        <v>54401</v>
      </c>
      <c r="G6340" s="39">
        <v>446081.69</v>
      </c>
      <c r="H6340" s="42">
        <v>211</v>
      </c>
    </row>
    <row r="6341" spans="1:8" ht="15" customHeight="1">
      <c r="A6341" s="26">
        <v>74320497</v>
      </c>
      <c r="B6341" s="30" t="s">
        <v>8570</v>
      </c>
      <c r="C6341" s="29" t="s">
        <v>22894</v>
      </c>
      <c r="D6341" s="29" t="s">
        <v>36166</v>
      </c>
      <c r="E6341" s="29" t="s">
        <v>48745</v>
      </c>
      <c r="F6341" s="36" t="s">
        <v>54407</v>
      </c>
      <c r="G6341" s="39">
        <f>4829345.68+1825924</f>
        <v>6655269.6799999997</v>
      </c>
      <c r="H6341" s="42">
        <v>211</v>
      </c>
    </row>
    <row r="6342" spans="1:8" ht="15" customHeight="1">
      <c r="A6342" s="26">
        <v>74320499</v>
      </c>
      <c r="B6342" s="30" t="s">
        <v>8571</v>
      </c>
      <c r="C6342" s="29" t="s">
        <v>22895</v>
      </c>
      <c r="D6342" s="29" t="s">
        <v>30376</v>
      </c>
      <c r="E6342" s="29" t="s">
        <v>48746</v>
      </c>
      <c r="F6342" s="36" t="s">
        <v>54401</v>
      </c>
      <c r="G6342" s="39">
        <v>841257.1</v>
      </c>
      <c r="H6342" s="42">
        <v>211</v>
      </c>
    </row>
    <row r="6343" spans="1:8" ht="15" customHeight="1">
      <c r="A6343" s="26">
        <v>74320599</v>
      </c>
      <c r="B6343" s="30" t="s">
        <v>8572</v>
      </c>
      <c r="C6343" s="29" t="s">
        <v>22896</v>
      </c>
      <c r="D6343" s="29" t="s">
        <v>36167</v>
      </c>
      <c r="E6343" s="29" t="s">
        <v>48747</v>
      </c>
      <c r="F6343" s="36" t="s">
        <v>54401</v>
      </c>
      <c r="G6343" s="39">
        <v>500000</v>
      </c>
      <c r="H6343" s="42">
        <v>211</v>
      </c>
    </row>
    <row r="6344" spans="1:8" ht="15" customHeight="1">
      <c r="A6344" s="26">
        <v>74320611</v>
      </c>
      <c r="B6344" s="30" t="s">
        <v>8573</v>
      </c>
      <c r="C6344" s="29" t="s">
        <v>22897</v>
      </c>
      <c r="D6344" s="29" t="s">
        <v>36168</v>
      </c>
      <c r="E6344" s="29" t="s">
        <v>48748</v>
      </c>
      <c r="F6344" s="36" t="s">
        <v>54401</v>
      </c>
      <c r="G6344" s="39">
        <v>1724280.95</v>
      </c>
      <c r="H6344" s="42">
        <v>211</v>
      </c>
    </row>
    <row r="6345" spans="1:8" ht="15" customHeight="1">
      <c r="A6345" s="26">
        <v>74320797</v>
      </c>
      <c r="B6345" s="30" t="s">
        <v>8574</v>
      </c>
      <c r="C6345" s="29" t="s">
        <v>22898</v>
      </c>
      <c r="D6345" s="29" t="s">
        <v>36169</v>
      </c>
      <c r="E6345" s="29" t="s">
        <v>48749</v>
      </c>
      <c r="F6345" s="36" t="s">
        <v>54401</v>
      </c>
      <c r="G6345" s="39">
        <v>2137450.42</v>
      </c>
      <c r="H6345" s="42">
        <v>211</v>
      </c>
    </row>
    <row r="6346" spans="1:8" ht="15" customHeight="1">
      <c r="A6346" s="26">
        <v>74320855</v>
      </c>
      <c r="B6346" s="30" t="s">
        <v>8575</v>
      </c>
      <c r="C6346" s="29" t="s">
        <v>22899</v>
      </c>
      <c r="D6346" s="29" t="s">
        <v>36170</v>
      </c>
      <c r="E6346" s="29" t="s">
        <v>47875</v>
      </c>
      <c r="F6346" s="36" t="s">
        <v>54401</v>
      </c>
      <c r="G6346" s="39">
        <f>1378988.17+165318+35868</f>
        <v>1580174.17</v>
      </c>
      <c r="H6346" s="42">
        <v>211</v>
      </c>
    </row>
    <row r="6347" spans="1:8" ht="15" customHeight="1">
      <c r="A6347" s="26">
        <v>74321062</v>
      </c>
      <c r="B6347" s="30" t="s">
        <v>8576</v>
      </c>
      <c r="C6347" s="29" t="s">
        <v>17204</v>
      </c>
      <c r="D6347" s="29" t="s">
        <v>30349</v>
      </c>
      <c r="E6347" s="29" t="s">
        <v>43926</v>
      </c>
      <c r="F6347" s="36" t="s">
        <v>54401</v>
      </c>
      <c r="G6347" s="39">
        <f>431309.49+4238757</f>
        <v>4670066.49</v>
      </c>
      <c r="H6347" s="42">
        <v>211</v>
      </c>
    </row>
    <row r="6348" spans="1:8" ht="15" customHeight="1">
      <c r="A6348" s="26">
        <v>74321092</v>
      </c>
      <c r="B6348" s="30" t="s">
        <v>8577</v>
      </c>
      <c r="C6348" s="29" t="s">
        <v>22900</v>
      </c>
      <c r="D6348" s="29" t="s">
        <v>36171</v>
      </c>
      <c r="E6348" s="29" t="s">
        <v>48750</v>
      </c>
      <c r="F6348" s="36" t="s">
        <v>54407</v>
      </c>
      <c r="G6348" s="39">
        <v>3998438.36</v>
      </c>
      <c r="H6348" s="42">
        <v>211</v>
      </c>
    </row>
    <row r="6349" spans="1:8" ht="15" customHeight="1">
      <c r="A6349" s="26">
        <v>74321233</v>
      </c>
      <c r="B6349" s="30" t="s">
        <v>8578</v>
      </c>
      <c r="C6349" s="29" t="s">
        <v>22901</v>
      </c>
      <c r="D6349" s="29" t="s">
        <v>30349</v>
      </c>
      <c r="E6349" s="29" t="s">
        <v>48751</v>
      </c>
      <c r="F6349" s="36" t="s">
        <v>54401</v>
      </c>
      <c r="G6349" s="39">
        <v>406145.26</v>
      </c>
      <c r="H6349" s="42">
        <v>211</v>
      </c>
    </row>
    <row r="6350" spans="1:8" ht="15" customHeight="1">
      <c r="A6350" s="26">
        <v>74321236</v>
      </c>
      <c r="B6350" s="30" t="s">
        <v>8579</v>
      </c>
      <c r="C6350" s="29" t="s">
        <v>22902</v>
      </c>
      <c r="D6350" s="29" t="s">
        <v>36172</v>
      </c>
      <c r="E6350" s="29" t="s">
        <v>43926</v>
      </c>
      <c r="F6350" s="36" t="s">
        <v>54401</v>
      </c>
      <c r="G6350" s="39">
        <v>393018.8</v>
      </c>
      <c r="H6350" s="42">
        <v>211</v>
      </c>
    </row>
    <row r="6351" spans="1:8" ht="15" customHeight="1">
      <c r="A6351" s="26">
        <v>74321288</v>
      </c>
      <c r="B6351" s="30" t="s">
        <v>8580</v>
      </c>
      <c r="C6351" s="26" t="s">
        <v>22903</v>
      </c>
      <c r="D6351" s="26" t="s">
        <v>36173</v>
      </c>
      <c r="E6351" s="26" t="s">
        <v>48752</v>
      </c>
      <c r="F6351" s="37" t="s">
        <v>54401</v>
      </c>
      <c r="G6351" s="39">
        <v>928304.72</v>
      </c>
      <c r="H6351" s="42">
        <v>211</v>
      </c>
    </row>
    <row r="6352" spans="1:8" ht="15" customHeight="1">
      <c r="A6352" s="26">
        <v>74321307</v>
      </c>
      <c r="B6352" s="30" t="s">
        <v>8581</v>
      </c>
      <c r="C6352" s="29" t="s">
        <v>22904</v>
      </c>
      <c r="D6352" s="29" t="s">
        <v>36174</v>
      </c>
      <c r="E6352" s="29" t="s">
        <v>46476</v>
      </c>
      <c r="F6352" s="36" t="s">
        <v>54401</v>
      </c>
      <c r="G6352" s="39">
        <v>227365.06</v>
      </c>
      <c r="H6352" s="42">
        <v>211</v>
      </c>
    </row>
    <row r="6353" spans="1:8" ht="15" customHeight="1">
      <c r="A6353" s="26">
        <v>74321309</v>
      </c>
      <c r="B6353" s="30" t="s">
        <v>8582</v>
      </c>
      <c r="C6353" s="29" t="s">
        <v>22905</v>
      </c>
      <c r="D6353" s="29" t="s">
        <v>30349</v>
      </c>
      <c r="E6353" s="29" t="s">
        <v>43926</v>
      </c>
      <c r="F6353" s="36" t="s">
        <v>54401</v>
      </c>
      <c r="G6353" s="39">
        <f>494256.63+1330240</f>
        <v>1824496.63</v>
      </c>
      <c r="H6353" s="42">
        <v>211</v>
      </c>
    </row>
    <row r="6354" spans="1:8" ht="15" customHeight="1">
      <c r="A6354" s="26">
        <v>74321408</v>
      </c>
      <c r="B6354" s="30" t="s">
        <v>8583</v>
      </c>
      <c r="C6354" s="29" t="s">
        <v>22906</v>
      </c>
      <c r="D6354" s="29" t="s">
        <v>36175</v>
      </c>
      <c r="E6354" s="29" t="s">
        <v>48753</v>
      </c>
      <c r="F6354" s="36" t="s">
        <v>54401</v>
      </c>
      <c r="G6354" s="39">
        <v>264555.26</v>
      </c>
      <c r="H6354" s="42">
        <v>211</v>
      </c>
    </row>
    <row r="6355" spans="1:8" ht="15" customHeight="1">
      <c r="A6355" s="26">
        <v>74321417</v>
      </c>
      <c r="B6355" s="30" t="s">
        <v>8584</v>
      </c>
      <c r="C6355" s="29" t="s">
        <v>22907</v>
      </c>
      <c r="D6355" s="29" t="s">
        <v>36176</v>
      </c>
      <c r="E6355" s="29" t="s">
        <v>748</v>
      </c>
      <c r="F6355" s="36" t="s">
        <v>54401</v>
      </c>
      <c r="G6355" s="39">
        <v>6128514.1299999999</v>
      </c>
      <c r="H6355" s="42">
        <v>211</v>
      </c>
    </row>
    <row r="6356" spans="1:8" ht="15" customHeight="1">
      <c r="A6356" s="26">
        <v>74321456</v>
      </c>
      <c r="B6356" s="30" t="s">
        <v>8585</v>
      </c>
      <c r="C6356" s="29" t="s">
        <v>22908</v>
      </c>
      <c r="D6356" s="29" t="s">
        <v>36177</v>
      </c>
      <c r="E6356" s="29" t="s">
        <v>43926</v>
      </c>
      <c r="F6356" s="36" t="s">
        <v>54401</v>
      </c>
      <c r="G6356" s="39">
        <v>56571.43</v>
      </c>
      <c r="H6356" s="42">
        <v>211</v>
      </c>
    </row>
    <row r="6357" spans="1:8" ht="15" customHeight="1">
      <c r="A6357" s="26">
        <v>74321469</v>
      </c>
      <c r="B6357" s="30" t="s">
        <v>8586</v>
      </c>
      <c r="C6357" s="29" t="s">
        <v>17204</v>
      </c>
      <c r="D6357" s="29" t="s">
        <v>36178</v>
      </c>
      <c r="E6357" s="29" t="s">
        <v>43926</v>
      </c>
      <c r="F6357" s="36" t="s">
        <v>54401</v>
      </c>
      <c r="G6357" s="39">
        <v>334664.95</v>
      </c>
      <c r="H6357" s="42">
        <v>211</v>
      </c>
    </row>
    <row r="6358" spans="1:8" ht="15" customHeight="1">
      <c r="A6358" s="26">
        <v>74321470</v>
      </c>
      <c r="B6358" s="30" t="s">
        <v>8587</v>
      </c>
      <c r="C6358" s="29" t="s">
        <v>22909</v>
      </c>
      <c r="D6358" s="29" t="s">
        <v>36179</v>
      </c>
      <c r="E6358" s="29" t="s">
        <v>48754</v>
      </c>
      <c r="F6358" s="36" t="s">
        <v>54401</v>
      </c>
      <c r="G6358" s="39">
        <v>44116.3</v>
      </c>
      <c r="H6358" s="42">
        <v>211</v>
      </c>
    </row>
    <row r="6359" spans="1:8" ht="15" customHeight="1">
      <c r="A6359" s="26">
        <v>74321518</v>
      </c>
      <c r="B6359" s="30" t="s">
        <v>8588</v>
      </c>
      <c r="C6359" s="26" t="s">
        <v>22910</v>
      </c>
      <c r="D6359" s="26" t="s">
        <v>36180</v>
      </c>
      <c r="E6359" s="26" t="s">
        <v>48755</v>
      </c>
      <c r="F6359" s="37" t="s">
        <v>54409</v>
      </c>
      <c r="G6359" s="39">
        <v>243391.14</v>
      </c>
      <c r="H6359" s="42">
        <v>211</v>
      </c>
    </row>
    <row r="6360" spans="1:8" ht="15" customHeight="1">
      <c r="A6360" s="26">
        <v>74321572</v>
      </c>
      <c r="B6360" s="30" t="s">
        <v>8589</v>
      </c>
      <c r="C6360" s="26" t="s">
        <v>22911</v>
      </c>
      <c r="D6360" s="26" t="s">
        <v>36181</v>
      </c>
      <c r="E6360" s="26" t="s">
        <v>48756</v>
      </c>
      <c r="F6360" s="37" t="s">
        <v>54401</v>
      </c>
      <c r="G6360" s="39">
        <v>214597.83</v>
      </c>
      <c r="H6360" s="42">
        <v>211</v>
      </c>
    </row>
    <row r="6361" spans="1:8" ht="15" customHeight="1">
      <c r="A6361" s="26">
        <v>74321594</v>
      </c>
      <c r="B6361" s="30" t="s">
        <v>8590</v>
      </c>
      <c r="C6361" s="29" t="s">
        <v>22912</v>
      </c>
      <c r="D6361" s="29" t="s">
        <v>36182</v>
      </c>
      <c r="E6361" s="29" t="s">
        <v>48757</v>
      </c>
      <c r="F6361" s="36" t="s">
        <v>54401</v>
      </c>
      <c r="G6361" s="39">
        <v>264372.46999999997</v>
      </c>
      <c r="H6361" s="42">
        <v>211</v>
      </c>
    </row>
    <row r="6362" spans="1:8" ht="15" customHeight="1">
      <c r="A6362" s="26">
        <v>74321614</v>
      </c>
      <c r="B6362" s="30" t="s">
        <v>8591</v>
      </c>
      <c r="C6362" s="29" t="s">
        <v>22913</v>
      </c>
      <c r="D6362" s="29" t="s">
        <v>30349</v>
      </c>
      <c r="E6362" s="29" t="s">
        <v>44942</v>
      </c>
      <c r="F6362" s="36" t="s">
        <v>54401</v>
      </c>
      <c r="G6362" s="39">
        <v>200090.46</v>
      </c>
      <c r="H6362" s="42">
        <v>211</v>
      </c>
    </row>
    <row r="6363" spans="1:8" ht="15" customHeight="1">
      <c r="A6363" s="26">
        <v>74321657</v>
      </c>
      <c r="B6363" s="30" t="s">
        <v>8592</v>
      </c>
      <c r="C6363" s="29" t="s">
        <v>22914</v>
      </c>
      <c r="D6363" s="29" t="s">
        <v>36183</v>
      </c>
      <c r="E6363" s="29" t="s">
        <v>48758</v>
      </c>
      <c r="F6363" s="36" t="s">
        <v>54401</v>
      </c>
      <c r="G6363" s="39">
        <v>325356.56</v>
      </c>
      <c r="H6363" s="42">
        <v>211</v>
      </c>
    </row>
    <row r="6364" spans="1:8" ht="15" customHeight="1">
      <c r="A6364" s="26">
        <v>74321708</v>
      </c>
      <c r="B6364" s="30" t="s">
        <v>8593</v>
      </c>
      <c r="C6364" s="29" t="s">
        <v>22915</v>
      </c>
      <c r="D6364" s="29" t="s">
        <v>36184</v>
      </c>
      <c r="E6364" s="29" t="s">
        <v>48759</v>
      </c>
      <c r="F6364" s="36" t="s">
        <v>54401</v>
      </c>
      <c r="G6364" s="39">
        <v>701950.4</v>
      </c>
      <c r="H6364" s="42">
        <v>211</v>
      </c>
    </row>
    <row r="6365" spans="1:8" ht="15" customHeight="1">
      <c r="A6365" s="26">
        <v>74321723</v>
      </c>
      <c r="B6365" s="30" t="s">
        <v>8594</v>
      </c>
      <c r="C6365" s="29" t="s">
        <v>22916</v>
      </c>
      <c r="D6365" s="29" t="s">
        <v>36185</v>
      </c>
      <c r="E6365" s="29" t="s">
        <v>46546</v>
      </c>
      <c r="F6365" s="36" t="s">
        <v>54401</v>
      </c>
      <c r="G6365" s="39">
        <v>239264.93</v>
      </c>
      <c r="H6365" s="42">
        <v>211</v>
      </c>
    </row>
    <row r="6366" spans="1:8" ht="15" customHeight="1">
      <c r="A6366" s="26">
        <v>74321749</v>
      </c>
      <c r="B6366" s="30" t="s">
        <v>8595</v>
      </c>
      <c r="C6366" s="29" t="s">
        <v>22917</v>
      </c>
      <c r="D6366" s="29" t="s">
        <v>36186</v>
      </c>
      <c r="E6366" s="29" t="s">
        <v>48760</v>
      </c>
      <c r="F6366" s="36" t="s">
        <v>54401</v>
      </c>
      <c r="G6366" s="39">
        <v>1284882.32</v>
      </c>
      <c r="H6366" s="42">
        <v>211</v>
      </c>
    </row>
    <row r="6367" spans="1:8" ht="15" customHeight="1">
      <c r="A6367" s="26">
        <v>74321768</v>
      </c>
      <c r="B6367" s="30" t="s">
        <v>8596</v>
      </c>
      <c r="C6367" s="29" t="s">
        <v>17204</v>
      </c>
      <c r="D6367" s="29" t="s">
        <v>30349</v>
      </c>
      <c r="E6367" s="29" t="s">
        <v>43926</v>
      </c>
      <c r="F6367" s="36" t="s">
        <v>54401</v>
      </c>
      <c r="G6367" s="39">
        <v>11660</v>
      </c>
      <c r="H6367" s="42">
        <v>211</v>
      </c>
    </row>
    <row r="6368" spans="1:8" ht="15" customHeight="1">
      <c r="A6368" s="26">
        <v>74321776</v>
      </c>
      <c r="B6368" s="30" t="s">
        <v>8597</v>
      </c>
      <c r="C6368" s="29" t="s">
        <v>22918</v>
      </c>
      <c r="D6368" s="29" t="s">
        <v>30376</v>
      </c>
      <c r="E6368" s="29" t="s">
        <v>48761</v>
      </c>
      <c r="F6368" s="36" t="s">
        <v>54401</v>
      </c>
      <c r="G6368" s="39">
        <v>1348480.21</v>
      </c>
      <c r="H6368" s="42">
        <v>211</v>
      </c>
    </row>
    <row r="6369" spans="1:8" ht="15" customHeight="1">
      <c r="A6369" s="26">
        <v>74321789</v>
      </c>
      <c r="B6369" s="30" t="s">
        <v>8598</v>
      </c>
      <c r="C6369" s="26" t="s">
        <v>22919</v>
      </c>
      <c r="D6369" s="26" t="s">
        <v>36187</v>
      </c>
      <c r="E6369" s="26" t="s">
        <v>48762</v>
      </c>
      <c r="F6369" s="37" t="s">
        <v>54401</v>
      </c>
      <c r="G6369" s="39">
        <v>941933.35</v>
      </c>
      <c r="H6369" s="42">
        <v>211</v>
      </c>
    </row>
    <row r="6370" spans="1:8" ht="15" customHeight="1">
      <c r="A6370" s="26">
        <v>74321798</v>
      </c>
      <c r="B6370" s="30" t="s">
        <v>8599</v>
      </c>
      <c r="C6370" s="29" t="s">
        <v>22920</v>
      </c>
      <c r="D6370" s="29" t="s">
        <v>36188</v>
      </c>
      <c r="E6370" s="29" t="s">
        <v>48763</v>
      </c>
      <c r="F6370" s="36" t="s">
        <v>54407</v>
      </c>
      <c r="G6370" s="39">
        <f>504773.11+64234421-488630</f>
        <v>64250564.109999999</v>
      </c>
      <c r="H6370" s="42">
        <v>211</v>
      </c>
    </row>
    <row r="6371" spans="1:8" ht="15" customHeight="1">
      <c r="A6371" s="26">
        <v>74321819</v>
      </c>
      <c r="B6371" s="30" t="s">
        <v>8600</v>
      </c>
      <c r="C6371" s="29" t="s">
        <v>22921</v>
      </c>
      <c r="D6371" s="29" t="s">
        <v>36189</v>
      </c>
      <c r="E6371" s="29" t="s">
        <v>748</v>
      </c>
      <c r="F6371" s="36" t="s">
        <v>54401</v>
      </c>
      <c r="G6371" s="39">
        <v>141981.94</v>
      </c>
      <c r="H6371" s="42">
        <v>211</v>
      </c>
    </row>
    <row r="6372" spans="1:8" ht="15" customHeight="1">
      <c r="A6372" s="26">
        <v>74321820</v>
      </c>
      <c r="B6372" s="30" t="s">
        <v>8601</v>
      </c>
      <c r="C6372" s="26" t="s">
        <v>22922</v>
      </c>
      <c r="D6372" s="26" t="s">
        <v>36190</v>
      </c>
      <c r="E6372" s="26" t="s">
        <v>48764</v>
      </c>
      <c r="F6372" s="37" t="s">
        <v>54401</v>
      </c>
      <c r="G6372" s="39">
        <v>1734486.48</v>
      </c>
      <c r="H6372" s="42">
        <v>211</v>
      </c>
    </row>
    <row r="6373" spans="1:8" ht="15" customHeight="1">
      <c r="A6373" s="26">
        <v>74321879</v>
      </c>
      <c r="B6373" s="30" t="s">
        <v>8602</v>
      </c>
      <c r="C6373" s="29" t="s">
        <v>22923</v>
      </c>
      <c r="D6373" s="29" t="s">
        <v>36191</v>
      </c>
      <c r="E6373" s="29" t="s">
        <v>48765</v>
      </c>
      <c r="F6373" s="36" t="s">
        <v>54401</v>
      </c>
      <c r="G6373" s="39">
        <v>1850831.43</v>
      </c>
      <c r="H6373" s="42">
        <v>211</v>
      </c>
    </row>
    <row r="6374" spans="1:8" ht="15" customHeight="1">
      <c r="A6374" s="26">
        <v>74321949</v>
      </c>
      <c r="B6374" s="30" t="s">
        <v>8603</v>
      </c>
      <c r="C6374" s="29" t="s">
        <v>22924</v>
      </c>
      <c r="D6374" s="29" t="s">
        <v>36192</v>
      </c>
      <c r="E6374" s="29" t="s">
        <v>48766</v>
      </c>
      <c r="F6374" s="36" t="s">
        <v>54401</v>
      </c>
      <c r="G6374" s="39">
        <f>2579637.41+258650-3739</f>
        <v>2834548.41</v>
      </c>
      <c r="H6374" s="42">
        <v>211</v>
      </c>
    </row>
    <row r="6375" spans="1:8" ht="15" customHeight="1">
      <c r="A6375" s="26">
        <v>74321985</v>
      </c>
      <c r="B6375" s="30" t="s">
        <v>8604</v>
      </c>
      <c r="C6375" s="29" t="s">
        <v>22925</v>
      </c>
      <c r="D6375" s="29" t="s">
        <v>36193</v>
      </c>
      <c r="E6375" s="29" t="s">
        <v>48767</v>
      </c>
      <c r="F6375" s="36" t="s">
        <v>54401</v>
      </c>
      <c r="G6375" s="39">
        <f>5609940.48-23924</f>
        <v>5586016.4800000004</v>
      </c>
      <c r="H6375" s="42">
        <v>211</v>
      </c>
    </row>
    <row r="6376" spans="1:8" ht="15" customHeight="1">
      <c r="A6376" s="26">
        <v>74322011</v>
      </c>
      <c r="B6376" s="30" t="s">
        <v>8605</v>
      </c>
      <c r="C6376" s="29" t="s">
        <v>22926</v>
      </c>
      <c r="D6376" s="29" t="s">
        <v>36194</v>
      </c>
      <c r="E6376" s="29" t="s">
        <v>44737</v>
      </c>
      <c r="F6376" s="36" t="s">
        <v>54401</v>
      </c>
      <c r="G6376" s="39">
        <v>426488.19</v>
      </c>
      <c r="H6376" s="42">
        <v>211</v>
      </c>
    </row>
    <row r="6377" spans="1:8" ht="15" customHeight="1">
      <c r="A6377" s="26">
        <v>74322138</v>
      </c>
      <c r="B6377" s="30" t="s">
        <v>8606</v>
      </c>
      <c r="C6377" s="29" t="s">
        <v>22927</v>
      </c>
      <c r="D6377" s="29" t="s">
        <v>36195</v>
      </c>
      <c r="E6377" s="29" t="s">
        <v>48768</v>
      </c>
      <c r="F6377" s="36" t="s">
        <v>54413</v>
      </c>
      <c r="G6377" s="39">
        <v>42515.97</v>
      </c>
      <c r="H6377" s="42">
        <v>211</v>
      </c>
    </row>
    <row r="6378" spans="1:8" ht="15" customHeight="1">
      <c r="A6378" s="26">
        <v>74322200</v>
      </c>
      <c r="B6378" s="30" t="s">
        <v>8607</v>
      </c>
      <c r="C6378" s="26" t="s">
        <v>22928</v>
      </c>
      <c r="D6378" s="26" t="s">
        <v>36196</v>
      </c>
      <c r="E6378" s="26" t="s">
        <v>48769</v>
      </c>
      <c r="F6378" s="37" t="s">
        <v>54401</v>
      </c>
      <c r="G6378" s="39">
        <v>3541755.57</v>
      </c>
      <c r="H6378" s="42">
        <v>211</v>
      </c>
    </row>
    <row r="6379" spans="1:8" ht="15" customHeight="1">
      <c r="A6379" s="26">
        <v>74322316</v>
      </c>
      <c r="B6379" s="30" t="s">
        <v>8608</v>
      </c>
      <c r="C6379" s="29" t="s">
        <v>22929</v>
      </c>
      <c r="D6379" s="29" t="s">
        <v>36197</v>
      </c>
      <c r="E6379" s="29" t="s">
        <v>48770</v>
      </c>
      <c r="F6379" s="36" t="s">
        <v>54401</v>
      </c>
      <c r="G6379" s="39">
        <v>2309758.44</v>
      </c>
      <c r="H6379" s="42">
        <v>211</v>
      </c>
    </row>
    <row r="6380" spans="1:8" ht="15" customHeight="1">
      <c r="A6380" s="26">
        <v>74322341</v>
      </c>
      <c r="B6380" s="30" t="s">
        <v>8609</v>
      </c>
      <c r="C6380" s="29" t="s">
        <v>22930</v>
      </c>
      <c r="D6380" s="29" t="s">
        <v>36198</v>
      </c>
      <c r="E6380" s="29" t="s">
        <v>43926</v>
      </c>
      <c r="F6380" s="36" t="s">
        <v>54401</v>
      </c>
      <c r="G6380" s="39">
        <f>506703.25+1561407</f>
        <v>2068110.25</v>
      </c>
      <c r="H6380" s="42">
        <v>211</v>
      </c>
    </row>
    <row r="6381" spans="1:8" ht="15" customHeight="1">
      <c r="A6381" s="26">
        <v>74322620</v>
      </c>
      <c r="B6381" s="30" t="s">
        <v>8610</v>
      </c>
      <c r="C6381" s="29" t="s">
        <v>22931</v>
      </c>
      <c r="D6381" s="29" t="s">
        <v>36199</v>
      </c>
      <c r="E6381" s="29" t="s">
        <v>48771</v>
      </c>
      <c r="F6381" s="36" t="s">
        <v>54401</v>
      </c>
      <c r="G6381" s="39">
        <f>15710340.37+114576</f>
        <v>15824916.369999999</v>
      </c>
      <c r="H6381" s="42">
        <v>211</v>
      </c>
    </row>
    <row r="6382" spans="1:8" ht="15" customHeight="1">
      <c r="A6382" s="26">
        <v>74323040</v>
      </c>
      <c r="B6382" s="30" t="s">
        <v>8611</v>
      </c>
      <c r="C6382" s="29" t="s">
        <v>17204</v>
      </c>
      <c r="D6382" s="29" t="s">
        <v>30349</v>
      </c>
      <c r="E6382" s="29" t="s">
        <v>43926</v>
      </c>
      <c r="F6382" s="36" t="s">
        <v>54401</v>
      </c>
      <c r="G6382" s="39">
        <v>456605.63</v>
      </c>
      <c r="H6382" s="42">
        <v>211</v>
      </c>
    </row>
    <row r="6383" spans="1:8" ht="15" customHeight="1">
      <c r="A6383" s="26">
        <v>74323063</v>
      </c>
      <c r="B6383" s="30" t="s">
        <v>8612</v>
      </c>
      <c r="C6383" s="26" t="s">
        <v>22932</v>
      </c>
      <c r="D6383" s="26" t="s">
        <v>36200</v>
      </c>
      <c r="E6383" s="26" t="s">
        <v>48772</v>
      </c>
      <c r="F6383" s="37" t="s">
        <v>54401</v>
      </c>
      <c r="G6383" s="39">
        <v>6691493.5800000001</v>
      </c>
      <c r="H6383" s="42">
        <v>211</v>
      </c>
    </row>
    <row r="6384" spans="1:8" ht="15" customHeight="1">
      <c r="A6384" s="26">
        <v>74323110</v>
      </c>
      <c r="B6384" s="30" t="s">
        <v>8613</v>
      </c>
      <c r="C6384" s="29" t="s">
        <v>22933</v>
      </c>
      <c r="D6384" s="29" t="s">
        <v>36201</v>
      </c>
      <c r="E6384" s="29" t="s">
        <v>44536</v>
      </c>
      <c r="F6384" s="36" t="s">
        <v>54401</v>
      </c>
      <c r="G6384" s="39">
        <f>936436.21+458354</f>
        <v>1394790.21</v>
      </c>
      <c r="H6384" s="42">
        <v>211</v>
      </c>
    </row>
    <row r="6385" spans="1:8" ht="15" customHeight="1">
      <c r="A6385" s="26">
        <v>74323228</v>
      </c>
      <c r="B6385" s="30" t="s">
        <v>8614</v>
      </c>
      <c r="C6385" s="29" t="s">
        <v>22934</v>
      </c>
      <c r="D6385" s="29" t="s">
        <v>36202</v>
      </c>
      <c r="E6385" s="29" t="s">
        <v>44520</v>
      </c>
      <c r="F6385" s="36" t="s">
        <v>54401</v>
      </c>
      <c r="G6385" s="39">
        <v>3382493.62</v>
      </c>
      <c r="H6385" s="42">
        <v>211</v>
      </c>
    </row>
    <row r="6386" spans="1:8" ht="15" customHeight="1">
      <c r="A6386" s="26">
        <v>74323318</v>
      </c>
      <c r="B6386" s="30" t="s">
        <v>8615</v>
      </c>
      <c r="C6386" s="29" t="s">
        <v>22935</v>
      </c>
      <c r="D6386" s="29" t="s">
        <v>36203</v>
      </c>
      <c r="E6386" s="29" t="s">
        <v>44005</v>
      </c>
      <c r="F6386" s="36" t="s">
        <v>54401</v>
      </c>
      <c r="G6386" s="39">
        <v>571810.36</v>
      </c>
      <c r="H6386" s="42">
        <v>211</v>
      </c>
    </row>
    <row r="6387" spans="1:8" ht="15" customHeight="1">
      <c r="A6387" s="26">
        <v>74323325</v>
      </c>
      <c r="B6387" s="30" t="s">
        <v>8616</v>
      </c>
      <c r="C6387" s="29" t="s">
        <v>22936</v>
      </c>
      <c r="D6387" s="29" t="s">
        <v>36204</v>
      </c>
      <c r="E6387" s="29" t="s">
        <v>48773</v>
      </c>
      <c r="F6387" s="36" t="s">
        <v>54413</v>
      </c>
      <c r="G6387" s="39">
        <v>105582.1</v>
      </c>
      <c r="H6387" s="42">
        <v>211</v>
      </c>
    </row>
    <row r="6388" spans="1:8" ht="15" customHeight="1">
      <c r="A6388" s="26">
        <v>74323487</v>
      </c>
      <c r="B6388" s="30" t="s">
        <v>8617</v>
      </c>
      <c r="C6388" s="29" t="s">
        <v>22937</v>
      </c>
      <c r="D6388" s="29" t="s">
        <v>36205</v>
      </c>
      <c r="E6388" s="29" t="s">
        <v>48774</v>
      </c>
      <c r="F6388" s="36" t="s">
        <v>54401</v>
      </c>
      <c r="G6388" s="39">
        <v>21781.51</v>
      </c>
      <c r="H6388" s="42">
        <v>211</v>
      </c>
    </row>
    <row r="6389" spans="1:8" ht="15" customHeight="1">
      <c r="A6389" s="26">
        <v>74323586</v>
      </c>
      <c r="B6389" s="30" t="s">
        <v>8618</v>
      </c>
      <c r="C6389" s="29" t="s">
        <v>22938</v>
      </c>
      <c r="D6389" s="29" t="s">
        <v>36206</v>
      </c>
      <c r="E6389" s="29" t="s">
        <v>48775</v>
      </c>
      <c r="F6389" s="36" t="s">
        <v>54413</v>
      </c>
      <c r="G6389" s="39">
        <v>274520.65999999997</v>
      </c>
      <c r="H6389" s="42">
        <v>211</v>
      </c>
    </row>
    <row r="6390" spans="1:8" ht="15" customHeight="1">
      <c r="A6390" s="26">
        <v>74323653</v>
      </c>
      <c r="B6390" s="30" t="s">
        <v>8619</v>
      </c>
      <c r="C6390" s="29" t="s">
        <v>17204</v>
      </c>
      <c r="D6390" s="29" t="s">
        <v>36207</v>
      </c>
      <c r="E6390" s="29" t="s">
        <v>43926</v>
      </c>
      <c r="F6390" s="36" t="s">
        <v>54401</v>
      </c>
      <c r="G6390" s="39">
        <v>53209.05</v>
      </c>
      <c r="H6390" s="42">
        <v>211</v>
      </c>
    </row>
    <row r="6391" spans="1:8" ht="15" customHeight="1">
      <c r="A6391" s="26">
        <v>74323834</v>
      </c>
      <c r="B6391" s="30" t="s">
        <v>8620</v>
      </c>
      <c r="C6391" s="29" t="s">
        <v>22939</v>
      </c>
      <c r="D6391" s="29" t="s">
        <v>36208</v>
      </c>
      <c r="E6391" s="29" t="s">
        <v>48776</v>
      </c>
      <c r="F6391" s="36" t="s">
        <v>54413</v>
      </c>
      <c r="G6391" s="39">
        <f>10003937.55-96319</f>
        <v>9907618.5500000007</v>
      </c>
      <c r="H6391" s="42">
        <v>211</v>
      </c>
    </row>
    <row r="6392" spans="1:8" ht="15" customHeight="1">
      <c r="A6392" s="26">
        <v>74323878</v>
      </c>
      <c r="B6392" s="30" t="s">
        <v>8621</v>
      </c>
      <c r="C6392" s="29" t="s">
        <v>22940</v>
      </c>
      <c r="D6392" s="29" t="s">
        <v>36209</v>
      </c>
      <c r="E6392" s="29" t="s">
        <v>48777</v>
      </c>
      <c r="F6392" s="36" t="s">
        <v>54401</v>
      </c>
      <c r="G6392" s="39">
        <v>176631.51</v>
      </c>
      <c r="H6392" s="42">
        <v>211</v>
      </c>
    </row>
    <row r="6393" spans="1:8" ht="15" customHeight="1">
      <c r="A6393" s="26">
        <v>74323931</v>
      </c>
      <c r="B6393" s="30" t="s">
        <v>8622</v>
      </c>
      <c r="C6393" s="29" t="s">
        <v>22941</v>
      </c>
      <c r="D6393" s="29" t="s">
        <v>36210</v>
      </c>
      <c r="E6393" s="29" t="s">
        <v>44084</v>
      </c>
      <c r="F6393" s="36" t="s">
        <v>54413</v>
      </c>
      <c r="G6393" s="39">
        <v>205697.06</v>
      </c>
      <c r="H6393" s="42">
        <v>211</v>
      </c>
    </row>
    <row r="6394" spans="1:8" ht="15" customHeight="1">
      <c r="A6394" s="26">
        <v>74323937</v>
      </c>
      <c r="B6394" s="30" t="s">
        <v>8623</v>
      </c>
      <c r="C6394" s="29" t="s">
        <v>22942</v>
      </c>
      <c r="D6394" s="29" t="s">
        <v>30349</v>
      </c>
      <c r="E6394" s="29" t="s">
        <v>48778</v>
      </c>
      <c r="F6394" s="36" t="s">
        <v>54401</v>
      </c>
      <c r="G6394" s="39">
        <v>81646.83</v>
      </c>
      <c r="H6394" s="42">
        <v>211</v>
      </c>
    </row>
    <row r="6395" spans="1:8" ht="15" customHeight="1">
      <c r="A6395" s="26">
        <v>74324033</v>
      </c>
      <c r="B6395" s="30" t="s">
        <v>8624</v>
      </c>
      <c r="C6395" s="29" t="s">
        <v>17204</v>
      </c>
      <c r="D6395" s="29" t="s">
        <v>30349</v>
      </c>
      <c r="E6395" s="29" t="s">
        <v>43926</v>
      </c>
      <c r="F6395" s="36" t="s">
        <v>54401</v>
      </c>
      <c r="G6395" s="39">
        <v>319903.03999999998</v>
      </c>
      <c r="H6395" s="42">
        <v>211</v>
      </c>
    </row>
    <row r="6396" spans="1:8" ht="15" customHeight="1">
      <c r="A6396" s="26">
        <v>74324034</v>
      </c>
      <c r="B6396" s="30" t="s">
        <v>8625</v>
      </c>
      <c r="C6396" s="29" t="s">
        <v>22943</v>
      </c>
      <c r="D6396" s="29" t="s">
        <v>36211</v>
      </c>
      <c r="E6396" s="29" t="s">
        <v>48779</v>
      </c>
      <c r="F6396" s="36" t="s">
        <v>54413</v>
      </c>
      <c r="G6396" s="39">
        <f>10714650.78-175128</f>
        <v>10539522.779999999</v>
      </c>
      <c r="H6396" s="42">
        <v>211</v>
      </c>
    </row>
    <row r="6397" spans="1:8" ht="15" customHeight="1">
      <c r="A6397" s="26">
        <v>74324079</v>
      </c>
      <c r="B6397" s="30" t="s">
        <v>8626</v>
      </c>
      <c r="C6397" s="29" t="s">
        <v>22944</v>
      </c>
      <c r="D6397" s="29" t="s">
        <v>36212</v>
      </c>
      <c r="E6397" s="29" t="s">
        <v>48780</v>
      </c>
      <c r="F6397" s="36" t="s">
        <v>54413</v>
      </c>
      <c r="G6397" s="39">
        <v>133155.82</v>
      </c>
      <c r="H6397" s="42">
        <v>211</v>
      </c>
    </row>
    <row r="6398" spans="1:8" ht="15" customHeight="1">
      <c r="A6398" s="26">
        <v>74324339</v>
      </c>
      <c r="B6398" s="30" t="s">
        <v>8627</v>
      </c>
      <c r="C6398" s="29" t="s">
        <v>22945</v>
      </c>
      <c r="D6398" s="29" t="s">
        <v>36213</v>
      </c>
      <c r="E6398" s="29" t="s">
        <v>48781</v>
      </c>
      <c r="F6398" s="36" t="s">
        <v>54401</v>
      </c>
      <c r="G6398" s="39">
        <v>158911.59</v>
      </c>
      <c r="H6398" s="42">
        <v>211</v>
      </c>
    </row>
    <row r="6399" spans="1:8" ht="15" customHeight="1">
      <c r="A6399" s="27">
        <v>74324341</v>
      </c>
      <c r="B6399" s="26" t="s">
        <v>8628</v>
      </c>
      <c r="C6399" s="32"/>
      <c r="D6399" s="32"/>
      <c r="E6399" s="26" t="s">
        <v>735</v>
      </c>
      <c r="F6399" s="26" t="s">
        <v>735</v>
      </c>
      <c r="G6399" s="41">
        <v>89060000</v>
      </c>
      <c r="H6399" s="26">
        <v>902</v>
      </c>
    </row>
    <row r="6400" spans="1:8" ht="15" customHeight="1">
      <c r="A6400" s="26">
        <v>74324404</v>
      </c>
      <c r="B6400" s="30" t="s">
        <v>8629</v>
      </c>
      <c r="C6400" s="29" t="s">
        <v>22946</v>
      </c>
      <c r="D6400" s="29" t="s">
        <v>36214</v>
      </c>
      <c r="E6400" s="29" t="s">
        <v>48782</v>
      </c>
      <c r="F6400" s="36" t="s">
        <v>54401</v>
      </c>
      <c r="G6400" s="39">
        <v>304547.87</v>
      </c>
      <c r="H6400" s="42">
        <v>211</v>
      </c>
    </row>
    <row r="6401" spans="1:8" ht="15" customHeight="1">
      <c r="A6401" s="26">
        <v>74324422</v>
      </c>
      <c r="B6401" s="30" t="s">
        <v>8630</v>
      </c>
      <c r="C6401" s="29" t="s">
        <v>17204</v>
      </c>
      <c r="D6401" s="29" t="s">
        <v>30349</v>
      </c>
      <c r="E6401" s="29" t="s">
        <v>43926</v>
      </c>
      <c r="F6401" s="36" t="s">
        <v>54401</v>
      </c>
      <c r="G6401" s="39">
        <v>97680.53</v>
      </c>
      <c r="H6401" s="42">
        <v>211</v>
      </c>
    </row>
    <row r="6402" spans="1:8" ht="15" customHeight="1">
      <c r="A6402" s="26">
        <v>74324423</v>
      </c>
      <c r="B6402" s="30" t="s">
        <v>8631</v>
      </c>
      <c r="C6402" s="26" t="s">
        <v>22947</v>
      </c>
      <c r="D6402" s="26" t="s">
        <v>36215</v>
      </c>
      <c r="E6402" s="26" t="s">
        <v>48783</v>
      </c>
      <c r="F6402" s="37" t="s">
        <v>54401</v>
      </c>
      <c r="G6402" s="39">
        <v>390870.11</v>
      </c>
      <c r="H6402" s="42">
        <v>211</v>
      </c>
    </row>
    <row r="6403" spans="1:8" ht="15" customHeight="1">
      <c r="A6403" s="26">
        <v>74326024</v>
      </c>
      <c r="B6403" s="30" t="s">
        <v>8632</v>
      </c>
      <c r="C6403" s="29" t="s">
        <v>22948</v>
      </c>
      <c r="D6403" s="29" t="s">
        <v>36216</v>
      </c>
      <c r="E6403" s="29" t="s">
        <v>48784</v>
      </c>
      <c r="F6403" s="36" t="s">
        <v>54401</v>
      </c>
      <c r="G6403" s="39">
        <v>1025706.1</v>
      </c>
      <c r="H6403" s="42">
        <v>211</v>
      </c>
    </row>
    <row r="6404" spans="1:8" ht="15" customHeight="1">
      <c r="A6404" s="26">
        <v>74326034</v>
      </c>
      <c r="B6404" s="30" t="s">
        <v>8633</v>
      </c>
      <c r="C6404" s="29" t="s">
        <v>22949</v>
      </c>
      <c r="D6404" s="29" t="s">
        <v>36217</v>
      </c>
      <c r="E6404" s="29" t="s">
        <v>48785</v>
      </c>
      <c r="F6404" s="36" t="s">
        <v>54401</v>
      </c>
      <c r="G6404" s="39">
        <f>2111494.72+36061</f>
        <v>2147555.7200000002</v>
      </c>
      <c r="H6404" s="42">
        <v>211</v>
      </c>
    </row>
    <row r="6405" spans="1:8" ht="15" customHeight="1">
      <c r="A6405" s="26">
        <v>74326036</v>
      </c>
      <c r="B6405" s="30" t="s">
        <v>8634</v>
      </c>
      <c r="C6405" s="29" t="s">
        <v>17204</v>
      </c>
      <c r="D6405" s="29" t="s">
        <v>36218</v>
      </c>
      <c r="E6405" s="29" t="s">
        <v>43926</v>
      </c>
      <c r="F6405" s="36" t="s">
        <v>54401</v>
      </c>
      <c r="G6405" s="39">
        <v>41050.42</v>
      </c>
      <c r="H6405" s="42">
        <v>211</v>
      </c>
    </row>
    <row r="6406" spans="1:8" ht="15" customHeight="1">
      <c r="A6406" s="26">
        <v>74326037</v>
      </c>
      <c r="B6406" s="30" t="s">
        <v>8635</v>
      </c>
      <c r="C6406" s="29" t="s">
        <v>22950</v>
      </c>
      <c r="D6406" s="29" t="s">
        <v>36219</v>
      </c>
      <c r="E6406" s="29" t="s">
        <v>48786</v>
      </c>
      <c r="F6406" s="36" t="s">
        <v>54401</v>
      </c>
      <c r="G6406" s="39">
        <v>6619.05</v>
      </c>
      <c r="H6406" s="42">
        <v>211</v>
      </c>
    </row>
    <row r="6407" spans="1:8" ht="15" customHeight="1">
      <c r="A6407" s="26">
        <v>74326043</v>
      </c>
      <c r="B6407" s="30" t="s">
        <v>8636</v>
      </c>
      <c r="C6407" s="29" t="s">
        <v>22951</v>
      </c>
      <c r="D6407" s="29" t="s">
        <v>36220</v>
      </c>
      <c r="E6407" s="29" t="s">
        <v>44345</v>
      </c>
      <c r="F6407" s="36" t="s">
        <v>54401</v>
      </c>
      <c r="G6407" s="39">
        <v>2185453.4700000002</v>
      </c>
      <c r="H6407" s="42">
        <v>211</v>
      </c>
    </row>
    <row r="6408" spans="1:8" ht="15" customHeight="1">
      <c r="A6408" s="26">
        <v>74326045</v>
      </c>
      <c r="B6408" s="30" t="s">
        <v>8637</v>
      </c>
      <c r="C6408" s="29" t="s">
        <v>22952</v>
      </c>
      <c r="D6408" s="29" t="s">
        <v>36221</v>
      </c>
      <c r="E6408" s="29" t="s">
        <v>45901</v>
      </c>
      <c r="F6408" s="36" t="s">
        <v>54401</v>
      </c>
      <c r="G6408" s="39">
        <v>932700.75</v>
      </c>
      <c r="H6408" s="42">
        <v>211</v>
      </c>
    </row>
    <row r="6409" spans="1:8" ht="15" customHeight="1">
      <c r="A6409" s="26">
        <v>74326064</v>
      </c>
      <c r="B6409" s="30" t="s">
        <v>8638</v>
      </c>
      <c r="C6409" s="26" t="s">
        <v>22953</v>
      </c>
      <c r="D6409" s="26" t="s">
        <v>36222</v>
      </c>
      <c r="E6409" s="26" t="s">
        <v>48787</v>
      </c>
      <c r="F6409" s="37" t="s">
        <v>54401</v>
      </c>
      <c r="G6409" s="39">
        <v>130120.15</v>
      </c>
      <c r="H6409" s="42">
        <v>211</v>
      </c>
    </row>
    <row r="6410" spans="1:8" ht="15" customHeight="1">
      <c r="A6410" s="26">
        <v>74326075</v>
      </c>
      <c r="B6410" s="30" t="s">
        <v>8639</v>
      </c>
      <c r="C6410" s="29" t="s">
        <v>22954</v>
      </c>
      <c r="D6410" s="29" t="s">
        <v>36223</v>
      </c>
      <c r="E6410" s="29" t="s">
        <v>48788</v>
      </c>
      <c r="F6410" s="36" t="s">
        <v>54401</v>
      </c>
      <c r="G6410" s="39">
        <v>2360841.4300000002</v>
      </c>
      <c r="H6410" s="42">
        <v>211</v>
      </c>
    </row>
    <row r="6411" spans="1:8" ht="15" customHeight="1">
      <c r="A6411" s="26">
        <v>74326124</v>
      </c>
      <c r="B6411" s="30" t="s">
        <v>8640</v>
      </c>
      <c r="C6411" s="29" t="s">
        <v>22955</v>
      </c>
      <c r="D6411" s="29" t="s">
        <v>36224</v>
      </c>
      <c r="E6411" s="29" t="s">
        <v>48789</v>
      </c>
      <c r="F6411" s="36" t="s">
        <v>54401</v>
      </c>
      <c r="G6411" s="39">
        <v>981782.49</v>
      </c>
      <c r="H6411" s="42">
        <v>211</v>
      </c>
    </row>
    <row r="6412" spans="1:8" ht="15" customHeight="1">
      <c r="A6412" s="26">
        <v>74326126</v>
      </c>
      <c r="B6412" s="30" t="s">
        <v>8641</v>
      </c>
      <c r="C6412" s="29" t="s">
        <v>22956</v>
      </c>
      <c r="D6412" s="29" t="s">
        <v>30376</v>
      </c>
      <c r="E6412" s="29" t="s">
        <v>48790</v>
      </c>
      <c r="F6412" s="36" t="s">
        <v>54401</v>
      </c>
      <c r="G6412" s="39">
        <v>904573.53</v>
      </c>
      <c r="H6412" s="42">
        <v>211</v>
      </c>
    </row>
    <row r="6413" spans="1:8" ht="15" customHeight="1">
      <c r="A6413" s="26">
        <v>74326175</v>
      </c>
      <c r="B6413" s="30" t="s">
        <v>8642</v>
      </c>
      <c r="C6413" s="29" t="s">
        <v>22957</v>
      </c>
      <c r="D6413" s="29" t="s">
        <v>36225</v>
      </c>
      <c r="E6413" s="29" t="s">
        <v>48791</v>
      </c>
      <c r="F6413" s="36" t="s">
        <v>54401</v>
      </c>
      <c r="G6413" s="39">
        <v>3914118.41</v>
      </c>
      <c r="H6413" s="42">
        <v>211</v>
      </c>
    </row>
    <row r="6414" spans="1:8" ht="15" customHeight="1">
      <c r="A6414" s="26">
        <v>74326243</v>
      </c>
      <c r="B6414" s="30" t="s">
        <v>8643</v>
      </c>
      <c r="C6414" s="29" t="s">
        <v>22958</v>
      </c>
      <c r="D6414" s="29" t="s">
        <v>36226</v>
      </c>
      <c r="E6414" s="29" t="s">
        <v>48792</v>
      </c>
      <c r="F6414" s="36" t="s">
        <v>54401</v>
      </c>
      <c r="G6414" s="39">
        <v>573247.62</v>
      </c>
      <c r="H6414" s="42">
        <v>211</v>
      </c>
    </row>
    <row r="6415" spans="1:8" ht="15" customHeight="1">
      <c r="A6415" s="26">
        <v>74326325</v>
      </c>
      <c r="B6415" s="30" t="s">
        <v>8644</v>
      </c>
      <c r="C6415" s="29" t="s">
        <v>22959</v>
      </c>
      <c r="D6415" s="29" t="s">
        <v>36227</v>
      </c>
      <c r="E6415" s="29" t="s">
        <v>48793</v>
      </c>
      <c r="F6415" s="36" t="s">
        <v>54401</v>
      </c>
      <c r="G6415" s="39">
        <v>2455004.46</v>
      </c>
      <c r="H6415" s="42">
        <v>211</v>
      </c>
    </row>
    <row r="6416" spans="1:8" ht="15" customHeight="1">
      <c r="A6416" s="26">
        <v>74326394</v>
      </c>
      <c r="B6416" s="30" t="s">
        <v>8645</v>
      </c>
      <c r="C6416" s="26" t="s">
        <v>22960</v>
      </c>
      <c r="D6416" s="26" t="s">
        <v>36228</v>
      </c>
      <c r="E6416" s="26" t="s">
        <v>48794</v>
      </c>
      <c r="F6416" s="37" t="s">
        <v>54401</v>
      </c>
      <c r="G6416" s="39">
        <v>2790448.51</v>
      </c>
      <c r="H6416" s="42">
        <v>211</v>
      </c>
    </row>
    <row r="6417" spans="1:8" ht="15" customHeight="1">
      <c r="A6417" s="26">
        <v>74326451</v>
      </c>
      <c r="B6417" s="30" t="s">
        <v>8646</v>
      </c>
      <c r="C6417" s="29" t="s">
        <v>22961</v>
      </c>
      <c r="D6417" s="29" t="s">
        <v>36229</v>
      </c>
      <c r="E6417" s="29" t="s">
        <v>48795</v>
      </c>
      <c r="F6417" s="36" t="s">
        <v>54401</v>
      </c>
      <c r="G6417" s="39">
        <f>2236524.46+42141</f>
        <v>2278665.46</v>
      </c>
      <c r="H6417" s="42">
        <v>211</v>
      </c>
    </row>
    <row r="6418" spans="1:8" ht="15" customHeight="1">
      <c r="A6418" s="26">
        <v>74326473</v>
      </c>
      <c r="B6418" s="30" t="s">
        <v>8647</v>
      </c>
      <c r="C6418" s="29" t="s">
        <v>17204</v>
      </c>
      <c r="D6418" s="29" t="s">
        <v>36230</v>
      </c>
      <c r="E6418" s="29" t="s">
        <v>43926</v>
      </c>
      <c r="F6418" s="36" t="s">
        <v>54401</v>
      </c>
      <c r="G6418" s="39">
        <v>657390.52</v>
      </c>
      <c r="H6418" s="42">
        <v>211</v>
      </c>
    </row>
    <row r="6419" spans="1:8" ht="15" customHeight="1">
      <c r="A6419" s="26">
        <v>74326482</v>
      </c>
      <c r="B6419" s="30" t="s">
        <v>8648</v>
      </c>
      <c r="C6419" s="29" t="s">
        <v>22962</v>
      </c>
      <c r="D6419" s="29" t="s">
        <v>36231</v>
      </c>
      <c r="E6419" s="29" t="s">
        <v>48796</v>
      </c>
      <c r="F6419" s="36" t="s">
        <v>54401</v>
      </c>
      <c r="G6419" s="39">
        <f>1721296.6+189788</f>
        <v>1911084.6</v>
      </c>
      <c r="H6419" s="42">
        <v>211</v>
      </c>
    </row>
    <row r="6420" spans="1:8" ht="15" customHeight="1">
      <c r="A6420" s="26">
        <v>74326488</v>
      </c>
      <c r="B6420" s="30" t="s">
        <v>8649</v>
      </c>
      <c r="C6420" s="29" t="s">
        <v>22963</v>
      </c>
      <c r="D6420" s="29" t="s">
        <v>36232</v>
      </c>
      <c r="E6420" s="29" t="s">
        <v>48797</v>
      </c>
      <c r="F6420" s="36" t="s">
        <v>54401</v>
      </c>
      <c r="G6420" s="39">
        <v>920440.46</v>
      </c>
      <c r="H6420" s="42">
        <v>211</v>
      </c>
    </row>
    <row r="6421" spans="1:8" ht="15" customHeight="1">
      <c r="A6421" s="26">
        <v>74326489</v>
      </c>
      <c r="B6421" s="30" t="s">
        <v>8650</v>
      </c>
      <c r="C6421" s="29" t="s">
        <v>22964</v>
      </c>
      <c r="D6421" s="29" t="s">
        <v>36233</v>
      </c>
      <c r="E6421" s="29" t="s">
        <v>48798</v>
      </c>
      <c r="F6421" s="36" t="s">
        <v>54414</v>
      </c>
      <c r="G6421" s="39">
        <f>9556894.78-3202001</f>
        <v>6354893.7799999993</v>
      </c>
      <c r="H6421" s="42">
        <v>211</v>
      </c>
    </row>
    <row r="6422" spans="1:8" ht="15" customHeight="1">
      <c r="A6422" s="26">
        <v>74326495</v>
      </c>
      <c r="B6422" s="30" t="s">
        <v>8651</v>
      </c>
      <c r="C6422" s="29" t="s">
        <v>22965</v>
      </c>
      <c r="D6422" s="29" t="s">
        <v>36234</v>
      </c>
      <c r="E6422" s="29" t="s">
        <v>48799</v>
      </c>
      <c r="F6422" s="36" t="s">
        <v>54401</v>
      </c>
      <c r="G6422" s="39">
        <v>16619.14</v>
      </c>
      <c r="H6422" s="42">
        <v>211</v>
      </c>
    </row>
    <row r="6423" spans="1:8" ht="15" customHeight="1">
      <c r="A6423" s="26">
        <v>74326517</v>
      </c>
      <c r="B6423" s="30" t="s">
        <v>8652</v>
      </c>
      <c r="C6423" s="29" t="s">
        <v>22966</v>
      </c>
      <c r="D6423" s="29" t="s">
        <v>36235</v>
      </c>
      <c r="E6423" s="29" t="s">
        <v>48800</v>
      </c>
      <c r="F6423" s="36" t="s">
        <v>54401</v>
      </c>
      <c r="G6423" s="39">
        <f>5359189.68+133419</f>
        <v>5492608.6799999997</v>
      </c>
      <c r="H6423" s="42">
        <v>211</v>
      </c>
    </row>
    <row r="6424" spans="1:8" ht="15" customHeight="1">
      <c r="A6424" s="26">
        <v>74326521</v>
      </c>
      <c r="B6424" s="30" t="s">
        <v>8653</v>
      </c>
      <c r="C6424" s="29" t="s">
        <v>22967</v>
      </c>
      <c r="D6424" s="29" t="s">
        <v>36236</v>
      </c>
      <c r="E6424" s="29" t="s">
        <v>48801</v>
      </c>
      <c r="F6424" s="36" t="s">
        <v>54401</v>
      </c>
      <c r="G6424" s="39">
        <v>269251.55</v>
      </c>
      <c r="H6424" s="42">
        <v>211</v>
      </c>
    </row>
    <row r="6425" spans="1:8" ht="15" customHeight="1">
      <c r="A6425" s="26">
        <v>74326554</v>
      </c>
      <c r="B6425" s="30" t="s">
        <v>8654</v>
      </c>
      <c r="C6425" s="29" t="s">
        <v>22968</v>
      </c>
      <c r="D6425" s="29" t="s">
        <v>36237</v>
      </c>
      <c r="E6425" s="29" t="s">
        <v>48802</v>
      </c>
      <c r="F6425" s="36" t="s">
        <v>54401</v>
      </c>
      <c r="G6425" s="39">
        <f>985372.2+760541</f>
        <v>1745913.2</v>
      </c>
      <c r="H6425" s="42">
        <v>211</v>
      </c>
    </row>
    <row r="6426" spans="1:8" ht="15" customHeight="1">
      <c r="A6426" s="26">
        <v>74326581</v>
      </c>
      <c r="B6426" s="30" t="s">
        <v>8655</v>
      </c>
      <c r="C6426" s="29" t="s">
        <v>22969</v>
      </c>
      <c r="D6426" s="29" t="s">
        <v>36238</v>
      </c>
      <c r="E6426" s="29" t="s">
        <v>45351</v>
      </c>
      <c r="F6426" s="36" t="s">
        <v>54401</v>
      </c>
      <c r="G6426" s="39">
        <v>224109.59</v>
      </c>
      <c r="H6426" s="42">
        <v>211</v>
      </c>
    </row>
    <row r="6427" spans="1:8" ht="15" customHeight="1">
      <c r="A6427" s="26">
        <v>74326606</v>
      </c>
      <c r="B6427" s="30" t="s">
        <v>8656</v>
      </c>
      <c r="C6427" s="29" t="s">
        <v>22970</v>
      </c>
      <c r="D6427" s="29" t="s">
        <v>36239</v>
      </c>
      <c r="E6427" s="29" t="s">
        <v>48803</v>
      </c>
      <c r="F6427" s="36" t="s">
        <v>54401</v>
      </c>
      <c r="G6427" s="39">
        <v>434603.14</v>
      </c>
      <c r="H6427" s="42">
        <v>211</v>
      </c>
    </row>
    <row r="6428" spans="1:8" ht="15" customHeight="1">
      <c r="A6428" s="26">
        <v>74326617</v>
      </c>
      <c r="B6428" s="30" t="s">
        <v>8657</v>
      </c>
      <c r="C6428" s="29" t="s">
        <v>22971</v>
      </c>
      <c r="D6428" s="29" t="s">
        <v>36240</v>
      </c>
      <c r="E6428" s="29" t="s">
        <v>48804</v>
      </c>
      <c r="F6428" s="36" t="s">
        <v>54401</v>
      </c>
      <c r="G6428" s="39">
        <v>977462.75</v>
      </c>
      <c r="H6428" s="42">
        <v>211</v>
      </c>
    </row>
    <row r="6429" spans="1:8" ht="15" customHeight="1">
      <c r="A6429" s="26">
        <v>74326631</v>
      </c>
      <c r="B6429" s="30" t="s">
        <v>8658</v>
      </c>
      <c r="C6429" s="29" t="s">
        <v>22972</v>
      </c>
      <c r="D6429" s="29" t="s">
        <v>36241</v>
      </c>
      <c r="E6429" s="29" t="s">
        <v>48805</v>
      </c>
      <c r="F6429" s="36" t="s">
        <v>54401</v>
      </c>
      <c r="G6429" s="39">
        <v>455952.09</v>
      </c>
      <c r="H6429" s="42">
        <v>211</v>
      </c>
    </row>
    <row r="6430" spans="1:8" ht="15" customHeight="1">
      <c r="A6430" s="26">
        <v>74326662</v>
      </c>
      <c r="B6430" s="30" t="s">
        <v>8659</v>
      </c>
      <c r="C6430" s="26" t="s">
        <v>22973</v>
      </c>
      <c r="D6430" s="26" t="s">
        <v>36242</v>
      </c>
      <c r="E6430" s="26" t="s">
        <v>46264</v>
      </c>
      <c r="F6430" s="37" t="s">
        <v>54401</v>
      </c>
      <c r="G6430" s="39">
        <v>570667.86</v>
      </c>
      <c r="H6430" s="42">
        <v>211</v>
      </c>
    </row>
    <row r="6431" spans="1:8" ht="15" customHeight="1">
      <c r="A6431" s="26">
        <v>74326688</v>
      </c>
      <c r="B6431" s="30" t="s">
        <v>8660</v>
      </c>
      <c r="C6431" s="29" t="s">
        <v>22974</v>
      </c>
      <c r="D6431" s="29" t="s">
        <v>36243</v>
      </c>
      <c r="E6431" s="29" t="s">
        <v>48806</v>
      </c>
      <c r="F6431" s="36" t="s">
        <v>54414</v>
      </c>
      <c r="G6431" s="39">
        <f>3627148.97+164053</f>
        <v>3791201.97</v>
      </c>
      <c r="H6431" s="42">
        <v>211</v>
      </c>
    </row>
    <row r="6432" spans="1:8" ht="15" customHeight="1">
      <c r="A6432" s="26">
        <v>74326723</v>
      </c>
      <c r="B6432" s="30" t="s">
        <v>8661</v>
      </c>
      <c r="C6432" s="29" t="s">
        <v>17337</v>
      </c>
      <c r="D6432" s="29" t="s">
        <v>36244</v>
      </c>
      <c r="E6432" s="29" t="s">
        <v>43926</v>
      </c>
      <c r="F6432" s="36" t="s">
        <v>54401</v>
      </c>
      <c r="G6432" s="39">
        <v>110262.83</v>
      </c>
      <c r="H6432" s="42">
        <v>211</v>
      </c>
    </row>
    <row r="6433" spans="1:8" ht="15" customHeight="1">
      <c r="A6433" s="26">
        <v>74326726</v>
      </c>
      <c r="B6433" s="30" t="s">
        <v>8662</v>
      </c>
      <c r="C6433" s="29" t="s">
        <v>22975</v>
      </c>
      <c r="D6433" s="29" t="s">
        <v>36245</v>
      </c>
      <c r="E6433" s="29" t="s">
        <v>48807</v>
      </c>
      <c r="F6433" s="36" t="s">
        <v>54414</v>
      </c>
      <c r="G6433" s="39">
        <v>51043.91</v>
      </c>
      <c r="H6433" s="42">
        <v>211</v>
      </c>
    </row>
    <row r="6434" spans="1:8" ht="15" customHeight="1">
      <c r="A6434" s="26">
        <v>74326737</v>
      </c>
      <c r="B6434" s="30" t="s">
        <v>8663</v>
      </c>
      <c r="C6434" s="29" t="s">
        <v>22976</v>
      </c>
      <c r="D6434" s="29" t="s">
        <v>36246</v>
      </c>
      <c r="E6434" s="29" t="s">
        <v>48808</v>
      </c>
      <c r="F6434" s="36" t="s">
        <v>54401</v>
      </c>
      <c r="G6434" s="39">
        <v>1179143.6599999999</v>
      </c>
      <c r="H6434" s="42">
        <v>211</v>
      </c>
    </row>
    <row r="6435" spans="1:8" ht="15" customHeight="1">
      <c r="A6435" s="26">
        <v>74326804</v>
      </c>
      <c r="B6435" s="30" t="s">
        <v>8664</v>
      </c>
      <c r="C6435" s="29" t="s">
        <v>17204</v>
      </c>
      <c r="D6435" s="29" t="s">
        <v>30349</v>
      </c>
      <c r="E6435" s="29" t="s">
        <v>43926</v>
      </c>
      <c r="F6435" s="36" t="s">
        <v>54401</v>
      </c>
      <c r="G6435" s="39">
        <v>172093.36</v>
      </c>
      <c r="H6435" s="42">
        <v>211</v>
      </c>
    </row>
    <row r="6436" spans="1:8" ht="15" customHeight="1">
      <c r="A6436" s="26">
        <v>74326826</v>
      </c>
      <c r="B6436" s="30" t="s">
        <v>8665</v>
      </c>
      <c r="C6436" s="29" t="s">
        <v>22977</v>
      </c>
      <c r="D6436" s="29" t="s">
        <v>36247</v>
      </c>
      <c r="E6436" s="29" t="s">
        <v>48809</v>
      </c>
      <c r="F6436" s="36" t="s">
        <v>54401</v>
      </c>
      <c r="G6436" s="39">
        <v>3114534.91</v>
      </c>
      <c r="H6436" s="42">
        <v>211</v>
      </c>
    </row>
    <row r="6437" spans="1:8" ht="15" customHeight="1">
      <c r="A6437" s="26">
        <v>74326887</v>
      </c>
      <c r="B6437" s="30" t="s">
        <v>8666</v>
      </c>
      <c r="C6437" s="29" t="s">
        <v>22978</v>
      </c>
      <c r="D6437" s="29" t="s">
        <v>36248</v>
      </c>
      <c r="E6437" s="29" t="s">
        <v>46258</v>
      </c>
      <c r="F6437" s="36" t="s">
        <v>54401</v>
      </c>
      <c r="G6437" s="39">
        <v>1592439.44</v>
      </c>
      <c r="H6437" s="42">
        <v>211</v>
      </c>
    </row>
    <row r="6438" spans="1:8" ht="15" customHeight="1">
      <c r="A6438" s="26">
        <v>74326891</v>
      </c>
      <c r="B6438" s="30" t="s">
        <v>8667</v>
      </c>
      <c r="C6438" s="29" t="s">
        <v>22979</v>
      </c>
      <c r="D6438" s="29" t="s">
        <v>36249</v>
      </c>
      <c r="E6438" s="29" t="s">
        <v>43926</v>
      </c>
      <c r="F6438" s="36" t="s">
        <v>54401</v>
      </c>
      <c r="G6438" s="39">
        <f>6648404.56+208421</f>
        <v>6856825.5599999996</v>
      </c>
      <c r="H6438" s="42">
        <v>211</v>
      </c>
    </row>
    <row r="6439" spans="1:8" ht="15" customHeight="1">
      <c r="A6439" s="26">
        <v>74326922</v>
      </c>
      <c r="B6439" s="30" t="s">
        <v>8668</v>
      </c>
      <c r="C6439" s="29" t="s">
        <v>17204</v>
      </c>
      <c r="D6439" s="29" t="s">
        <v>30349</v>
      </c>
      <c r="E6439" s="29" t="s">
        <v>43926</v>
      </c>
      <c r="F6439" s="36" t="s">
        <v>54401</v>
      </c>
      <c r="G6439" s="39">
        <v>262566.02</v>
      </c>
      <c r="H6439" s="42">
        <v>211</v>
      </c>
    </row>
    <row r="6440" spans="1:8" ht="15" customHeight="1">
      <c r="A6440" s="26">
        <v>74326934</v>
      </c>
      <c r="B6440" s="30" t="s">
        <v>8669</v>
      </c>
      <c r="C6440" s="29" t="s">
        <v>17204</v>
      </c>
      <c r="D6440" s="29" t="s">
        <v>36250</v>
      </c>
      <c r="E6440" s="29" t="s">
        <v>43926</v>
      </c>
      <c r="F6440" s="36" t="s">
        <v>54401</v>
      </c>
      <c r="G6440" s="39">
        <v>832783.9</v>
      </c>
      <c r="H6440" s="42">
        <v>211</v>
      </c>
    </row>
    <row r="6441" spans="1:8" ht="15" customHeight="1">
      <c r="A6441" s="26">
        <v>74326970</v>
      </c>
      <c r="B6441" s="30" t="s">
        <v>8670</v>
      </c>
      <c r="C6441" s="29" t="s">
        <v>17204</v>
      </c>
      <c r="D6441" s="29" t="s">
        <v>30349</v>
      </c>
      <c r="E6441" s="29" t="s">
        <v>43926</v>
      </c>
      <c r="F6441" s="36" t="s">
        <v>54401</v>
      </c>
      <c r="G6441" s="39">
        <v>248031.29</v>
      </c>
      <c r="H6441" s="42">
        <v>211</v>
      </c>
    </row>
    <row r="6442" spans="1:8" ht="15" customHeight="1">
      <c r="A6442" s="26">
        <v>74327026</v>
      </c>
      <c r="B6442" s="30" t="s">
        <v>8671</v>
      </c>
      <c r="C6442" s="29" t="s">
        <v>22980</v>
      </c>
      <c r="D6442" s="29" t="s">
        <v>36251</v>
      </c>
      <c r="E6442" s="29" t="s">
        <v>48810</v>
      </c>
      <c r="F6442" s="36" t="s">
        <v>54401</v>
      </c>
      <c r="G6442" s="39">
        <v>945051.08</v>
      </c>
      <c r="H6442" s="42">
        <v>211</v>
      </c>
    </row>
    <row r="6443" spans="1:8" ht="15" customHeight="1">
      <c r="A6443" s="26">
        <v>74327103</v>
      </c>
      <c r="B6443" s="30" t="s">
        <v>8672</v>
      </c>
      <c r="C6443" s="29" t="s">
        <v>22981</v>
      </c>
      <c r="D6443" s="29" t="s">
        <v>36252</v>
      </c>
      <c r="E6443" s="29" t="s">
        <v>48811</v>
      </c>
      <c r="F6443" s="36" t="s">
        <v>54414</v>
      </c>
      <c r="G6443" s="39">
        <f>230333.33+16337083-5563</f>
        <v>16561853.33</v>
      </c>
      <c r="H6443" s="42">
        <v>211</v>
      </c>
    </row>
    <row r="6444" spans="1:8" ht="15" customHeight="1">
      <c r="A6444" s="26">
        <v>74327110</v>
      </c>
      <c r="B6444" s="30" t="s">
        <v>8673</v>
      </c>
      <c r="C6444" s="29" t="s">
        <v>22982</v>
      </c>
      <c r="D6444" s="29" t="s">
        <v>36253</v>
      </c>
      <c r="E6444" s="29" t="s">
        <v>48812</v>
      </c>
      <c r="F6444" s="36" t="s">
        <v>54401</v>
      </c>
      <c r="G6444" s="39">
        <v>525887.05000000005</v>
      </c>
      <c r="H6444" s="42">
        <v>211</v>
      </c>
    </row>
    <row r="6445" spans="1:8" ht="15" customHeight="1">
      <c r="A6445" s="26">
        <v>74327201</v>
      </c>
      <c r="B6445" s="30" t="s">
        <v>8674</v>
      </c>
      <c r="C6445" s="29" t="s">
        <v>22983</v>
      </c>
      <c r="D6445" s="29" t="s">
        <v>36254</v>
      </c>
      <c r="E6445" s="29" t="s">
        <v>48813</v>
      </c>
      <c r="F6445" s="36" t="s">
        <v>54401</v>
      </c>
      <c r="G6445" s="39">
        <v>720940.08</v>
      </c>
      <c r="H6445" s="42">
        <v>211</v>
      </c>
    </row>
    <row r="6446" spans="1:8" ht="15" customHeight="1">
      <c r="A6446" s="26">
        <v>74327208</v>
      </c>
      <c r="B6446" s="30" t="s">
        <v>8675</v>
      </c>
      <c r="C6446" s="29" t="s">
        <v>22984</v>
      </c>
      <c r="D6446" s="29" t="s">
        <v>36255</v>
      </c>
      <c r="E6446" s="29" t="s">
        <v>47110</v>
      </c>
      <c r="F6446" s="36" t="s">
        <v>54401</v>
      </c>
      <c r="G6446" s="39">
        <v>1722640.93</v>
      </c>
      <c r="H6446" s="42">
        <v>211</v>
      </c>
    </row>
    <row r="6447" spans="1:8" ht="15" customHeight="1">
      <c r="A6447" s="26">
        <v>74327214</v>
      </c>
      <c r="B6447" s="30" t="s">
        <v>8676</v>
      </c>
      <c r="C6447" s="29" t="s">
        <v>22985</v>
      </c>
      <c r="D6447" s="29" t="s">
        <v>36256</v>
      </c>
      <c r="E6447" s="29" t="s">
        <v>48814</v>
      </c>
      <c r="F6447" s="36" t="s">
        <v>54401</v>
      </c>
      <c r="G6447" s="39">
        <f>5507078.68+62148</f>
        <v>5569226.6799999997</v>
      </c>
      <c r="H6447" s="42">
        <v>211</v>
      </c>
    </row>
    <row r="6448" spans="1:8" ht="15" customHeight="1">
      <c r="A6448" s="26">
        <v>74327223</v>
      </c>
      <c r="B6448" s="30" t="s">
        <v>8677</v>
      </c>
      <c r="C6448" s="29" t="s">
        <v>22986</v>
      </c>
      <c r="D6448" s="29" t="s">
        <v>36257</v>
      </c>
      <c r="E6448" s="29" t="s">
        <v>46000</v>
      </c>
      <c r="F6448" s="36" t="s">
        <v>54401</v>
      </c>
      <c r="G6448" s="39">
        <f>1538723.57+291927</f>
        <v>1830650.57</v>
      </c>
      <c r="H6448" s="42">
        <v>211</v>
      </c>
    </row>
    <row r="6449" spans="1:8" ht="15" customHeight="1">
      <c r="A6449" s="26">
        <v>74327226</v>
      </c>
      <c r="B6449" s="30" t="s">
        <v>8678</v>
      </c>
      <c r="C6449" s="29" t="s">
        <v>22987</v>
      </c>
      <c r="D6449" s="29" t="s">
        <v>36258</v>
      </c>
      <c r="E6449" s="29" t="s">
        <v>48815</v>
      </c>
      <c r="F6449" s="36" t="s">
        <v>54401</v>
      </c>
      <c r="G6449" s="39">
        <v>680201.32</v>
      </c>
      <c r="H6449" s="42">
        <v>211</v>
      </c>
    </row>
    <row r="6450" spans="1:8" ht="15" customHeight="1">
      <c r="A6450" s="26">
        <v>74327247</v>
      </c>
      <c r="B6450" s="30" t="s">
        <v>8679</v>
      </c>
      <c r="C6450" s="29" t="s">
        <v>22988</v>
      </c>
      <c r="D6450" s="29" t="s">
        <v>36259</v>
      </c>
      <c r="E6450" s="29" t="s">
        <v>48816</v>
      </c>
      <c r="F6450" s="36" t="s">
        <v>54401</v>
      </c>
      <c r="G6450" s="39">
        <v>350589.96</v>
      </c>
      <c r="H6450" s="42">
        <v>211</v>
      </c>
    </row>
    <row r="6451" spans="1:8" ht="15" customHeight="1">
      <c r="A6451" s="26">
        <v>74327260</v>
      </c>
      <c r="B6451" s="30" t="s">
        <v>8680</v>
      </c>
      <c r="C6451" s="29" t="s">
        <v>22989</v>
      </c>
      <c r="D6451" s="29" t="s">
        <v>36260</v>
      </c>
      <c r="E6451" s="29" t="s">
        <v>48817</v>
      </c>
      <c r="F6451" s="36" t="s">
        <v>54401</v>
      </c>
      <c r="G6451" s="39">
        <v>1510460.5</v>
      </c>
      <c r="H6451" s="42">
        <v>211</v>
      </c>
    </row>
    <row r="6452" spans="1:8" ht="15" customHeight="1">
      <c r="A6452" s="26">
        <v>74327273</v>
      </c>
      <c r="B6452" s="30" t="s">
        <v>8681</v>
      </c>
      <c r="C6452" s="26" t="s">
        <v>22990</v>
      </c>
      <c r="D6452" s="26" t="s">
        <v>36261</v>
      </c>
      <c r="E6452" s="26" t="s">
        <v>48818</v>
      </c>
      <c r="F6452" s="37" t="s">
        <v>54401</v>
      </c>
      <c r="G6452" s="39">
        <v>3395526.06</v>
      </c>
      <c r="H6452" s="42">
        <v>211</v>
      </c>
    </row>
    <row r="6453" spans="1:8" ht="15" customHeight="1">
      <c r="A6453" s="26">
        <v>74327288</v>
      </c>
      <c r="B6453" s="30" t="s">
        <v>8682</v>
      </c>
      <c r="C6453" s="29" t="s">
        <v>19442</v>
      </c>
      <c r="D6453" s="29" t="s">
        <v>36262</v>
      </c>
      <c r="E6453" s="29" t="s">
        <v>48819</v>
      </c>
      <c r="F6453" s="36" t="s">
        <v>54401</v>
      </c>
      <c r="G6453" s="39">
        <v>4100187.87</v>
      </c>
      <c r="H6453" s="42">
        <v>211</v>
      </c>
    </row>
    <row r="6454" spans="1:8" ht="15" customHeight="1">
      <c r="A6454" s="26">
        <v>74327356</v>
      </c>
      <c r="B6454" s="30" t="s">
        <v>8683</v>
      </c>
      <c r="C6454" s="29" t="s">
        <v>22991</v>
      </c>
      <c r="D6454" s="29" t="s">
        <v>36263</v>
      </c>
      <c r="E6454" s="29" t="s">
        <v>48820</v>
      </c>
      <c r="F6454" s="36" t="s">
        <v>54414</v>
      </c>
      <c r="G6454" s="39">
        <v>4816805.6500000004</v>
      </c>
      <c r="H6454" s="42">
        <v>211</v>
      </c>
    </row>
    <row r="6455" spans="1:8" ht="15" customHeight="1">
      <c r="A6455" s="26">
        <v>74327360</v>
      </c>
      <c r="B6455" s="30" t="s">
        <v>8684</v>
      </c>
      <c r="C6455" s="29" t="s">
        <v>22992</v>
      </c>
      <c r="D6455" s="29" t="s">
        <v>36264</v>
      </c>
      <c r="E6455" s="29" t="s">
        <v>48821</v>
      </c>
      <c r="F6455" s="36" t="s">
        <v>54401</v>
      </c>
      <c r="G6455" s="39">
        <v>2582500.31</v>
      </c>
      <c r="H6455" s="42">
        <v>211</v>
      </c>
    </row>
    <row r="6456" spans="1:8" ht="15" customHeight="1">
      <c r="A6456" s="26">
        <v>74327374</v>
      </c>
      <c r="B6456" s="30" t="s">
        <v>8685</v>
      </c>
      <c r="C6456" s="29" t="s">
        <v>22993</v>
      </c>
      <c r="D6456" s="29" t="s">
        <v>36265</v>
      </c>
      <c r="E6456" s="29" t="s">
        <v>48822</v>
      </c>
      <c r="F6456" s="36" t="s">
        <v>54401</v>
      </c>
      <c r="G6456" s="39">
        <v>2299251.17</v>
      </c>
      <c r="H6456" s="42">
        <v>211</v>
      </c>
    </row>
    <row r="6457" spans="1:8" ht="15" customHeight="1">
      <c r="A6457" s="26">
        <v>74327459</v>
      </c>
      <c r="B6457" s="30" t="s">
        <v>4181</v>
      </c>
      <c r="C6457" s="29" t="s">
        <v>18976</v>
      </c>
      <c r="D6457" s="29" t="s">
        <v>30376</v>
      </c>
      <c r="E6457" s="29" t="s">
        <v>48823</v>
      </c>
      <c r="F6457" s="36" t="s">
        <v>54414</v>
      </c>
      <c r="G6457" s="39">
        <v>4575823.8899999997</v>
      </c>
      <c r="H6457" s="42">
        <v>211</v>
      </c>
    </row>
    <row r="6458" spans="1:8" ht="15" customHeight="1">
      <c r="A6458" s="26">
        <v>74327467</v>
      </c>
      <c r="B6458" s="30" t="s">
        <v>8686</v>
      </c>
      <c r="C6458" s="29" t="s">
        <v>22994</v>
      </c>
      <c r="D6458" s="29" t="s">
        <v>36266</v>
      </c>
      <c r="E6458" s="29" t="s">
        <v>48824</v>
      </c>
      <c r="F6458" s="36" t="s">
        <v>54414</v>
      </c>
      <c r="G6458" s="39">
        <v>2739932.82</v>
      </c>
      <c r="H6458" s="42">
        <v>211</v>
      </c>
    </row>
    <row r="6459" spans="1:8" ht="15" customHeight="1">
      <c r="A6459" s="26">
        <v>74327486</v>
      </c>
      <c r="B6459" s="30" t="s">
        <v>8687</v>
      </c>
      <c r="C6459" s="29" t="s">
        <v>22995</v>
      </c>
      <c r="D6459" s="29" t="s">
        <v>36267</v>
      </c>
      <c r="E6459" s="29" t="s">
        <v>48825</v>
      </c>
      <c r="F6459" s="36" t="s">
        <v>54414</v>
      </c>
      <c r="G6459" s="39">
        <v>252635.86</v>
      </c>
      <c r="H6459" s="42">
        <v>211</v>
      </c>
    </row>
    <row r="6460" spans="1:8" ht="15" customHeight="1">
      <c r="A6460" s="26">
        <v>74327487</v>
      </c>
      <c r="B6460" s="30" t="s">
        <v>8688</v>
      </c>
      <c r="C6460" s="29" t="s">
        <v>22996</v>
      </c>
      <c r="D6460" s="29" t="s">
        <v>36268</v>
      </c>
      <c r="E6460" s="29" t="s">
        <v>48826</v>
      </c>
      <c r="F6460" s="36" t="s">
        <v>54401</v>
      </c>
      <c r="G6460" s="39">
        <v>259539.58</v>
      </c>
      <c r="H6460" s="42">
        <v>211</v>
      </c>
    </row>
    <row r="6461" spans="1:8" ht="15" customHeight="1">
      <c r="A6461" s="26">
        <v>74327721</v>
      </c>
      <c r="B6461" s="30" t="s">
        <v>8689</v>
      </c>
      <c r="C6461" s="29" t="s">
        <v>22997</v>
      </c>
      <c r="D6461" s="29" t="s">
        <v>36269</v>
      </c>
      <c r="E6461" s="29" t="s">
        <v>48827</v>
      </c>
      <c r="F6461" s="36" t="s">
        <v>54401</v>
      </c>
      <c r="G6461" s="39">
        <f>967873.95+233416</f>
        <v>1201289.95</v>
      </c>
      <c r="H6461" s="42">
        <v>211</v>
      </c>
    </row>
    <row r="6462" spans="1:8" ht="15" customHeight="1">
      <c r="A6462" s="26">
        <v>74333320</v>
      </c>
      <c r="B6462" s="30" t="s">
        <v>8690</v>
      </c>
      <c r="C6462" s="29" t="s">
        <v>22998</v>
      </c>
      <c r="D6462" s="29" t="s">
        <v>36270</v>
      </c>
      <c r="E6462" s="29" t="s">
        <v>48828</v>
      </c>
      <c r="F6462" s="36" t="s">
        <v>54401</v>
      </c>
      <c r="G6462" s="39">
        <v>1496002.41</v>
      </c>
      <c r="H6462" s="42">
        <v>211</v>
      </c>
    </row>
    <row r="6463" spans="1:8" ht="15" customHeight="1">
      <c r="A6463" s="26">
        <v>74334061</v>
      </c>
      <c r="B6463" s="30" t="s">
        <v>8691</v>
      </c>
      <c r="C6463" s="29" t="s">
        <v>22999</v>
      </c>
      <c r="D6463" s="29" t="s">
        <v>36271</v>
      </c>
      <c r="E6463" s="29" t="s">
        <v>48829</v>
      </c>
      <c r="F6463" s="36" t="s">
        <v>54401</v>
      </c>
      <c r="G6463" s="39">
        <f>3415052.79+1271483</f>
        <v>4686535.79</v>
      </c>
      <c r="H6463" s="42">
        <v>211</v>
      </c>
    </row>
    <row r="6464" spans="1:8" ht="15" customHeight="1">
      <c r="A6464" s="26">
        <v>74334142</v>
      </c>
      <c r="B6464" s="30" t="s">
        <v>8692</v>
      </c>
      <c r="C6464" s="29" t="s">
        <v>23000</v>
      </c>
      <c r="D6464" s="29" t="s">
        <v>36272</v>
      </c>
      <c r="E6464" s="29" t="s">
        <v>48830</v>
      </c>
      <c r="F6464" s="36" t="s">
        <v>54401</v>
      </c>
      <c r="G6464" s="39">
        <v>223243.82</v>
      </c>
      <c r="H6464" s="42">
        <v>211</v>
      </c>
    </row>
    <row r="6465" spans="1:8" ht="15" customHeight="1">
      <c r="A6465" s="26">
        <v>74334294</v>
      </c>
      <c r="B6465" s="30" t="s">
        <v>8693</v>
      </c>
      <c r="C6465" s="29" t="s">
        <v>23001</v>
      </c>
      <c r="D6465" s="29" t="s">
        <v>36273</v>
      </c>
      <c r="E6465" s="29" t="s">
        <v>48831</v>
      </c>
      <c r="F6465" s="36" t="s">
        <v>54401</v>
      </c>
      <c r="G6465" s="39">
        <v>363150.35</v>
      </c>
      <c r="H6465" s="42">
        <v>211</v>
      </c>
    </row>
    <row r="6466" spans="1:8" ht="15" customHeight="1">
      <c r="A6466" s="26">
        <v>74334410</v>
      </c>
      <c r="B6466" s="30" t="s">
        <v>8694</v>
      </c>
      <c r="C6466" s="29" t="s">
        <v>23002</v>
      </c>
      <c r="D6466" s="29" t="s">
        <v>36274</v>
      </c>
      <c r="E6466" s="29" t="s">
        <v>48832</v>
      </c>
      <c r="F6466" s="36" t="s">
        <v>54401</v>
      </c>
      <c r="G6466" s="39">
        <v>2402183.48</v>
      </c>
      <c r="H6466" s="42">
        <v>211</v>
      </c>
    </row>
    <row r="6467" spans="1:8" ht="15" customHeight="1">
      <c r="A6467" s="26">
        <v>74334446</v>
      </c>
      <c r="B6467" s="30" t="s">
        <v>8695</v>
      </c>
      <c r="C6467" s="29" t="s">
        <v>23003</v>
      </c>
      <c r="D6467" s="29" t="s">
        <v>36275</v>
      </c>
      <c r="E6467" s="29" t="s">
        <v>48833</v>
      </c>
      <c r="F6467" s="36" t="s">
        <v>54413</v>
      </c>
      <c r="G6467" s="39">
        <v>148570.03</v>
      </c>
      <c r="H6467" s="42">
        <v>211</v>
      </c>
    </row>
    <row r="6468" spans="1:8" ht="15" customHeight="1">
      <c r="A6468" s="26">
        <v>74334490</v>
      </c>
      <c r="B6468" s="30" t="s">
        <v>8696</v>
      </c>
      <c r="C6468" s="29" t="s">
        <v>23004</v>
      </c>
      <c r="D6468" s="29" t="s">
        <v>36276</v>
      </c>
      <c r="E6468" s="29" t="s">
        <v>48834</v>
      </c>
      <c r="F6468" s="36" t="s">
        <v>54401</v>
      </c>
      <c r="G6468" s="39">
        <f>11882249.59+119501+687449+15697</f>
        <v>12704896.59</v>
      </c>
      <c r="H6468" s="42">
        <v>211</v>
      </c>
    </row>
    <row r="6469" spans="1:8" ht="15" customHeight="1">
      <c r="A6469" s="26">
        <v>74334881</v>
      </c>
      <c r="B6469" s="30" t="s">
        <v>8697</v>
      </c>
      <c r="C6469" s="29" t="s">
        <v>17204</v>
      </c>
      <c r="D6469" s="29" t="s">
        <v>30349</v>
      </c>
      <c r="E6469" s="29" t="s">
        <v>43926</v>
      </c>
      <c r="F6469" s="36" t="s">
        <v>54401</v>
      </c>
      <c r="G6469" s="39">
        <v>94394.99</v>
      </c>
      <c r="H6469" s="42">
        <v>211</v>
      </c>
    </row>
    <row r="6470" spans="1:8" ht="15" customHeight="1">
      <c r="A6470" s="26">
        <v>74334882</v>
      </c>
      <c r="B6470" s="30" t="s">
        <v>8698</v>
      </c>
      <c r="C6470" s="29" t="s">
        <v>23005</v>
      </c>
      <c r="D6470" s="29" t="s">
        <v>36277</v>
      </c>
      <c r="E6470" s="29" t="s">
        <v>48835</v>
      </c>
      <c r="F6470" s="36" t="s">
        <v>54401</v>
      </c>
      <c r="G6470" s="39">
        <f>3142406.92-172992</f>
        <v>2969414.92</v>
      </c>
      <c r="H6470" s="42">
        <v>211</v>
      </c>
    </row>
    <row r="6471" spans="1:8" ht="15" customHeight="1">
      <c r="A6471" s="26">
        <v>74334922</v>
      </c>
      <c r="B6471" s="30" t="s">
        <v>8699</v>
      </c>
      <c r="C6471" s="29" t="s">
        <v>23006</v>
      </c>
      <c r="D6471" s="29" t="s">
        <v>36278</v>
      </c>
      <c r="E6471" s="29" t="s">
        <v>48836</v>
      </c>
      <c r="F6471" s="36" t="s">
        <v>54401</v>
      </c>
      <c r="G6471" s="39">
        <v>3476353.17</v>
      </c>
      <c r="H6471" s="42">
        <v>211</v>
      </c>
    </row>
    <row r="6472" spans="1:8" ht="15" customHeight="1">
      <c r="A6472" s="26">
        <v>74337044</v>
      </c>
      <c r="B6472" s="30" t="s">
        <v>8700</v>
      </c>
      <c r="C6472" s="26" t="s">
        <v>23007</v>
      </c>
      <c r="D6472" s="26" t="s">
        <v>33929</v>
      </c>
      <c r="E6472" s="26" t="s">
        <v>47008</v>
      </c>
      <c r="F6472" s="37" t="s">
        <v>54401</v>
      </c>
      <c r="G6472" s="39">
        <v>4049239.2</v>
      </c>
      <c r="H6472" s="42">
        <v>211</v>
      </c>
    </row>
    <row r="6473" spans="1:8" ht="15" customHeight="1">
      <c r="A6473" s="26">
        <v>74337151</v>
      </c>
      <c r="B6473" s="30" t="s">
        <v>8701</v>
      </c>
      <c r="C6473" s="29" t="s">
        <v>17204</v>
      </c>
      <c r="D6473" s="29" t="s">
        <v>30349</v>
      </c>
      <c r="E6473" s="29" t="s">
        <v>43926</v>
      </c>
      <c r="F6473" s="36" t="s">
        <v>54401</v>
      </c>
      <c r="G6473" s="39">
        <v>215185.01</v>
      </c>
      <c r="H6473" s="42">
        <v>211</v>
      </c>
    </row>
    <row r="6474" spans="1:8" ht="15" customHeight="1">
      <c r="A6474" s="26">
        <v>74337393</v>
      </c>
      <c r="B6474" s="30" t="s">
        <v>8702</v>
      </c>
      <c r="C6474" s="29" t="s">
        <v>23008</v>
      </c>
      <c r="D6474" s="29" t="s">
        <v>36279</v>
      </c>
      <c r="E6474" s="29" t="s">
        <v>48837</v>
      </c>
      <c r="F6474" s="36" t="s">
        <v>54401</v>
      </c>
      <c r="G6474" s="39">
        <f>8924668.69+79216</f>
        <v>9003884.6899999995</v>
      </c>
      <c r="H6474" s="42">
        <v>211</v>
      </c>
    </row>
    <row r="6475" spans="1:8" ht="15" customHeight="1">
      <c r="A6475" s="26">
        <v>74337839</v>
      </c>
      <c r="B6475" s="30" t="s">
        <v>8703</v>
      </c>
      <c r="C6475" s="29" t="s">
        <v>23009</v>
      </c>
      <c r="D6475" s="29" t="s">
        <v>33022</v>
      </c>
      <c r="E6475" s="29" t="s">
        <v>48838</v>
      </c>
      <c r="F6475" s="36" t="s">
        <v>54417</v>
      </c>
      <c r="G6475" s="39">
        <v>2781259.19</v>
      </c>
      <c r="H6475" s="42">
        <v>211</v>
      </c>
    </row>
    <row r="6476" spans="1:8" ht="15" customHeight="1">
      <c r="A6476" s="26">
        <v>74344559</v>
      </c>
      <c r="B6476" s="30" t="s">
        <v>8704</v>
      </c>
      <c r="C6476" s="29" t="s">
        <v>23010</v>
      </c>
      <c r="D6476" s="29" t="s">
        <v>36280</v>
      </c>
      <c r="E6476" s="29" t="s">
        <v>48839</v>
      </c>
      <c r="F6476" s="36" t="s">
        <v>54404</v>
      </c>
      <c r="G6476" s="39">
        <v>561879.26</v>
      </c>
      <c r="H6476" s="42">
        <v>211</v>
      </c>
    </row>
    <row r="6477" spans="1:8" ht="15" customHeight="1">
      <c r="A6477" s="26">
        <v>74344613</v>
      </c>
      <c r="B6477" s="30" t="s">
        <v>8705</v>
      </c>
      <c r="C6477" s="29" t="s">
        <v>23011</v>
      </c>
      <c r="D6477" s="29" t="s">
        <v>36281</v>
      </c>
      <c r="E6477" s="29" t="s">
        <v>48840</v>
      </c>
      <c r="F6477" s="36" t="s">
        <v>54423</v>
      </c>
      <c r="G6477" s="39">
        <v>6173919.1299999999</v>
      </c>
      <c r="H6477" s="42">
        <v>211</v>
      </c>
    </row>
    <row r="6478" spans="1:8" ht="15" customHeight="1">
      <c r="A6478" s="26">
        <v>74344614</v>
      </c>
      <c r="B6478" s="30" t="s">
        <v>8706</v>
      </c>
      <c r="C6478" s="26" t="s">
        <v>23012</v>
      </c>
      <c r="D6478" s="26" t="s">
        <v>36282</v>
      </c>
      <c r="E6478" s="26" t="s">
        <v>48841</v>
      </c>
      <c r="F6478" s="37" t="s">
        <v>54401</v>
      </c>
      <c r="G6478" s="39">
        <v>1712209.21</v>
      </c>
      <c r="H6478" s="42">
        <v>211</v>
      </c>
    </row>
    <row r="6479" spans="1:8" ht="15" customHeight="1">
      <c r="A6479" s="26">
        <v>74344619</v>
      </c>
      <c r="B6479" s="30" t="s">
        <v>8707</v>
      </c>
      <c r="C6479" s="29" t="s">
        <v>23013</v>
      </c>
      <c r="D6479" s="29" t="s">
        <v>36283</v>
      </c>
      <c r="E6479" s="29" t="s">
        <v>48842</v>
      </c>
      <c r="F6479" s="36" t="s">
        <v>54401</v>
      </c>
      <c r="G6479" s="39">
        <v>683278.91</v>
      </c>
      <c r="H6479" s="42">
        <v>211</v>
      </c>
    </row>
    <row r="6480" spans="1:8" ht="15" customHeight="1">
      <c r="A6480" s="26">
        <v>74344662</v>
      </c>
      <c r="B6480" s="30" t="s">
        <v>8708</v>
      </c>
      <c r="C6480" s="29" t="s">
        <v>23014</v>
      </c>
      <c r="D6480" s="29" t="s">
        <v>36284</v>
      </c>
      <c r="E6480" s="29" t="s">
        <v>48843</v>
      </c>
      <c r="F6480" s="36" t="s">
        <v>54401</v>
      </c>
      <c r="G6480" s="39">
        <v>2228848.94</v>
      </c>
      <c r="H6480" s="42">
        <v>211</v>
      </c>
    </row>
    <row r="6481" spans="1:8" ht="15" customHeight="1">
      <c r="A6481" s="26">
        <v>74344664</v>
      </c>
      <c r="B6481" s="30" t="s">
        <v>8709</v>
      </c>
      <c r="C6481" s="29" t="s">
        <v>23015</v>
      </c>
      <c r="D6481" s="29" t="s">
        <v>36285</v>
      </c>
      <c r="E6481" s="29" t="s">
        <v>48844</v>
      </c>
      <c r="F6481" s="36" t="s">
        <v>54401</v>
      </c>
      <c r="G6481" s="39">
        <f>1131273.72+1266367</f>
        <v>2397640.7199999997</v>
      </c>
      <c r="H6481" s="42">
        <v>211</v>
      </c>
    </row>
    <row r="6482" spans="1:8" ht="15" customHeight="1">
      <c r="A6482" s="26">
        <v>74344714</v>
      </c>
      <c r="B6482" s="30" t="s">
        <v>8710</v>
      </c>
      <c r="C6482" s="29" t="s">
        <v>23016</v>
      </c>
      <c r="D6482" s="29" t="s">
        <v>36286</v>
      </c>
      <c r="E6482" s="29" t="s">
        <v>48845</v>
      </c>
      <c r="F6482" s="36" t="s">
        <v>54401</v>
      </c>
      <c r="G6482" s="39">
        <v>4377815.59</v>
      </c>
      <c r="H6482" s="42">
        <v>211</v>
      </c>
    </row>
    <row r="6483" spans="1:8" ht="15" customHeight="1">
      <c r="A6483" s="26">
        <v>74344739</v>
      </c>
      <c r="B6483" s="30" t="s">
        <v>8711</v>
      </c>
      <c r="C6483" s="29" t="s">
        <v>23017</v>
      </c>
      <c r="D6483" s="29" t="s">
        <v>36287</v>
      </c>
      <c r="E6483" s="29" t="s">
        <v>48846</v>
      </c>
      <c r="F6483" s="36" t="s">
        <v>54401</v>
      </c>
      <c r="G6483" s="39">
        <v>652712.81000000006</v>
      </c>
      <c r="H6483" s="42">
        <v>211</v>
      </c>
    </row>
    <row r="6484" spans="1:8" ht="15" customHeight="1">
      <c r="A6484" s="26">
        <v>74344838</v>
      </c>
      <c r="B6484" s="30" t="s">
        <v>8712</v>
      </c>
      <c r="C6484" s="29" t="s">
        <v>23018</v>
      </c>
      <c r="D6484" s="29" t="s">
        <v>36288</v>
      </c>
      <c r="E6484" s="29" t="s">
        <v>48847</v>
      </c>
      <c r="F6484" s="36" t="s">
        <v>54401</v>
      </c>
      <c r="G6484" s="39">
        <v>246334.44</v>
      </c>
      <c r="H6484" s="42">
        <v>211</v>
      </c>
    </row>
    <row r="6485" spans="1:8" ht="15" customHeight="1">
      <c r="A6485" s="26">
        <v>74344876</v>
      </c>
      <c r="B6485" s="30" t="s">
        <v>8713</v>
      </c>
      <c r="C6485" s="29" t="s">
        <v>23019</v>
      </c>
      <c r="D6485" s="29" t="s">
        <v>36289</v>
      </c>
      <c r="E6485" s="29" t="s">
        <v>48848</v>
      </c>
      <c r="F6485" s="36" t="s">
        <v>54401</v>
      </c>
      <c r="G6485" s="39">
        <v>1459690.16</v>
      </c>
      <c r="H6485" s="42">
        <v>211</v>
      </c>
    </row>
    <row r="6486" spans="1:8" ht="15" customHeight="1">
      <c r="A6486" s="26">
        <v>74344878</v>
      </c>
      <c r="B6486" s="30" t="s">
        <v>8714</v>
      </c>
      <c r="C6486" s="29" t="s">
        <v>23020</v>
      </c>
      <c r="D6486" s="29" t="s">
        <v>36290</v>
      </c>
      <c r="E6486" s="29" t="s">
        <v>48849</v>
      </c>
      <c r="F6486" s="36" t="s">
        <v>54401</v>
      </c>
      <c r="G6486" s="39">
        <v>3577930.12</v>
      </c>
      <c r="H6486" s="42">
        <v>211</v>
      </c>
    </row>
    <row r="6487" spans="1:8" ht="15" customHeight="1">
      <c r="A6487" s="26">
        <v>74344902</v>
      </c>
      <c r="B6487" s="30" t="s">
        <v>8715</v>
      </c>
      <c r="C6487" s="29" t="s">
        <v>23021</v>
      </c>
      <c r="D6487" s="29" t="s">
        <v>36291</v>
      </c>
      <c r="E6487" s="29" t="s">
        <v>733</v>
      </c>
      <c r="F6487" s="36" t="s">
        <v>54401</v>
      </c>
      <c r="G6487" s="39">
        <v>1090726.28</v>
      </c>
      <c r="H6487" s="42">
        <v>211</v>
      </c>
    </row>
    <row r="6488" spans="1:8" ht="15" customHeight="1">
      <c r="A6488" s="26">
        <v>74344932</v>
      </c>
      <c r="B6488" s="30" t="s">
        <v>8716</v>
      </c>
      <c r="C6488" s="29" t="s">
        <v>23022</v>
      </c>
      <c r="D6488" s="29" t="s">
        <v>36292</v>
      </c>
      <c r="E6488" s="29" t="s">
        <v>48850</v>
      </c>
      <c r="F6488" s="36" t="s">
        <v>54401</v>
      </c>
      <c r="G6488" s="39">
        <v>119916.99</v>
      </c>
      <c r="H6488" s="42">
        <v>211</v>
      </c>
    </row>
    <row r="6489" spans="1:8" ht="15" customHeight="1">
      <c r="A6489" s="26">
        <v>74344938</v>
      </c>
      <c r="B6489" s="30" t="s">
        <v>8717</v>
      </c>
      <c r="C6489" s="29" t="s">
        <v>23023</v>
      </c>
      <c r="D6489" s="29" t="s">
        <v>36293</v>
      </c>
      <c r="E6489" s="29" t="s">
        <v>48851</v>
      </c>
      <c r="F6489" s="36" t="s">
        <v>54401</v>
      </c>
      <c r="G6489" s="39">
        <v>473853.25</v>
      </c>
      <c r="H6489" s="42">
        <v>211</v>
      </c>
    </row>
    <row r="6490" spans="1:8" ht="15" customHeight="1">
      <c r="A6490" s="26">
        <v>74345021</v>
      </c>
      <c r="B6490" s="30" t="s">
        <v>8718</v>
      </c>
      <c r="C6490" s="29" t="s">
        <v>23024</v>
      </c>
      <c r="D6490" s="29" t="s">
        <v>36294</v>
      </c>
      <c r="E6490" s="29" t="s">
        <v>43926</v>
      </c>
      <c r="F6490" s="36" t="s">
        <v>54401</v>
      </c>
      <c r="G6490" s="39">
        <v>1093993.99</v>
      </c>
      <c r="H6490" s="42">
        <v>211</v>
      </c>
    </row>
    <row r="6491" spans="1:8" ht="15" customHeight="1">
      <c r="A6491" s="26">
        <v>74345042</v>
      </c>
      <c r="B6491" s="30" t="s">
        <v>8719</v>
      </c>
      <c r="C6491" s="29" t="s">
        <v>23025</v>
      </c>
      <c r="D6491" s="29" t="s">
        <v>36295</v>
      </c>
      <c r="E6491" s="29" t="s">
        <v>733</v>
      </c>
      <c r="F6491" s="36" t="s">
        <v>54440</v>
      </c>
      <c r="G6491" s="39">
        <v>498365.02</v>
      </c>
      <c r="H6491" s="42">
        <v>211</v>
      </c>
    </row>
    <row r="6492" spans="1:8" ht="15" customHeight="1">
      <c r="A6492" s="26">
        <v>74346209</v>
      </c>
      <c r="B6492" s="30" t="s">
        <v>8720</v>
      </c>
      <c r="C6492" s="29" t="s">
        <v>23026</v>
      </c>
      <c r="D6492" s="29" t="s">
        <v>36296</v>
      </c>
      <c r="E6492" s="29" t="s">
        <v>48852</v>
      </c>
      <c r="F6492" s="36" t="s">
        <v>54401</v>
      </c>
      <c r="G6492" s="39">
        <v>58936.42</v>
      </c>
      <c r="H6492" s="42">
        <v>211</v>
      </c>
    </row>
    <row r="6493" spans="1:8" ht="15" customHeight="1">
      <c r="A6493" s="26">
        <v>74347341</v>
      </c>
      <c r="B6493" s="30" t="s">
        <v>8721</v>
      </c>
      <c r="C6493" s="29" t="s">
        <v>23027</v>
      </c>
      <c r="D6493" s="29" t="s">
        <v>36297</v>
      </c>
      <c r="E6493" s="29" t="s">
        <v>48853</v>
      </c>
      <c r="F6493" s="36" t="s">
        <v>54401</v>
      </c>
      <c r="G6493" s="39">
        <v>52550</v>
      </c>
      <c r="H6493" s="42">
        <v>211</v>
      </c>
    </row>
    <row r="6494" spans="1:8" ht="15" customHeight="1">
      <c r="A6494" s="26">
        <v>74347349</v>
      </c>
      <c r="B6494" s="30" t="s">
        <v>8722</v>
      </c>
      <c r="C6494" s="29" t="s">
        <v>17204</v>
      </c>
      <c r="D6494" s="29" t="s">
        <v>36298</v>
      </c>
      <c r="E6494" s="29" t="s">
        <v>44637</v>
      </c>
      <c r="F6494" s="36" t="s">
        <v>54401</v>
      </c>
      <c r="G6494" s="39">
        <f>1120697.51+53907</f>
        <v>1174604.51</v>
      </c>
      <c r="H6494" s="42">
        <v>211</v>
      </c>
    </row>
    <row r="6495" spans="1:8" ht="15" customHeight="1">
      <c r="A6495" s="26">
        <v>74347389</v>
      </c>
      <c r="B6495" s="30" t="s">
        <v>8723</v>
      </c>
      <c r="C6495" s="29" t="s">
        <v>17204</v>
      </c>
      <c r="D6495" s="29" t="s">
        <v>36299</v>
      </c>
      <c r="E6495" s="29" t="s">
        <v>43926</v>
      </c>
      <c r="F6495" s="36" t="s">
        <v>54401</v>
      </c>
      <c r="G6495" s="39">
        <v>94547.89</v>
      </c>
      <c r="H6495" s="42">
        <v>211</v>
      </c>
    </row>
    <row r="6496" spans="1:8" ht="15" customHeight="1">
      <c r="A6496" s="26">
        <v>74347541</v>
      </c>
      <c r="B6496" s="30" t="s">
        <v>8724</v>
      </c>
      <c r="C6496" s="29" t="s">
        <v>23028</v>
      </c>
      <c r="D6496" s="29" t="s">
        <v>36300</v>
      </c>
      <c r="E6496" s="29" t="s">
        <v>48854</v>
      </c>
      <c r="F6496" s="36" t="s">
        <v>54401</v>
      </c>
      <c r="G6496" s="39">
        <v>644572.43999999994</v>
      </c>
      <c r="H6496" s="42">
        <v>211</v>
      </c>
    </row>
    <row r="6497" spans="1:8" ht="15" customHeight="1">
      <c r="A6497" s="26">
        <v>74348141</v>
      </c>
      <c r="B6497" s="30" t="s">
        <v>8725</v>
      </c>
      <c r="C6497" s="29" t="s">
        <v>23029</v>
      </c>
      <c r="D6497" s="29" t="s">
        <v>36301</v>
      </c>
      <c r="E6497" s="29" t="s">
        <v>48855</v>
      </c>
      <c r="F6497" s="36" t="s">
        <v>54401</v>
      </c>
      <c r="G6497" s="39">
        <v>62807.91</v>
      </c>
      <c r="H6497" s="42">
        <v>211</v>
      </c>
    </row>
    <row r="6498" spans="1:8" ht="15" customHeight="1">
      <c r="A6498" s="26">
        <v>74352641</v>
      </c>
      <c r="B6498" s="30" t="s">
        <v>8726</v>
      </c>
      <c r="C6498" s="29" t="s">
        <v>23030</v>
      </c>
      <c r="D6498" s="29" t="s">
        <v>36302</v>
      </c>
      <c r="E6498" s="29" t="s">
        <v>45006</v>
      </c>
      <c r="F6498" s="36" t="s">
        <v>54401</v>
      </c>
      <c r="G6498" s="39">
        <v>21697.48</v>
      </c>
      <c r="H6498" s="42">
        <v>211</v>
      </c>
    </row>
    <row r="6499" spans="1:8" ht="15" customHeight="1">
      <c r="A6499" s="26">
        <v>74356628</v>
      </c>
      <c r="B6499" s="30" t="s">
        <v>8727</v>
      </c>
      <c r="C6499" s="29" t="s">
        <v>17204</v>
      </c>
      <c r="D6499" s="29" t="s">
        <v>30349</v>
      </c>
      <c r="E6499" s="29" t="s">
        <v>43926</v>
      </c>
      <c r="F6499" s="36" t="s">
        <v>54401</v>
      </c>
      <c r="G6499" s="39">
        <v>228645.68</v>
      </c>
      <c r="H6499" s="42">
        <v>211</v>
      </c>
    </row>
    <row r="6500" spans="1:8" ht="15" customHeight="1">
      <c r="A6500" s="26">
        <v>74356813</v>
      </c>
      <c r="B6500" s="30" t="s">
        <v>8728</v>
      </c>
      <c r="C6500" s="29" t="s">
        <v>23031</v>
      </c>
      <c r="D6500" s="29" t="s">
        <v>36303</v>
      </c>
      <c r="E6500" s="29" t="s">
        <v>43926</v>
      </c>
      <c r="F6500" s="36" t="s">
        <v>54401</v>
      </c>
      <c r="G6500" s="39">
        <v>96037.09</v>
      </c>
      <c r="H6500" s="42">
        <v>211</v>
      </c>
    </row>
    <row r="6501" spans="1:8" ht="15" customHeight="1">
      <c r="A6501" s="26">
        <v>74356881</v>
      </c>
      <c r="B6501" s="30" t="s">
        <v>8729</v>
      </c>
      <c r="C6501" s="29" t="s">
        <v>23032</v>
      </c>
      <c r="D6501" s="29" t="s">
        <v>36304</v>
      </c>
      <c r="E6501" s="29" t="s">
        <v>48856</v>
      </c>
      <c r="F6501" s="36" t="s">
        <v>54401</v>
      </c>
      <c r="G6501" s="39">
        <f>2402138.37+62427</f>
        <v>2464565.37</v>
      </c>
      <c r="H6501" s="42">
        <v>211</v>
      </c>
    </row>
    <row r="6502" spans="1:8" ht="15" customHeight="1">
      <c r="A6502" s="26">
        <v>74357109</v>
      </c>
      <c r="B6502" s="30" t="s">
        <v>8730</v>
      </c>
      <c r="C6502" s="29" t="s">
        <v>17204</v>
      </c>
      <c r="D6502" s="29" t="s">
        <v>36305</v>
      </c>
      <c r="E6502" s="29" t="s">
        <v>43926</v>
      </c>
      <c r="F6502" s="36" t="s">
        <v>54401</v>
      </c>
      <c r="G6502" s="39">
        <v>67142.87</v>
      </c>
      <c r="H6502" s="42">
        <v>211</v>
      </c>
    </row>
    <row r="6503" spans="1:8" ht="15" customHeight="1">
      <c r="A6503" s="26">
        <v>74357470</v>
      </c>
      <c r="B6503" s="30" t="s">
        <v>8731</v>
      </c>
      <c r="C6503" s="29" t="s">
        <v>23033</v>
      </c>
      <c r="D6503" s="29" t="s">
        <v>36306</v>
      </c>
      <c r="E6503" s="29" t="s">
        <v>48857</v>
      </c>
      <c r="F6503" s="36" t="s">
        <v>54401</v>
      </c>
      <c r="G6503" s="39">
        <v>372022.94</v>
      </c>
      <c r="H6503" s="42">
        <v>211</v>
      </c>
    </row>
    <row r="6504" spans="1:8" ht="15" customHeight="1">
      <c r="A6504" s="26">
        <v>74358386</v>
      </c>
      <c r="B6504" s="30" t="s">
        <v>8732</v>
      </c>
      <c r="C6504" s="29" t="s">
        <v>23034</v>
      </c>
      <c r="D6504" s="29" t="s">
        <v>36307</v>
      </c>
      <c r="E6504" s="29" t="s">
        <v>47218</v>
      </c>
      <c r="F6504" s="36" t="s">
        <v>54401</v>
      </c>
      <c r="G6504" s="39">
        <v>518692.35</v>
      </c>
      <c r="H6504" s="42">
        <v>211</v>
      </c>
    </row>
    <row r="6505" spans="1:8" ht="15" customHeight="1">
      <c r="A6505" s="26">
        <v>74358765</v>
      </c>
      <c r="B6505" s="30" t="s">
        <v>8733</v>
      </c>
      <c r="C6505" s="29" t="s">
        <v>23035</v>
      </c>
      <c r="D6505" s="29" t="s">
        <v>36308</v>
      </c>
      <c r="E6505" s="29" t="s">
        <v>48858</v>
      </c>
      <c r="F6505" s="36" t="s">
        <v>54401</v>
      </c>
      <c r="G6505" s="39">
        <f>3045142.41+213897</f>
        <v>3259039.41</v>
      </c>
      <c r="H6505" s="42">
        <v>211</v>
      </c>
    </row>
    <row r="6506" spans="1:8" ht="15" customHeight="1">
      <c r="A6506" s="26">
        <v>74358767</v>
      </c>
      <c r="B6506" s="30" t="s">
        <v>8734</v>
      </c>
      <c r="C6506" s="29" t="s">
        <v>23036</v>
      </c>
      <c r="D6506" s="29" t="s">
        <v>36309</v>
      </c>
      <c r="E6506" s="29" t="s">
        <v>48467</v>
      </c>
      <c r="F6506" s="36" t="s">
        <v>54401</v>
      </c>
      <c r="G6506" s="39">
        <f>2637523.77+2011159</f>
        <v>4648682.7699999996</v>
      </c>
      <c r="H6506" s="42">
        <v>211</v>
      </c>
    </row>
    <row r="6507" spans="1:8" ht="15" customHeight="1">
      <c r="A6507" s="26">
        <v>74358885</v>
      </c>
      <c r="B6507" s="30" t="s">
        <v>8735</v>
      </c>
      <c r="C6507" s="29" t="s">
        <v>23037</v>
      </c>
      <c r="D6507" s="29" t="s">
        <v>36310</v>
      </c>
      <c r="E6507" s="29" t="s">
        <v>47355</v>
      </c>
      <c r="F6507" s="36" t="s">
        <v>54401</v>
      </c>
      <c r="G6507" s="39">
        <v>2159466.86</v>
      </c>
      <c r="H6507" s="42">
        <v>211</v>
      </c>
    </row>
    <row r="6508" spans="1:8" ht="15" customHeight="1">
      <c r="A6508" s="26">
        <v>74359066</v>
      </c>
      <c r="B6508" s="30" t="s">
        <v>8736</v>
      </c>
      <c r="C6508" s="29" t="s">
        <v>23038</v>
      </c>
      <c r="D6508" s="29" t="s">
        <v>36311</v>
      </c>
      <c r="E6508" s="29" t="s">
        <v>48859</v>
      </c>
      <c r="F6508" s="36" t="s">
        <v>54401</v>
      </c>
      <c r="G6508" s="39">
        <v>3663573.68</v>
      </c>
      <c r="H6508" s="42">
        <v>211</v>
      </c>
    </row>
    <row r="6509" spans="1:8" ht="15" customHeight="1">
      <c r="A6509" s="26">
        <v>74359175</v>
      </c>
      <c r="B6509" s="30" t="s">
        <v>8737</v>
      </c>
      <c r="C6509" s="29" t="s">
        <v>23039</v>
      </c>
      <c r="D6509" s="29" t="s">
        <v>36312</v>
      </c>
      <c r="E6509" s="29" t="s">
        <v>48860</v>
      </c>
      <c r="F6509" s="36" t="s">
        <v>54401</v>
      </c>
      <c r="G6509" s="39">
        <f>411488.24+1457371</f>
        <v>1868859.24</v>
      </c>
      <c r="H6509" s="42">
        <v>211</v>
      </c>
    </row>
    <row r="6510" spans="1:8" ht="15" customHeight="1">
      <c r="A6510" s="26">
        <v>74359351</v>
      </c>
      <c r="B6510" s="30" t="s">
        <v>8738</v>
      </c>
      <c r="C6510" s="29" t="s">
        <v>23040</v>
      </c>
      <c r="D6510" s="29" t="s">
        <v>36313</v>
      </c>
      <c r="E6510" s="29" t="s">
        <v>47071</v>
      </c>
      <c r="F6510" s="36" t="s">
        <v>54401</v>
      </c>
      <c r="G6510" s="39">
        <v>1886889.04</v>
      </c>
      <c r="H6510" s="42">
        <v>211</v>
      </c>
    </row>
    <row r="6511" spans="1:8" ht="15" customHeight="1">
      <c r="A6511" s="26">
        <v>74359354</v>
      </c>
      <c r="B6511" s="30" t="s">
        <v>8739</v>
      </c>
      <c r="C6511" s="29" t="s">
        <v>23041</v>
      </c>
      <c r="D6511" s="29" t="s">
        <v>36314</v>
      </c>
      <c r="E6511" s="29" t="s">
        <v>46718</v>
      </c>
      <c r="F6511" s="36" t="s">
        <v>54401</v>
      </c>
      <c r="G6511" s="39">
        <v>182861.91</v>
      </c>
      <c r="H6511" s="42">
        <v>211</v>
      </c>
    </row>
    <row r="6512" spans="1:8" ht="15" customHeight="1">
      <c r="A6512" s="26">
        <v>74359369</v>
      </c>
      <c r="B6512" s="30" t="s">
        <v>8740</v>
      </c>
      <c r="C6512" s="29" t="s">
        <v>23042</v>
      </c>
      <c r="D6512" s="29" t="s">
        <v>36315</v>
      </c>
      <c r="E6512" s="29" t="s">
        <v>48861</v>
      </c>
      <c r="F6512" s="36" t="s">
        <v>54423</v>
      </c>
      <c r="G6512" s="39">
        <v>7515.8</v>
      </c>
      <c r="H6512" s="42">
        <v>211</v>
      </c>
    </row>
    <row r="6513" spans="1:8" ht="15" customHeight="1">
      <c r="A6513" s="26">
        <v>74359401</v>
      </c>
      <c r="B6513" s="30" t="s">
        <v>8741</v>
      </c>
      <c r="C6513" s="26" t="s">
        <v>23043</v>
      </c>
      <c r="D6513" s="26" t="s">
        <v>36316</v>
      </c>
      <c r="E6513" s="26" t="s">
        <v>48862</v>
      </c>
      <c r="F6513" s="37" t="s">
        <v>54401</v>
      </c>
      <c r="G6513" s="39">
        <v>5362908.07</v>
      </c>
      <c r="H6513" s="42">
        <v>211</v>
      </c>
    </row>
    <row r="6514" spans="1:8" ht="15" customHeight="1">
      <c r="A6514" s="26">
        <v>74359530</v>
      </c>
      <c r="B6514" s="30" t="s">
        <v>8742</v>
      </c>
      <c r="C6514" s="29" t="s">
        <v>17204</v>
      </c>
      <c r="D6514" s="29" t="s">
        <v>30349</v>
      </c>
      <c r="E6514" s="29" t="s">
        <v>43926</v>
      </c>
      <c r="F6514" s="36" t="s">
        <v>54401</v>
      </c>
      <c r="G6514" s="39">
        <v>348748.35</v>
      </c>
      <c r="H6514" s="42">
        <v>211</v>
      </c>
    </row>
    <row r="6515" spans="1:8" ht="15" customHeight="1">
      <c r="A6515" s="26">
        <v>74359542</v>
      </c>
      <c r="B6515" s="30" t="s">
        <v>8743</v>
      </c>
      <c r="C6515" s="29" t="s">
        <v>17204</v>
      </c>
      <c r="D6515" s="29" t="s">
        <v>36317</v>
      </c>
      <c r="E6515" s="29" t="s">
        <v>48863</v>
      </c>
      <c r="F6515" s="36" t="s">
        <v>54409</v>
      </c>
      <c r="G6515" s="39">
        <v>5594619.3899999997</v>
      </c>
      <c r="H6515" s="42">
        <v>211</v>
      </c>
    </row>
    <row r="6516" spans="1:8" ht="15" customHeight="1">
      <c r="A6516" s="26">
        <v>74359597</v>
      </c>
      <c r="B6516" s="30" t="s">
        <v>8744</v>
      </c>
      <c r="C6516" s="29" t="s">
        <v>23044</v>
      </c>
      <c r="D6516" s="29" t="s">
        <v>36318</v>
      </c>
      <c r="E6516" s="29" t="s">
        <v>48864</v>
      </c>
      <c r="F6516" s="36" t="s">
        <v>54413</v>
      </c>
      <c r="G6516" s="39">
        <v>57445.36</v>
      </c>
      <c r="H6516" s="42">
        <v>211</v>
      </c>
    </row>
    <row r="6517" spans="1:8" ht="15" customHeight="1">
      <c r="A6517" s="26">
        <v>74359599</v>
      </c>
      <c r="B6517" s="30" t="s">
        <v>8745</v>
      </c>
      <c r="C6517" s="29" t="s">
        <v>23045</v>
      </c>
      <c r="D6517" s="29" t="s">
        <v>36319</v>
      </c>
      <c r="E6517" s="29" t="s">
        <v>48865</v>
      </c>
      <c r="F6517" s="36" t="s">
        <v>54401</v>
      </c>
      <c r="G6517" s="39">
        <v>2303450.27</v>
      </c>
      <c r="H6517" s="42">
        <v>211</v>
      </c>
    </row>
    <row r="6518" spans="1:8" ht="15" customHeight="1">
      <c r="A6518" s="26">
        <v>74359612</v>
      </c>
      <c r="B6518" s="30" t="s">
        <v>8746</v>
      </c>
      <c r="C6518" s="29" t="s">
        <v>23046</v>
      </c>
      <c r="D6518" s="29" t="s">
        <v>36320</v>
      </c>
      <c r="E6518" s="29" t="s">
        <v>48866</v>
      </c>
      <c r="F6518" s="36" t="s">
        <v>54401</v>
      </c>
      <c r="G6518" s="39">
        <v>346441.06</v>
      </c>
      <c r="H6518" s="42">
        <v>211</v>
      </c>
    </row>
    <row r="6519" spans="1:8" ht="15" customHeight="1">
      <c r="A6519" s="26">
        <v>74359795</v>
      </c>
      <c r="B6519" s="30" t="s">
        <v>8747</v>
      </c>
      <c r="C6519" s="29" t="s">
        <v>23047</v>
      </c>
      <c r="D6519" s="29" t="s">
        <v>36321</v>
      </c>
      <c r="E6519" s="29" t="s">
        <v>48867</v>
      </c>
      <c r="F6519" s="36" t="s">
        <v>54401</v>
      </c>
      <c r="G6519" s="39">
        <v>48165.8</v>
      </c>
      <c r="H6519" s="42">
        <v>211</v>
      </c>
    </row>
    <row r="6520" spans="1:8" ht="15" customHeight="1">
      <c r="A6520" s="26">
        <v>74359828</v>
      </c>
      <c r="B6520" s="30" t="s">
        <v>8748</v>
      </c>
      <c r="C6520" s="26" t="s">
        <v>23048</v>
      </c>
      <c r="D6520" s="26" t="s">
        <v>36322</v>
      </c>
      <c r="E6520" s="26" t="s">
        <v>44327</v>
      </c>
      <c r="F6520" s="37" t="s">
        <v>54401</v>
      </c>
      <c r="G6520" s="39">
        <v>1039685.09</v>
      </c>
      <c r="H6520" s="42">
        <v>211</v>
      </c>
    </row>
    <row r="6521" spans="1:8" ht="15" customHeight="1">
      <c r="A6521" s="26">
        <v>74359829</v>
      </c>
      <c r="B6521" s="30" t="s">
        <v>8749</v>
      </c>
      <c r="C6521" s="29" t="s">
        <v>23049</v>
      </c>
      <c r="D6521" s="29" t="s">
        <v>36323</v>
      </c>
      <c r="E6521" s="29" t="s">
        <v>48868</v>
      </c>
      <c r="F6521" s="36" t="s">
        <v>54401</v>
      </c>
      <c r="G6521" s="39">
        <v>56527.8</v>
      </c>
      <c r="H6521" s="42">
        <v>211</v>
      </c>
    </row>
    <row r="6522" spans="1:8" ht="15" customHeight="1">
      <c r="A6522" s="26">
        <v>74359947</v>
      </c>
      <c r="B6522" s="30" t="s">
        <v>8750</v>
      </c>
      <c r="C6522" s="29" t="s">
        <v>23050</v>
      </c>
      <c r="D6522" s="29" t="s">
        <v>36324</v>
      </c>
      <c r="E6522" s="29" t="s">
        <v>48869</v>
      </c>
      <c r="F6522" s="36" t="s">
        <v>54413</v>
      </c>
      <c r="G6522" s="39">
        <f>4058906.3-293979</f>
        <v>3764927.3</v>
      </c>
      <c r="H6522" s="42">
        <v>211</v>
      </c>
    </row>
    <row r="6523" spans="1:8" ht="15" customHeight="1">
      <c r="A6523" s="26">
        <v>74359958</v>
      </c>
      <c r="B6523" s="30" t="s">
        <v>8751</v>
      </c>
      <c r="C6523" s="26" t="s">
        <v>23051</v>
      </c>
      <c r="D6523" s="26" t="s">
        <v>36325</v>
      </c>
      <c r="E6523" s="26" t="s">
        <v>48870</v>
      </c>
      <c r="F6523" s="37" t="s">
        <v>54401</v>
      </c>
      <c r="G6523" s="39">
        <v>1398261.71</v>
      </c>
      <c r="H6523" s="42">
        <v>211</v>
      </c>
    </row>
    <row r="6524" spans="1:8" ht="15" customHeight="1">
      <c r="A6524" s="26">
        <v>74359968</v>
      </c>
      <c r="B6524" s="30" t="s">
        <v>8752</v>
      </c>
      <c r="C6524" s="29" t="s">
        <v>23052</v>
      </c>
      <c r="D6524" s="29" t="s">
        <v>36326</v>
      </c>
      <c r="E6524" s="29" t="s">
        <v>48871</v>
      </c>
      <c r="F6524" s="36" t="s">
        <v>54401</v>
      </c>
      <c r="G6524" s="39">
        <v>4874673.33</v>
      </c>
      <c r="H6524" s="42">
        <v>211</v>
      </c>
    </row>
    <row r="6525" spans="1:8" ht="15" customHeight="1">
      <c r="A6525" s="26">
        <v>74359975</v>
      </c>
      <c r="B6525" s="30" t="s">
        <v>8753</v>
      </c>
      <c r="C6525" s="26" t="s">
        <v>23053</v>
      </c>
      <c r="D6525" s="26" t="s">
        <v>36327</v>
      </c>
      <c r="E6525" s="26" t="s">
        <v>48872</v>
      </c>
      <c r="F6525" s="37" t="s">
        <v>54401</v>
      </c>
      <c r="G6525" s="39">
        <v>101512.58</v>
      </c>
      <c r="H6525" s="42">
        <v>211</v>
      </c>
    </row>
    <row r="6526" spans="1:8" ht="15" customHeight="1">
      <c r="A6526" s="26">
        <v>74359999</v>
      </c>
      <c r="B6526" s="30" t="s">
        <v>8754</v>
      </c>
      <c r="C6526" s="29" t="s">
        <v>23054</v>
      </c>
      <c r="D6526" s="29" t="s">
        <v>36328</v>
      </c>
      <c r="E6526" s="29" t="s">
        <v>48873</v>
      </c>
      <c r="F6526" s="36" t="s">
        <v>54401</v>
      </c>
      <c r="G6526" s="39">
        <v>3187664.47</v>
      </c>
      <c r="H6526" s="42">
        <v>211</v>
      </c>
    </row>
    <row r="6527" spans="1:8" ht="15" customHeight="1">
      <c r="A6527" s="26">
        <v>74360100</v>
      </c>
      <c r="B6527" s="30" t="s">
        <v>8755</v>
      </c>
      <c r="C6527" s="29" t="s">
        <v>23055</v>
      </c>
      <c r="D6527" s="29" t="s">
        <v>36329</v>
      </c>
      <c r="E6527" s="29" t="s">
        <v>48874</v>
      </c>
      <c r="F6527" s="36" t="s">
        <v>54401</v>
      </c>
      <c r="G6527" s="39">
        <f>3179040.08+18123</f>
        <v>3197163.08</v>
      </c>
      <c r="H6527" s="42">
        <v>211</v>
      </c>
    </row>
    <row r="6528" spans="1:8" ht="15" customHeight="1">
      <c r="A6528" s="26">
        <v>74360109</v>
      </c>
      <c r="B6528" s="30" t="s">
        <v>8756</v>
      </c>
      <c r="C6528" s="26" t="s">
        <v>17204</v>
      </c>
      <c r="D6528" s="26" t="s">
        <v>30349</v>
      </c>
      <c r="E6528" s="26" t="s">
        <v>43926</v>
      </c>
      <c r="F6528" s="37" t="s">
        <v>54401</v>
      </c>
      <c r="G6528" s="39">
        <v>149240.88</v>
      </c>
      <c r="H6528" s="42">
        <v>211</v>
      </c>
    </row>
    <row r="6529" spans="1:8" ht="15" customHeight="1">
      <c r="A6529" s="26">
        <v>74360169</v>
      </c>
      <c r="B6529" s="30" t="s">
        <v>8757</v>
      </c>
      <c r="C6529" s="29" t="s">
        <v>23056</v>
      </c>
      <c r="D6529" s="29" t="s">
        <v>36330</v>
      </c>
      <c r="E6529" s="29" t="s">
        <v>48875</v>
      </c>
      <c r="F6529" s="36" t="s">
        <v>54401</v>
      </c>
      <c r="G6529" s="39">
        <v>128973.7</v>
      </c>
      <c r="H6529" s="42">
        <v>211</v>
      </c>
    </row>
    <row r="6530" spans="1:8" ht="15" customHeight="1">
      <c r="A6530" s="26">
        <v>74360173</v>
      </c>
      <c r="B6530" s="30" t="s">
        <v>8758</v>
      </c>
      <c r="C6530" s="29" t="s">
        <v>23057</v>
      </c>
      <c r="D6530" s="29" t="s">
        <v>36331</v>
      </c>
      <c r="E6530" s="29" t="s">
        <v>43926</v>
      </c>
      <c r="F6530" s="36" t="s">
        <v>54401</v>
      </c>
      <c r="G6530" s="39">
        <v>138880.45000000001</v>
      </c>
      <c r="H6530" s="42">
        <v>211</v>
      </c>
    </row>
    <row r="6531" spans="1:8" ht="15" customHeight="1">
      <c r="A6531" s="26">
        <v>74360184</v>
      </c>
      <c r="B6531" s="30" t="s">
        <v>8759</v>
      </c>
      <c r="C6531" s="29" t="s">
        <v>23058</v>
      </c>
      <c r="D6531" s="29" t="s">
        <v>36332</v>
      </c>
      <c r="E6531" s="29" t="s">
        <v>48876</v>
      </c>
      <c r="F6531" s="36" t="s">
        <v>54401</v>
      </c>
      <c r="G6531" s="39">
        <v>538229</v>
      </c>
      <c r="H6531" s="42">
        <v>211</v>
      </c>
    </row>
    <row r="6532" spans="1:8" ht="15" customHeight="1">
      <c r="A6532" s="26">
        <v>74360254</v>
      </c>
      <c r="B6532" s="30" t="s">
        <v>8760</v>
      </c>
      <c r="C6532" s="29" t="s">
        <v>23059</v>
      </c>
      <c r="D6532" s="29" t="s">
        <v>36333</v>
      </c>
      <c r="E6532" s="29" t="s">
        <v>48877</v>
      </c>
      <c r="F6532" s="36" t="s">
        <v>54401</v>
      </c>
      <c r="G6532" s="39">
        <v>483301.4</v>
      </c>
      <c r="H6532" s="42">
        <v>211</v>
      </c>
    </row>
    <row r="6533" spans="1:8" ht="15" customHeight="1">
      <c r="A6533" s="26">
        <v>74360467</v>
      </c>
      <c r="B6533" s="30" t="s">
        <v>8761</v>
      </c>
      <c r="C6533" s="29" t="s">
        <v>23060</v>
      </c>
      <c r="D6533" s="29" t="s">
        <v>36334</v>
      </c>
      <c r="E6533" s="29" t="s">
        <v>43926</v>
      </c>
      <c r="F6533" s="36" t="s">
        <v>54401</v>
      </c>
      <c r="G6533" s="39">
        <v>3527644.18</v>
      </c>
      <c r="H6533" s="42">
        <v>211</v>
      </c>
    </row>
    <row r="6534" spans="1:8" ht="15" customHeight="1">
      <c r="A6534" s="26">
        <v>74360562</v>
      </c>
      <c r="B6534" s="30" t="s">
        <v>8762</v>
      </c>
      <c r="C6534" s="29" t="s">
        <v>23061</v>
      </c>
      <c r="D6534" s="29" t="s">
        <v>36335</v>
      </c>
      <c r="E6534" s="29" t="s">
        <v>48878</v>
      </c>
      <c r="F6534" s="36" t="s">
        <v>54401</v>
      </c>
      <c r="G6534" s="39">
        <v>4230791.54</v>
      </c>
      <c r="H6534" s="42">
        <v>211</v>
      </c>
    </row>
    <row r="6535" spans="1:8" ht="15" customHeight="1">
      <c r="A6535" s="26">
        <v>74360576</v>
      </c>
      <c r="B6535" s="30" t="s">
        <v>8763</v>
      </c>
      <c r="C6535" s="29" t="s">
        <v>23062</v>
      </c>
      <c r="D6535" s="29" t="s">
        <v>36336</v>
      </c>
      <c r="E6535" s="29" t="s">
        <v>48879</v>
      </c>
      <c r="F6535" s="36" t="s">
        <v>54401</v>
      </c>
      <c r="G6535" s="39">
        <f>1478577.01+417972</f>
        <v>1896549.01</v>
      </c>
      <c r="H6535" s="42">
        <v>211</v>
      </c>
    </row>
    <row r="6536" spans="1:8" ht="15" customHeight="1">
      <c r="A6536" s="26">
        <v>74360671</v>
      </c>
      <c r="B6536" s="30" t="s">
        <v>8764</v>
      </c>
      <c r="C6536" s="29" t="s">
        <v>23063</v>
      </c>
      <c r="D6536" s="29" t="s">
        <v>36337</v>
      </c>
      <c r="E6536" s="29" t="s">
        <v>48880</v>
      </c>
      <c r="F6536" s="36" t="s">
        <v>54413</v>
      </c>
      <c r="G6536" s="39">
        <v>6240618.9000000004</v>
      </c>
      <c r="H6536" s="42">
        <v>211</v>
      </c>
    </row>
    <row r="6537" spans="1:8" ht="15" customHeight="1">
      <c r="A6537" s="26">
        <v>74360737</v>
      </c>
      <c r="B6537" s="30" t="s">
        <v>8765</v>
      </c>
      <c r="C6537" s="29" t="s">
        <v>23064</v>
      </c>
      <c r="D6537" s="29" t="s">
        <v>36338</v>
      </c>
      <c r="E6537" s="29" t="s">
        <v>48881</v>
      </c>
      <c r="F6537" s="36" t="s">
        <v>54401</v>
      </c>
      <c r="G6537" s="39">
        <v>318511.33</v>
      </c>
      <c r="H6537" s="42">
        <v>211</v>
      </c>
    </row>
    <row r="6538" spans="1:8" ht="15" customHeight="1">
      <c r="A6538" s="26">
        <v>74360743</v>
      </c>
      <c r="B6538" s="30" t="s">
        <v>8766</v>
      </c>
      <c r="C6538" s="26" t="s">
        <v>23065</v>
      </c>
      <c r="D6538" s="26" t="s">
        <v>36339</v>
      </c>
      <c r="E6538" s="26" t="s">
        <v>48882</v>
      </c>
      <c r="F6538" s="37" t="s">
        <v>54413</v>
      </c>
      <c r="G6538" s="39">
        <v>33797.660000000003</v>
      </c>
      <c r="H6538" s="42">
        <v>211</v>
      </c>
    </row>
    <row r="6539" spans="1:8" ht="15" customHeight="1">
      <c r="A6539" s="26">
        <v>74360811</v>
      </c>
      <c r="B6539" s="30" t="s">
        <v>8767</v>
      </c>
      <c r="C6539" s="29" t="s">
        <v>23066</v>
      </c>
      <c r="D6539" s="29" t="s">
        <v>36340</v>
      </c>
      <c r="E6539" s="29" t="s">
        <v>43926</v>
      </c>
      <c r="F6539" s="36" t="s">
        <v>54401</v>
      </c>
      <c r="G6539" s="39">
        <v>572177.48</v>
      </c>
      <c r="H6539" s="42">
        <v>211</v>
      </c>
    </row>
    <row r="6540" spans="1:8" ht="15" customHeight="1">
      <c r="A6540" s="26">
        <v>74360835</v>
      </c>
      <c r="B6540" s="30" t="s">
        <v>8768</v>
      </c>
      <c r="C6540" s="29" t="s">
        <v>23067</v>
      </c>
      <c r="D6540" s="29" t="s">
        <v>36341</v>
      </c>
      <c r="E6540" s="29" t="s">
        <v>48883</v>
      </c>
      <c r="F6540" s="36" t="s">
        <v>54413</v>
      </c>
      <c r="G6540" s="39">
        <f>5361438.08+1768361</f>
        <v>7129799.0800000001</v>
      </c>
      <c r="H6540" s="42">
        <v>211</v>
      </c>
    </row>
    <row r="6541" spans="1:8" ht="15" customHeight="1">
      <c r="A6541" s="26">
        <v>74360840</v>
      </c>
      <c r="B6541" s="30" t="s">
        <v>8769</v>
      </c>
      <c r="C6541" s="29" t="s">
        <v>23068</v>
      </c>
      <c r="D6541" s="29" t="s">
        <v>36342</v>
      </c>
      <c r="E6541" s="29" t="s">
        <v>47399</v>
      </c>
      <c r="F6541" s="36" t="s">
        <v>54401</v>
      </c>
      <c r="G6541" s="39">
        <v>2377763.63</v>
      </c>
      <c r="H6541" s="42">
        <v>211</v>
      </c>
    </row>
    <row r="6542" spans="1:8" ht="15" customHeight="1">
      <c r="A6542" s="26">
        <v>74360842</v>
      </c>
      <c r="B6542" s="30" t="s">
        <v>8770</v>
      </c>
      <c r="C6542" s="29" t="s">
        <v>23069</v>
      </c>
      <c r="D6542" s="29" t="s">
        <v>36343</v>
      </c>
      <c r="E6542" s="29" t="s">
        <v>48884</v>
      </c>
      <c r="F6542" s="36" t="s">
        <v>54401</v>
      </c>
      <c r="G6542" s="39">
        <v>1047340.58</v>
      </c>
      <c r="H6542" s="42">
        <v>211</v>
      </c>
    </row>
    <row r="6543" spans="1:8" ht="15" customHeight="1">
      <c r="A6543" s="26">
        <v>74362156</v>
      </c>
      <c r="B6543" s="30" t="s">
        <v>8771</v>
      </c>
      <c r="C6543" s="29" t="s">
        <v>23070</v>
      </c>
      <c r="D6543" s="29" t="s">
        <v>36344</v>
      </c>
      <c r="E6543" s="29" t="s">
        <v>48885</v>
      </c>
      <c r="F6543" s="36" t="s">
        <v>54441</v>
      </c>
      <c r="G6543" s="39">
        <f>10122682.09-68095</f>
        <v>10054587.09</v>
      </c>
      <c r="H6543" s="42">
        <v>211</v>
      </c>
    </row>
    <row r="6544" spans="1:8" ht="15" customHeight="1">
      <c r="A6544" s="26">
        <v>74362556</v>
      </c>
      <c r="B6544" s="30" t="s">
        <v>8772</v>
      </c>
      <c r="C6544" s="29" t="s">
        <v>17204</v>
      </c>
      <c r="D6544" s="29" t="s">
        <v>30349</v>
      </c>
      <c r="E6544" s="29" t="s">
        <v>43926</v>
      </c>
      <c r="F6544" s="36" t="s">
        <v>54401</v>
      </c>
      <c r="G6544" s="39">
        <v>158664.44</v>
      </c>
      <c r="H6544" s="42">
        <v>211</v>
      </c>
    </row>
    <row r="6545" spans="1:8" ht="15" customHeight="1">
      <c r="A6545" s="26">
        <v>74362564</v>
      </c>
      <c r="B6545" s="30" t="s">
        <v>8773</v>
      </c>
      <c r="C6545" s="29" t="s">
        <v>23071</v>
      </c>
      <c r="D6545" s="29" t="s">
        <v>36345</v>
      </c>
      <c r="E6545" s="29" t="s">
        <v>48886</v>
      </c>
      <c r="F6545" s="36" t="s">
        <v>54401</v>
      </c>
      <c r="G6545" s="39">
        <v>389254.24</v>
      </c>
      <c r="H6545" s="42">
        <v>211</v>
      </c>
    </row>
    <row r="6546" spans="1:8" ht="15" customHeight="1">
      <c r="A6546" s="26">
        <v>74362571</v>
      </c>
      <c r="B6546" s="30" t="s">
        <v>8774</v>
      </c>
      <c r="C6546" s="29" t="s">
        <v>23072</v>
      </c>
      <c r="D6546" s="29" t="s">
        <v>36346</v>
      </c>
      <c r="E6546" s="29" t="s">
        <v>711</v>
      </c>
      <c r="F6546" s="36" t="s">
        <v>54401</v>
      </c>
      <c r="G6546" s="39">
        <v>806887.54</v>
      </c>
      <c r="H6546" s="42">
        <v>211</v>
      </c>
    </row>
    <row r="6547" spans="1:8" ht="15" customHeight="1">
      <c r="A6547" s="26">
        <v>74362591</v>
      </c>
      <c r="B6547" s="30" t="s">
        <v>8775</v>
      </c>
      <c r="C6547" s="29" t="s">
        <v>23073</v>
      </c>
      <c r="D6547" s="29" t="s">
        <v>36347</v>
      </c>
      <c r="E6547" s="29" t="s">
        <v>48887</v>
      </c>
      <c r="F6547" s="36" t="s">
        <v>54401</v>
      </c>
      <c r="G6547" s="39">
        <v>224400.5</v>
      </c>
      <c r="H6547" s="42">
        <v>211</v>
      </c>
    </row>
    <row r="6548" spans="1:8" ht="15" customHeight="1">
      <c r="A6548" s="26">
        <v>74362646</v>
      </c>
      <c r="B6548" s="30" t="s">
        <v>8776</v>
      </c>
      <c r="C6548" s="29" t="s">
        <v>23074</v>
      </c>
      <c r="D6548" s="29" t="s">
        <v>36348</v>
      </c>
      <c r="E6548" s="29" t="s">
        <v>48888</v>
      </c>
      <c r="F6548" s="36" t="s">
        <v>54406</v>
      </c>
      <c r="G6548" s="39">
        <v>376896.89</v>
      </c>
      <c r="H6548" s="42">
        <v>211</v>
      </c>
    </row>
    <row r="6549" spans="1:8" ht="15" customHeight="1">
      <c r="A6549" s="26">
        <v>74362648</v>
      </c>
      <c r="B6549" s="30" t="s">
        <v>8777</v>
      </c>
      <c r="C6549" s="29" t="s">
        <v>23075</v>
      </c>
      <c r="D6549" s="29" t="s">
        <v>36349</v>
      </c>
      <c r="E6549" s="29" t="s">
        <v>48889</v>
      </c>
      <c r="F6549" s="36" t="s">
        <v>54401</v>
      </c>
      <c r="G6549" s="39">
        <v>3542382.96</v>
      </c>
      <c r="H6549" s="42">
        <v>211</v>
      </c>
    </row>
    <row r="6550" spans="1:8" ht="15" customHeight="1">
      <c r="A6550" s="26">
        <v>74362672</v>
      </c>
      <c r="B6550" s="30" t="s">
        <v>8778</v>
      </c>
      <c r="C6550" s="29" t="s">
        <v>23076</v>
      </c>
      <c r="D6550" s="29" t="s">
        <v>36350</v>
      </c>
      <c r="E6550" s="29" t="s">
        <v>48890</v>
      </c>
      <c r="F6550" s="36" t="s">
        <v>54401</v>
      </c>
      <c r="G6550" s="39">
        <v>22154.59</v>
      </c>
      <c r="H6550" s="42">
        <v>211</v>
      </c>
    </row>
    <row r="6551" spans="1:8" ht="15" customHeight="1">
      <c r="A6551" s="26">
        <v>74362683</v>
      </c>
      <c r="B6551" s="30" t="s">
        <v>8779</v>
      </c>
      <c r="C6551" s="29" t="s">
        <v>23077</v>
      </c>
      <c r="D6551" s="29" t="s">
        <v>36351</v>
      </c>
      <c r="E6551" s="29" t="s">
        <v>48891</v>
      </c>
      <c r="F6551" s="36" t="s">
        <v>54401</v>
      </c>
      <c r="G6551" s="39">
        <v>311566.96999999997</v>
      </c>
      <c r="H6551" s="42">
        <v>211</v>
      </c>
    </row>
    <row r="6552" spans="1:8" ht="15" customHeight="1">
      <c r="A6552" s="26">
        <v>74362685</v>
      </c>
      <c r="B6552" s="30" t="s">
        <v>8780</v>
      </c>
      <c r="C6552" s="29" t="s">
        <v>23078</v>
      </c>
      <c r="D6552" s="29" t="s">
        <v>36352</v>
      </c>
      <c r="E6552" s="29" t="s">
        <v>48892</v>
      </c>
      <c r="F6552" s="36" t="s">
        <v>54401</v>
      </c>
      <c r="G6552" s="39">
        <v>4615324.2300000004</v>
      </c>
      <c r="H6552" s="42">
        <v>211</v>
      </c>
    </row>
    <row r="6553" spans="1:8" ht="15" customHeight="1">
      <c r="A6553" s="26">
        <v>74362825</v>
      </c>
      <c r="B6553" s="30" t="s">
        <v>8781</v>
      </c>
      <c r="C6553" s="29" t="s">
        <v>23079</v>
      </c>
      <c r="D6553" s="29" t="s">
        <v>36353</v>
      </c>
      <c r="E6553" s="29" t="s">
        <v>48893</v>
      </c>
      <c r="F6553" s="36" t="s">
        <v>54401</v>
      </c>
      <c r="G6553" s="39">
        <v>848480.95</v>
      </c>
      <c r="H6553" s="42">
        <v>211</v>
      </c>
    </row>
    <row r="6554" spans="1:8" ht="15" customHeight="1">
      <c r="A6554" s="26">
        <v>74362842</v>
      </c>
      <c r="B6554" s="30" t="s">
        <v>8782</v>
      </c>
      <c r="C6554" s="29" t="s">
        <v>23080</v>
      </c>
      <c r="D6554" s="29" t="s">
        <v>36354</v>
      </c>
      <c r="E6554" s="29" t="s">
        <v>48894</v>
      </c>
      <c r="F6554" s="36" t="s">
        <v>54406</v>
      </c>
      <c r="G6554" s="39">
        <v>376576.55</v>
      </c>
      <c r="H6554" s="42">
        <v>211</v>
      </c>
    </row>
    <row r="6555" spans="1:8" ht="15" customHeight="1">
      <c r="A6555" s="26">
        <v>74362883</v>
      </c>
      <c r="B6555" s="30" t="s">
        <v>8783</v>
      </c>
      <c r="C6555" s="29" t="s">
        <v>23081</v>
      </c>
      <c r="D6555" s="29" t="s">
        <v>36355</v>
      </c>
      <c r="E6555" s="29" t="s">
        <v>48895</v>
      </c>
      <c r="F6555" s="36" t="s">
        <v>54406</v>
      </c>
      <c r="G6555" s="39">
        <v>2681148.65</v>
      </c>
      <c r="H6555" s="42">
        <v>211</v>
      </c>
    </row>
    <row r="6556" spans="1:8" ht="15" customHeight="1">
      <c r="A6556" s="26">
        <v>74362930</v>
      </c>
      <c r="B6556" s="30" t="s">
        <v>8784</v>
      </c>
      <c r="C6556" s="29" t="s">
        <v>23082</v>
      </c>
      <c r="D6556" s="29" t="s">
        <v>36356</v>
      </c>
      <c r="E6556" s="29" t="s">
        <v>48896</v>
      </c>
      <c r="F6556" s="36" t="s">
        <v>54406</v>
      </c>
      <c r="G6556" s="39">
        <v>126750</v>
      </c>
      <c r="H6556" s="42">
        <v>211</v>
      </c>
    </row>
    <row r="6557" spans="1:8" ht="15" customHeight="1">
      <c r="A6557" s="26">
        <v>74362949</v>
      </c>
      <c r="B6557" s="30" t="s">
        <v>8785</v>
      </c>
      <c r="C6557" s="29" t="s">
        <v>23083</v>
      </c>
      <c r="D6557" s="29" t="s">
        <v>36357</v>
      </c>
      <c r="E6557" s="29" t="s">
        <v>47257</v>
      </c>
      <c r="F6557" s="36" t="s">
        <v>54401</v>
      </c>
      <c r="G6557" s="39">
        <v>950583.3</v>
      </c>
      <c r="H6557" s="42">
        <v>211</v>
      </c>
    </row>
    <row r="6558" spans="1:8" ht="15" customHeight="1">
      <c r="A6558" s="26">
        <v>74362970</v>
      </c>
      <c r="B6558" s="30" t="s">
        <v>8786</v>
      </c>
      <c r="C6558" s="29" t="s">
        <v>23084</v>
      </c>
      <c r="D6558" s="29" t="s">
        <v>36358</v>
      </c>
      <c r="E6558" s="29" t="s">
        <v>48897</v>
      </c>
      <c r="F6558" s="36" t="s">
        <v>54401</v>
      </c>
      <c r="G6558" s="39">
        <f>4399916.68+118923+118625</f>
        <v>4637464.68</v>
      </c>
      <c r="H6558" s="42">
        <v>211</v>
      </c>
    </row>
    <row r="6559" spans="1:8" ht="15" customHeight="1">
      <c r="A6559" s="26">
        <v>74364879</v>
      </c>
      <c r="B6559" s="30" t="s">
        <v>8787</v>
      </c>
      <c r="C6559" s="29" t="s">
        <v>23085</v>
      </c>
      <c r="D6559" s="29" t="s">
        <v>36359</v>
      </c>
      <c r="E6559" s="29" t="s">
        <v>48898</v>
      </c>
      <c r="F6559" s="36" t="s">
        <v>54420</v>
      </c>
      <c r="G6559" s="39">
        <v>554423.04000000004</v>
      </c>
      <c r="H6559" s="42">
        <v>211</v>
      </c>
    </row>
    <row r="6560" spans="1:8" ht="15" customHeight="1">
      <c r="A6560" s="26">
        <v>74365718</v>
      </c>
      <c r="B6560" s="30" t="s">
        <v>8788</v>
      </c>
      <c r="C6560" s="29" t="s">
        <v>23086</v>
      </c>
      <c r="D6560" s="29" t="s">
        <v>36360</v>
      </c>
      <c r="E6560" s="29" t="s">
        <v>48899</v>
      </c>
      <c r="F6560" s="36" t="s">
        <v>54401</v>
      </c>
      <c r="G6560" s="39">
        <v>1508761.27</v>
      </c>
      <c r="H6560" s="42">
        <v>211</v>
      </c>
    </row>
    <row r="6561" spans="1:8" ht="15" customHeight="1">
      <c r="A6561" s="26">
        <v>74365727</v>
      </c>
      <c r="B6561" s="30" t="s">
        <v>8789</v>
      </c>
      <c r="C6561" s="29" t="s">
        <v>23087</v>
      </c>
      <c r="D6561" s="29" t="s">
        <v>30349</v>
      </c>
      <c r="E6561" s="29" t="s">
        <v>717</v>
      </c>
      <c r="F6561" s="36" t="s">
        <v>54409</v>
      </c>
      <c r="G6561" s="39">
        <v>518623.93</v>
      </c>
      <c r="H6561" s="42">
        <v>211</v>
      </c>
    </row>
    <row r="6562" spans="1:8" ht="15" customHeight="1">
      <c r="A6562" s="26">
        <v>74365757</v>
      </c>
      <c r="B6562" s="30" t="s">
        <v>8790</v>
      </c>
      <c r="C6562" s="29" t="s">
        <v>23088</v>
      </c>
      <c r="D6562" s="29" t="s">
        <v>36361</v>
      </c>
      <c r="E6562" s="29" t="s">
        <v>48900</v>
      </c>
      <c r="F6562" s="36" t="s">
        <v>54401</v>
      </c>
      <c r="G6562" s="39">
        <v>4301629.5</v>
      </c>
      <c r="H6562" s="42">
        <v>211</v>
      </c>
    </row>
    <row r="6563" spans="1:8" ht="15" customHeight="1">
      <c r="A6563" s="26">
        <v>74365808</v>
      </c>
      <c r="B6563" s="30" t="s">
        <v>8791</v>
      </c>
      <c r="C6563" s="29" t="s">
        <v>23089</v>
      </c>
      <c r="D6563" s="29" t="s">
        <v>36362</v>
      </c>
      <c r="E6563" s="29" t="s">
        <v>48901</v>
      </c>
      <c r="F6563" s="36" t="s">
        <v>54418</v>
      </c>
      <c r="G6563" s="39">
        <v>1226153.26</v>
      </c>
      <c r="H6563" s="42">
        <v>211</v>
      </c>
    </row>
    <row r="6564" spans="1:8" ht="15" customHeight="1">
      <c r="A6564" s="26">
        <v>74365816</v>
      </c>
      <c r="B6564" s="30" t="s">
        <v>8792</v>
      </c>
      <c r="C6564" s="29" t="s">
        <v>23090</v>
      </c>
      <c r="D6564" s="29" t="s">
        <v>36363</v>
      </c>
      <c r="E6564" s="29" t="s">
        <v>43926</v>
      </c>
      <c r="F6564" s="36" t="s">
        <v>54401</v>
      </c>
      <c r="G6564" s="39">
        <v>434513.75</v>
      </c>
      <c r="H6564" s="42">
        <v>211</v>
      </c>
    </row>
    <row r="6565" spans="1:8" ht="15" customHeight="1">
      <c r="A6565" s="26">
        <v>74365825</v>
      </c>
      <c r="B6565" s="30" t="s">
        <v>8793</v>
      </c>
      <c r="C6565" s="29" t="s">
        <v>23091</v>
      </c>
      <c r="D6565" s="29" t="s">
        <v>36364</v>
      </c>
      <c r="E6565" s="29" t="s">
        <v>48902</v>
      </c>
      <c r="F6565" s="36" t="s">
        <v>54401</v>
      </c>
      <c r="G6565" s="39">
        <v>525572.07999999996</v>
      </c>
      <c r="H6565" s="42">
        <v>211</v>
      </c>
    </row>
    <row r="6566" spans="1:8" ht="15" customHeight="1">
      <c r="A6566" s="26">
        <v>74365856</v>
      </c>
      <c r="B6566" s="30" t="s">
        <v>8794</v>
      </c>
      <c r="C6566" s="29" t="s">
        <v>23092</v>
      </c>
      <c r="D6566" s="29" t="s">
        <v>36365</v>
      </c>
      <c r="E6566" s="29" t="s">
        <v>45704</v>
      </c>
      <c r="F6566" s="36" t="s">
        <v>54401</v>
      </c>
      <c r="G6566" s="39">
        <f>9446257.53+66590</f>
        <v>9512847.5299999993</v>
      </c>
      <c r="H6566" s="42">
        <v>211</v>
      </c>
    </row>
    <row r="6567" spans="1:8" ht="15" customHeight="1">
      <c r="A6567" s="26">
        <v>74365910</v>
      </c>
      <c r="B6567" s="30" t="s">
        <v>8795</v>
      </c>
      <c r="C6567" s="29" t="s">
        <v>23093</v>
      </c>
      <c r="D6567" s="29" t="s">
        <v>36366</v>
      </c>
      <c r="E6567" s="29" t="s">
        <v>48903</v>
      </c>
      <c r="F6567" s="36" t="s">
        <v>54401</v>
      </c>
      <c r="G6567" s="39">
        <v>768300.53</v>
      </c>
      <c r="H6567" s="42">
        <v>211</v>
      </c>
    </row>
    <row r="6568" spans="1:8" ht="15" customHeight="1">
      <c r="A6568" s="26">
        <v>74365943</v>
      </c>
      <c r="B6568" s="30" t="s">
        <v>8796</v>
      </c>
      <c r="C6568" s="29" t="s">
        <v>23094</v>
      </c>
      <c r="D6568" s="29" t="s">
        <v>36367</v>
      </c>
      <c r="E6568" s="29" t="s">
        <v>48904</v>
      </c>
      <c r="F6568" s="36" t="s">
        <v>54401</v>
      </c>
      <c r="G6568" s="39">
        <v>514945.66</v>
      </c>
      <c r="H6568" s="42">
        <v>211</v>
      </c>
    </row>
    <row r="6569" spans="1:8" ht="15" customHeight="1">
      <c r="A6569" s="26">
        <v>74365985</v>
      </c>
      <c r="B6569" s="30" t="s">
        <v>8797</v>
      </c>
      <c r="C6569" s="26" t="s">
        <v>23095</v>
      </c>
      <c r="D6569" s="26" t="s">
        <v>36368</v>
      </c>
      <c r="E6569" s="26" t="s">
        <v>48905</v>
      </c>
      <c r="F6569" s="37" t="s">
        <v>54401</v>
      </c>
      <c r="G6569" s="39">
        <v>151917.70000000001</v>
      </c>
      <c r="H6569" s="42">
        <v>211</v>
      </c>
    </row>
    <row r="6570" spans="1:8" ht="15" customHeight="1">
      <c r="A6570" s="26">
        <v>74365990</v>
      </c>
      <c r="B6570" s="30" t="s">
        <v>8798</v>
      </c>
      <c r="C6570" s="26" t="s">
        <v>23096</v>
      </c>
      <c r="D6570" s="26" t="s">
        <v>36369</v>
      </c>
      <c r="E6570" s="26" t="s">
        <v>43926</v>
      </c>
      <c r="F6570" s="37" t="s">
        <v>54401</v>
      </c>
      <c r="G6570" s="39">
        <v>25600.25</v>
      </c>
      <c r="H6570" s="42">
        <v>211</v>
      </c>
    </row>
    <row r="6571" spans="1:8" ht="15" customHeight="1">
      <c r="A6571" s="26">
        <v>74366008</v>
      </c>
      <c r="B6571" s="30" t="s">
        <v>8799</v>
      </c>
      <c r="C6571" s="29" t="s">
        <v>23097</v>
      </c>
      <c r="D6571" s="29" t="s">
        <v>36370</v>
      </c>
      <c r="E6571" s="29" t="s">
        <v>48906</v>
      </c>
      <c r="F6571" s="36" t="s">
        <v>54401</v>
      </c>
      <c r="G6571" s="39">
        <v>484582.66</v>
      </c>
      <c r="H6571" s="42">
        <v>211</v>
      </c>
    </row>
    <row r="6572" spans="1:8" ht="15" customHeight="1">
      <c r="A6572" s="26">
        <v>74366012</v>
      </c>
      <c r="B6572" s="30" t="s">
        <v>8800</v>
      </c>
      <c r="C6572" s="26" t="s">
        <v>23098</v>
      </c>
      <c r="D6572" s="26" t="s">
        <v>36371</v>
      </c>
      <c r="E6572" s="26" t="s">
        <v>48907</v>
      </c>
      <c r="F6572" s="37" t="s">
        <v>54401</v>
      </c>
      <c r="G6572" s="39">
        <v>1586074.29</v>
      </c>
      <c r="H6572" s="42">
        <v>211</v>
      </c>
    </row>
    <row r="6573" spans="1:8" ht="15" customHeight="1">
      <c r="A6573" s="26">
        <v>74366013</v>
      </c>
      <c r="B6573" s="30" t="s">
        <v>8801</v>
      </c>
      <c r="C6573" s="29" t="s">
        <v>23099</v>
      </c>
      <c r="D6573" s="29" t="s">
        <v>36372</v>
      </c>
      <c r="E6573" s="29" t="s">
        <v>48908</v>
      </c>
      <c r="F6573" s="36" t="s">
        <v>54401</v>
      </c>
      <c r="G6573" s="39">
        <v>851121.86</v>
      </c>
      <c r="H6573" s="42">
        <v>211</v>
      </c>
    </row>
    <row r="6574" spans="1:8" ht="15" customHeight="1">
      <c r="A6574" s="26">
        <v>74366033</v>
      </c>
      <c r="B6574" s="30" t="s">
        <v>8802</v>
      </c>
      <c r="C6574" s="29" t="s">
        <v>23100</v>
      </c>
      <c r="D6574" s="29" t="s">
        <v>36373</v>
      </c>
      <c r="E6574" s="29" t="s">
        <v>48909</v>
      </c>
      <c r="F6574" s="36" t="s">
        <v>54401</v>
      </c>
      <c r="G6574" s="39">
        <v>653953.69999999995</v>
      </c>
      <c r="H6574" s="42">
        <v>211</v>
      </c>
    </row>
    <row r="6575" spans="1:8" ht="15" customHeight="1">
      <c r="A6575" s="26">
        <v>74366051</v>
      </c>
      <c r="B6575" s="30" t="s">
        <v>8803</v>
      </c>
      <c r="C6575" s="29" t="s">
        <v>23101</v>
      </c>
      <c r="D6575" s="29" t="s">
        <v>36374</v>
      </c>
      <c r="E6575" s="29" t="s">
        <v>48910</v>
      </c>
      <c r="F6575" s="36" t="s">
        <v>54401</v>
      </c>
      <c r="G6575" s="39">
        <v>2544632.5</v>
      </c>
      <c r="H6575" s="42">
        <v>211</v>
      </c>
    </row>
    <row r="6576" spans="1:8" ht="15" customHeight="1">
      <c r="A6576" s="26">
        <v>74366054</v>
      </c>
      <c r="B6576" s="30" t="s">
        <v>8804</v>
      </c>
      <c r="C6576" s="29" t="s">
        <v>23102</v>
      </c>
      <c r="D6576" s="29" t="s">
        <v>36375</v>
      </c>
      <c r="E6576" s="29" t="s">
        <v>48911</v>
      </c>
      <c r="F6576" s="36" t="s">
        <v>54401</v>
      </c>
      <c r="G6576" s="39">
        <v>843609.54</v>
      </c>
      <c r="H6576" s="42">
        <v>211</v>
      </c>
    </row>
    <row r="6577" spans="1:8" ht="15" customHeight="1">
      <c r="A6577" s="26">
        <v>74366067</v>
      </c>
      <c r="B6577" s="30" t="s">
        <v>8805</v>
      </c>
      <c r="C6577" s="29" t="s">
        <v>23103</v>
      </c>
      <c r="D6577" s="29" t="s">
        <v>36376</v>
      </c>
      <c r="E6577" s="29" t="s">
        <v>48912</v>
      </c>
      <c r="F6577" s="36" t="s">
        <v>54401</v>
      </c>
      <c r="G6577" s="39">
        <v>477212.88</v>
      </c>
      <c r="H6577" s="42">
        <v>211</v>
      </c>
    </row>
    <row r="6578" spans="1:8" ht="15" customHeight="1">
      <c r="A6578" s="26">
        <v>74366093</v>
      </c>
      <c r="B6578" s="30" t="s">
        <v>8806</v>
      </c>
      <c r="C6578" s="29" t="s">
        <v>23104</v>
      </c>
      <c r="D6578" s="29" t="s">
        <v>36377</v>
      </c>
      <c r="E6578" s="29" t="s">
        <v>46375</v>
      </c>
      <c r="F6578" s="36" t="s">
        <v>54401</v>
      </c>
      <c r="G6578" s="39">
        <f>5712031.97-26243</f>
        <v>5685788.9699999997</v>
      </c>
      <c r="H6578" s="42">
        <v>211</v>
      </c>
    </row>
    <row r="6579" spans="1:8" ht="15" customHeight="1">
      <c r="A6579" s="26">
        <v>74369203</v>
      </c>
      <c r="B6579" s="30" t="s">
        <v>8807</v>
      </c>
      <c r="C6579" s="29" t="s">
        <v>23105</v>
      </c>
      <c r="D6579" s="29" t="s">
        <v>36378</v>
      </c>
      <c r="E6579" s="29" t="s">
        <v>48913</v>
      </c>
      <c r="F6579" s="36" t="s">
        <v>54401</v>
      </c>
      <c r="G6579" s="39">
        <f>4588624+13559</f>
        <v>4602183</v>
      </c>
      <c r="H6579" s="42">
        <v>211</v>
      </c>
    </row>
    <row r="6580" spans="1:8" ht="15" customHeight="1">
      <c r="A6580" s="26">
        <v>74369214</v>
      </c>
      <c r="B6580" s="30" t="s">
        <v>8808</v>
      </c>
      <c r="C6580" s="29" t="s">
        <v>23106</v>
      </c>
      <c r="D6580" s="29" t="s">
        <v>36379</v>
      </c>
      <c r="E6580" s="29" t="s">
        <v>48914</v>
      </c>
      <c r="F6580" s="36" t="s">
        <v>54401</v>
      </c>
      <c r="G6580" s="39">
        <v>1340888.73</v>
      </c>
      <c r="H6580" s="42">
        <v>211</v>
      </c>
    </row>
    <row r="6581" spans="1:8" ht="15" customHeight="1">
      <c r="A6581" s="26">
        <v>74369221</v>
      </c>
      <c r="B6581" s="30" t="s">
        <v>8809</v>
      </c>
      <c r="C6581" s="29" t="s">
        <v>23107</v>
      </c>
      <c r="D6581" s="29" t="s">
        <v>36380</v>
      </c>
      <c r="E6581" s="29" t="s">
        <v>45178</v>
      </c>
      <c r="F6581" s="36" t="s">
        <v>54401</v>
      </c>
      <c r="G6581" s="39">
        <v>227821.9</v>
      </c>
      <c r="H6581" s="42">
        <v>211</v>
      </c>
    </row>
    <row r="6582" spans="1:8" ht="15" customHeight="1">
      <c r="A6582" s="26">
        <v>74369222</v>
      </c>
      <c r="B6582" s="30" t="s">
        <v>8810</v>
      </c>
      <c r="C6582" s="29" t="s">
        <v>23108</v>
      </c>
      <c r="D6582" s="29" t="s">
        <v>36381</v>
      </c>
      <c r="E6582" s="29" t="s">
        <v>48915</v>
      </c>
      <c r="F6582" s="36" t="s">
        <v>54401</v>
      </c>
      <c r="G6582" s="39">
        <v>6586417.79</v>
      </c>
      <c r="H6582" s="42">
        <v>211</v>
      </c>
    </row>
    <row r="6583" spans="1:8" ht="15" customHeight="1">
      <c r="A6583" s="26">
        <v>74369233</v>
      </c>
      <c r="B6583" s="30" t="s">
        <v>8811</v>
      </c>
      <c r="C6583" s="29" t="s">
        <v>23109</v>
      </c>
      <c r="D6583" s="29" t="s">
        <v>36382</v>
      </c>
      <c r="E6583" s="29" t="s">
        <v>48027</v>
      </c>
      <c r="F6583" s="36" t="s">
        <v>54401</v>
      </c>
      <c r="G6583" s="39">
        <v>2101125.9700000002</v>
      </c>
      <c r="H6583" s="42">
        <v>211</v>
      </c>
    </row>
    <row r="6584" spans="1:8" ht="15" customHeight="1">
      <c r="A6584" s="26">
        <v>74369262</v>
      </c>
      <c r="B6584" s="30" t="s">
        <v>8812</v>
      </c>
      <c r="C6584" s="29" t="s">
        <v>23110</v>
      </c>
      <c r="D6584" s="29" t="s">
        <v>36383</v>
      </c>
      <c r="E6584" s="29" t="s">
        <v>48916</v>
      </c>
      <c r="F6584" s="36" t="s">
        <v>54401</v>
      </c>
      <c r="G6584" s="39">
        <f>4279396.01-10780</f>
        <v>4268616.01</v>
      </c>
      <c r="H6584" s="42">
        <v>211</v>
      </c>
    </row>
    <row r="6585" spans="1:8" ht="15" customHeight="1">
      <c r="A6585" s="26">
        <v>74369281</v>
      </c>
      <c r="B6585" s="30" t="s">
        <v>8813</v>
      </c>
      <c r="C6585" s="29" t="s">
        <v>23111</v>
      </c>
      <c r="D6585" s="29" t="s">
        <v>36384</v>
      </c>
      <c r="E6585" s="29" t="s">
        <v>48917</v>
      </c>
      <c r="F6585" s="36" t="s">
        <v>54401</v>
      </c>
      <c r="G6585" s="39">
        <v>381238.75</v>
      </c>
      <c r="H6585" s="42">
        <v>211</v>
      </c>
    </row>
    <row r="6586" spans="1:8" ht="15" customHeight="1">
      <c r="A6586" s="26">
        <v>74369286</v>
      </c>
      <c r="B6586" s="30" t="s">
        <v>8814</v>
      </c>
      <c r="C6586" s="29" t="s">
        <v>21820</v>
      </c>
      <c r="D6586" s="29" t="s">
        <v>36385</v>
      </c>
      <c r="E6586" s="29" t="s">
        <v>48918</v>
      </c>
      <c r="F6586" s="36" t="s">
        <v>54401</v>
      </c>
      <c r="G6586" s="39">
        <v>593148.51</v>
      </c>
      <c r="H6586" s="42">
        <v>211</v>
      </c>
    </row>
    <row r="6587" spans="1:8" ht="15" customHeight="1">
      <c r="A6587" s="26">
        <v>74369309</v>
      </c>
      <c r="B6587" s="30" t="s">
        <v>8815</v>
      </c>
      <c r="C6587" s="26" t="s">
        <v>23112</v>
      </c>
      <c r="D6587" s="26" t="s">
        <v>36386</v>
      </c>
      <c r="E6587" s="26" t="s">
        <v>48919</v>
      </c>
      <c r="F6587" s="37" t="s">
        <v>54401</v>
      </c>
      <c r="G6587" s="39">
        <v>1647054.94</v>
      </c>
      <c r="H6587" s="42">
        <v>211</v>
      </c>
    </row>
    <row r="6588" spans="1:8" ht="15" customHeight="1">
      <c r="A6588" s="26">
        <v>74369335</v>
      </c>
      <c r="B6588" s="30" t="s">
        <v>8816</v>
      </c>
      <c r="C6588" s="29" t="s">
        <v>23113</v>
      </c>
      <c r="D6588" s="29" t="s">
        <v>36387</v>
      </c>
      <c r="E6588" s="29" t="s">
        <v>45516</v>
      </c>
      <c r="F6588" s="36" t="s">
        <v>54401</v>
      </c>
      <c r="G6588" s="39">
        <f>4321123.37+204213</f>
        <v>4525336.37</v>
      </c>
      <c r="H6588" s="42">
        <v>211</v>
      </c>
    </row>
    <row r="6589" spans="1:8" ht="15" customHeight="1">
      <c r="A6589" s="26">
        <v>74369339</v>
      </c>
      <c r="B6589" s="30" t="s">
        <v>8817</v>
      </c>
      <c r="C6589" s="29" t="s">
        <v>23114</v>
      </c>
      <c r="D6589" s="29" t="s">
        <v>36388</v>
      </c>
      <c r="E6589" s="29" t="s">
        <v>48920</v>
      </c>
      <c r="F6589" s="36" t="s">
        <v>54401</v>
      </c>
      <c r="G6589" s="39">
        <f>6443180.91+241116+513085</f>
        <v>7197381.9100000001</v>
      </c>
      <c r="H6589" s="42">
        <v>211</v>
      </c>
    </row>
    <row r="6590" spans="1:8" ht="15" customHeight="1">
      <c r="A6590" s="26">
        <v>74369349</v>
      </c>
      <c r="B6590" s="30" t="s">
        <v>8818</v>
      </c>
      <c r="C6590" s="29" t="s">
        <v>23115</v>
      </c>
      <c r="D6590" s="29" t="s">
        <v>36389</v>
      </c>
      <c r="E6590" s="29" t="s">
        <v>43926</v>
      </c>
      <c r="F6590" s="36" t="s">
        <v>54401</v>
      </c>
      <c r="G6590" s="39">
        <v>20301.34</v>
      </c>
      <c r="H6590" s="42">
        <v>211</v>
      </c>
    </row>
    <row r="6591" spans="1:8" ht="15" customHeight="1">
      <c r="A6591" s="26">
        <v>74369352</v>
      </c>
      <c r="B6591" s="30" t="s">
        <v>8819</v>
      </c>
      <c r="C6591" s="29" t="s">
        <v>23116</v>
      </c>
      <c r="D6591" s="29" t="s">
        <v>36390</v>
      </c>
      <c r="E6591" s="29" t="s">
        <v>48921</v>
      </c>
      <c r="F6591" s="36" t="s">
        <v>54401</v>
      </c>
      <c r="G6591" s="39">
        <v>1369775.37</v>
      </c>
      <c r="H6591" s="42">
        <v>211</v>
      </c>
    </row>
    <row r="6592" spans="1:8" ht="15" customHeight="1">
      <c r="A6592" s="26">
        <v>74369363</v>
      </c>
      <c r="B6592" s="30" t="s">
        <v>8820</v>
      </c>
      <c r="C6592" s="29" t="s">
        <v>23117</v>
      </c>
      <c r="D6592" s="29" t="s">
        <v>36391</v>
      </c>
      <c r="E6592" s="29" t="s">
        <v>48088</v>
      </c>
      <c r="F6592" s="36" t="s">
        <v>54401</v>
      </c>
      <c r="G6592" s="39">
        <v>116291.2</v>
      </c>
      <c r="H6592" s="42">
        <v>211</v>
      </c>
    </row>
    <row r="6593" spans="1:8" ht="15" customHeight="1">
      <c r="A6593" s="26">
        <v>74369364</v>
      </c>
      <c r="B6593" s="30" t="s">
        <v>8821</v>
      </c>
      <c r="C6593" s="29" t="s">
        <v>23118</v>
      </c>
      <c r="D6593" s="29" t="s">
        <v>36392</v>
      </c>
      <c r="E6593" s="29" t="s">
        <v>48922</v>
      </c>
      <c r="F6593" s="36" t="s">
        <v>54401</v>
      </c>
      <c r="G6593" s="39">
        <f>304894.11+469725</f>
        <v>774619.11</v>
      </c>
      <c r="H6593" s="42">
        <v>211</v>
      </c>
    </row>
    <row r="6594" spans="1:8" ht="15" customHeight="1">
      <c r="A6594" s="26">
        <v>74369374</v>
      </c>
      <c r="B6594" s="30" t="s">
        <v>8822</v>
      </c>
      <c r="C6594" s="29" t="s">
        <v>17204</v>
      </c>
      <c r="D6594" s="29" t="s">
        <v>30349</v>
      </c>
      <c r="E6594" s="29" t="s">
        <v>43926</v>
      </c>
      <c r="F6594" s="36" t="s">
        <v>54401</v>
      </c>
      <c r="G6594" s="39">
        <f>293363.38+1216390</f>
        <v>1509753.38</v>
      </c>
      <c r="H6594" s="42">
        <v>211</v>
      </c>
    </row>
    <row r="6595" spans="1:8" ht="15" customHeight="1">
      <c r="A6595" s="26">
        <v>74369380</v>
      </c>
      <c r="B6595" s="30" t="s">
        <v>8823</v>
      </c>
      <c r="C6595" s="26" t="s">
        <v>23119</v>
      </c>
      <c r="D6595" s="26" t="s">
        <v>36393</v>
      </c>
      <c r="E6595" s="26" t="s">
        <v>48923</v>
      </c>
      <c r="F6595" s="37" t="s">
        <v>54401</v>
      </c>
      <c r="G6595" s="39">
        <v>686623.21</v>
      </c>
      <c r="H6595" s="42">
        <v>211</v>
      </c>
    </row>
    <row r="6596" spans="1:8" ht="15" customHeight="1">
      <c r="A6596" s="26">
        <v>74369382</v>
      </c>
      <c r="B6596" s="30" t="s">
        <v>8824</v>
      </c>
      <c r="C6596" s="29" t="s">
        <v>23120</v>
      </c>
      <c r="D6596" s="29" t="s">
        <v>36394</v>
      </c>
      <c r="E6596" s="29" t="s">
        <v>48924</v>
      </c>
      <c r="F6596" s="36" t="s">
        <v>54401</v>
      </c>
      <c r="G6596" s="39">
        <f>4013512.4+15764</f>
        <v>4029276.4</v>
      </c>
      <c r="H6596" s="42">
        <v>211</v>
      </c>
    </row>
    <row r="6597" spans="1:8" ht="15" customHeight="1">
      <c r="A6597" s="26">
        <v>74369396</v>
      </c>
      <c r="B6597" s="30" t="s">
        <v>8825</v>
      </c>
      <c r="C6597" s="29" t="s">
        <v>23121</v>
      </c>
      <c r="D6597" s="29" t="s">
        <v>36395</v>
      </c>
      <c r="E6597" s="29" t="s">
        <v>45414</v>
      </c>
      <c r="F6597" s="36" t="s">
        <v>54401</v>
      </c>
      <c r="G6597" s="39">
        <v>216085.28</v>
      </c>
      <c r="H6597" s="42">
        <v>211</v>
      </c>
    </row>
    <row r="6598" spans="1:8" ht="15" customHeight="1">
      <c r="A6598" s="26">
        <v>74369399</v>
      </c>
      <c r="B6598" s="30" t="s">
        <v>8826</v>
      </c>
      <c r="C6598" s="29" t="s">
        <v>23122</v>
      </c>
      <c r="D6598" s="29" t="s">
        <v>36396</v>
      </c>
      <c r="E6598" s="29" t="s">
        <v>48925</v>
      </c>
      <c r="F6598" s="36" t="s">
        <v>54401</v>
      </c>
      <c r="G6598" s="39">
        <v>1910828.25</v>
      </c>
      <c r="H6598" s="42">
        <v>211</v>
      </c>
    </row>
    <row r="6599" spans="1:8" ht="15" customHeight="1">
      <c r="A6599" s="26">
        <v>74369401</v>
      </c>
      <c r="B6599" s="30" t="s">
        <v>8827</v>
      </c>
      <c r="C6599" s="29" t="s">
        <v>23123</v>
      </c>
      <c r="D6599" s="29" t="s">
        <v>36397</v>
      </c>
      <c r="E6599" s="29" t="s">
        <v>48926</v>
      </c>
      <c r="F6599" s="36" t="s">
        <v>54448</v>
      </c>
      <c r="G6599" s="39">
        <v>6200355.5599999996</v>
      </c>
      <c r="H6599" s="42">
        <v>211</v>
      </c>
    </row>
    <row r="6600" spans="1:8" ht="15" customHeight="1">
      <c r="A6600" s="26">
        <v>74369405</v>
      </c>
      <c r="B6600" s="30" t="s">
        <v>8828</v>
      </c>
      <c r="C6600" s="29" t="s">
        <v>23124</v>
      </c>
      <c r="D6600" s="29" t="s">
        <v>36398</v>
      </c>
      <c r="E6600" s="29" t="s">
        <v>43926</v>
      </c>
      <c r="F6600" s="36" t="s">
        <v>54401</v>
      </c>
      <c r="G6600" s="39">
        <v>292504.2</v>
      </c>
      <c r="H6600" s="42">
        <v>211</v>
      </c>
    </row>
    <row r="6601" spans="1:8" ht="15" customHeight="1">
      <c r="A6601" s="26">
        <v>74369408</v>
      </c>
      <c r="B6601" s="30" t="s">
        <v>8829</v>
      </c>
      <c r="C6601" s="29" t="s">
        <v>17204</v>
      </c>
      <c r="D6601" s="29" t="s">
        <v>30349</v>
      </c>
      <c r="E6601" s="29" t="s">
        <v>43926</v>
      </c>
      <c r="F6601" s="36" t="s">
        <v>54401</v>
      </c>
      <c r="G6601" s="39">
        <v>378406.73</v>
      </c>
      <c r="H6601" s="42">
        <v>211</v>
      </c>
    </row>
    <row r="6602" spans="1:8" ht="15" customHeight="1">
      <c r="A6602" s="26">
        <v>74369416</v>
      </c>
      <c r="B6602" s="30" t="s">
        <v>8830</v>
      </c>
      <c r="C6602" s="29" t="s">
        <v>23125</v>
      </c>
      <c r="D6602" s="29" t="s">
        <v>36399</v>
      </c>
      <c r="E6602" s="29" t="s">
        <v>48927</v>
      </c>
      <c r="F6602" s="36" t="s">
        <v>54401</v>
      </c>
      <c r="G6602" s="39">
        <v>5544099.1900000004</v>
      </c>
      <c r="H6602" s="42">
        <v>211</v>
      </c>
    </row>
    <row r="6603" spans="1:8" ht="15" customHeight="1">
      <c r="A6603" s="26">
        <v>74369440</v>
      </c>
      <c r="B6603" s="30" t="s">
        <v>8831</v>
      </c>
      <c r="C6603" s="29" t="s">
        <v>23126</v>
      </c>
      <c r="D6603" s="29" t="s">
        <v>36400</v>
      </c>
      <c r="E6603" s="29" t="s">
        <v>45006</v>
      </c>
      <c r="F6603" s="36" t="s">
        <v>54401</v>
      </c>
      <c r="G6603" s="39">
        <v>936178.36</v>
      </c>
      <c r="H6603" s="42">
        <v>211</v>
      </c>
    </row>
    <row r="6604" spans="1:8" ht="15" customHeight="1">
      <c r="A6604" s="26">
        <v>74369451</v>
      </c>
      <c r="B6604" s="30" t="s">
        <v>8832</v>
      </c>
      <c r="C6604" s="26" t="s">
        <v>23127</v>
      </c>
      <c r="D6604" s="26" t="s">
        <v>36401</v>
      </c>
      <c r="E6604" s="26" t="s">
        <v>43926</v>
      </c>
      <c r="F6604" s="37" t="s">
        <v>54401</v>
      </c>
      <c r="G6604" s="39">
        <v>31764.7</v>
      </c>
      <c r="H6604" s="42">
        <v>211</v>
      </c>
    </row>
    <row r="6605" spans="1:8" ht="15" customHeight="1">
      <c r="A6605" s="26">
        <v>74369457</v>
      </c>
      <c r="B6605" s="30" t="s">
        <v>8833</v>
      </c>
      <c r="C6605" s="29" t="s">
        <v>23128</v>
      </c>
      <c r="D6605" s="29" t="s">
        <v>36402</v>
      </c>
      <c r="E6605" s="29" t="s">
        <v>48928</v>
      </c>
      <c r="F6605" s="36" t="s">
        <v>54401</v>
      </c>
      <c r="G6605" s="39">
        <f>4279075.64-13109</f>
        <v>4265966.6399999997</v>
      </c>
      <c r="H6605" s="42">
        <v>211</v>
      </c>
    </row>
    <row r="6606" spans="1:8" ht="15" customHeight="1">
      <c r="A6606" s="26">
        <v>74369470</v>
      </c>
      <c r="B6606" s="30" t="s">
        <v>8834</v>
      </c>
      <c r="C6606" s="29" t="s">
        <v>23129</v>
      </c>
      <c r="D6606" s="29" t="s">
        <v>36403</v>
      </c>
      <c r="E6606" s="29" t="s">
        <v>44023</v>
      </c>
      <c r="F6606" s="36" t="s">
        <v>54401</v>
      </c>
      <c r="G6606" s="39">
        <v>205796.5</v>
      </c>
      <c r="H6606" s="42">
        <v>211</v>
      </c>
    </row>
    <row r="6607" spans="1:8" ht="15" customHeight="1">
      <c r="A6607" s="26">
        <v>74369482</v>
      </c>
      <c r="B6607" s="30" t="s">
        <v>8835</v>
      </c>
      <c r="C6607" s="29" t="s">
        <v>17204</v>
      </c>
      <c r="D6607" s="29" t="s">
        <v>36404</v>
      </c>
      <c r="E6607" s="29" t="s">
        <v>43926</v>
      </c>
      <c r="F6607" s="36" t="s">
        <v>54401</v>
      </c>
      <c r="G6607" s="39">
        <v>368995.49</v>
      </c>
      <c r="H6607" s="42">
        <v>211</v>
      </c>
    </row>
    <row r="6608" spans="1:8" ht="15" customHeight="1">
      <c r="A6608" s="26">
        <v>74369483</v>
      </c>
      <c r="B6608" s="30" t="s">
        <v>8836</v>
      </c>
      <c r="C6608" s="29" t="s">
        <v>23130</v>
      </c>
      <c r="D6608" s="29" t="s">
        <v>33130</v>
      </c>
      <c r="E6608" s="29" t="s">
        <v>48929</v>
      </c>
      <c r="F6608" s="36" t="s">
        <v>54401</v>
      </c>
      <c r="G6608" s="39">
        <v>5405866.4100000001</v>
      </c>
      <c r="H6608" s="42">
        <v>211</v>
      </c>
    </row>
    <row r="6609" spans="1:8" ht="15" customHeight="1">
      <c r="A6609" s="26">
        <v>74369489</v>
      </c>
      <c r="B6609" s="30" t="s">
        <v>8837</v>
      </c>
      <c r="C6609" s="29" t="s">
        <v>23131</v>
      </c>
      <c r="D6609" s="29" t="s">
        <v>36405</v>
      </c>
      <c r="E6609" s="29" t="s">
        <v>48930</v>
      </c>
      <c r="F6609" s="36" t="s">
        <v>54401</v>
      </c>
      <c r="G6609" s="39">
        <f>1550156.96+536542</f>
        <v>2086698.96</v>
      </c>
      <c r="H6609" s="42">
        <v>211</v>
      </c>
    </row>
    <row r="6610" spans="1:8" ht="15" customHeight="1">
      <c r="A6610" s="26">
        <v>74369490</v>
      </c>
      <c r="B6610" s="30" t="s">
        <v>8838</v>
      </c>
      <c r="C6610" s="29" t="s">
        <v>23132</v>
      </c>
      <c r="D6610" s="29" t="s">
        <v>36406</v>
      </c>
      <c r="E6610" s="29" t="s">
        <v>48931</v>
      </c>
      <c r="F6610" s="36" t="s">
        <v>54401</v>
      </c>
      <c r="G6610" s="39">
        <v>2451877.34</v>
      </c>
      <c r="H6610" s="42">
        <v>211</v>
      </c>
    </row>
    <row r="6611" spans="1:8" ht="15" customHeight="1">
      <c r="A6611" s="26">
        <v>74369498</v>
      </c>
      <c r="B6611" s="30" t="s">
        <v>8839</v>
      </c>
      <c r="C6611" s="29" t="s">
        <v>23133</v>
      </c>
      <c r="D6611" s="29" t="s">
        <v>36407</v>
      </c>
      <c r="E6611" s="29" t="s">
        <v>48932</v>
      </c>
      <c r="F6611" s="36" t="s">
        <v>54423</v>
      </c>
      <c r="G6611" s="39">
        <v>828464.47</v>
      </c>
      <c r="H6611" s="42">
        <v>211</v>
      </c>
    </row>
    <row r="6612" spans="1:8" ht="15" customHeight="1">
      <c r="A6612" s="26">
        <v>74369531</v>
      </c>
      <c r="B6612" s="30" t="s">
        <v>8840</v>
      </c>
      <c r="C6612" s="26" t="s">
        <v>17204</v>
      </c>
      <c r="D6612" s="26" t="s">
        <v>36408</v>
      </c>
      <c r="E6612" s="26" t="s">
        <v>43926</v>
      </c>
      <c r="F6612" s="37" t="s">
        <v>54401</v>
      </c>
      <c r="G6612" s="39">
        <v>591702.07999999996</v>
      </c>
      <c r="H6612" s="42">
        <v>211</v>
      </c>
    </row>
    <row r="6613" spans="1:8" ht="15" customHeight="1">
      <c r="A6613" s="26">
        <v>74369596</v>
      </c>
      <c r="B6613" s="30" t="s">
        <v>8841</v>
      </c>
      <c r="C6613" s="29" t="s">
        <v>23134</v>
      </c>
      <c r="D6613" s="29" t="s">
        <v>36409</v>
      </c>
      <c r="E6613" s="29" t="s">
        <v>48933</v>
      </c>
      <c r="F6613" s="36" t="s">
        <v>54401</v>
      </c>
      <c r="G6613" s="39">
        <f>1143519.7+26800+25728</f>
        <v>1196047.7</v>
      </c>
      <c r="H6613" s="42">
        <v>211</v>
      </c>
    </row>
    <row r="6614" spans="1:8" ht="15" customHeight="1">
      <c r="A6614" s="26">
        <v>74369601</v>
      </c>
      <c r="B6614" s="30" t="s">
        <v>8842</v>
      </c>
      <c r="C6614" s="29" t="s">
        <v>17204</v>
      </c>
      <c r="D6614" s="29" t="s">
        <v>30349</v>
      </c>
      <c r="E6614" s="29" t="s">
        <v>43926</v>
      </c>
      <c r="F6614" s="36" t="s">
        <v>54401</v>
      </c>
      <c r="G6614" s="39">
        <v>520863.36</v>
      </c>
      <c r="H6614" s="42">
        <v>211</v>
      </c>
    </row>
    <row r="6615" spans="1:8" ht="15" customHeight="1">
      <c r="A6615" s="26">
        <v>74369611</v>
      </c>
      <c r="B6615" s="30" t="s">
        <v>8843</v>
      </c>
      <c r="C6615" s="29" t="s">
        <v>23135</v>
      </c>
      <c r="D6615" s="29" t="s">
        <v>36410</v>
      </c>
      <c r="E6615" s="29" t="s">
        <v>48934</v>
      </c>
      <c r="F6615" s="36" t="s">
        <v>54401</v>
      </c>
      <c r="G6615" s="39">
        <v>3471850.21</v>
      </c>
      <c r="H6615" s="42">
        <v>211</v>
      </c>
    </row>
    <row r="6616" spans="1:8" ht="15" customHeight="1">
      <c r="A6616" s="26">
        <v>74369616</v>
      </c>
      <c r="B6616" s="30" t="s">
        <v>8844</v>
      </c>
      <c r="C6616" s="29" t="s">
        <v>17204</v>
      </c>
      <c r="D6616" s="29" t="s">
        <v>30349</v>
      </c>
      <c r="E6616" s="29" t="s">
        <v>43926</v>
      </c>
      <c r="F6616" s="36" t="s">
        <v>54401</v>
      </c>
      <c r="G6616" s="39">
        <v>555528.64</v>
      </c>
      <c r="H6616" s="42">
        <v>211</v>
      </c>
    </row>
    <row r="6617" spans="1:8" ht="15" customHeight="1">
      <c r="A6617" s="26">
        <v>74369634</v>
      </c>
      <c r="B6617" s="30" t="s">
        <v>8845</v>
      </c>
      <c r="C6617" s="29" t="s">
        <v>23136</v>
      </c>
      <c r="D6617" s="29" t="s">
        <v>36411</v>
      </c>
      <c r="E6617" s="29" t="s">
        <v>48105</v>
      </c>
      <c r="F6617" s="36" t="s">
        <v>54401</v>
      </c>
      <c r="G6617" s="39">
        <f>2615296.02+375549</f>
        <v>2990845.02</v>
      </c>
      <c r="H6617" s="42">
        <v>211</v>
      </c>
    </row>
    <row r="6618" spans="1:8" ht="15" customHeight="1">
      <c r="A6618" s="26">
        <v>74369635</v>
      </c>
      <c r="B6618" s="30" t="s">
        <v>8846</v>
      </c>
      <c r="C6618" s="29" t="s">
        <v>23137</v>
      </c>
      <c r="D6618" s="29" t="s">
        <v>36412</v>
      </c>
      <c r="E6618" s="29" t="s">
        <v>48935</v>
      </c>
      <c r="F6618" s="36" t="s">
        <v>54401</v>
      </c>
      <c r="G6618" s="39">
        <v>5640480.8799999999</v>
      </c>
      <c r="H6618" s="42">
        <v>211</v>
      </c>
    </row>
    <row r="6619" spans="1:8" ht="15" customHeight="1">
      <c r="A6619" s="26">
        <v>74369643</v>
      </c>
      <c r="B6619" s="30" t="s">
        <v>8847</v>
      </c>
      <c r="C6619" s="29" t="s">
        <v>23138</v>
      </c>
      <c r="D6619" s="29" t="s">
        <v>36413</v>
      </c>
      <c r="E6619" s="29" t="s">
        <v>48936</v>
      </c>
      <c r="F6619" s="36" t="s">
        <v>54401</v>
      </c>
      <c r="G6619" s="39">
        <v>12941.18</v>
      </c>
      <c r="H6619" s="42">
        <v>211</v>
      </c>
    </row>
    <row r="6620" spans="1:8" ht="15" customHeight="1">
      <c r="A6620" s="26">
        <v>74369677</v>
      </c>
      <c r="B6620" s="30" t="s">
        <v>8848</v>
      </c>
      <c r="C6620" s="29" t="s">
        <v>23139</v>
      </c>
      <c r="D6620" s="29" t="s">
        <v>36414</v>
      </c>
      <c r="E6620" s="29" t="s">
        <v>48920</v>
      </c>
      <c r="F6620" s="36" t="s">
        <v>54401</v>
      </c>
      <c r="G6620" s="39">
        <v>1543899.76</v>
      </c>
      <c r="H6620" s="42">
        <v>211</v>
      </c>
    </row>
    <row r="6621" spans="1:8" ht="15" customHeight="1">
      <c r="A6621" s="26">
        <v>74369685</v>
      </c>
      <c r="B6621" s="30" t="s">
        <v>8849</v>
      </c>
      <c r="C6621" s="29" t="s">
        <v>23140</v>
      </c>
      <c r="D6621" s="29" t="s">
        <v>36415</v>
      </c>
      <c r="E6621" s="29" t="s">
        <v>44634</v>
      </c>
      <c r="F6621" s="36" t="s">
        <v>54401</v>
      </c>
      <c r="G6621" s="39">
        <v>45225.62</v>
      </c>
      <c r="H6621" s="42">
        <v>211</v>
      </c>
    </row>
    <row r="6622" spans="1:8" ht="15" customHeight="1">
      <c r="A6622" s="26">
        <v>74369698</v>
      </c>
      <c r="B6622" s="30" t="s">
        <v>8850</v>
      </c>
      <c r="C6622" s="29" t="s">
        <v>23141</v>
      </c>
      <c r="D6622" s="29" t="s">
        <v>36416</v>
      </c>
      <c r="E6622" s="29" t="s">
        <v>48937</v>
      </c>
      <c r="F6622" s="36" t="s">
        <v>54401</v>
      </c>
      <c r="G6622" s="39">
        <v>6380731.2999999998</v>
      </c>
      <c r="H6622" s="42">
        <v>211</v>
      </c>
    </row>
    <row r="6623" spans="1:8" ht="15" customHeight="1">
      <c r="A6623" s="26">
        <v>74369710</v>
      </c>
      <c r="B6623" s="30" t="s">
        <v>8851</v>
      </c>
      <c r="C6623" s="26" t="s">
        <v>23142</v>
      </c>
      <c r="D6623" s="26" t="s">
        <v>36417</v>
      </c>
      <c r="E6623" s="26" t="s">
        <v>48938</v>
      </c>
      <c r="F6623" s="37" t="s">
        <v>54401</v>
      </c>
      <c r="G6623" s="39">
        <v>2231020.64</v>
      </c>
      <c r="H6623" s="42">
        <v>211</v>
      </c>
    </row>
    <row r="6624" spans="1:8" ht="15" customHeight="1">
      <c r="A6624" s="26">
        <v>74369714</v>
      </c>
      <c r="B6624" s="30" t="s">
        <v>8852</v>
      </c>
      <c r="C6624" s="29" t="s">
        <v>21147</v>
      </c>
      <c r="D6624" s="29" t="s">
        <v>36418</v>
      </c>
      <c r="E6624" s="29" t="s">
        <v>48939</v>
      </c>
      <c r="F6624" s="36" t="s">
        <v>54401</v>
      </c>
      <c r="G6624" s="39">
        <v>323941.34000000003</v>
      </c>
      <c r="H6624" s="42">
        <v>211</v>
      </c>
    </row>
    <row r="6625" spans="1:8" ht="15" customHeight="1">
      <c r="A6625" s="26">
        <v>74369717</v>
      </c>
      <c r="B6625" s="30" t="s">
        <v>8853</v>
      </c>
      <c r="C6625" s="26" t="s">
        <v>23143</v>
      </c>
      <c r="D6625" s="26" t="s">
        <v>36419</v>
      </c>
      <c r="E6625" s="26" t="s">
        <v>43926</v>
      </c>
      <c r="F6625" s="37" t="s">
        <v>54401</v>
      </c>
      <c r="G6625" s="39">
        <v>1397686.8</v>
      </c>
      <c r="H6625" s="42">
        <v>211</v>
      </c>
    </row>
    <row r="6626" spans="1:8" ht="15" customHeight="1">
      <c r="A6626" s="26">
        <v>74369723</v>
      </c>
      <c r="B6626" s="30" t="s">
        <v>8854</v>
      </c>
      <c r="C6626" s="29" t="s">
        <v>23144</v>
      </c>
      <c r="D6626" s="29" t="s">
        <v>36420</v>
      </c>
      <c r="E6626" s="29" t="s">
        <v>45226</v>
      </c>
      <c r="F6626" s="36" t="s">
        <v>54401</v>
      </c>
      <c r="G6626" s="39">
        <v>425376.84</v>
      </c>
      <c r="H6626" s="42">
        <v>211</v>
      </c>
    </row>
    <row r="6627" spans="1:8" ht="15" customHeight="1">
      <c r="A6627" s="26">
        <v>74369733</v>
      </c>
      <c r="B6627" s="30" t="s">
        <v>8855</v>
      </c>
      <c r="C6627" s="29" t="s">
        <v>23145</v>
      </c>
      <c r="D6627" s="29" t="s">
        <v>36421</v>
      </c>
      <c r="E6627" s="29" t="s">
        <v>48940</v>
      </c>
      <c r="F6627" s="36" t="s">
        <v>54401</v>
      </c>
      <c r="G6627" s="39">
        <v>100305.59</v>
      </c>
      <c r="H6627" s="42">
        <v>211</v>
      </c>
    </row>
    <row r="6628" spans="1:8" ht="15" customHeight="1">
      <c r="A6628" s="26">
        <v>74369741</v>
      </c>
      <c r="B6628" s="30" t="s">
        <v>8856</v>
      </c>
      <c r="C6628" s="26" t="s">
        <v>23146</v>
      </c>
      <c r="D6628" s="26" t="s">
        <v>36422</v>
      </c>
      <c r="E6628" s="26" t="s">
        <v>48941</v>
      </c>
      <c r="F6628" s="37" t="s">
        <v>54401</v>
      </c>
      <c r="G6628" s="39">
        <v>3332736.31</v>
      </c>
      <c r="H6628" s="42">
        <v>211</v>
      </c>
    </row>
    <row r="6629" spans="1:8" ht="15" customHeight="1">
      <c r="A6629" s="26">
        <v>74369746</v>
      </c>
      <c r="B6629" s="30" t="s">
        <v>8857</v>
      </c>
      <c r="C6629" s="29" t="s">
        <v>23147</v>
      </c>
      <c r="D6629" s="29" t="s">
        <v>36423</v>
      </c>
      <c r="E6629" s="29" t="s">
        <v>48942</v>
      </c>
      <c r="F6629" s="36" t="s">
        <v>54401</v>
      </c>
      <c r="G6629" s="39">
        <v>93960.57</v>
      </c>
      <c r="H6629" s="42">
        <v>211</v>
      </c>
    </row>
    <row r="6630" spans="1:8" ht="15" customHeight="1">
      <c r="A6630" s="26">
        <v>74369796</v>
      </c>
      <c r="B6630" s="30" t="s">
        <v>8858</v>
      </c>
      <c r="C6630" s="29" t="s">
        <v>23148</v>
      </c>
      <c r="D6630" s="29" t="s">
        <v>36424</v>
      </c>
      <c r="E6630" s="29" t="s">
        <v>48943</v>
      </c>
      <c r="F6630" s="36" t="s">
        <v>54401</v>
      </c>
      <c r="G6630" s="39">
        <f>1448879.65+88447</f>
        <v>1537326.65</v>
      </c>
      <c r="H6630" s="42">
        <v>211</v>
      </c>
    </row>
    <row r="6631" spans="1:8" ht="15" customHeight="1">
      <c r="A6631" s="26">
        <v>74369812</v>
      </c>
      <c r="B6631" s="30" t="s">
        <v>8859</v>
      </c>
      <c r="C6631" s="29" t="s">
        <v>23149</v>
      </c>
      <c r="D6631" s="29" t="s">
        <v>36425</v>
      </c>
      <c r="E6631" s="29" t="s">
        <v>48944</v>
      </c>
      <c r="F6631" s="36" t="s">
        <v>54402</v>
      </c>
      <c r="G6631" s="39">
        <v>117352.95</v>
      </c>
      <c r="H6631" s="42">
        <v>211</v>
      </c>
    </row>
    <row r="6632" spans="1:8" ht="15" customHeight="1">
      <c r="A6632" s="26">
        <v>74369900</v>
      </c>
      <c r="B6632" s="30" t="s">
        <v>8860</v>
      </c>
      <c r="C6632" s="29" t="s">
        <v>23150</v>
      </c>
      <c r="D6632" s="29" t="s">
        <v>36426</v>
      </c>
      <c r="E6632" s="29" t="s">
        <v>48945</v>
      </c>
      <c r="F6632" s="36" t="s">
        <v>54401</v>
      </c>
      <c r="G6632" s="39">
        <v>102926.62</v>
      </c>
      <c r="H6632" s="42">
        <v>211</v>
      </c>
    </row>
    <row r="6633" spans="1:8" ht="15" customHeight="1">
      <c r="A6633" s="26">
        <v>74369901</v>
      </c>
      <c r="B6633" s="30" t="s">
        <v>8861</v>
      </c>
      <c r="C6633" s="29" t="s">
        <v>23151</v>
      </c>
      <c r="D6633" s="29" t="s">
        <v>36427</v>
      </c>
      <c r="E6633" s="29" t="s">
        <v>45254</v>
      </c>
      <c r="F6633" s="36" t="s">
        <v>54401</v>
      </c>
      <c r="G6633" s="39">
        <v>5592433.0899999999</v>
      </c>
      <c r="H6633" s="42">
        <v>211</v>
      </c>
    </row>
    <row r="6634" spans="1:8" ht="15" customHeight="1">
      <c r="A6634" s="26">
        <v>74369925</v>
      </c>
      <c r="B6634" s="30" t="s">
        <v>8862</v>
      </c>
      <c r="C6634" s="29" t="s">
        <v>23152</v>
      </c>
      <c r="D6634" s="29" t="s">
        <v>36428</v>
      </c>
      <c r="E6634" s="29" t="s">
        <v>47690</v>
      </c>
      <c r="F6634" s="36" t="s">
        <v>54401</v>
      </c>
      <c r="G6634" s="39">
        <f>1624760.88-6770</f>
        <v>1617990.88</v>
      </c>
      <c r="H6634" s="42">
        <v>211</v>
      </c>
    </row>
    <row r="6635" spans="1:8" ht="15" customHeight="1">
      <c r="A6635" s="26">
        <v>74369950</v>
      </c>
      <c r="B6635" s="30" t="s">
        <v>8863</v>
      </c>
      <c r="C6635" s="29" t="s">
        <v>23153</v>
      </c>
      <c r="D6635" s="29" t="s">
        <v>36429</v>
      </c>
      <c r="E6635" s="29" t="s">
        <v>48946</v>
      </c>
      <c r="F6635" s="36" t="s">
        <v>54401</v>
      </c>
      <c r="G6635" s="39">
        <v>233084.02</v>
      </c>
      <c r="H6635" s="42">
        <v>211</v>
      </c>
    </row>
    <row r="6636" spans="1:8" ht="15" customHeight="1">
      <c r="A6636" s="26">
        <v>74369955</v>
      </c>
      <c r="B6636" s="30" t="s">
        <v>8864</v>
      </c>
      <c r="C6636" s="29" t="s">
        <v>23154</v>
      </c>
      <c r="D6636" s="29" t="s">
        <v>36430</v>
      </c>
      <c r="E6636" s="29" t="s">
        <v>48947</v>
      </c>
      <c r="F6636" s="36" t="s">
        <v>54401</v>
      </c>
      <c r="G6636" s="39">
        <v>203838.73</v>
      </c>
      <c r="H6636" s="42">
        <v>211</v>
      </c>
    </row>
    <row r="6637" spans="1:8" ht="15" customHeight="1">
      <c r="A6637" s="26">
        <v>74369961</v>
      </c>
      <c r="B6637" s="30" t="s">
        <v>8865</v>
      </c>
      <c r="C6637" s="29" t="s">
        <v>23155</v>
      </c>
      <c r="D6637" s="29" t="s">
        <v>36431</v>
      </c>
      <c r="E6637" s="29" t="s">
        <v>48948</v>
      </c>
      <c r="F6637" s="36" t="s">
        <v>54401</v>
      </c>
      <c r="G6637" s="39">
        <v>443202.06</v>
      </c>
      <c r="H6637" s="42">
        <v>211</v>
      </c>
    </row>
    <row r="6638" spans="1:8" ht="15" customHeight="1">
      <c r="A6638" s="26">
        <v>74369971</v>
      </c>
      <c r="B6638" s="30" t="s">
        <v>8866</v>
      </c>
      <c r="C6638" s="29" t="s">
        <v>23156</v>
      </c>
      <c r="D6638" s="29" t="s">
        <v>36432</v>
      </c>
      <c r="E6638" s="29" t="s">
        <v>48949</v>
      </c>
      <c r="F6638" s="36" t="s">
        <v>54401</v>
      </c>
      <c r="G6638" s="39">
        <v>1740343.28</v>
      </c>
      <c r="H6638" s="42">
        <v>211</v>
      </c>
    </row>
    <row r="6639" spans="1:8" ht="15" customHeight="1">
      <c r="A6639" s="26">
        <v>74369982</v>
      </c>
      <c r="B6639" s="30" t="s">
        <v>8867</v>
      </c>
      <c r="C6639" s="26" t="s">
        <v>23157</v>
      </c>
      <c r="D6639" s="26" t="s">
        <v>36433</v>
      </c>
      <c r="E6639" s="26" t="s">
        <v>48950</v>
      </c>
      <c r="F6639" s="37" t="s">
        <v>54401</v>
      </c>
      <c r="G6639" s="39">
        <f>148180.6+1642149</f>
        <v>1790329.6</v>
      </c>
      <c r="H6639" s="42">
        <v>211</v>
      </c>
    </row>
    <row r="6640" spans="1:8" ht="15" customHeight="1">
      <c r="A6640" s="26">
        <v>74369993</v>
      </c>
      <c r="B6640" s="30" t="s">
        <v>8868</v>
      </c>
      <c r="C6640" s="29" t="s">
        <v>23158</v>
      </c>
      <c r="D6640" s="29" t="s">
        <v>36434</v>
      </c>
      <c r="E6640" s="29" t="s">
        <v>48951</v>
      </c>
      <c r="F6640" s="36" t="s">
        <v>54401</v>
      </c>
      <c r="G6640" s="39">
        <v>1020480.59</v>
      </c>
      <c r="H6640" s="42">
        <v>211</v>
      </c>
    </row>
    <row r="6641" spans="1:8" ht="15" customHeight="1">
      <c r="A6641" s="26">
        <v>74369997</v>
      </c>
      <c r="B6641" s="30" t="s">
        <v>8869</v>
      </c>
      <c r="C6641" s="29" t="s">
        <v>23159</v>
      </c>
      <c r="D6641" s="29" t="s">
        <v>36435</v>
      </c>
      <c r="E6641" s="29" t="s">
        <v>48952</v>
      </c>
      <c r="F6641" s="36" t="s">
        <v>54401</v>
      </c>
      <c r="G6641" s="39">
        <v>2796366.76</v>
      </c>
      <c r="H6641" s="42">
        <v>211</v>
      </c>
    </row>
    <row r="6642" spans="1:8" ht="15" customHeight="1">
      <c r="A6642" s="26">
        <v>74370000</v>
      </c>
      <c r="B6642" s="30" t="s">
        <v>8870</v>
      </c>
      <c r="C6642" s="26" t="s">
        <v>17204</v>
      </c>
      <c r="D6642" s="26" t="s">
        <v>30349</v>
      </c>
      <c r="E6642" s="26" t="s">
        <v>43926</v>
      </c>
      <c r="F6642" s="37" t="s">
        <v>54401</v>
      </c>
      <c r="G6642" s="39">
        <f>2386825.55-72495+108850+162191</f>
        <v>2585371.5499999998</v>
      </c>
      <c r="H6642" s="42">
        <v>211</v>
      </c>
    </row>
    <row r="6643" spans="1:8" ht="15" customHeight="1">
      <c r="A6643" s="26">
        <v>74370006</v>
      </c>
      <c r="B6643" s="30" t="s">
        <v>8871</v>
      </c>
      <c r="C6643" s="29" t="s">
        <v>23160</v>
      </c>
      <c r="D6643" s="29" t="s">
        <v>36436</v>
      </c>
      <c r="E6643" s="29" t="s">
        <v>44324</v>
      </c>
      <c r="F6643" s="36" t="s">
        <v>54401</v>
      </c>
      <c r="G6643" s="39">
        <v>334383.62</v>
      </c>
      <c r="H6643" s="42">
        <v>211</v>
      </c>
    </row>
    <row r="6644" spans="1:8" ht="15" customHeight="1">
      <c r="A6644" s="26">
        <v>74370021</v>
      </c>
      <c r="B6644" s="30" t="s">
        <v>8872</v>
      </c>
      <c r="C6644" s="26" t="s">
        <v>23161</v>
      </c>
      <c r="D6644" s="26" t="s">
        <v>36437</v>
      </c>
      <c r="E6644" s="26" t="s">
        <v>48953</v>
      </c>
      <c r="F6644" s="37" t="s">
        <v>54401</v>
      </c>
      <c r="G6644" s="39">
        <v>32983.78</v>
      </c>
      <c r="H6644" s="42">
        <v>211</v>
      </c>
    </row>
    <row r="6645" spans="1:8" ht="15" customHeight="1">
      <c r="A6645" s="26">
        <v>74370025</v>
      </c>
      <c r="B6645" s="30" t="s">
        <v>8873</v>
      </c>
      <c r="C6645" s="29" t="s">
        <v>17204</v>
      </c>
      <c r="D6645" s="29" t="s">
        <v>30349</v>
      </c>
      <c r="E6645" s="29" t="s">
        <v>43926</v>
      </c>
      <c r="F6645" s="36" t="s">
        <v>54401</v>
      </c>
      <c r="G6645" s="39">
        <v>428870.74</v>
      </c>
      <c r="H6645" s="42">
        <v>211</v>
      </c>
    </row>
    <row r="6646" spans="1:8" ht="15" customHeight="1">
      <c r="A6646" s="26">
        <v>74370026</v>
      </c>
      <c r="B6646" s="30" t="s">
        <v>8874</v>
      </c>
      <c r="C6646" s="29" t="s">
        <v>23162</v>
      </c>
      <c r="D6646" s="29" t="s">
        <v>36438</v>
      </c>
      <c r="E6646" s="29" t="s">
        <v>48954</v>
      </c>
      <c r="F6646" s="36" t="s">
        <v>54401</v>
      </c>
      <c r="G6646" s="39">
        <v>3522195.98</v>
      </c>
      <c r="H6646" s="42">
        <v>211</v>
      </c>
    </row>
    <row r="6647" spans="1:8" ht="15" customHeight="1">
      <c r="A6647" s="26">
        <v>74370030</v>
      </c>
      <c r="B6647" s="30" t="s">
        <v>8875</v>
      </c>
      <c r="C6647" s="29" t="s">
        <v>23163</v>
      </c>
      <c r="D6647" s="29" t="s">
        <v>36439</v>
      </c>
      <c r="E6647" s="29" t="s">
        <v>48955</v>
      </c>
      <c r="F6647" s="36" t="s">
        <v>54401</v>
      </c>
      <c r="G6647" s="39">
        <v>236017.02</v>
      </c>
      <c r="H6647" s="42">
        <v>211</v>
      </c>
    </row>
    <row r="6648" spans="1:8" ht="15" customHeight="1">
      <c r="A6648" s="26">
        <v>74370037</v>
      </c>
      <c r="B6648" s="30" t="s">
        <v>8876</v>
      </c>
      <c r="C6648" s="29" t="s">
        <v>23164</v>
      </c>
      <c r="D6648" s="29" t="s">
        <v>36440</v>
      </c>
      <c r="E6648" s="29" t="s">
        <v>870</v>
      </c>
      <c r="F6648" s="36" t="s">
        <v>54401</v>
      </c>
      <c r="G6648" s="39">
        <f>1791095.64-468557+145149</f>
        <v>1467687.64</v>
      </c>
      <c r="H6648" s="42">
        <v>211</v>
      </c>
    </row>
    <row r="6649" spans="1:8" ht="15" customHeight="1">
      <c r="A6649" s="26">
        <v>74370099</v>
      </c>
      <c r="B6649" s="30" t="s">
        <v>8877</v>
      </c>
      <c r="C6649" s="29" t="s">
        <v>23165</v>
      </c>
      <c r="D6649" s="29" t="s">
        <v>36441</v>
      </c>
      <c r="E6649" s="29" t="s">
        <v>48956</v>
      </c>
      <c r="F6649" s="36" t="s">
        <v>54401</v>
      </c>
      <c r="G6649" s="39">
        <v>676378.65</v>
      </c>
      <c r="H6649" s="42">
        <v>211</v>
      </c>
    </row>
    <row r="6650" spans="1:8" ht="15" customHeight="1">
      <c r="A6650" s="26">
        <v>74370104</v>
      </c>
      <c r="B6650" s="30" t="s">
        <v>8878</v>
      </c>
      <c r="C6650" s="29" t="s">
        <v>23166</v>
      </c>
      <c r="D6650" s="29" t="s">
        <v>36442</v>
      </c>
      <c r="E6650" s="29" t="s">
        <v>48957</v>
      </c>
      <c r="F6650" s="36" t="s">
        <v>54401</v>
      </c>
      <c r="G6650" s="39">
        <f>2734115.09-18150</f>
        <v>2715965.09</v>
      </c>
      <c r="H6650" s="42">
        <v>211</v>
      </c>
    </row>
    <row r="6651" spans="1:8" ht="15" customHeight="1">
      <c r="A6651" s="26">
        <v>74370106</v>
      </c>
      <c r="B6651" s="30" t="s">
        <v>8879</v>
      </c>
      <c r="C6651" s="29" t="s">
        <v>23167</v>
      </c>
      <c r="D6651" s="29" t="s">
        <v>36443</v>
      </c>
      <c r="E6651" s="29" t="s">
        <v>48284</v>
      </c>
      <c r="F6651" s="36" t="s">
        <v>54401</v>
      </c>
      <c r="G6651" s="39">
        <f>1786699.22+400277+393700</f>
        <v>2580676.2199999997</v>
      </c>
      <c r="H6651" s="42">
        <v>211</v>
      </c>
    </row>
    <row r="6652" spans="1:8" ht="15" customHeight="1">
      <c r="A6652" s="26">
        <v>74370121</v>
      </c>
      <c r="B6652" s="30" t="s">
        <v>8880</v>
      </c>
      <c r="C6652" s="29" t="s">
        <v>23168</v>
      </c>
      <c r="D6652" s="29" t="s">
        <v>36444</v>
      </c>
      <c r="E6652" s="29" t="s">
        <v>48958</v>
      </c>
      <c r="F6652" s="36" t="s">
        <v>54401</v>
      </c>
      <c r="G6652" s="39">
        <v>556508.18999999994</v>
      </c>
      <c r="H6652" s="42">
        <v>211</v>
      </c>
    </row>
    <row r="6653" spans="1:8" ht="15" customHeight="1">
      <c r="A6653" s="26">
        <v>74370159</v>
      </c>
      <c r="B6653" s="30" t="s">
        <v>8881</v>
      </c>
      <c r="C6653" s="29" t="s">
        <v>17204</v>
      </c>
      <c r="D6653" s="29" t="s">
        <v>36445</v>
      </c>
      <c r="E6653" s="29" t="s">
        <v>43926</v>
      </c>
      <c r="F6653" s="36" t="s">
        <v>54401</v>
      </c>
      <c r="G6653" s="39">
        <v>71181.37</v>
      </c>
      <c r="H6653" s="42">
        <v>211</v>
      </c>
    </row>
    <row r="6654" spans="1:8" ht="15" customHeight="1">
      <c r="A6654" s="26">
        <v>74370165</v>
      </c>
      <c r="B6654" s="30" t="s">
        <v>8882</v>
      </c>
      <c r="C6654" s="29" t="s">
        <v>23169</v>
      </c>
      <c r="D6654" s="29" t="s">
        <v>30349</v>
      </c>
      <c r="E6654" s="29" t="s">
        <v>43926</v>
      </c>
      <c r="F6654" s="36" t="s">
        <v>54401</v>
      </c>
      <c r="G6654" s="39">
        <v>716630.14</v>
      </c>
      <c r="H6654" s="42">
        <v>211</v>
      </c>
    </row>
    <row r="6655" spans="1:8" ht="15" customHeight="1">
      <c r="A6655" s="26">
        <v>74370177</v>
      </c>
      <c r="B6655" s="30" t="s">
        <v>8883</v>
      </c>
      <c r="C6655" s="29" t="s">
        <v>23170</v>
      </c>
      <c r="D6655" s="29" t="s">
        <v>36446</v>
      </c>
      <c r="E6655" s="29" t="s">
        <v>48959</v>
      </c>
      <c r="F6655" s="36" t="s">
        <v>54401</v>
      </c>
      <c r="G6655" s="39">
        <v>3799338.85</v>
      </c>
      <c r="H6655" s="42">
        <v>211</v>
      </c>
    </row>
    <row r="6656" spans="1:8" ht="15" customHeight="1">
      <c r="A6656" s="26">
        <v>74370184</v>
      </c>
      <c r="B6656" s="30" t="s">
        <v>8884</v>
      </c>
      <c r="C6656" s="29" t="s">
        <v>23171</v>
      </c>
      <c r="D6656" s="29" t="s">
        <v>36447</v>
      </c>
      <c r="E6656" s="29" t="s">
        <v>48960</v>
      </c>
      <c r="F6656" s="36" t="s">
        <v>54401</v>
      </c>
      <c r="G6656" s="39">
        <v>2215078.12</v>
      </c>
      <c r="H6656" s="42">
        <v>211</v>
      </c>
    </row>
    <row r="6657" spans="1:8" ht="15" customHeight="1">
      <c r="A6657" s="26">
        <v>74370190</v>
      </c>
      <c r="B6657" s="30" t="s">
        <v>8885</v>
      </c>
      <c r="C6657" s="26" t="s">
        <v>23172</v>
      </c>
      <c r="D6657" s="26" t="s">
        <v>36448</v>
      </c>
      <c r="E6657" s="26" t="s">
        <v>48961</v>
      </c>
      <c r="F6657" s="37" t="s">
        <v>54401</v>
      </c>
      <c r="G6657" s="39">
        <v>181820.78</v>
      </c>
      <c r="H6657" s="42">
        <v>211</v>
      </c>
    </row>
    <row r="6658" spans="1:8" ht="15" customHeight="1">
      <c r="A6658" s="26">
        <v>74370198</v>
      </c>
      <c r="B6658" s="30" t="s">
        <v>8886</v>
      </c>
      <c r="C6658" s="29" t="s">
        <v>23173</v>
      </c>
      <c r="D6658" s="29" t="s">
        <v>36449</v>
      </c>
      <c r="E6658" s="29" t="s">
        <v>48962</v>
      </c>
      <c r="F6658" s="36" t="s">
        <v>54401</v>
      </c>
      <c r="G6658" s="39">
        <f>1379802.94+29622</f>
        <v>1409424.94</v>
      </c>
      <c r="H6658" s="42">
        <v>211</v>
      </c>
    </row>
    <row r="6659" spans="1:8" ht="15" customHeight="1">
      <c r="A6659" s="26">
        <v>74370203</v>
      </c>
      <c r="B6659" s="30" t="s">
        <v>8887</v>
      </c>
      <c r="C6659" s="29" t="s">
        <v>23174</v>
      </c>
      <c r="D6659" s="29" t="s">
        <v>36450</v>
      </c>
      <c r="E6659" s="29" t="s">
        <v>44051</v>
      </c>
      <c r="F6659" s="36" t="s">
        <v>54401</v>
      </c>
      <c r="G6659" s="39">
        <v>309506.15999999997</v>
      </c>
      <c r="H6659" s="42">
        <v>211</v>
      </c>
    </row>
    <row r="6660" spans="1:8" ht="15" customHeight="1">
      <c r="A6660" s="26">
        <v>74370206</v>
      </c>
      <c r="B6660" s="30" t="s">
        <v>8888</v>
      </c>
      <c r="C6660" s="29" t="s">
        <v>17204</v>
      </c>
      <c r="D6660" s="29" t="s">
        <v>30349</v>
      </c>
      <c r="E6660" s="29" t="s">
        <v>43926</v>
      </c>
      <c r="F6660" s="36" t="s">
        <v>54401</v>
      </c>
      <c r="G6660" s="39">
        <v>1297584.31</v>
      </c>
      <c r="H6660" s="42">
        <v>211</v>
      </c>
    </row>
    <row r="6661" spans="1:8" ht="15" customHeight="1">
      <c r="A6661" s="26">
        <v>74370210</v>
      </c>
      <c r="B6661" s="30" t="s">
        <v>8889</v>
      </c>
      <c r="C6661" s="29" t="s">
        <v>17204</v>
      </c>
      <c r="D6661" s="29" t="s">
        <v>36451</v>
      </c>
      <c r="E6661" s="29" t="s">
        <v>43926</v>
      </c>
      <c r="F6661" s="36" t="s">
        <v>54401</v>
      </c>
      <c r="G6661" s="39">
        <v>19988.099999999999</v>
      </c>
      <c r="H6661" s="42">
        <v>211</v>
      </c>
    </row>
    <row r="6662" spans="1:8" ht="15" customHeight="1">
      <c r="A6662" s="26">
        <v>74370246</v>
      </c>
      <c r="B6662" s="30" t="s">
        <v>8890</v>
      </c>
      <c r="C6662" s="29" t="s">
        <v>23175</v>
      </c>
      <c r="D6662" s="29" t="s">
        <v>36452</v>
      </c>
      <c r="E6662" s="29" t="s">
        <v>48963</v>
      </c>
      <c r="F6662" s="36" t="s">
        <v>54401</v>
      </c>
      <c r="G6662" s="39">
        <v>772083.71</v>
      </c>
      <c r="H6662" s="42">
        <v>211</v>
      </c>
    </row>
    <row r="6663" spans="1:8" ht="15" customHeight="1">
      <c r="A6663" s="26">
        <v>74370261</v>
      </c>
      <c r="B6663" s="30" t="s">
        <v>8891</v>
      </c>
      <c r="C6663" s="29" t="s">
        <v>23176</v>
      </c>
      <c r="D6663" s="29" t="s">
        <v>36453</v>
      </c>
      <c r="E6663" s="29" t="s">
        <v>48964</v>
      </c>
      <c r="F6663" s="36" t="s">
        <v>54401</v>
      </c>
      <c r="G6663" s="39">
        <v>124243.69</v>
      </c>
      <c r="H6663" s="42">
        <v>211</v>
      </c>
    </row>
    <row r="6664" spans="1:8" ht="15" customHeight="1">
      <c r="A6664" s="26">
        <v>74370278</v>
      </c>
      <c r="B6664" s="30" t="s">
        <v>8892</v>
      </c>
      <c r="C6664" s="26" t="s">
        <v>23177</v>
      </c>
      <c r="D6664" s="26" t="s">
        <v>36454</v>
      </c>
      <c r="E6664" s="26" t="s">
        <v>48965</v>
      </c>
      <c r="F6664" s="37" t="s">
        <v>54401</v>
      </c>
      <c r="G6664" s="39">
        <v>2117889.42</v>
      </c>
      <c r="H6664" s="42">
        <v>211</v>
      </c>
    </row>
    <row r="6665" spans="1:8" ht="15" customHeight="1">
      <c r="A6665" s="26">
        <v>74370289</v>
      </c>
      <c r="B6665" s="30" t="s">
        <v>8893</v>
      </c>
      <c r="C6665" s="29" t="s">
        <v>23178</v>
      </c>
      <c r="D6665" s="29" t="s">
        <v>36455</v>
      </c>
      <c r="E6665" s="29" t="s">
        <v>48966</v>
      </c>
      <c r="F6665" s="36" t="s">
        <v>54401</v>
      </c>
      <c r="G6665" s="39">
        <v>62510.07</v>
      </c>
      <c r="H6665" s="42">
        <v>211</v>
      </c>
    </row>
    <row r="6666" spans="1:8" ht="15" customHeight="1">
      <c r="A6666" s="26">
        <v>74370294</v>
      </c>
      <c r="B6666" s="30" t="s">
        <v>8894</v>
      </c>
      <c r="C6666" s="29" t="s">
        <v>23179</v>
      </c>
      <c r="D6666" s="29" t="s">
        <v>36456</v>
      </c>
      <c r="E6666" s="29" t="s">
        <v>44963</v>
      </c>
      <c r="F6666" s="36" t="s">
        <v>54401</v>
      </c>
      <c r="G6666" s="39">
        <f>3782739.76+1709257+587179</f>
        <v>6079175.7599999998</v>
      </c>
      <c r="H6666" s="42">
        <v>211</v>
      </c>
    </row>
    <row r="6667" spans="1:8" ht="15" customHeight="1">
      <c r="A6667" s="26">
        <v>74370297</v>
      </c>
      <c r="B6667" s="30" t="s">
        <v>8895</v>
      </c>
      <c r="C6667" s="29" t="s">
        <v>17204</v>
      </c>
      <c r="D6667" s="29" t="s">
        <v>30349</v>
      </c>
      <c r="E6667" s="29" t="s">
        <v>43926</v>
      </c>
      <c r="F6667" s="36" t="s">
        <v>54401</v>
      </c>
      <c r="G6667" s="39">
        <v>357229.36</v>
      </c>
      <c r="H6667" s="42">
        <v>211</v>
      </c>
    </row>
    <row r="6668" spans="1:8" ht="15" customHeight="1">
      <c r="A6668" s="26">
        <v>74370303</v>
      </c>
      <c r="B6668" s="30" t="s">
        <v>8896</v>
      </c>
      <c r="C6668" s="29" t="s">
        <v>23180</v>
      </c>
      <c r="D6668" s="29" t="s">
        <v>36457</v>
      </c>
      <c r="E6668" s="29" t="s">
        <v>48967</v>
      </c>
      <c r="F6668" s="36" t="s">
        <v>54401</v>
      </c>
      <c r="G6668" s="39">
        <v>145902.85</v>
      </c>
      <c r="H6668" s="42">
        <v>211</v>
      </c>
    </row>
    <row r="6669" spans="1:8" ht="15" customHeight="1">
      <c r="A6669" s="26">
        <v>74370307</v>
      </c>
      <c r="B6669" s="30" t="s">
        <v>8897</v>
      </c>
      <c r="C6669" s="29" t="s">
        <v>23181</v>
      </c>
      <c r="D6669" s="29" t="s">
        <v>36458</v>
      </c>
      <c r="E6669" s="29" t="s">
        <v>48968</v>
      </c>
      <c r="F6669" s="36" t="s">
        <v>54401</v>
      </c>
      <c r="G6669" s="39">
        <v>184938.46</v>
      </c>
      <c r="H6669" s="42">
        <v>211</v>
      </c>
    </row>
    <row r="6670" spans="1:8" ht="15" customHeight="1">
      <c r="A6670" s="26">
        <v>74370320</v>
      </c>
      <c r="B6670" s="30" t="s">
        <v>8898</v>
      </c>
      <c r="C6670" s="29" t="s">
        <v>23182</v>
      </c>
      <c r="D6670" s="29" t="s">
        <v>36459</v>
      </c>
      <c r="E6670" s="29" t="s">
        <v>48969</v>
      </c>
      <c r="F6670" s="36" t="s">
        <v>54401</v>
      </c>
      <c r="G6670" s="39">
        <v>3728567.85</v>
      </c>
      <c r="H6670" s="42">
        <v>211</v>
      </c>
    </row>
    <row r="6671" spans="1:8" ht="15" customHeight="1">
      <c r="A6671" s="26">
        <v>74370322</v>
      </c>
      <c r="B6671" s="30" t="s">
        <v>8899</v>
      </c>
      <c r="C6671" s="29" t="s">
        <v>23183</v>
      </c>
      <c r="D6671" s="29" t="s">
        <v>36460</v>
      </c>
      <c r="E6671" s="29" t="s">
        <v>48970</v>
      </c>
      <c r="F6671" s="36" t="s">
        <v>54401</v>
      </c>
      <c r="G6671" s="39">
        <f>6229896.71+189056</f>
        <v>6418952.71</v>
      </c>
      <c r="H6671" s="42">
        <v>211</v>
      </c>
    </row>
    <row r="6672" spans="1:8" ht="15" customHeight="1">
      <c r="A6672" s="26">
        <v>74370349</v>
      </c>
      <c r="B6672" s="30" t="s">
        <v>8900</v>
      </c>
      <c r="C6672" s="29" t="s">
        <v>23184</v>
      </c>
      <c r="D6672" s="29" t="s">
        <v>36461</v>
      </c>
      <c r="E6672" s="29" t="s">
        <v>48971</v>
      </c>
      <c r="F6672" s="36" t="s">
        <v>54401</v>
      </c>
      <c r="G6672" s="39">
        <v>1675009.41</v>
      </c>
      <c r="H6672" s="42">
        <v>211</v>
      </c>
    </row>
    <row r="6673" spans="1:8" ht="15" customHeight="1">
      <c r="A6673" s="26">
        <v>74370374</v>
      </c>
      <c r="B6673" s="30" t="s">
        <v>8901</v>
      </c>
      <c r="C6673" s="26" t="s">
        <v>23185</v>
      </c>
      <c r="D6673" s="26" t="s">
        <v>36462</v>
      </c>
      <c r="E6673" s="26" t="s">
        <v>48972</v>
      </c>
      <c r="F6673" s="37" t="s">
        <v>54401</v>
      </c>
      <c r="G6673" s="39">
        <f>135043.54+1034032</f>
        <v>1169075.54</v>
      </c>
      <c r="H6673" s="42">
        <v>211</v>
      </c>
    </row>
    <row r="6674" spans="1:8" ht="15" customHeight="1">
      <c r="A6674" s="26">
        <v>74370378</v>
      </c>
      <c r="B6674" s="30" t="s">
        <v>8902</v>
      </c>
      <c r="C6674" s="29" t="s">
        <v>17204</v>
      </c>
      <c r="D6674" s="29" t="s">
        <v>30349</v>
      </c>
      <c r="E6674" s="29" t="s">
        <v>43926</v>
      </c>
      <c r="F6674" s="36" t="s">
        <v>54401</v>
      </c>
      <c r="G6674" s="39">
        <v>67096.27</v>
      </c>
      <c r="H6674" s="42">
        <v>211</v>
      </c>
    </row>
    <row r="6675" spans="1:8" ht="15" customHeight="1">
      <c r="A6675" s="26">
        <v>74370389</v>
      </c>
      <c r="B6675" s="30" t="s">
        <v>8903</v>
      </c>
      <c r="C6675" s="29" t="s">
        <v>23186</v>
      </c>
      <c r="D6675" s="29" t="s">
        <v>36463</v>
      </c>
      <c r="E6675" s="29" t="s">
        <v>48973</v>
      </c>
      <c r="F6675" s="36" t="s">
        <v>54401</v>
      </c>
      <c r="G6675" s="39">
        <f>1009012.34+42458</f>
        <v>1051470.3399999999</v>
      </c>
      <c r="H6675" s="42">
        <v>211</v>
      </c>
    </row>
    <row r="6676" spans="1:8" ht="15" customHeight="1">
      <c r="A6676" s="26">
        <v>74370396</v>
      </c>
      <c r="B6676" s="30" t="s">
        <v>8904</v>
      </c>
      <c r="C6676" s="29" t="s">
        <v>23187</v>
      </c>
      <c r="D6676" s="29" t="s">
        <v>36464</v>
      </c>
      <c r="E6676" s="29" t="s">
        <v>48974</v>
      </c>
      <c r="F6676" s="36" t="s">
        <v>54401</v>
      </c>
      <c r="G6676" s="39">
        <v>7375628.0199999996</v>
      </c>
      <c r="H6676" s="42">
        <v>211</v>
      </c>
    </row>
    <row r="6677" spans="1:8" ht="15" customHeight="1">
      <c r="A6677" s="26">
        <v>74370409</v>
      </c>
      <c r="B6677" s="30" t="s">
        <v>8905</v>
      </c>
      <c r="C6677" s="26" t="s">
        <v>23188</v>
      </c>
      <c r="D6677" s="26" t="s">
        <v>36465</v>
      </c>
      <c r="E6677" s="26" t="s">
        <v>48975</v>
      </c>
      <c r="F6677" s="37" t="s">
        <v>54401</v>
      </c>
      <c r="G6677" s="39">
        <v>410609.38</v>
      </c>
      <c r="H6677" s="42">
        <v>211</v>
      </c>
    </row>
    <row r="6678" spans="1:8" ht="15" customHeight="1">
      <c r="A6678" s="26">
        <v>74370444</v>
      </c>
      <c r="B6678" s="30" t="s">
        <v>8906</v>
      </c>
      <c r="C6678" s="29" t="s">
        <v>17204</v>
      </c>
      <c r="D6678" s="29" t="s">
        <v>30349</v>
      </c>
      <c r="E6678" s="29" t="s">
        <v>43926</v>
      </c>
      <c r="F6678" s="36" t="s">
        <v>54401</v>
      </c>
      <c r="G6678" s="39">
        <v>93545.34</v>
      </c>
      <c r="H6678" s="42">
        <v>211</v>
      </c>
    </row>
    <row r="6679" spans="1:8" ht="15" customHeight="1">
      <c r="A6679" s="26">
        <v>74370473</v>
      </c>
      <c r="B6679" s="30" t="s">
        <v>8907</v>
      </c>
      <c r="C6679" s="26" t="s">
        <v>23189</v>
      </c>
      <c r="D6679" s="26" t="s">
        <v>36466</v>
      </c>
      <c r="E6679" s="26" t="s">
        <v>48976</v>
      </c>
      <c r="F6679" s="37" t="s">
        <v>54401</v>
      </c>
      <c r="G6679" s="39">
        <v>177622.43</v>
      </c>
      <c r="H6679" s="42">
        <v>211</v>
      </c>
    </row>
    <row r="6680" spans="1:8" ht="15" customHeight="1">
      <c r="A6680" s="26">
        <v>74370476</v>
      </c>
      <c r="B6680" s="30" t="s">
        <v>8908</v>
      </c>
      <c r="C6680" s="29" t="s">
        <v>23190</v>
      </c>
      <c r="D6680" s="29" t="s">
        <v>36467</v>
      </c>
      <c r="E6680" s="29" t="s">
        <v>43926</v>
      </c>
      <c r="F6680" s="36" t="s">
        <v>54401</v>
      </c>
      <c r="G6680" s="39">
        <f>3551714.67+153925</f>
        <v>3705639.67</v>
      </c>
      <c r="H6680" s="42">
        <v>211</v>
      </c>
    </row>
    <row r="6681" spans="1:8" ht="15" customHeight="1">
      <c r="A6681" s="26">
        <v>74370483</v>
      </c>
      <c r="B6681" s="30" t="s">
        <v>8909</v>
      </c>
      <c r="C6681" s="29" t="s">
        <v>23191</v>
      </c>
      <c r="D6681" s="29" t="s">
        <v>36468</v>
      </c>
      <c r="E6681" s="29" t="s">
        <v>48977</v>
      </c>
      <c r="F6681" s="36" t="s">
        <v>54401</v>
      </c>
      <c r="G6681" s="39">
        <f>897600.26+693566</f>
        <v>1591166.26</v>
      </c>
      <c r="H6681" s="42">
        <v>211</v>
      </c>
    </row>
    <row r="6682" spans="1:8" ht="15" customHeight="1">
      <c r="A6682" s="26">
        <v>74370487</v>
      </c>
      <c r="B6682" s="30" t="s">
        <v>8910</v>
      </c>
      <c r="C6682" s="29" t="s">
        <v>23192</v>
      </c>
      <c r="D6682" s="29" t="s">
        <v>36469</v>
      </c>
      <c r="E6682" s="29" t="s">
        <v>48978</v>
      </c>
      <c r="F6682" s="36" t="s">
        <v>54401</v>
      </c>
      <c r="G6682" s="39">
        <v>2294544.81</v>
      </c>
      <c r="H6682" s="42">
        <v>211</v>
      </c>
    </row>
    <row r="6683" spans="1:8" ht="15" customHeight="1">
      <c r="A6683" s="26">
        <v>74370490</v>
      </c>
      <c r="B6683" s="30" t="s">
        <v>8911</v>
      </c>
      <c r="C6683" s="26" t="s">
        <v>23193</v>
      </c>
      <c r="D6683" s="26" t="s">
        <v>36470</v>
      </c>
      <c r="E6683" s="26" t="s">
        <v>717</v>
      </c>
      <c r="F6683" s="37" t="s">
        <v>54409</v>
      </c>
      <c r="G6683" s="39">
        <f>1276256.46+3825874</f>
        <v>5102130.46</v>
      </c>
      <c r="H6683" s="42">
        <v>211</v>
      </c>
    </row>
    <row r="6684" spans="1:8" ht="15" customHeight="1">
      <c r="A6684" s="26">
        <v>74370500</v>
      </c>
      <c r="B6684" s="30" t="s">
        <v>8912</v>
      </c>
      <c r="C6684" s="29" t="s">
        <v>21070</v>
      </c>
      <c r="D6684" s="29" t="s">
        <v>34299</v>
      </c>
      <c r="E6684" s="29" t="s">
        <v>47312</v>
      </c>
      <c r="F6684" s="36" t="s">
        <v>54401</v>
      </c>
      <c r="G6684" s="39">
        <v>1111973.07</v>
      </c>
      <c r="H6684" s="42">
        <v>211</v>
      </c>
    </row>
    <row r="6685" spans="1:8" ht="15" customHeight="1">
      <c r="A6685" s="26">
        <v>74370503</v>
      </c>
      <c r="B6685" s="30" t="s">
        <v>8913</v>
      </c>
      <c r="C6685" s="29" t="s">
        <v>23194</v>
      </c>
      <c r="D6685" s="29" t="s">
        <v>36471</v>
      </c>
      <c r="E6685" s="29" t="s">
        <v>48979</v>
      </c>
      <c r="F6685" s="36" t="s">
        <v>54401</v>
      </c>
      <c r="G6685" s="39">
        <f>3757705.82+27991</f>
        <v>3785696.82</v>
      </c>
      <c r="H6685" s="42">
        <v>211</v>
      </c>
    </row>
    <row r="6686" spans="1:8" ht="15" customHeight="1">
      <c r="A6686" s="26">
        <v>74370529</v>
      </c>
      <c r="B6686" s="30" t="s">
        <v>8914</v>
      </c>
      <c r="C6686" s="29" t="s">
        <v>23195</v>
      </c>
      <c r="D6686" s="29" t="s">
        <v>36472</v>
      </c>
      <c r="E6686" s="29" t="s">
        <v>43926</v>
      </c>
      <c r="F6686" s="36" t="s">
        <v>54401</v>
      </c>
      <c r="G6686" s="39">
        <v>72000.009999999995</v>
      </c>
      <c r="H6686" s="42">
        <v>211</v>
      </c>
    </row>
    <row r="6687" spans="1:8" ht="15" customHeight="1">
      <c r="A6687" s="26">
        <v>74370551</v>
      </c>
      <c r="B6687" s="30" t="s">
        <v>8915</v>
      </c>
      <c r="C6687" s="29" t="s">
        <v>23196</v>
      </c>
      <c r="D6687" s="29" t="s">
        <v>36473</v>
      </c>
      <c r="E6687" s="29" t="s">
        <v>48980</v>
      </c>
      <c r="F6687" s="36" t="s">
        <v>54401</v>
      </c>
      <c r="G6687" s="39">
        <v>24635.3</v>
      </c>
      <c r="H6687" s="42">
        <v>211</v>
      </c>
    </row>
    <row r="6688" spans="1:8" ht="15" customHeight="1">
      <c r="A6688" s="26">
        <v>74370552</v>
      </c>
      <c r="B6688" s="30" t="s">
        <v>8916</v>
      </c>
      <c r="C6688" s="29" t="s">
        <v>23197</v>
      </c>
      <c r="D6688" s="29" t="s">
        <v>36474</v>
      </c>
      <c r="E6688" s="29" t="s">
        <v>48981</v>
      </c>
      <c r="F6688" s="36" t="s">
        <v>54401</v>
      </c>
      <c r="G6688" s="39">
        <v>177875.88</v>
      </c>
      <c r="H6688" s="42">
        <v>211</v>
      </c>
    </row>
    <row r="6689" spans="1:8" ht="15" customHeight="1">
      <c r="A6689" s="26">
        <v>74370583</v>
      </c>
      <c r="B6689" s="30" t="s">
        <v>8917</v>
      </c>
      <c r="C6689" s="29" t="s">
        <v>23198</v>
      </c>
      <c r="D6689" s="29" t="s">
        <v>36475</v>
      </c>
      <c r="E6689" s="29" t="s">
        <v>48982</v>
      </c>
      <c r="F6689" s="36" t="s">
        <v>54401</v>
      </c>
      <c r="G6689" s="39">
        <v>6205033.8600000003</v>
      </c>
      <c r="H6689" s="42">
        <v>211</v>
      </c>
    </row>
    <row r="6690" spans="1:8" ht="15" customHeight="1">
      <c r="A6690" s="26">
        <v>74370584</v>
      </c>
      <c r="B6690" s="30" t="s">
        <v>8918</v>
      </c>
      <c r="C6690" s="29" t="s">
        <v>23199</v>
      </c>
      <c r="D6690" s="29" t="s">
        <v>36476</v>
      </c>
      <c r="E6690" s="29" t="s">
        <v>48983</v>
      </c>
      <c r="F6690" s="36" t="s">
        <v>54401</v>
      </c>
      <c r="G6690" s="39">
        <v>2507908.25</v>
      </c>
      <c r="H6690" s="42">
        <v>211</v>
      </c>
    </row>
    <row r="6691" spans="1:8" ht="15" customHeight="1">
      <c r="A6691" s="26">
        <v>74370594</v>
      </c>
      <c r="B6691" s="30" t="s">
        <v>8919</v>
      </c>
      <c r="C6691" s="29" t="s">
        <v>23200</v>
      </c>
      <c r="D6691" s="29" t="s">
        <v>36477</v>
      </c>
      <c r="E6691" s="29" t="s">
        <v>47493</v>
      </c>
      <c r="F6691" s="36" t="s">
        <v>54401</v>
      </c>
      <c r="G6691" s="39">
        <f>6830697.55-25321</f>
        <v>6805376.5499999998</v>
      </c>
      <c r="H6691" s="42">
        <v>211</v>
      </c>
    </row>
    <row r="6692" spans="1:8" ht="15" customHeight="1">
      <c r="A6692" s="26">
        <v>74370610</v>
      </c>
      <c r="B6692" s="30" t="s">
        <v>8920</v>
      </c>
      <c r="C6692" s="29" t="s">
        <v>23201</v>
      </c>
      <c r="D6692" s="29" t="s">
        <v>36478</v>
      </c>
      <c r="E6692" s="29" t="s">
        <v>48984</v>
      </c>
      <c r="F6692" s="36" t="s">
        <v>54401</v>
      </c>
      <c r="G6692" s="39">
        <v>2378112.15</v>
      </c>
      <c r="H6692" s="42">
        <v>211</v>
      </c>
    </row>
    <row r="6693" spans="1:8" ht="15" customHeight="1">
      <c r="A6693" s="26">
        <v>74370633</v>
      </c>
      <c r="B6693" s="30" t="s">
        <v>8921</v>
      </c>
      <c r="C6693" s="29" t="s">
        <v>23202</v>
      </c>
      <c r="D6693" s="29" t="s">
        <v>36479</v>
      </c>
      <c r="E6693" s="29" t="s">
        <v>48985</v>
      </c>
      <c r="F6693" s="36" t="s">
        <v>54401</v>
      </c>
      <c r="G6693" s="39">
        <v>1213930.17</v>
      </c>
      <c r="H6693" s="42">
        <v>211</v>
      </c>
    </row>
    <row r="6694" spans="1:8" ht="15" customHeight="1">
      <c r="A6694" s="26">
        <v>74370637</v>
      </c>
      <c r="B6694" s="30" t="s">
        <v>8922</v>
      </c>
      <c r="C6694" s="29" t="s">
        <v>23203</v>
      </c>
      <c r="D6694" s="29" t="s">
        <v>36480</v>
      </c>
      <c r="E6694" s="29" t="s">
        <v>48986</v>
      </c>
      <c r="F6694" s="36" t="s">
        <v>54401</v>
      </c>
      <c r="G6694" s="39">
        <v>6443099.7199999997</v>
      </c>
      <c r="H6694" s="42">
        <v>211</v>
      </c>
    </row>
    <row r="6695" spans="1:8" ht="15" customHeight="1">
      <c r="A6695" s="26">
        <v>74370641</v>
      </c>
      <c r="B6695" s="30" t="s">
        <v>8923</v>
      </c>
      <c r="C6695" s="29" t="s">
        <v>23204</v>
      </c>
      <c r="D6695" s="29" t="s">
        <v>36481</v>
      </c>
      <c r="E6695" s="29" t="s">
        <v>48987</v>
      </c>
      <c r="F6695" s="36" t="s">
        <v>54401</v>
      </c>
      <c r="G6695" s="39">
        <v>1712896.52</v>
      </c>
      <c r="H6695" s="42">
        <v>211</v>
      </c>
    </row>
    <row r="6696" spans="1:8" ht="15" customHeight="1">
      <c r="A6696" s="26">
        <v>74370648</v>
      </c>
      <c r="B6696" s="30" t="s">
        <v>8924</v>
      </c>
      <c r="C6696" s="29" t="s">
        <v>23205</v>
      </c>
      <c r="D6696" s="29" t="s">
        <v>36482</v>
      </c>
      <c r="E6696" s="29" t="s">
        <v>48988</v>
      </c>
      <c r="F6696" s="36" t="s">
        <v>54401</v>
      </c>
      <c r="G6696" s="39">
        <f>2259564.82+109305</f>
        <v>2368869.8199999998</v>
      </c>
      <c r="H6696" s="42">
        <v>211</v>
      </c>
    </row>
    <row r="6697" spans="1:8" ht="15" customHeight="1">
      <c r="A6697" s="26">
        <v>74370662</v>
      </c>
      <c r="B6697" s="30" t="s">
        <v>8925</v>
      </c>
      <c r="C6697" s="29" t="s">
        <v>23206</v>
      </c>
      <c r="D6697" s="29" t="s">
        <v>36483</v>
      </c>
      <c r="E6697" s="29" t="s">
        <v>43926</v>
      </c>
      <c r="F6697" s="36" t="s">
        <v>54401</v>
      </c>
      <c r="G6697" s="39">
        <v>789137.33</v>
      </c>
      <c r="H6697" s="42">
        <v>211</v>
      </c>
    </row>
    <row r="6698" spans="1:8" ht="15" customHeight="1">
      <c r="A6698" s="26">
        <v>74370670</v>
      </c>
      <c r="B6698" s="30" t="s">
        <v>8926</v>
      </c>
      <c r="C6698" s="29" t="s">
        <v>23207</v>
      </c>
      <c r="D6698" s="29" t="s">
        <v>36484</v>
      </c>
      <c r="E6698" s="29" t="s">
        <v>48989</v>
      </c>
      <c r="F6698" s="36" t="s">
        <v>54401</v>
      </c>
      <c r="G6698" s="39">
        <f>1238828.96+83423+133429</f>
        <v>1455680.96</v>
      </c>
      <c r="H6698" s="42">
        <v>211</v>
      </c>
    </row>
    <row r="6699" spans="1:8" ht="15" customHeight="1">
      <c r="A6699" s="26">
        <v>74370674</v>
      </c>
      <c r="B6699" s="30" t="s">
        <v>8927</v>
      </c>
      <c r="C6699" s="29" t="s">
        <v>17204</v>
      </c>
      <c r="D6699" s="29" t="s">
        <v>30349</v>
      </c>
      <c r="E6699" s="29" t="s">
        <v>43926</v>
      </c>
      <c r="F6699" s="36" t="s">
        <v>54401</v>
      </c>
      <c r="G6699" s="39">
        <v>408928.26</v>
      </c>
      <c r="H6699" s="42">
        <v>211</v>
      </c>
    </row>
    <row r="6700" spans="1:8" ht="15" customHeight="1">
      <c r="A6700" s="26">
        <v>74370676</v>
      </c>
      <c r="B6700" s="30" t="s">
        <v>8928</v>
      </c>
      <c r="C6700" s="26" t="s">
        <v>23208</v>
      </c>
      <c r="D6700" s="26" t="s">
        <v>36485</v>
      </c>
      <c r="E6700" s="26" t="s">
        <v>48990</v>
      </c>
      <c r="F6700" s="37" t="s">
        <v>54406</v>
      </c>
      <c r="G6700" s="39">
        <v>1455018.86</v>
      </c>
      <c r="H6700" s="42">
        <v>211</v>
      </c>
    </row>
    <row r="6701" spans="1:8" ht="15" customHeight="1">
      <c r="A6701" s="26">
        <v>74370682</v>
      </c>
      <c r="B6701" s="30" t="s">
        <v>8929</v>
      </c>
      <c r="C6701" s="29" t="s">
        <v>23209</v>
      </c>
      <c r="D6701" s="29" t="s">
        <v>36486</v>
      </c>
      <c r="E6701" s="29" t="s">
        <v>48991</v>
      </c>
      <c r="F6701" s="36" t="s">
        <v>54401</v>
      </c>
      <c r="G6701" s="39">
        <v>1570847.46</v>
      </c>
      <c r="H6701" s="42">
        <v>211</v>
      </c>
    </row>
    <row r="6702" spans="1:8" ht="15" customHeight="1">
      <c r="A6702" s="26">
        <v>74370683</v>
      </c>
      <c r="B6702" s="30" t="s">
        <v>8930</v>
      </c>
      <c r="C6702" s="29" t="s">
        <v>23210</v>
      </c>
      <c r="D6702" s="29" t="s">
        <v>36487</v>
      </c>
      <c r="E6702" s="29" t="s">
        <v>48992</v>
      </c>
      <c r="F6702" s="36" t="s">
        <v>54401</v>
      </c>
      <c r="G6702" s="39">
        <v>528679.85</v>
      </c>
      <c r="H6702" s="42">
        <v>211</v>
      </c>
    </row>
    <row r="6703" spans="1:8" ht="15" customHeight="1">
      <c r="A6703" s="26">
        <v>74370684</v>
      </c>
      <c r="B6703" s="30" t="s">
        <v>8931</v>
      </c>
      <c r="C6703" s="29" t="s">
        <v>23211</v>
      </c>
      <c r="D6703" s="29" t="s">
        <v>36488</v>
      </c>
      <c r="E6703" s="29" t="s">
        <v>48993</v>
      </c>
      <c r="F6703" s="36" t="s">
        <v>54401</v>
      </c>
      <c r="G6703" s="39">
        <v>1181362.67</v>
      </c>
      <c r="H6703" s="42">
        <v>211</v>
      </c>
    </row>
    <row r="6704" spans="1:8" ht="15" customHeight="1">
      <c r="A6704" s="26">
        <v>74370691</v>
      </c>
      <c r="B6704" s="30" t="s">
        <v>8932</v>
      </c>
      <c r="C6704" s="29" t="s">
        <v>23212</v>
      </c>
      <c r="D6704" s="29" t="s">
        <v>36489</v>
      </c>
      <c r="E6704" s="29" t="s">
        <v>48994</v>
      </c>
      <c r="F6704" s="36" t="s">
        <v>54401</v>
      </c>
      <c r="G6704" s="39">
        <v>70603.95</v>
      </c>
      <c r="H6704" s="42">
        <v>211</v>
      </c>
    </row>
    <row r="6705" spans="1:8" ht="15" customHeight="1">
      <c r="A6705" s="26">
        <v>74370693</v>
      </c>
      <c r="B6705" s="30" t="s">
        <v>8933</v>
      </c>
      <c r="C6705" s="29" t="s">
        <v>23213</v>
      </c>
      <c r="D6705" s="29" t="s">
        <v>36490</v>
      </c>
      <c r="E6705" s="29" t="s">
        <v>48995</v>
      </c>
      <c r="F6705" s="36" t="s">
        <v>54401</v>
      </c>
      <c r="G6705" s="39">
        <f>10599707.5+146986</f>
        <v>10746693.5</v>
      </c>
      <c r="H6705" s="42">
        <v>211</v>
      </c>
    </row>
    <row r="6706" spans="1:8" ht="15" customHeight="1">
      <c r="A6706" s="26">
        <v>74370696</v>
      </c>
      <c r="B6706" s="30" t="s">
        <v>8934</v>
      </c>
      <c r="C6706" s="29" t="s">
        <v>23214</v>
      </c>
      <c r="D6706" s="29" t="s">
        <v>36491</v>
      </c>
      <c r="E6706" s="29" t="s">
        <v>43992</v>
      </c>
      <c r="F6706" s="36" t="s">
        <v>54401</v>
      </c>
      <c r="G6706" s="39">
        <f>10243721.8-7016+358049+28362</f>
        <v>10623116.800000001</v>
      </c>
      <c r="H6706" s="42">
        <v>211</v>
      </c>
    </row>
    <row r="6707" spans="1:8" ht="15" customHeight="1">
      <c r="A6707" s="26">
        <v>74370720</v>
      </c>
      <c r="B6707" s="30" t="s">
        <v>8935</v>
      </c>
      <c r="C6707" s="29" t="s">
        <v>23215</v>
      </c>
      <c r="D6707" s="29" t="s">
        <v>36492</v>
      </c>
      <c r="E6707" s="29" t="s">
        <v>48996</v>
      </c>
      <c r="F6707" s="36" t="s">
        <v>54402</v>
      </c>
      <c r="G6707" s="39">
        <f>12566224.47-52356</f>
        <v>12513868.470000001</v>
      </c>
      <c r="H6707" s="42">
        <v>211</v>
      </c>
    </row>
    <row r="6708" spans="1:8" ht="15" customHeight="1">
      <c r="A6708" s="26">
        <v>74370721</v>
      </c>
      <c r="B6708" s="30" t="s">
        <v>8936</v>
      </c>
      <c r="C6708" s="29" t="s">
        <v>23216</v>
      </c>
      <c r="D6708" s="29" t="s">
        <v>36493</v>
      </c>
      <c r="E6708" s="29" t="s">
        <v>48997</v>
      </c>
      <c r="F6708" s="36" t="s">
        <v>54401</v>
      </c>
      <c r="G6708" s="39">
        <v>1740903.49</v>
      </c>
      <c r="H6708" s="42">
        <v>211</v>
      </c>
    </row>
    <row r="6709" spans="1:8" ht="15" customHeight="1">
      <c r="A6709" s="26">
        <v>74370741</v>
      </c>
      <c r="B6709" s="30" t="s">
        <v>8937</v>
      </c>
      <c r="C6709" s="29" t="s">
        <v>23217</v>
      </c>
      <c r="D6709" s="29" t="s">
        <v>36494</v>
      </c>
      <c r="E6709" s="29" t="s">
        <v>43926</v>
      </c>
      <c r="F6709" s="36" t="s">
        <v>54401</v>
      </c>
      <c r="G6709" s="39">
        <v>1722038.87</v>
      </c>
      <c r="H6709" s="42">
        <v>211</v>
      </c>
    </row>
    <row r="6710" spans="1:8" ht="15" customHeight="1">
      <c r="A6710" s="26">
        <v>74370766</v>
      </c>
      <c r="B6710" s="30" t="s">
        <v>8938</v>
      </c>
      <c r="C6710" s="29" t="s">
        <v>23218</v>
      </c>
      <c r="D6710" s="29" t="s">
        <v>36495</v>
      </c>
      <c r="E6710" s="29" t="s">
        <v>48998</v>
      </c>
      <c r="F6710" s="36" t="s">
        <v>54401</v>
      </c>
      <c r="G6710" s="39">
        <f>1124112.06-15009</f>
        <v>1109103.06</v>
      </c>
      <c r="H6710" s="42">
        <v>211</v>
      </c>
    </row>
    <row r="6711" spans="1:8" ht="15" customHeight="1">
      <c r="A6711" s="26">
        <v>74370790</v>
      </c>
      <c r="B6711" s="30" t="s">
        <v>8939</v>
      </c>
      <c r="C6711" s="29" t="s">
        <v>23219</v>
      </c>
      <c r="D6711" s="29" t="s">
        <v>36496</v>
      </c>
      <c r="E6711" s="29" t="s">
        <v>48999</v>
      </c>
      <c r="F6711" s="36" t="s">
        <v>54401</v>
      </c>
      <c r="G6711" s="39">
        <v>931809.08</v>
      </c>
      <c r="H6711" s="42">
        <v>211</v>
      </c>
    </row>
    <row r="6712" spans="1:8" ht="15" customHeight="1">
      <c r="A6712" s="26">
        <v>74370793</v>
      </c>
      <c r="B6712" s="30" t="s">
        <v>8940</v>
      </c>
      <c r="C6712" s="29" t="s">
        <v>23220</v>
      </c>
      <c r="D6712" s="29" t="s">
        <v>36497</v>
      </c>
      <c r="E6712" s="29" t="s">
        <v>49000</v>
      </c>
      <c r="F6712" s="36" t="s">
        <v>54401</v>
      </c>
      <c r="G6712" s="39">
        <v>106427.19</v>
      </c>
      <c r="H6712" s="42">
        <v>211</v>
      </c>
    </row>
    <row r="6713" spans="1:8" ht="15" customHeight="1">
      <c r="A6713" s="26">
        <v>74370814</v>
      </c>
      <c r="B6713" s="30" t="s">
        <v>8941</v>
      </c>
      <c r="C6713" s="29" t="s">
        <v>23221</v>
      </c>
      <c r="D6713" s="29" t="s">
        <v>36498</v>
      </c>
      <c r="E6713" s="29" t="s">
        <v>49001</v>
      </c>
      <c r="F6713" s="36" t="s">
        <v>54401</v>
      </c>
      <c r="G6713" s="39">
        <v>258967.76</v>
      </c>
      <c r="H6713" s="42">
        <v>211</v>
      </c>
    </row>
    <row r="6714" spans="1:8" ht="15" customHeight="1">
      <c r="A6714" s="26">
        <v>74370827</v>
      </c>
      <c r="B6714" s="30" t="s">
        <v>8942</v>
      </c>
      <c r="C6714" s="29" t="s">
        <v>23222</v>
      </c>
      <c r="D6714" s="29" t="s">
        <v>36499</v>
      </c>
      <c r="E6714" s="29" t="s">
        <v>49002</v>
      </c>
      <c r="F6714" s="36" t="s">
        <v>54401</v>
      </c>
      <c r="G6714" s="39">
        <f>5145962.89+212450+86964</f>
        <v>5445376.8899999997</v>
      </c>
      <c r="H6714" s="42">
        <v>211</v>
      </c>
    </row>
    <row r="6715" spans="1:8" ht="15" customHeight="1">
      <c r="A6715" s="26">
        <v>74370831</v>
      </c>
      <c r="B6715" s="30" t="s">
        <v>8943</v>
      </c>
      <c r="C6715" s="29" t="s">
        <v>17204</v>
      </c>
      <c r="D6715" s="29" t="s">
        <v>30349</v>
      </c>
      <c r="E6715" s="29" t="s">
        <v>43926</v>
      </c>
      <c r="F6715" s="36" t="s">
        <v>54401</v>
      </c>
      <c r="G6715" s="39">
        <v>364873.61</v>
      </c>
      <c r="H6715" s="42">
        <v>211</v>
      </c>
    </row>
    <row r="6716" spans="1:8" ht="15" customHeight="1">
      <c r="A6716" s="26">
        <v>74370833</v>
      </c>
      <c r="B6716" s="30" t="s">
        <v>8944</v>
      </c>
      <c r="C6716" s="29" t="s">
        <v>23223</v>
      </c>
      <c r="D6716" s="29" t="s">
        <v>36500</v>
      </c>
      <c r="E6716" s="29" t="s">
        <v>49003</v>
      </c>
      <c r="F6716" s="36" t="s">
        <v>54401</v>
      </c>
      <c r="G6716" s="39">
        <v>892574.65</v>
      </c>
      <c r="H6716" s="42">
        <v>211</v>
      </c>
    </row>
    <row r="6717" spans="1:8" ht="15" customHeight="1">
      <c r="A6717" s="26">
        <v>74370847</v>
      </c>
      <c r="B6717" s="30" t="s">
        <v>8945</v>
      </c>
      <c r="C6717" s="29" t="s">
        <v>23224</v>
      </c>
      <c r="D6717" s="29" t="s">
        <v>36501</v>
      </c>
      <c r="E6717" s="29" t="s">
        <v>49004</v>
      </c>
      <c r="F6717" s="36" t="s">
        <v>54401</v>
      </c>
      <c r="G6717" s="39">
        <v>352065.31</v>
      </c>
      <c r="H6717" s="42">
        <v>211</v>
      </c>
    </row>
    <row r="6718" spans="1:8" ht="15" customHeight="1">
      <c r="A6718" s="26">
        <v>74370852</v>
      </c>
      <c r="B6718" s="30" t="s">
        <v>8946</v>
      </c>
      <c r="C6718" s="29" t="s">
        <v>23225</v>
      </c>
      <c r="D6718" s="29" t="s">
        <v>36502</v>
      </c>
      <c r="E6718" s="29" t="s">
        <v>45847</v>
      </c>
      <c r="F6718" s="36" t="s">
        <v>54401</v>
      </c>
      <c r="G6718" s="39">
        <v>8501541.6899999995</v>
      </c>
      <c r="H6718" s="42">
        <v>211</v>
      </c>
    </row>
    <row r="6719" spans="1:8" ht="15" customHeight="1">
      <c r="A6719" s="26">
        <v>74370891</v>
      </c>
      <c r="B6719" s="30" t="s">
        <v>8947</v>
      </c>
      <c r="C6719" s="29" t="s">
        <v>23226</v>
      </c>
      <c r="D6719" s="29" t="s">
        <v>36503</v>
      </c>
      <c r="E6719" s="29" t="s">
        <v>49005</v>
      </c>
      <c r="F6719" s="36" t="s">
        <v>54401</v>
      </c>
      <c r="G6719" s="39">
        <v>30597.73</v>
      </c>
      <c r="H6719" s="42">
        <v>211</v>
      </c>
    </row>
    <row r="6720" spans="1:8" ht="15" customHeight="1">
      <c r="A6720" s="26">
        <v>74370899</v>
      </c>
      <c r="B6720" s="30" t="s">
        <v>8948</v>
      </c>
      <c r="C6720" s="29" t="s">
        <v>23227</v>
      </c>
      <c r="D6720" s="29" t="s">
        <v>36504</v>
      </c>
      <c r="E6720" s="29" t="s">
        <v>47690</v>
      </c>
      <c r="F6720" s="36" t="s">
        <v>54401</v>
      </c>
      <c r="G6720" s="39">
        <v>774710.41</v>
      </c>
      <c r="H6720" s="42">
        <v>211</v>
      </c>
    </row>
    <row r="6721" spans="1:8" ht="15" customHeight="1">
      <c r="A6721" s="26">
        <v>74370910</v>
      </c>
      <c r="B6721" s="30" t="s">
        <v>8949</v>
      </c>
      <c r="C6721" s="26" t="s">
        <v>23228</v>
      </c>
      <c r="D6721" s="26" t="s">
        <v>36505</v>
      </c>
      <c r="E6721" s="26" t="s">
        <v>43926</v>
      </c>
      <c r="F6721" s="37" t="s">
        <v>54401</v>
      </c>
      <c r="G6721" s="39">
        <v>664059.78</v>
      </c>
      <c r="H6721" s="42">
        <v>211</v>
      </c>
    </row>
    <row r="6722" spans="1:8" ht="15" customHeight="1">
      <c r="A6722" s="26">
        <v>74370916</v>
      </c>
      <c r="B6722" s="30" t="s">
        <v>8950</v>
      </c>
      <c r="C6722" s="29" t="s">
        <v>23229</v>
      </c>
      <c r="D6722" s="29" t="s">
        <v>30376</v>
      </c>
      <c r="E6722" s="29" t="s">
        <v>49006</v>
      </c>
      <c r="F6722" s="36" t="s">
        <v>54401</v>
      </c>
      <c r="G6722" s="39">
        <v>1129187.83</v>
      </c>
      <c r="H6722" s="42">
        <v>211</v>
      </c>
    </row>
    <row r="6723" spans="1:8" ht="15" customHeight="1">
      <c r="A6723" s="26">
        <v>74370934</v>
      </c>
      <c r="B6723" s="30" t="s">
        <v>8951</v>
      </c>
      <c r="C6723" s="29" t="s">
        <v>23230</v>
      </c>
      <c r="D6723" s="29" t="s">
        <v>36506</v>
      </c>
      <c r="E6723" s="29" t="s">
        <v>43926</v>
      </c>
      <c r="F6723" s="36" t="s">
        <v>54401</v>
      </c>
      <c r="G6723" s="39">
        <f>2772528.61+127961</f>
        <v>2900489.61</v>
      </c>
      <c r="H6723" s="42">
        <v>211</v>
      </c>
    </row>
    <row r="6724" spans="1:8" ht="15" customHeight="1">
      <c r="A6724" s="26">
        <v>74370940</v>
      </c>
      <c r="B6724" s="30" t="s">
        <v>8952</v>
      </c>
      <c r="C6724" s="26" t="s">
        <v>23231</v>
      </c>
      <c r="D6724" s="26" t="s">
        <v>36507</v>
      </c>
      <c r="E6724" s="26" t="s">
        <v>49007</v>
      </c>
      <c r="F6724" s="37" t="s">
        <v>54401</v>
      </c>
      <c r="G6724" s="39">
        <v>851378.97</v>
      </c>
      <c r="H6724" s="42">
        <v>211</v>
      </c>
    </row>
    <row r="6725" spans="1:8" ht="15" customHeight="1">
      <c r="A6725" s="26">
        <v>74370956</v>
      </c>
      <c r="B6725" s="30" t="s">
        <v>8953</v>
      </c>
      <c r="C6725" s="29" t="s">
        <v>23232</v>
      </c>
      <c r="D6725" s="29" t="s">
        <v>36508</v>
      </c>
      <c r="E6725" s="29" t="s">
        <v>44019</v>
      </c>
      <c r="F6725" s="36" t="s">
        <v>54401</v>
      </c>
      <c r="G6725" s="39">
        <v>1219480.26</v>
      </c>
      <c r="H6725" s="42">
        <v>211</v>
      </c>
    </row>
    <row r="6726" spans="1:8" ht="15" customHeight="1">
      <c r="A6726" s="26">
        <v>74370980</v>
      </c>
      <c r="B6726" s="30" t="s">
        <v>8954</v>
      </c>
      <c r="C6726" s="29" t="s">
        <v>23233</v>
      </c>
      <c r="D6726" s="29" t="s">
        <v>36509</v>
      </c>
      <c r="E6726" s="29" t="s">
        <v>49008</v>
      </c>
      <c r="F6726" s="36" t="s">
        <v>54401</v>
      </c>
      <c r="G6726" s="39">
        <v>178010.38</v>
      </c>
      <c r="H6726" s="42">
        <v>211</v>
      </c>
    </row>
    <row r="6727" spans="1:8" ht="15" customHeight="1">
      <c r="A6727" s="26">
        <v>74370986</v>
      </c>
      <c r="B6727" s="30" t="s">
        <v>8955</v>
      </c>
      <c r="C6727" s="29" t="s">
        <v>23234</v>
      </c>
      <c r="D6727" s="29" t="s">
        <v>36510</v>
      </c>
      <c r="E6727" s="29" t="s">
        <v>49009</v>
      </c>
      <c r="F6727" s="36" t="s">
        <v>54401</v>
      </c>
      <c r="G6727" s="39">
        <v>5633533.4199999999</v>
      </c>
      <c r="H6727" s="42">
        <v>211</v>
      </c>
    </row>
    <row r="6728" spans="1:8" ht="15" customHeight="1">
      <c r="A6728" s="26">
        <v>74370996</v>
      </c>
      <c r="B6728" s="30" t="s">
        <v>8956</v>
      </c>
      <c r="C6728" s="29" t="s">
        <v>23235</v>
      </c>
      <c r="D6728" s="29" t="s">
        <v>36511</v>
      </c>
      <c r="E6728" s="29" t="s">
        <v>46644</v>
      </c>
      <c r="F6728" s="36" t="s">
        <v>54401</v>
      </c>
      <c r="G6728" s="39">
        <v>5527922.5199999996</v>
      </c>
      <c r="H6728" s="42">
        <v>211</v>
      </c>
    </row>
    <row r="6729" spans="1:8" ht="15" customHeight="1">
      <c r="A6729" s="26">
        <v>74370998</v>
      </c>
      <c r="B6729" s="30" t="s">
        <v>8957</v>
      </c>
      <c r="C6729" s="29" t="s">
        <v>23236</v>
      </c>
      <c r="D6729" s="29" t="s">
        <v>36512</v>
      </c>
      <c r="E6729" s="29" t="s">
        <v>49010</v>
      </c>
      <c r="F6729" s="36" t="s">
        <v>54401</v>
      </c>
      <c r="G6729" s="39">
        <v>1658633.45</v>
      </c>
      <c r="H6729" s="42">
        <v>211</v>
      </c>
    </row>
    <row r="6730" spans="1:8" ht="15" customHeight="1">
      <c r="A6730" s="26">
        <v>74371008</v>
      </c>
      <c r="B6730" s="30" t="s">
        <v>8958</v>
      </c>
      <c r="C6730" s="29" t="s">
        <v>23237</v>
      </c>
      <c r="D6730" s="29" t="s">
        <v>36513</v>
      </c>
      <c r="E6730" s="29" t="s">
        <v>47294</v>
      </c>
      <c r="F6730" s="36" t="s">
        <v>54401</v>
      </c>
      <c r="G6730" s="39">
        <v>5241933.21</v>
      </c>
      <c r="H6730" s="42">
        <v>211</v>
      </c>
    </row>
    <row r="6731" spans="1:8" ht="15" customHeight="1">
      <c r="A6731" s="26">
        <v>74371033</v>
      </c>
      <c r="B6731" s="30" t="s">
        <v>8959</v>
      </c>
      <c r="C6731" s="29" t="s">
        <v>23238</v>
      </c>
      <c r="D6731" s="29" t="s">
        <v>36514</v>
      </c>
      <c r="E6731" s="29" t="s">
        <v>49011</v>
      </c>
      <c r="F6731" s="36" t="s">
        <v>54401</v>
      </c>
      <c r="G6731" s="39">
        <v>3831115.17</v>
      </c>
      <c r="H6731" s="42">
        <v>211</v>
      </c>
    </row>
    <row r="6732" spans="1:8" ht="15" customHeight="1">
      <c r="A6732" s="26">
        <v>74371046</v>
      </c>
      <c r="B6732" s="30" t="s">
        <v>8960</v>
      </c>
      <c r="C6732" s="29" t="s">
        <v>23239</v>
      </c>
      <c r="D6732" s="29" t="s">
        <v>36515</v>
      </c>
      <c r="E6732" s="29" t="s">
        <v>46308</v>
      </c>
      <c r="F6732" s="36" t="s">
        <v>54401</v>
      </c>
      <c r="G6732" s="39">
        <v>230796.09</v>
      </c>
      <c r="H6732" s="42">
        <v>211</v>
      </c>
    </row>
    <row r="6733" spans="1:8" ht="15" customHeight="1">
      <c r="A6733" s="26">
        <v>74371061</v>
      </c>
      <c r="B6733" s="30" t="s">
        <v>8961</v>
      </c>
      <c r="C6733" s="29" t="s">
        <v>23240</v>
      </c>
      <c r="D6733" s="29" t="s">
        <v>36516</v>
      </c>
      <c r="E6733" s="29" t="s">
        <v>49012</v>
      </c>
      <c r="F6733" s="36" t="s">
        <v>54402</v>
      </c>
      <c r="G6733" s="39">
        <v>965854.9</v>
      </c>
      <c r="H6733" s="42">
        <v>211</v>
      </c>
    </row>
    <row r="6734" spans="1:8" ht="15" customHeight="1">
      <c r="A6734" s="26">
        <v>74371080</v>
      </c>
      <c r="B6734" s="30" t="s">
        <v>8962</v>
      </c>
      <c r="C6734" s="29" t="s">
        <v>23241</v>
      </c>
      <c r="D6734" s="29" t="s">
        <v>36517</v>
      </c>
      <c r="E6734" s="29" t="s">
        <v>49013</v>
      </c>
      <c r="F6734" s="36" t="s">
        <v>54401</v>
      </c>
      <c r="G6734" s="39">
        <v>362784.89</v>
      </c>
      <c r="H6734" s="42">
        <v>211</v>
      </c>
    </row>
    <row r="6735" spans="1:8" ht="15" customHeight="1">
      <c r="A6735" s="26">
        <v>74371085</v>
      </c>
      <c r="B6735" s="30" t="s">
        <v>8963</v>
      </c>
      <c r="C6735" s="29" t="s">
        <v>23242</v>
      </c>
      <c r="D6735" s="29" t="s">
        <v>36518</v>
      </c>
      <c r="E6735" s="29" t="s">
        <v>49014</v>
      </c>
      <c r="F6735" s="36" t="s">
        <v>54401</v>
      </c>
      <c r="G6735" s="39">
        <v>2819239.46</v>
      </c>
      <c r="H6735" s="42">
        <v>211</v>
      </c>
    </row>
    <row r="6736" spans="1:8" ht="15" customHeight="1">
      <c r="A6736" s="26">
        <v>74371102</v>
      </c>
      <c r="B6736" s="30" t="s">
        <v>8964</v>
      </c>
      <c r="C6736" s="29" t="s">
        <v>23243</v>
      </c>
      <c r="D6736" s="29" t="s">
        <v>36519</v>
      </c>
      <c r="E6736" s="29" t="s">
        <v>49015</v>
      </c>
      <c r="F6736" s="36" t="s">
        <v>54401</v>
      </c>
      <c r="G6736" s="39">
        <f>9552923.15-1150689</f>
        <v>8402234.1500000004</v>
      </c>
      <c r="H6736" s="42">
        <v>211</v>
      </c>
    </row>
    <row r="6737" spans="1:8" ht="15" customHeight="1">
      <c r="A6737" s="26">
        <v>74371126</v>
      </c>
      <c r="B6737" s="30" t="s">
        <v>8965</v>
      </c>
      <c r="C6737" s="29" t="s">
        <v>23244</v>
      </c>
      <c r="D6737" s="29" t="s">
        <v>36520</v>
      </c>
      <c r="E6737" s="29" t="s">
        <v>49016</v>
      </c>
      <c r="F6737" s="36" t="s">
        <v>54401</v>
      </c>
      <c r="G6737" s="39">
        <v>16918.240000000002</v>
      </c>
      <c r="H6737" s="42">
        <v>211</v>
      </c>
    </row>
    <row r="6738" spans="1:8" ht="15" customHeight="1">
      <c r="A6738" s="26">
        <v>74371135</v>
      </c>
      <c r="B6738" s="30" t="s">
        <v>8966</v>
      </c>
      <c r="C6738" s="29" t="s">
        <v>23245</v>
      </c>
      <c r="D6738" s="29" t="s">
        <v>36521</v>
      </c>
      <c r="E6738" s="29" t="s">
        <v>49017</v>
      </c>
      <c r="F6738" s="36" t="s">
        <v>54401</v>
      </c>
      <c r="G6738" s="39">
        <v>105817.32</v>
      </c>
      <c r="H6738" s="42">
        <v>211</v>
      </c>
    </row>
    <row r="6739" spans="1:8" ht="15" customHeight="1">
      <c r="A6739" s="26">
        <v>74371141</v>
      </c>
      <c r="B6739" s="30" t="s">
        <v>8967</v>
      </c>
      <c r="C6739" s="29" t="s">
        <v>23246</v>
      </c>
      <c r="D6739" s="29" t="s">
        <v>36522</v>
      </c>
      <c r="E6739" s="29" t="s">
        <v>49018</v>
      </c>
      <c r="F6739" s="36" t="s">
        <v>54402</v>
      </c>
      <c r="G6739" s="39">
        <v>31268.91</v>
      </c>
      <c r="H6739" s="42">
        <v>211</v>
      </c>
    </row>
    <row r="6740" spans="1:8" ht="15" customHeight="1">
      <c r="A6740" s="26">
        <v>74371142</v>
      </c>
      <c r="B6740" s="30" t="s">
        <v>8968</v>
      </c>
      <c r="C6740" s="29" t="s">
        <v>23247</v>
      </c>
      <c r="D6740" s="29" t="s">
        <v>36523</v>
      </c>
      <c r="E6740" s="29" t="s">
        <v>49019</v>
      </c>
      <c r="F6740" s="36" t="s">
        <v>54401</v>
      </c>
      <c r="G6740" s="39">
        <f>1661900.17+116961</f>
        <v>1778861.17</v>
      </c>
      <c r="H6740" s="42">
        <v>211</v>
      </c>
    </row>
    <row r="6741" spans="1:8" ht="15" customHeight="1">
      <c r="A6741" s="26">
        <v>74371157</v>
      </c>
      <c r="B6741" s="30" t="s">
        <v>8969</v>
      </c>
      <c r="C6741" s="29" t="s">
        <v>23248</v>
      </c>
      <c r="D6741" s="29" t="s">
        <v>36524</v>
      </c>
      <c r="E6741" s="29" t="s">
        <v>49020</v>
      </c>
      <c r="F6741" s="36" t="s">
        <v>54401</v>
      </c>
      <c r="G6741" s="39">
        <v>17731.099999999999</v>
      </c>
      <c r="H6741" s="42">
        <v>211</v>
      </c>
    </row>
    <row r="6742" spans="1:8" ht="15" customHeight="1">
      <c r="A6742" s="26">
        <v>74371190</v>
      </c>
      <c r="B6742" s="30" t="s">
        <v>8970</v>
      </c>
      <c r="C6742" s="29" t="s">
        <v>23249</v>
      </c>
      <c r="D6742" s="29" t="s">
        <v>36525</v>
      </c>
      <c r="E6742" s="29" t="s">
        <v>49021</v>
      </c>
      <c r="F6742" s="36" t="s">
        <v>54401</v>
      </c>
      <c r="G6742" s="39">
        <f>788415.36+323221+389551</f>
        <v>1501187.3599999999</v>
      </c>
      <c r="H6742" s="42">
        <v>211</v>
      </c>
    </row>
    <row r="6743" spans="1:8" ht="15" customHeight="1">
      <c r="A6743" s="26">
        <v>74371194</v>
      </c>
      <c r="B6743" s="30" t="s">
        <v>8971</v>
      </c>
      <c r="C6743" s="29" t="s">
        <v>23250</v>
      </c>
      <c r="D6743" s="29" t="s">
        <v>36526</v>
      </c>
      <c r="E6743" s="29" t="s">
        <v>49022</v>
      </c>
      <c r="F6743" s="36" t="s">
        <v>54401</v>
      </c>
      <c r="G6743" s="39">
        <v>569446.35</v>
      </c>
      <c r="H6743" s="42">
        <v>211</v>
      </c>
    </row>
    <row r="6744" spans="1:8" ht="15" customHeight="1">
      <c r="A6744" s="26">
        <v>74371196</v>
      </c>
      <c r="B6744" s="30" t="s">
        <v>8972</v>
      </c>
      <c r="C6744" s="26" t="s">
        <v>23251</v>
      </c>
      <c r="D6744" s="26" t="s">
        <v>36527</v>
      </c>
      <c r="E6744" s="26" t="s">
        <v>43926</v>
      </c>
      <c r="F6744" s="37" t="s">
        <v>54401</v>
      </c>
      <c r="G6744" s="39">
        <v>39333.5</v>
      </c>
      <c r="H6744" s="42">
        <v>211</v>
      </c>
    </row>
    <row r="6745" spans="1:8" ht="15" customHeight="1">
      <c r="A6745" s="26">
        <v>74371225</v>
      </c>
      <c r="B6745" s="30" t="s">
        <v>8973</v>
      </c>
      <c r="C6745" s="29" t="s">
        <v>23252</v>
      </c>
      <c r="D6745" s="29" t="s">
        <v>36528</v>
      </c>
      <c r="E6745" s="29" t="s">
        <v>49023</v>
      </c>
      <c r="F6745" s="36" t="s">
        <v>54401</v>
      </c>
      <c r="G6745" s="39">
        <v>60521.760000000002</v>
      </c>
      <c r="H6745" s="42">
        <v>211</v>
      </c>
    </row>
    <row r="6746" spans="1:8" ht="15" customHeight="1">
      <c r="A6746" s="26">
        <v>74371233</v>
      </c>
      <c r="B6746" s="30" t="s">
        <v>8974</v>
      </c>
      <c r="C6746" s="29" t="s">
        <v>23253</v>
      </c>
      <c r="D6746" s="29" t="s">
        <v>36529</v>
      </c>
      <c r="E6746" s="29" t="s">
        <v>49024</v>
      </c>
      <c r="F6746" s="36" t="s">
        <v>54401</v>
      </c>
      <c r="G6746" s="39">
        <v>6548681.7000000002</v>
      </c>
      <c r="H6746" s="42">
        <v>211</v>
      </c>
    </row>
    <row r="6747" spans="1:8" ht="15" customHeight="1">
      <c r="A6747" s="26">
        <v>74371250</v>
      </c>
      <c r="B6747" s="30" t="s">
        <v>8975</v>
      </c>
      <c r="C6747" s="26" t="s">
        <v>23254</v>
      </c>
      <c r="D6747" s="26" t="s">
        <v>36530</v>
      </c>
      <c r="E6747" s="26" t="s">
        <v>49025</v>
      </c>
      <c r="F6747" s="37" t="s">
        <v>54401</v>
      </c>
      <c r="G6747" s="39">
        <v>1890373.43</v>
      </c>
      <c r="H6747" s="42">
        <v>211</v>
      </c>
    </row>
    <row r="6748" spans="1:8" ht="15" customHeight="1">
      <c r="A6748" s="26">
        <v>74371252</v>
      </c>
      <c r="B6748" s="30" t="s">
        <v>8976</v>
      </c>
      <c r="C6748" s="29" t="s">
        <v>23255</v>
      </c>
      <c r="D6748" s="29" t="s">
        <v>36531</v>
      </c>
      <c r="E6748" s="29" t="s">
        <v>49026</v>
      </c>
      <c r="F6748" s="36" t="s">
        <v>54401</v>
      </c>
      <c r="G6748" s="39">
        <v>689834.7</v>
      </c>
      <c r="H6748" s="42">
        <v>211</v>
      </c>
    </row>
    <row r="6749" spans="1:8" ht="15" customHeight="1">
      <c r="A6749" s="26">
        <v>74371254</v>
      </c>
      <c r="B6749" s="30" t="s">
        <v>8977</v>
      </c>
      <c r="C6749" s="29" t="s">
        <v>23256</v>
      </c>
      <c r="D6749" s="29" t="s">
        <v>36532</v>
      </c>
      <c r="E6749" s="29" t="s">
        <v>49027</v>
      </c>
      <c r="F6749" s="36" t="s">
        <v>54401</v>
      </c>
      <c r="G6749" s="39">
        <v>5788214.9000000004</v>
      </c>
      <c r="H6749" s="42">
        <v>211</v>
      </c>
    </row>
    <row r="6750" spans="1:8" ht="15" customHeight="1">
      <c r="A6750" s="26">
        <v>74371270</v>
      </c>
      <c r="B6750" s="30" t="s">
        <v>8978</v>
      </c>
      <c r="C6750" s="29" t="s">
        <v>23257</v>
      </c>
      <c r="D6750" s="29" t="s">
        <v>36533</v>
      </c>
      <c r="E6750" s="29" t="s">
        <v>47790</v>
      </c>
      <c r="F6750" s="36" t="s">
        <v>54401</v>
      </c>
      <c r="G6750" s="39">
        <f>1210512.15+59708</f>
        <v>1270220.1499999999</v>
      </c>
      <c r="H6750" s="42">
        <v>211</v>
      </c>
    </row>
    <row r="6751" spans="1:8" ht="15" customHeight="1">
      <c r="A6751" s="26">
        <v>74371273</v>
      </c>
      <c r="B6751" s="30" t="s">
        <v>8979</v>
      </c>
      <c r="C6751" s="29" t="s">
        <v>23258</v>
      </c>
      <c r="D6751" s="29" t="s">
        <v>36534</v>
      </c>
      <c r="E6751" s="29" t="s">
        <v>46308</v>
      </c>
      <c r="F6751" s="36" t="s">
        <v>54401</v>
      </c>
      <c r="G6751" s="39">
        <f>5026699.13+179017</f>
        <v>5205716.13</v>
      </c>
      <c r="H6751" s="42">
        <v>211</v>
      </c>
    </row>
    <row r="6752" spans="1:8" ht="15" customHeight="1">
      <c r="A6752" s="26">
        <v>74371277</v>
      </c>
      <c r="B6752" s="30" t="s">
        <v>8980</v>
      </c>
      <c r="C6752" s="29" t="s">
        <v>17204</v>
      </c>
      <c r="D6752" s="29" t="s">
        <v>30349</v>
      </c>
      <c r="E6752" s="29" t="s">
        <v>43926</v>
      </c>
      <c r="F6752" s="36" t="s">
        <v>54401</v>
      </c>
      <c r="G6752" s="39">
        <v>59160.47</v>
      </c>
      <c r="H6752" s="42">
        <v>211</v>
      </c>
    </row>
    <row r="6753" spans="1:8" ht="15" customHeight="1">
      <c r="A6753" s="26">
        <v>74371281</v>
      </c>
      <c r="B6753" s="30" t="s">
        <v>8981</v>
      </c>
      <c r="C6753" s="26" t="s">
        <v>23259</v>
      </c>
      <c r="D6753" s="26" t="s">
        <v>36535</v>
      </c>
      <c r="E6753" s="26" t="s">
        <v>43926</v>
      </c>
      <c r="F6753" s="37" t="s">
        <v>54401</v>
      </c>
      <c r="G6753" s="39">
        <v>208956.64</v>
      </c>
      <c r="H6753" s="42">
        <v>211</v>
      </c>
    </row>
    <row r="6754" spans="1:8" ht="15" customHeight="1">
      <c r="A6754" s="26">
        <v>74371290</v>
      </c>
      <c r="B6754" s="30" t="s">
        <v>8982</v>
      </c>
      <c r="C6754" s="29" t="s">
        <v>23260</v>
      </c>
      <c r="D6754" s="29" t="s">
        <v>36536</v>
      </c>
      <c r="E6754" s="29" t="s">
        <v>49028</v>
      </c>
      <c r="F6754" s="36" t="s">
        <v>54401</v>
      </c>
      <c r="G6754" s="39">
        <v>72831.94</v>
      </c>
      <c r="H6754" s="42">
        <v>211</v>
      </c>
    </row>
    <row r="6755" spans="1:8" ht="15" customHeight="1">
      <c r="A6755" s="26">
        <v>74371301</v>
      </c>
      <c r="B6755" s="30" t="s">
        <v>8983</v>
      </c>
      <c r="C6755" s="29" t="s">
        <v>23261</v>
      </c>
      <c r="D6755" s="29" t="s">
        <v>36537</v>
      </c>
      <c r="E6755" s="29" t="s">
        <v>46375</v>
      </c>
      <c r="F6755" s="36" t="s">
        <v>54401</v>
      </c>
      <c r="G6755" s="39">
        <f>3212408.44+179990+149985</f>
        <v>3542383.44</v>
      </c>
      <c r="H6755" s="42">
        <v>211</v>
      </c>
    </row>
    <row r="6756" spans="1:8" ht="15" customHeight="1">
      <c r="A6756" s="26">
        <v>74371303</v>
      </c>
      <c r="B6756" s="30" t="s">
        <v>8984</v>
      </c>
      <c r="C6756" s="29" t="s">
        <v>23262</v>
      </c>
      <c r="D6756" s="29" t="s">
        <v>36538</v>
      </c>
      <c r="E6756" s="29" t="s">
        <v>49029</v>
      </c>
      <c r="F6756" s="36" t="s">
        <v>54401</v>
      </c>
      <c r="G6756" s="39">
        <v>1061463.83</v>
      </c>
      <c r="H6756" s="42">
        <v>211</v>
      </c>
    </row>
    <row r="6757" spans="1:8" ht="15" customHeight="1">
      <c r="A6757" s="26">
        <v>74371315</v>
      </c>
      <c r="B6757" s="30" t="s">
        <v>8985</v>
      </c>
      <c r="C6757" s="29" t="s">
        <v>23263</v>
      </c>
      <c r="D6757" s="29" t="s">
        <v>36539</v>
      </c>
      <c r="E6757" s="29" t="s">
        <v>49030</v>
      </c>
      <c r="F6757" s="36" t="s">
        <v>54401</v>
      </c>
      <c r="G6757" s="39">
        <f>421232.59+1071711 +525628</f>
        <v>2018571.59</v>
      </c>
      <c r="H6757" s="42">
        <v>211</v>
      </c>
    </row>
    <row r="6758" spans="1:8" ht="15" customHeight="1">
      <c r="A6758" s="26">
        <v>74371317</v>
      </c>
      <c r="B6758" s="30" t="s">
        <v>8986</v>
      </c>
      <c r="C6758" s="29" t="s">
        <v>23264</v>
      </c>
      <c r="D6758" s="29" t="s">
        <v>36540</v>
      </c>
      <c r="E6758" s="29" t="s">
        <v>43926</v>
      </c>
      <c r="F6758" s="36" t="s">
        <v>54401</v>
      </c>
      <c r="G6758" s="39">
        <v>1647373.74</v>
      </c>
      <c r="H6758" s="42">
        <v>211</v>
      </c>
    </row>
    <row r="6759" spans="1:8" ht="15" customHeight="1">
      <c r="A6759" s="26">
        <v>74371325</v>
      </c>
      <c r="B6759" s="30" t="s">
        <v>8987</v>
      </c>
      <c r="C6759" s="29" t="s">
        <v>23265</v>
      </c>
      <c r="D6759" s="29" t="s">
        <v>36541</v>
      </c>
      <c r="E6759" s="29" t="s">
        <v>45106</v>
      </c>
      <c r="F6759" s="36" t="s">
        <v>54406</v>
      </c>
      <c r="G6759" s="39">
        <v>3506269.32</v>
      </c>
      <c r="H6759" s="42">
        <v>211</v>
      </c>
    </row>
    <row r="6760" spans="1:8" ht="15" customHeight="1">
      <c r="A6760" s="26">
        <v>74371331</v>
      </c>
      <c r="B6760" s="30" t="s">
        <v>8988</v>
      </c>
      <c r="C6760" s="29" t="s">
        <v>23266</v>
      </c>
      <c r="D6760" s="29" t="s">
        <v>36542</v>
      </c>
      <c r="E6760" s="29" t="s">
        <v>49031</v>
      </c>
      <c r="F6760" s="36" t="s">
        <v>54401</v>
      </c>
      <c r="G6760" s="39">
        <v>535899.27</v>
      </c>
      <c r="H6760" s="42">
        <v>211</v>
      </c>
    </row>
    <row r="6761" spans="1:8" ht="15" customHeight="1">
      <c r="A6761" s="26">
        <v>74371376</v>
      </c>
      <c r="B6761" s="30" t="s">
        <v>8989</v>
      </c>
      <c r="C6761" s="29" t="s">
        <v>22042</v>
      </c>
      <c r="D6761" s="29" t="s">
        <v>35274</v>
      </c>
      <c r="E6761" s="29" t="s">
        <v>49032</v>
      </c>
      <c r="F6761" s="36" t="s">
        <v>54401</v>
      </c>
      <c r="G6761" s="39">
        <v>442430.54</v>
      </c>
      <c r="H6761" s="42">
        <v>211</v>
      </c>
    </row>
    <row r="6762" spans="1:8" ht="15" customHeight="1">
      <c r="A6762" s="26">
        <v>74371377</v>
      </c>
      <c r="B6762" s="30" t="s">
        <v>8990</v>
      </c>
      <c r="C6762" s="29" t="s">
        <v>23267</v>
      </c>
      <c r="D6762" s="29" t="s">
        <v>36543</v>
      </c>
      <c r="E6762" s="29" t="s">
        <v>49033</v>
      </c>
      <c r="F6762" s="36" t="s">
        <v>54401</v>
      </c>
      <c r="G6762" s="39">
        <v>1481691.53</v>
      </c>
      <c r="H6762" s="42">
        <v>211</v>
      </c>
    </row>
    <row r="6763" spans="1:8" ht="15" customHeight="1">
      <c r="A6763" s="26">
        <v>74371382</v>
      </c>
      <c r="B6763" s="30" t="s">
        <v>8991</v>
      </c>
      <c r="C6763" s="29" t="s">
        <v>23268</v>
      </c>
      <c r="D6763" s="29" t="s">
        <v>36544</v>
      </c>
      <c r="E6763" s="29" t="s">
        <v>49034</v>
      </c>
      <c r="F6763" s="36" t="s">
        <v>54401</v>
      </c>
      <c r="G6763" s="39">
        <v>3334584.3</v>
      </c>
      <c r="H6763" s="42">
        <v>211</v>
      </c>
    </row>
    <row r="6764" spans="1:8" ht="15" customHeight="1">
      <c r="A6764" s="26">
        <v>74371385</v>
      </c>
      <c r="B6764" s="30" t="s">
        <v>8992</v>
      </c>
      <c r="C6764" s="29" t="s">
        <v>23269</v>
      </c>
      <c r="D6764" s="29" t="s">
        <v>36545</v>
      </c>
      <c r="E6764" s="29" t="s">
        <v>49035</v>
      </c>
      <c r="F6764" s="36" t="s">
        <v>54401</v>
      </c>
      <c r="G6764" s="39">
        <v>163991.59</v>
      </c>
      <c r="H6764" s="42">
        <v>211</v>
      </c>
    </row>
    <row r="6765" spans="1:8" ht="15" customHeight="1">
      <c r="A6765" s="26">
        <v>74371386</v>
      </c>
      <c r="B6765" s="30" t="s">
        <v>8993</v>
      </c>
      <c r="C6765" s="29" t="s">
        <v>23270</v>
      </c>
      <c r="D6765" s="29" t="s">
        <v>36546</v>
      </c>
      <c r="E6765" s="29" t="s">
        <v>49036</v>
      </c>
      <c r="F6765" s="36" t="s">
        <v>54401</v>
      </c>
      <c r="G6765" s="39">
        <v>116140.99</v>
      </c>
      <c r="H6765" s="42">
        <v>211</v>
      </c>
    </row>
    <row r="6766" spans="1:8" ht="15" customHeight="1">
      <c r="A6766" s="26">
        <v>74371392</v>
      </c>
      <c r="B6766" s="30" t="s">
        <v>8994</v>
      </c>
      <c r="C6766" s="29" t="s">
        <v>22291</v>
      </c>
      <c r="D6766" s="29" t="s">
        <v>36547</v>
      </c>
      <c r="E6766" s="29" t="s">
        <v>48286</v>
      </c>
      <c r="F6766" s="36" t="s">
        <v>54401</v>
      </c>
      <c r="G6766" s="39">
        <f>1137382.86+1634290</f>
        <v>2771672.8600000003</v>
      </c>
      <c r="H6766" s="42">
        <v>211</v>
      </c>
    </row>
    <row r="6767" spans="1:8" ht="15" customHeight="1">
      <c r="A6767" s="26">
        <v>74371402</v>
      </c>
      <c r="B6767" s="30" t="s">
        <v>8995</v>
      </c>
      <c r="C6767" s="29" t="s">
        <v>23271</v>
      </c>
      <c r="D6767" s="29" t="s">
        <v>36548</v>
      </c>
      <c r="E6767" s="29" t="s">
        <v>49037</v>
      </c>
      <c r="F6767" s="36" t="s">
        <v>54401</v>
      </c>
      <c r="G6767" s="39">
        <v>5615239.7999999998</v>
      </c>
      <c r="H6767" s="42">
        <v>211</v>
      </c>
    </row>
    <row r="6768" spans="1:8" ht="15" customHeight="1">
      <c r="A6768" s="26">
        <v>74371406</v>
      </c>
      <c r="B6768" s="30" t="s">
        <v>8996</v>
      </c>
      <c r="C6768" s="29" t="s">
        <v>23272</v>
      </c>
      <c r="D6768" s="29" t="s">
        <v>36549</v>
      </c>
      <c r="E6768" s="29" t="s">
        <v>49038</v>
      </c>
      <c r="F6768" s="36" t="s">
        <v>54401</v>
      </c>
      <c r="G6768" s="39">
        <v>702868.71</v>
      </c>
      <c r="H6768" s="42">
        <v>211</v>
      </c>
    </row>
    <row r="6769" spans="1:8" ht="15" customHeight="1">
      <c r="A6769" s="26">
        <v>74371420</v>
      </c>
      <c r="B6769" s="30" t="s">
        <v>8997</v>
      </c>
      <c r="C6769" s="29" t="s">
        <v>17204</v>
      </c>
      <c r="D6769" s="29" t="s">
        <v>30349</v>
      </c>
      <c r="E6769" s="29" t="s">
        <v>43926</v>
      </c>
      <c r="F6769" s="36" t="s">
        <v>54401</v>
      </c>
      <c r="G6769" s="39">
        <f>202858.73+290126+932856</f>
        <v>1425840.73</v>
      </c>
      <c r="H6769" s="42">
        <v>211</v>
      </c>
    </row>
    <row r="6770" spans="1:8" ht="15" customHeight="1">
      <c r="A6770" s="26">
        <v>74371433</v>
      </c>
      <c r="B6770" s="30" t="s">
        <v>8998</v>
      </c>
      <c r="C6770" s="29" t="s">
        <v>23273</v>
      </c>
      <c r="D6770" s="29" t="s">
        <v>36550</v>
      </c>
      <c r="E6770" s="29" t="s">
        <v>49039</v>
      </c>
      <c r="F6770" s="36" t="s">
        <v>54401</v>
      </c>
      <c r="G6770" s="39">
        <v>43663.87</v>
      </c>
      <c r="H6770" s="42">
        <v>211</v>
      </c>
    </row>
    <row r="6771" spans="1:8" ht="15" customHeight="1">
      <c r="A6771" s="26">
        <v>74371443</v>
      </c>
      <c r="B6771" s="30" t="s">
        <v>8999</v>
      </c>
      <c r="C6771" s="29" t="s">
        <v>23274</v>
      </c>
      <c r="D6771" s="29" t="s">
        <v>36551</v>
      </c>
      <c r="E6771" s="29" t="s">
        <v>44345</v>
      </c>
      <c r="F6771" s="36" t="s">
        <v>54401</v>
      </c>
      <c r="G6771" s="39">
        <v>1237170.83</v>
      </c>
      <c r="H6771" s="42">
        <v>211</v>
      </c>
    </row>
    <row r="6772" spans="1:8" ht="15" customHeight="1">
      <c r="A6772" s="26">
        <v>74371479</v>
      </c>
      <c r="B6772" s="30" t="s">
        <v>9000</v>
      </c>
      <c r="C6772" s="29" t="s">
        <v>23275</v>
      </c>
      <c r="D6772" s="29" t="s">
        <v>30376</v>
      </c>
      <c r="E6772" s="29" t="s">
        <v>49040</v>
      </c>
      <c r="F6772" s="36" t="s">
        <v>54401</v>
      </c>
      <c r="G6772" s="39">
        <f>1239791.44+220612</f>
        <v>1460403.44</v>
      </c>
      <c r="H6772" s="42">
        <v>211</v>
      </c>
    </row>
    <row r="6773" spans="1:8" ht="15" customHeight="1">
      <c r="A6773" s="26">
        <v>74371489</v>
      </c>
      <c r="B6773" s="30" t="s">
        <v>9001</v>
      </c>
      <c r="C6773" s="29" t="s">
        <v>23276</v>
      </c>
      <c r="D6773" s="29" t="s">
        <v>36552</v>
      </c>
      <c r="E6773" s="29" t="s">
        <v>49041</v>
      </c>
      <c r="F6773" s="36" t="s">
        <v>54401</v>
      </c>
      <c r="G6773" s="39">
        <v>4091166.41</v>
      </c>
      <c r="H6773" s="42">
        <v>211</v>
      </c>
    </row>
    <row r="6774" spans="1:8" ht="15" customHeight="1">
      <c r="A6774" s="26">
        <v>74371504</v>
      </c>
      <c r="B6774" s="30" t="s">
        <v>9002</v>
      </c>
      <c r="C6774" s="29" t="s">
        <v>23277</v>
      </c>
      <c r="D6774" s="29" t="s">
        <v>36553</v>
      </c>
      <c r="E6774" s="29" t="s">
        <v>49042</v>
      </c>
      <c r="F6774" s="36" t="s">
        <v>54401</v>
      </c>
      <c r="G6774" s="39">
        <v>6817652.4800000004</v>
      </c>
      <c r="H6774" s="42">
        <v>211</v>
      </c>
    </row>
    <row r="6775" spans="1:8" ht="15" customHeight="1">
      <c r="A6775" s="26">
        <v>74371514</v>
      </c>
      <c r="B6775" s="30" t="s">
        <v>9003</v>
      </c>
      <c r="C6775" s="29" t="s">
        <v>23278</v>
      </c>
      <c r="D6775" s="29" t="s">
        <v>36554</v>
      </c>
      <c r="E6775" s="29" t="s">
        <v>49043</v>
      </c>
      <c r="F6775" s="36" t="s">
        <v>54401</v>
      </c>
      <c r="G6775" s="39">
        <v>1627428.3</v>
      </c>
      <c r="H6775" s="42">
        <v>211</v>
      </c>
    </row>
    <row r="6776" spans="1:8" ht="15" customHeight="1">
      <c r="A6776" s="26">
        <v>74371523</v>
      </c>
      <c r="B6776" s="30" t="s">
        <v>9004</v>
      </c>
      <c r="C6776" s="29" t="s">
        <v>23279</v>
      </c>
      <c r="D6776" s="29" t="s">
        <v>36555</v>
      </c>
      <c r="E6776" s="29" t="s">
        <v>49044</v>
      </c>
      <c r="F6776" s="36" t="s">
        <v>54401</v>
      </c>
      <c r="G6776" s="39">
        <v>6198700.8200000003</v>
      </c>
      <c r="H6776" s="42">
        <v>211</v>
      </c>
    </row>
    <row r="6777" spans="1:8" ht="15" customHeight="1">
      <c r="A6777" s="26">
        <v>74371530</v>
      </c>
      <c r="B6777" s="30" t="s">
        <v>9005</v>
      </c>
      <c r="C6777" s="29" t="s">
        <v>23280</v>
      </c>
      <c r="D6777" s="29" t="s">
        <v>36556</v>
      </c>
      <c r="E6777" s="29" t="s">
        <v>49045</v>
      </c>
      <c r="F6777" s="36" t="s">
        <v>54401</v>
      </c>
      <c r="G6777" s="39">
        <v>4528792.5199999996</v>
      </c>
      <c r="H6777" s="42">
        <v>211</v>
      </c>
    </row>
    <row r="6778" spans="1:8" ht="15" customHeight="1">
      <c r="A6778" s="26">
        <v>74371534</v>
      </c>
      <c r="B6778" s="30" t="s">
        <v>9006</v>
      </c>
      <c r="C6778" s="29" t="s">
        <v>23281</v>
      </c>
      <c r="D6778" s="29" t="s">
        <v>36557</v>
      </c>
      <c r="E6778" s="29" t="s">
        <v>49046</v>
      </c>
      <c r="F6778" s="36" t="s">
        <v>54401</v>
      </c>
      <c r="G6778" s="39">
        <f>6108161.42+44672</f>
        <v>6152833.4199999999</v>
      </c>
      <c r="H6778" s="42">
        <v>211</v>
      </c>
    </row>
    <row r="6779" spans="1:8" ht="15" customHeight="1">
      <c r="A6779" s="26">
        <v>74371539</v>
      </c>
      <c r="B6779" s="30" t="s">
        <v>9007</v>
      </c>
      <c r="C6779" s="29" t="s">
        <v>23282</v>
      </c>
      <c r="D6779" s="29" t="s">
        <v>36558</v>
      </c>
      <c r="E6779" s="29" t="s">
        <v>49047</v>
      </c>
      <c r="F6779" s="36" t="s">
        <v>54401</v>
      </c>
      <c r="G6779" s="39">
        <f>4579617.3+91431</f>
        <v>4671048.3</v>
      </c>
      <c r="H6779" s="42">
        <v>211</v>
      </c>
    </row>
    <row r="6780" spans="1:8" ht="15" customHeight="1">
      <c r="A6780" s="26">
        <v>74371567</v>
      </c>
      <c r="B6780" s="30" t="s">
        <v>9008</v>
      </c>
      <c r="C6780" s="29" t="s">
        <v>23283</v>
      </c>
      <c r="D6780" s="29" t="s">
        <v>36559</v>
      </c>
      <c r="E6780" s="29" t="s">
        <v>49048</v>
      </c>
      <c r="F6780" s="36" t="s">
        <v>54401</v>
      </c>
      <c r="G6780" s="39">
        <f>6132892.03+13312+61332</f>
        <v>6207536.0300000003</v>
      </c>
      <c r="H6780" s="42">
        <v>211</v>
      </c>
    </row>
    <row r="6781" spans="1:8" ht="15" customHeight="1">
      <c r="A6781" s="26">
        <v>74371579</v>
      </c>
      <c r="B6781" s="30" t="s">
        <v>9009</v>
      </c>
      <c r="C6781" s="29" t="s">
        <v>23284</v>
      </c>
      <c r="D6781" s="29" t="s">
        <v>36560</v>
      </c>
      <c r="E6781" s="29" t="s">
        <v>49049</v>
      </c>
      <c r="F6781" s="36" t="s">
        <v>54401</v>
      </c>
      <c r="G6781" s="39">
        <v>163803.91</v>
      </c>
      <c r="H6781" s="42">
        <v>211</v>
      </c>
    </row>
    <row r="6782" spans="1:8" ht="15" customHeight="1">
      <c r="A6782" s="26">
        <v>74371580</v>
      </c>
      <c r="B6782" s="30" t="s">
        <v>9010</v>
      </c>
      <c r="C6782" s="29" t="s">
        <v>23285</v>
      </c>
      <c r="D6782" s="29" t="s">
        <v>36561</v>
      </c>
      <c r="E6782" s="29" t="s">
        <v>47390</v>
      </c>
      <c r="F6782" s="36" t="s">
        <v>54401</v>
      </c>
      <c r="G6782" s="39">
        <v>48168.07</v>
      </c>
      <c r="H6782" s="42">
        <v>211</v>
      </c>
    </row>
    <row r="6783" spans="1:8" ht="15" customHeight="1">
      <c r="A6783" s="26">
        <v>74371592</v>
      </c>
      <c r="B6783" s="30" t="s">
        <v>9011</v>
      </c>
      <c r="C6783" s="29" t="s">
        <v>23286</v>
      </c>
      <c r="D6783" s="29" t="s">
        <v>36562</v>
      </c>
      <c r="E6783" s="29" t="s">
        <v>49050</v>
      </c>
      <c r="F6783" s="36" t="s">
        <v>54401</v>
      </c>
      <c r="G6783" s="39">
        <v>93615.89</v>
      </c>
      <c r="H6783" s="42">
        <v>211</v>
      </c>
    </row>
    <row r="6784" spans="1:8" ht="15" customHeight="1">
      <c r="A6784" s="26">
        <v>74371615</v>
      </c>
      <c r="B6784" s="30" t="s">
        <v>9012</v>
      </c>
      <c r="C6784" s="29" t="s">
        <v>23287</v>
      </c>
      <c r="D6784" s="29" t="s">
        <v>36563</v>
      </c>
      <c r="E6784" s="29" t="s">
        <v>43926</v>
      </c>
      <c r="F6784" s="36" t="s">
        <v>54401</v>
      </c>
      <c r="G6784" s="39">
        <v>573090.48</v>
      </c>
      <c r="H6784" s="42">
        <v>211</v>
      </c>
    </row>
    <row r="6785" spans="1:8" ht="15" customHeight="1">
      <c r="A6785" s="26">
        <v>74371623</v>
      </c>
      <c r="B6785" s="30" t="s">
        <v>9013</v>
      </c>
      <c r="C6785" s="29" t="s">
        <v>23288</v>
      </c>
      <c r="D6785" s="29" t="s">
        <v>36564</v>
      </c>
      <c r="E6785" s="29" t="s">
        <v>43926</v>
      </c>
      <c r="F6785" s="36" t="s">
        <v>54401</v>
      </c>
      <c r="G6785" s="39">
        <v>1704658.48</v>
      </c>
      <c r="H6785" s="42">
        <v>211</v>
      </c>
    </row>
    <row r="6786" spans="1:8" ht="15" customHeight="1">
      <c r="A6786" s="26">
        <v>74371625</v>
      </c>
      <c r="B6786" s="30" t="s">
        <v>9014</v>
      </c>
      <c r="C6786" s="29" t="s">
        <v>23289</v>
      </c>
      <c r="D6786" s="29" t="s">
        <v>36565</v>
      </c>
      <c r="E6786" s="29" t="s">
        <v>49051</v>
      </c>
      <c r="F6786" s="36" t="s">
        <v>54401</v>
      </c>
      <c r="G6786" s="39">
        <f>2153263.93-16150+404749</f>
        <v>2541862.9300000002</v>
      </c>
      <c r="H6786" s="42">
        <v>211</v>
      </c>
    </row>
    <row r="6787" spans="1:8" ht="15" customHeight="1">
      <c r="A6787" s="26">
        <v>74371626</v>
      </c>
      <c r="B6787" s="30" t="s">
        <v>9015</v>
      </c>
      <c r="C6787" s="26" t="s">
        <v>23290</v>
      </c>
      <c r="D6787" s="26" t="s">
        <v>36566</v>
      </c>
      <c r="E6787" s="26" t="s">
        <v>49052</v>
      </c>
      <c r="F6787" s="37" t="s">
        <v>54401</v>
      </c>
      <c r="G6787" s="39">
        <v>115084.04</v>
      </c>
      <c r="H6787" s="42">
        <v>211</v>
      </c>
    </row>
    <row r="6788" spans="1:8" ht="15" customHeight="1">
      <c r="A6788" s="26">
        <v>74371633</v>
      </c>
      <c r="B6788" s="30" t="s">
        <v>9016</v>
      </c>
      <c r="C6788" s="29" t="s">
        <v>23291</v>
      </c>
      <c r="D6788" s="29" t="s">
        <v>36567</v>
      </c>
      <c r="E6788" s="29" t="s">
        <v>49053</v>
      </c>
      <c r="F6788" s="36" t="s">
        <v>54401</v>
      </c>
      <c r="G6788" s="39">
        <v>665776.35</v>
      </c>
      <c r="H6788" s="42">
        <v>211</v>
      </c>
    </row>
    <row r="6789" spans="1:8" ht="15" customHeight="1">
      <c r="A6789" s="26">
        <v>74371636</v>
      </c>
      <c r="B6789" s="30" t="s">
        <v>9017</v>
      </c>
      <c r="C6789" s="29" t="s">
        <v>23292</v>
      </c>
      <c r="D6789" s="29" t="s">
        <v>36568</v>
      </c>
      <c r="E6789" s="29" t="s">
        <v>49054</v>
      </c>
      <c r="F6789" s="36" t="s">
        <v>54401</v>
      </c>
      <c r="G6789" s="39">
        <f>893555.76+41294</f>
        <v>934849.76</v>
      </c>
      <c r="H6789" s="42">
        <v>211</v>
      </c>
    </row>
    <row r="6790" spans="1:8" ht="15" customHeight="1">
      <c r="A6790" s="26">
        <v>74371650</v>
      </c>
      <c r="B6790" s="30" t="s">
        <v>9018</v>
      </c>
      <c r="C6790" s="29" t="s">
        <v>23293</v>
      </c>
      <c r="D6790" s="29" t="s">
        <v>36569</v>
      </c>
      <c r="E6790" s="29" t="s">
        <v>49055</v>
      </c>
      <c r="F6790" s="36" t="s">
        <v>54401</v>
      </c>
      <c r="G6790" s="39">
        <v>1337327.51</v>
      </c>
      <c r="H6790" s="42">
        <v>211</v>
      </c>
    </row>
    <row r="6791" spans="1:8" ht="15" customHeight="1">
      <c r="A6791" s="26">
        <v>74371663</v>
      </c>
      <c r="B6791" s="30" t="s">
        <v>9019</v>
      </c>
      <c r="C6791" s="29" t="s">
        <v>23294</v>
      </c>
      <c r="D6791" s="29" t="s">
        <v>36570</v>
      </c>
      <c r="E6791" s="29" t="s">
        <v>44600</v>
      </c>
      <c r="F6791" s="36" t="s">
        <v>54401</v>
      </c>
      <c r="G6791" s="39">
        <v>130617.78</v>
      </c>
      <c r="H6791" s="42">
        <v>211</v>
      </c>
    </row>
    <row r="6792" spans="1:8" ht="15" customHeight="1">
      <c r="A6792" s="26">
        <v>74371664</v>
      </c>
      <c r="B6792" s="30" t="s">
        <v>9020</v>
      </c>
      <c r="C6792" s="29" t="s">
        <v>23295</v>
      </c>
      <c r="D6792" s="29" t="s">
        <v>36571</v>
      </c>
      <c r="E6792" s="29" t="s">
        <v>49056</v>
      </c>
      <c r="F6792" s="36" t="s">
        <v>54401</v>
      </c>
      <c r="G6792" s="39">
        <f>2929267.9+402031+235237+266240</f>
        <v>3832775.9</v>
      </c>
      <c r="H6792" s="42">
        <v>211</v>
      </c>
    </row>
    <row r="6793" spans="1:8" ht="15" customHeight="1">
      <c r="A6793" s="26">
        <v>74371667</v>
      </c>
      <c r="B6793" s="30" t="s">
        <v>9021</v>
      </c>
      <c r="C6793" s="29" t="s">
        <v>23296</v>
      </c>
      <c r="D6793" s="29" t="s">
        <v>36572</v>
      </c>
      <c r="E6793" s="29" t="s">
        <v>49057</v>
      </c>
      <c r="F6793" s="36" t="s">
        <v>54402</v>
      </c>
      <c r="G6793" s="39">
        <v>3938650.13</v>
      </c>
      <c r="H6793" s="42">
        <v>211</v>
      </c>
    </row>
    <row r="6794" spans="1:8" ht="15" customHeight="1">
      <c r="A6794" s="26">
        <v>74371669</v>
      </c>
      <c r="B6794" s="30" t="s">
        <v>9022</v>
      </c>
      <c r="C6794" s="29" t="s">
        <v>17204</v>
      </c>
      <c r="D6794" s="29" t="s">
        <v>30349</v>
      </c>
      <c r="E6794" s="29" t="s">
        <v>43926</v>
      </c>
      <c r="F6794" s="36" t="s">
        <v>54401</v>
      </c>
      <c r="G6794" s="39">
        <v>571100.17000000004</v>
      </c>
      <c r="H6794" s="42">
        <v>211</v>
      </c>
    </row>
    <row r="6795" spans="1:8" ht="15" customHeight="1">
      <c r="A6795" s="26">
        <v>74371682</v>
      </c>
      <c r="B6795" s="30" t="s">
        <v>9023</v>
      </c>
      <c r="C6795" s="29" t="s">
        <v>22078</v>
      </c>
      <c r="D6795" s="29" t="s">
        <v>35314</v>
      </c>
      <c r="E6795" s="29" t="s">
        <v>49058</v>
      </c>
      <c r="F6795" s="36" t="s">
        <v>54401</v>
      </c>
      <c r="G6795" s="39">
        <v>2288622.17</v>
      </c>
      <c r="H6795" s="42">
        <v>211</v>
      </c>
    </row>
    <row r="6796" spans="1:8" ht="15" customHeight="1">
      <c r="A6796" s="26">
        <v>74371684</v>
      </c>
      <c r="B6796" s="30" t="s">
        <v>9024</v>
      </c>
      <c r="C6796" s="29" t="s">
        <v>23297</v>
      </c>
      <c r="D6796" s="29" t="s">
        <v>36573</v>
      </c>
      <c r="E6796" s="29" t="s">
        <v>49059</v>
      </c>
      <c r="F6796" s="36" t="s">
        <v>54401</v>
      </c>
      <c r="G6796" s="39">
        <v>15980</v>
      </c>
      <c r="H6796" s="42">
        <v>211</v>
      </c>
    </row>
    <row r="6797" spans="1:8" ht="15" customHeight="1">
      <c r="A6797" s="26">
        <v>74371693</v>
      </c>
      <c r="B6797" s="30" t="s">
        <v>9025</v>
      </c>
      <c r="C6797" s="29" t="s">
        <v>23298</v>
      </c>
      <c r="D6797" s="29" t="s">
        <v>36574</v>
      </c>
      <c r="E6797" s="29" t="s">
        <v>49060</v>
      </c>
      <c r="F6797" s="36" t="s">
        <v>54401</v>
      </c>
      <c r="G6797" s="39">
        <v>1000589.44</v>
      </c>
      <c r="H6797" s="42">
        <v>211</v>
      </c>
    </row>
    <row r="6798" spans="1:8" ht="15" customHeight="1">
      <c r="A6798" s="26">
        <v>74371697</v>
      </c>
      <c r="B6798" s="30" t="s">
        <v>9026</v>
      </c>
      <c r="C6798" s="29" t="s">
        <v>23299</v>
      </c>
      <c r="D6798" s="29" t="s">
        <v>36575</v>
      </c>
      <c r="E6798" s="29" t="s">
        <v>48747</v>
      </c>
      <c r="F6798" s="36" t="s">
        <v>54401</v>
      </c>
      <c r="G6798" s="39">
        <v>6800863.9199999999</v>
      </c>
      <c r="H6798" s="42">
        <v>211</v>
      </c>
    </row>
    <row r="6799" spans="1:8" ht="15" customHeight="1">
      <c r="A6799" s="26">
        <v>74371700</v>
      </c>
      <c r="B6799" s="30" t="s">
        <v>9027</v>
      </c>
      <c r="C6799" s="29" t="s">
        <v>23300</v>
      </c>
      <c r="D6799" s="29" t="s">
        <v>36576</v>
      </c>
      <c r="E6799" s="29" t="s">
        <v>49061</v>
      </c>
      <c r="F6799" s="36" t="s">
        <v>54401</v>
      </c>
      <c r="G6799" s="39">
        <v>1777973.87</v>
      </c>
      <c r="H6799" s="42">
        <v>211</v>
      </c>
    </row>
    <row r="6800" spans="1:8" ht="15" customHeight="1">
      <c r="A6800" s="26">
        <v>74371701</v>
      </c>
      <c r="B6800" s="30" t="s">
        <v>9028</v>
      </c>
      <c r="C6800" s="29" t="s">
        <v>23301</v>
      </c>
      <c r="D6800" s="29" t="s">
        <v>36577</v>
      </c>
      <c r="E6800" s="29" t="s">
        <v>49062</v>
      </c>
      <c r="F6800" s="36" t="s">
        <v>54401</v>
      </c>
      <c r="G6800" s="39">
        <v>481622.53</v>
      </c>
      <c r="H6800" s="42">
        <v>211</v>
      </c>
    </row>
    <row r="6801" spans="1:8" ht="15" customHeight="1">
      <c r="A6801" s="26">
        <v>74371702</v>
      </c>
      <c r="B6801" s="30" t="s">
        <v>9029</v>
      </c>
      <c r="C6801" s="29" t="s">
        <v>23302</v>
      </c>
      <c r="D6801" s="29" t="s">
        <v>36578</v>
      </c>
      <c r="E6801" s="29" t="s">
        <v>43926</v>
      </c>
      <c r="F6801" s="36" t="s">
        <v>54401</v>
      </c>
      <c r="G6801" s="39">
        <v>5473528.5499999998</v>
      </c>
      <c r="H6801" s="42">
        <v>211</v>
      </c>
    </row>
    <row r="6802" spans="1:8" ht="15" customHeight="1">
      <c r="A6802" s="26">
        <v>74371704</v>
      </c>
      <c r="B6802" s="30" t="s">
        <v>9030</v>
      </c>
      <c r="C6802" s="29" t="s">
        <v>23303</v>
      </c>
      <c r="D6802" s="29" t="s">
        <v>36579</v>
      </c>
      <c r="E6802" s="29" t="s">
        <v>49063</v>
      </c>
      <c r="F6802" s="36" t="s">
        <v>54401</v>
      </c>
      <c r="G6802" s="39">
        <f>1383291.15+423259</f>
        <v>1806550.15</v>
      </c>
      <c r="H6802" s="42">
        <v>211</v>
      </c>
    </row>
    <row r="6803" spans="1:8" ht="15" customHeight="1">
      <c r="A6803" s="26">
        <v>74371720</v>
      </c>
      <c r="B6803" s="30" t="s">
        <v>9031</v>
      </c>
      <c r="C6803" s="26" t="s">
        <v>17204</v>
      </c>
      <c r="D6803" s="26" t="s">
        <v>36580</v>
      </c>
      <c r="E6803" s="26" t="s">
        <v>44905</v>
      </c>
      <c r="F6803" s="37" t="s">
        <v>54401</v>
      </c>
      <c r="G6803" s="39">
        <v>528888.36</v>
      </c>
      <c r="H6803" s="42">
        <v>211</v>
      </c>
    </row>
    <row r="6804" spans="1:8" ht="15" customHeight="1">
      <c r="A6804" s="26">
        <v>74371721</v>
      </c>
      <c r="B6804" s="30" t="s">
        <v>9032</v>
      </c>
      <c r="C6804" s="29" t="s">
        <v>23304</v>
      </c>
      <c r="D6804" s="29" t="s">
        <v>36581</v>
      </c>
      <c r="E6804" s="29" t="s">
        <v>49064</v>
      </c>
      <c r="F6804" s="36" t="s">
        <v>54401</v>
      </c>
      <c r="G6804" s="39">
        <v>5427595.4500000002</v>
      </c>
      <c r="H6804" s="42">
        <v>211</v>
      </c>
    </row>
    <row r="6805" spans="1:8" ht="15" customHeight="1">
      <c r="A6805" s="26">
        <v>74371727</v>
      </c>
      <c r="B6805" s="30" t="s">
        <v>9033</v>
      </c>
      <c r="C6805" s="26" t="s">
        <v>23305</v>
      </c>
      <c r="D6805" s="26" t="s">
        <v>36582</v>
      </c>
      <c r="E6805" s="26" t="s">
        <v>49065</v>
      </c>
      <c r="F6805" s="37" t="s">
        <v>54401</v>
      </c>
      <c r="G6805" s="39">
        <v>512448.05</v>
      </c>
      <c r="H6805" s="42">
        <v>211</v>
      </c>
    </row>
    <row r="6806" spans="1:8" ht="15" customHeight="1">
      <c r="A6806" s="26">
        <v>74371729</v>
      </c>
      <c r="B6806" s="30" t="s">
        <v>9034</v>
      </c>
      <c r="C6806" s="26" t="s">
        <v>23306</v>
      </c>
      <c r="D6806" s="26" t="s">
        <v>36583</v>
      </c>
      <c r="E6806" s="26" t="s">
        <v>49066</v>
      </c>
      <c r="F6806" s="37" t="s">
        <v>54401</v>
      </c>
      <c r="G6806" s="39">
        <v>3133658.29</v>
      </c>
      <c r="H6806" s="42">
        <v>211</v>
      </c>
    </row>
    <row r="6807" spans="1:8" ht="15" customHeight="1">
      <c r="A6807" s="26">
        <v>74371740</v>
      </c>
      <c r="B6807" s="30" t="s">
        <v>9035</v>
      </c>
      <c r="C6807" s="29" t="s">
        <v>23307</v>
      </c>
      <c r="D6807" s="29" t="s">
        <v>36584</v>
      </c>
      <c r="E6807" s="29" t="s">
        <v>49067</v>
      </c>
      <c r="F6807" s="36" t="s">
        <v>54401</v>
      </c>
      <c r="G6807" s="39">
        <v>4645657.33</v>
      </c>
      <c r="H6807" s="42">
        <v>211</v>
      </c>
    </row>
    <row r="6808" spans="1:8" ht="15" customHeight="1">
      <c r="A6808" s="26">
        <v>74371751</v>
      </c>
      <c r="B6808" s="30" t="s">
        <v>9036</v>
      </c>
      <c r="C6808" s="29" t="s">
        <v>23308</v>
      </c>
      <c r="D6808" s="29" t="s">
        <v>36585</v>
      </c>
      <c r="E6808" s="29" t="s">
        <v>49068</v>
      </c>
      <c r="F6808" s="36" t="s">
        <v>54401</v>
      </c>
      <c r="G6808" s="39">
        <v>361640.47</v>
      </c>
      <c r="H6808" s="42">
        <v>211</v>
      </c>
    </row>
    <row r="6809" spans="1:8" ht="15" customHeight="1">
      <c r="A6809" s="26">
        <v>74371757</v>
      </c>
      <c r="B6809" s="30" t="s">
        <v>9037</v>
      </c>
      <c r="C6809" s="29" t="s">
        <v>23309</v>
      </c>
      <c r="D6809" s="29" t="s">
        <v>36586</v>
      </c>
      <c r="E6809" s="29" t="s">
        <v>49069</v>
      </c>
      <c r="F6809" s="36" t="s">
        <v>54401</v>
      </c>
      <c r="G6809" s="39">
        <v>252686.04</v>
      </c>
      <c r="H6809" s="42">
        <v>211</v>
      </c>
    </row>
    <row r="6810" spans="1:8" ht="15" customHeight="1">
      <c r="A6810" s="26">
        <v>74371769</v>
      </c>
      <c r="B6810" s="30" t="s">
        <v>9038</v>
      </c>
      <c r="C6810" s="29" t="s">
        <v>23310</v>
      </c>
      <c r="D6810" s="29" t="s">
        <v>36587</v>
      </c>
      <c r="E6810" s="29" t="s">
        <v>43926</v>
      </c>
      <c r="F6810" s="36" t="s">
        <v>54401</v>
      </c>
      <c r="G6810" s="39">
        <v>1116919.48</v>
      </c>
      <c r="H6810" s="42">
        <v>211</v>
      </c>
    </row>
    <row r="6811" spans="1:8" ht="15" customHeight="1">
      <c r="A6811" s="26">
        <v>74371784</v>
      </c>
      <c r="B6811" s="30" t="s">
        <v>9039</v>
      </c>
      <c r="C6811" s="29" t="s">
        <v>23311</v>
      </c>
      <c r="D6811" s="29" t="s">
        <v>36588</v>
      </c>
      <c r="E6811" s="29" t="s">
        <v>49070</v>
      </c>
      <c r="F6811" s="36" t="s">
        <v>54401</v>
      </c>
      <c r="G6811" s="39">
        <f>770660.95+575955</f>
        <v>1346615.95</v>
      </c>
      <c r="H6811" s="42">
        <v>211</v>
      </c>
    </row>
    <row r="6812" spans="1:8" ht="15" customHeight="1">
      <c r="A6812" s="26">
        <v>74371785</v>
      </c>
      <c r="B6812" s="30" t="s">
        <v>9040</v>
      </c>
      <c r="C6812" s="29" t="s">
        <v>23312</v>
      </c>
      <c r="D6812" s="29" t="s">
        <v>36589</v>
      </c>
      <c r="E6812" s="29" t="s">
        <v>47073</v>
      </c>
      <c r="F6812" s="36" t="s">
        <v>54401</v>
      </c>
      <c r="G6812" s="39">
        <v>4368083.54</v>
      </c>
      <c r="H6812" s="42">
        <v>211</v>
      </c>
    </row>
    <row r="6813" spans="1:8" ht="15" customHeight="1">
      <c r="A6813" s="26">
        <v>74371805</v>
      </c>
      <c r="B6813" s="30" t="s">
        <v>9041</v>
      </c>
      <c r="C6813" s="26" t="s">
        <v>23313</v>
      </c>
      <c r="D6813" s="26" t="s">
        <v>36590</v>
      </c>
      <c r="E6813" s="26" t="s">
        <v>49071</v>
      </c>
      <c r="F6813" s="37" t="s">
        <v>54401</v>
      </c>
      <c r="G6813" s="39">
        <v>479994.08</v>
      </c>
      <c r="H6813" s="42">
        <v>211</v>
      </c>
    </row>
    <row r="6814" spans="1:8" ht="15" customHeight="1">
      <c r="A6814" s="26">
        <v>74371812</v>
      </c>
      <c r="B6814" s="30" t="s">
        <v>9042</v>
      </c>
      <c r="C6814" s="29" t="s">
        <v>23314</v>
      </c>
      <c r="D6814" s="29" t="s">
        <v>36591</v>
      </c>
      <c r="E6814" s="29" t="s">
        <v>49072</v>
      </c>
      <c r="F6814" s="36" t="s">
        <v>54401</v>
      </c>
      <c r="G6814" s="39">
        <f>658503.64+651820</f>
        <v>1310323.6400000001</v>
      </c>
      <c r="H6814" s="42">
        <v>211</v>
      </c>
    </row>
    <row r="6815" spans="1:8" ht="15" customHeight="1">
      <c r="A6815" s="26">
        <v>74371832</v>
      </c>
      <c r="B6815" s="30" t="s">
        <v>9043</v>
      </c>
      <c r="C6815" s="29" t="s">
        <v>23315</v>
      </c>
      <c r="D6815" s="29" t="s">
        <v>36592</v>
      </c>
      <c r="E6815" s="29" t="s">
        <v>49073</v>
      </c>
      <c r="F6815" s="36" t="s">
        <v>54401</v>
      </c>
      <c r="G6815" s="39">
        <v>2896383.65</v>
      </c>
      <c r="H6815" s="42">
        <v>211</v>
      </c>
    </row>
    <row r="6816" spans="1:8" ht="15" customHeight="1">
      <c r="A6816" s="26">
        <v>74371841</v>
      </c>
      <c r="B6816" s="30" t="s">
        <v>9044</v>
      </c>
      <c r="C6816" s="29" t="s">
        <v>23316</v>
      </c>
      <c r="D6816" s="29" t="s">
        <v>36593</v>
      </c>
      <c r="E6816" s="29" t="s">
        <v>49074</v>
      </c>
      <c r="F6816" s="36" t="s">
        <v>54401</v>
      </c>
      <c r="G6816" s="39">
        <f>1900294.57+1591081</f>
        <v>3491375.5700000003</v>
      </c>
      <c r="H6816" s="42">
        <v>211</v>
      </c>
    </row>
    <row r="6817" spans="1:8" ht="15" customHeight="1">
      <c r="A6817" s="26">
        <v>74371848</v>
      </c>
      <c r="B6817" s="30" t="s">
        <v>9045</v>
      </c>
      <c r="C6817" s="29" t="s">
        <v>23317</v>
      </c>
      <c r="D6817" s="29" t="s">
        <v>36594</v>
      </c>
      <c r="E6817" s="29" t="s">
        <v>49075</v>
      </c>
      <c r="F6817" s="36" t="s">
        <v>54401</v>
      </c>
      <c r="G6817" s="39">
        <v>2714505.89</v>
      </c>
      <c r="H6817" s="42">
        <v>211</v>
      </c>
    </row>
    <row r="6818" spans="1:8" ht="15" customHeight="1">
      <c r="A6818" s="26">
        <v>74371852</v>
      </c>
      <c r="B6818" s="30" t="s">
        <v>9046</v>
      </c>
      <c r="C6818" s="29" t="s">
        <v>23318</v>
      </c>
      <c r="D6818" s="29" t="s">
        <v>36595</v>
      </c>
      <c r="E6818" s="29" t="s">
        <v>49076</v>
      </c>
      <c r="F6818" s="36" t="s">
        <v>54401</v>
      </c>
      <c r="G6818" s="39">
        <f>861983.07+92695</f>
        <v>954678.07</v>
      </c>
      <c r="H6818" s="42">
        <v>211</v>
      </c>
    </row>
    <row r="6819" spans="1:8" ht="15" customHeight="1">
      <c r="A6819" s="26">
        <v>74371853</v>
      </c>
      <c r="B6819" s="30" t="s">
        <v>9047</v>
      </c>
      <c r="C6819" s="26" t="s">
        <v>17204</v>
      </c>
      <c r="D6819" s="26" t="s">
        <v>36596</v>
      </c>
      <c r="E6819" s="26" t="s">
        <v>49077</v>
      </c>
      <c r="F6819" s="37" t="s">
        <v>54401</v>
      </c>
      <c r="G6819" s="39">
        <v>326374.19</v>
      </c>
      <c r="H6819" s="42">
        <v>211</v>
      </c>
    </row>
    <row r="6820" spans="1:8" ht="15" customHeight="1">
      <c r="A6820" s="26">
        <v>74371864</v>
      </c>
      <c r="B6820" s="30" t="s">
        <v>9048</v>
      </c>
      <c r="C6820" s="29" t="s">
        <v>23319</v>
      </c>
      <c r="D6820" s="29" t="s">
        <v>34647</v>
      </c>
      <c r="E6820" s="29" t="s">
        <v>44019</v>
      </c>
      <c r="F6820" s="36" t="s">
        <v>54401</v>
      </c>
      <c r="G6820" s="39">
        <v>4608153.08</v>
      </c>
      <c r="H6820" s="42">
        <v>211</v>
      </c>
    </row>
    <row r="6821" spans="1:8" ht="15" customHeight="1">
      <c r="A6821" s="26">
        <v>74371880</v>
      </c>
      <c r="B6821" s="30" t="s">
        <v>9049</v>
      </c>
      <c r="C6821" s="29" t="s">
        <v>23320</v>
      </c>
      <c r="D6821" s="29" t="s">
        <v>36597</v>
      </c>
      <c r="E6821" s="29" t="s">
        <v>49078</v>
      </c>
      <c r="F6821" s="36" t="s">
        <v>54401</v>
      </c>
      <c r="G6821" s="39">
        <v>10837946.82</v>
      </c>
      <c r="H6821" s="42">
        <v>211</v>
      </c>
    </row>
    <row r="6822" spans="1:8" ht="15" customHeight="1">
      <c r="A6822" s="26">
        <v>74371912</v>
      </c>
      <c r="B6822" s="30" t="s">
        <v>9050</v>
      </c>
      <c r="C6822" s="29" t="s">
        <v>23321</v>
      </c>
      <c r="D6822" s="29" t="s">
        <v>36598</v>
      </c>
      <c r="E6822" s="29" t="s">
        <v>45516</v>
      </c>
      <c r="F6822" s="36" t="s">
        <v>54401</v>
      </c>
      <c r="G6822" s="39">
        <v>543560.93999999994</v>
      </c>
      <c r="H6822" s="42">
        <v>211</v>
      </c>
    </row>
    <row r="6823" spans="1:8" ht="15" customHeight="1">
      <c r="A6823" s="26">
        <v>74371915</v>
      </c>
      <c r="B6823" s="30" t="s">
        <v>9051</v>
      </c>
      <c r="C6823" s="29" t="s">
        <v>23322</v>
      </c>
      <c r="D6823" s="29" t="s">
        <v>36599</v>
      </c>
      <c r="E6823" s="29" t="s">
        <v>49079</v>
      </c>
      <c r="F6823" s="36" t="s">
        <v>54401</v>
      </c>
      <c r="G6823" s="39">
        <v>205352.64</v>
      </c>
      <c r="H6823" s="42">
        <v>211</v>
      </c>
    </row>
    <row r="6824" spans="1:8" ht="15" customHeight="1">
      <c r="A6824" s="26">
        <v>74371922</v>
      </c>
      <c r="B6824" s="30" t="s">
        <v>9052</v>
      </c>
      <c r="C6824" s="29" t="s">
        <v>23323</v>
      </c>
      <c r="D6824" s="29" t="s">
        <v>36600</v>
      </c>
      <c r="E6824" s="29" t="s">
        <v>49080</v>
      </c>
      <c r="F6824" s="36" t="s">
        <v>54401</v>
      </c>
      <c r="G6824" s="39">
        <v>282015.89</v>
      </c>
      <c r="H6824" s="42">
        <v>211</v>
      </c>
    </row>
    <row r="6825" spans="1:8" ht="15" customHeight="1">
      <c r="A6825" s="26">
        <v>74371934</v>
      </c>
      <c r="B6825" s="30" t="s">
        <v>9053</v>
      </c>
      <c r="C6825" s="29" t="s">
        <v>17204</v>
      </c>
      <c r="D6825" s="29" t="s">
        <v>30349</v>
      </c>
      <c r="E6825" s="29" t="s">
        <v>43926</v>
      </c>
      <c r="F6825" s="36" t="s">
        <v>54401</v>
      </c>
      <c r="G6825" s="39">
        <v>293593.94</v>
      </c>
      <c r="H6825" s="42">
        <v>211</v>
      </c>
    </row>
    <row r="6826" spans="1:8" ht="15" customHeight="1">
      <c r="A6826" s="26">
        <v>74371945</v>
      </c>
      <c r="B6826" s="30" t="s">
        <v>9054</v>
      </c>
      <c r="C6826" s="29" t="s">
        <v>23324</v>
      </c>
      <c r="D6826" s="29" t="s">
        <v>36601</v>
      </c>
      <c r="E6826" s="29" t="s">
        <v>49081</v>
      </c>
      <c r="F6826" s="36" t="s">
        <v>54409</v>
      </c>
      <c r="G6826" s="39">
        <v>3721361.57</v>
      </c>
      <c r="H6826" s="42">
        <v>211</v>
      </c>
    </row>
    <row r="6827" spans="1:8" ht="15" customHeight="1">
      <c r="A6827" s="26">
        <v>74371967</v>
      </c>
      <c r="B6827" s="30" t="s">
        <v>9055</v>
      </c>
      <c r="C6827" s="29" t="s">
        <v>23325</v>
      </c>
      <c r="D6827" s="29" t="s">
        <v>36602</v>
      </c>
      <c r="E6827" s="29" t="s">
        <v>49082</v>
      </c>
      <c r="F6827" s="36" t="s">
        <v>54401</v>
      </c>
      <c r="G6827" s="39">
        <f>1062687.07+303158</f>
        <v>1365845.07</v>
      </c>
      <c r="H6827" s="42">
        <v>211</v>
      </c>
    </row>
    <row r="6828" spans="1:8" ht="15" customHeight="1">
      <c r="A6828" s="26">
        <v>74371973</v>
      </c>
      <c r="B6828" s="30" t="s">
        <v>9056</v>
      </c>
      <c r="C6828" s="29" t="s">
        <v>23326</v>
      </c>
      <c r="D6828" s="29" t="s">
        <v>36603</v>
      </c>
      <c r="E6828" s="29" t="s">
        <v>49083</v>
      </c>
      <c r="F6828" s="36" t="s">
        <v>54401</v>
      </c>
      <c r="G6828" s="39">
        <v>590123.29</v>
      </c>
      <c r="H6828" s="42">
        <v>211</v>
      </c>
    </row>
    <row r="6829" spans="1:8" ht="15" customHeight="1">
      <c r="A6829" s="26">
        <v>74371976</v>
      </c>
      <c r="B6829" s="30" t="s">
        <v>9057</v>
      </c>
      <c r="C6829" s="29" t="s">
        <v>23327</v>
      </c>
      <c r="D6829" s="29" t="s">
        <v>36604</v>
      </c>
      <c r="E6829" s="29" t="s">
        <v>49084</v>
      </c>
      <c r="F6829" s="36" t="s">
        <v>54401</v>
      </c>
      <c r="G6829" s="39">
        <v>2352592.23</v>
      </c>
      <c r="H6829" s="42">
        <v>211</v>
      </c>
    </row>
    <row r="6830" spans="1:8" ht="15" customHeight="1">
      <c r="A6830" s="26">
        <v>74372003</v>
      </c>
      <c r="B6830" s="30" t="s">
        <v>9058</v>
      </c>
      <c r="C6830" s="29" t="s">
        <v>23328</v>
      </c>
      <c r="D6830" s="29" t="s">
        <v>36605</v>
      </c>
      <c r="E6830" s="29" t="s">
        <v>43926</v>
      </c>
      <c r="F6830" s="36" t="s">
        <v>54401</v>
      </c>
      <c r="G6830" s="39">
        <f>2335861.12+59779</f>
        <v>2395640.12</v>
      </c>
      <c r="H6830" s="42">
        <v>211</v>
      </c>
    </row>
    <row r="6831" spans="1:8" ht="15" customHeight="1">
      <c r="A6831" s="26">
        <v>74372034</v>
      </c>
      <c r="B6831" s="30" t="s">
        <v>9059</v>
      </c>
      <c r="C6831" s="26" t="s">
        <v>23329</v>
      </c>
      <c r="D6831" s="26" t="s">
        <v>36606</v>
      </c>
      <c r="E6831" s="26" t="s">
        <v>49085</v>
      </c>
      <c r="F6831" s="37" t="s">
        <v>54401</v>
      </c>
      <c r="G6831" s="39">
        <v>5049645.1500000004</v>
      </c>
      <c r="H6831" s="42">
        <v>211</v>
      </c>
    </row>
    <row r="6832" spans="1:8" ht="15" customHeight="1">
      <c r="A6832" s="26">
        <v>74372048</v>
      </c>
      <c r="B6832" s="30" t="s">
        <v>9060</v>
      </c>
      <c r="C6832" s="29" t="s">
        <v>23330</v>
      </c>
      <c r="D6832" s="29" t="s">
        <v>36607</v>
      </c>
      <c r="E6832" s="29" t="s">
        <v>49086</v>
      </c>
      <c r="F6832" s="36" t="s">
        <v>54401</v>
      </c>
      <c r="G6832" s="39">
        <v>423507.07</v>
      </c>
      <c r="H6832" s="42">
        <v>211</v>
      </c>
    </row>
    <row r="6833" spans="1:8" ht="15" customHeight="1">
      <c r="A6833" s="26">
        <v>74372050</v>
      </c>
      <c r="B6833" s="30" t="s">
        <v>9061</v>
      </c>
      <c r="C6833" s="29" t="s">
        <v>23331</v>
      </c>
      <c r="D6833" s="29" t="s">
        <v>36608</v>
      </c>
      <c r="E6833" s="29" t="s">
        <v>49087</v>
      </c>
      <c r="F6833" s="36" t="s">
        <v>54401</v>
      </c>
      <c r="G6833" s="39">
        <f>2303506.93+131492</f>
        <v>2434998.9300000002</v>
      </c>
      <c r="H6833" s="42">
        <v>211</v>
      </c>
    </row>
    <row r="6834" spans="1:8" ht="15" customHeight="1">
      <c r="A6834" s="26">
        <v>74372053</v>
      </c>
      <c r="B6834" s="30" t="s">
        <v>9062</v>
      </c>
      <c r="C6834" s="29" t="s">
        <v>17204</v>
      </c>
      <c r="D6834" s="29" t="s">
        <v>36609</v>
      </c>
      <c r="E6834" s="29" t="s">
        <v>43926</v>
      </c>
      <c r="F6834" s="36" t="s">
        <v>54401</v>
      </c>
      <c r="G6834" s="39">
        <v>255907.1</v>
      </c>
      <c r="H6834" s="42">
        <v>211</v>
      </c>
    </row>
    <row r="6835" spans="1:8" ht="15" customHeight="1">
      <c r="A6835" s="26">
        <v>74372056</v>
      </c>
      <c r="B6835" s="30" t="s">
        <v>9063</v>
      </c>
      <c r="C6835" s="29" t="s">
        <v>23332</v>
      </c>
      <c r="D6835" s="29" t="s">
        <v>30376</v>
      </c>
      <c r="E6835" s="29" t="s">
        <v>49088</v>
      </c>
      <c r="F6835" s="36" t="s">
        <v>54401</v>
      </c>
      <c r="G6835" s="39">
        <v>6052054.7599999998</v>
      </c>
      <c r="H6835" s="42">
        <v>211</v>
      </c>
    </row>
    <row r="6836" spans="1:8" ht="15" customHeight="1">
      <c r="A6836" s="26">
        <v>74372059</v>
      </c>
      <c r="B6836" s="30" t="s">
        <v>9064</v>
      </c>
      <c r="C6836" s="29" t="s">
        <v>23333</v>
      </c>
      <c r="D6836" s="29" t="s">
        <v>36610</v>
      </c>
      <c r="E6836" s="29" t="s">
        <v>49089</v>
      </c>
      <c r="F6836" s="36" t="s">
        <v>54401</v>
      </c>
      <c r="G6836" s="39">
        <v>2029741.32</v>
      </c>
      <c r="H6836" s="42">
        <v>211</v>
      </c>
    </row>
    <row r="6837" spans="1:8" ht="15" customHeight="1">
      <c r="A6837" s="26">
        <v>74372079</v>
      </c>
      <c r="B6837" s="30" t="s">
        <v>9065</v>
      </c>
      <c r="C6837" s="29" t="s">
        <v>23334</v>
      </c>
      <c r="D6837" s="29" t="s">
        <v>36611</v>
      </c>
      <c r="E6837" s="29" t="s">
        <v>49090</v>
      </c>
      <c r="F6837" s="36" t="s">
        <v>54455</v>
      </c>
      <c r="G6837" s="39">
        <v>214973.72</v>
      </c>
      <c r="H6837" s="42">
        <v>211</v>
      </c>
    </row>
    <row r="6838" spans="1:8" ht="15" customHeight="1">
      <c r="A6838" s="26">
        <v>74372092</v>
      </c>
      <c r="B6838" s="30" t="s">
        <v>9066</v>
      </c>
      <c r="C6838" s="29" t="s">
        <v>23335</v>
      </c>
      <c r="D6838" s="29" t="s">
        <v>36612</v>
      </c>
      <c r="E6838" s="29" t="s">
        <v>49091</v>
      </c>
      <c r="F6838" s="36" t="s">
        <v>54401</v>
      </c>
      <c r="G6838" s="39">
        <v>891943.89</v>
      </c>
      <c r="H6838" s="42">
        <v>211</v>
      </c>
    </row>
    <row r="6839" spans="1:8" ht="15" customHeight="1">
      <c r="A6839" s="26">
        <v>74372100</v>
      </c>
      <c r="B6839" s="30" t="s">
        <v>9067</v>
      </c>
      <c r="C6839" s="29" t="s">
        <v>23336</v>
      </c>
      <c r="D6839" s="29" t="s">
        <v>36613</v>
      </c>
      <c r="E6839" s="29" t="s">
        <v>49092</v>
      </c>
      <c r="F6839" s="36" t="s">
        <v>54401</v>
      </c>
      <c r="G6839" s="39">
        <v>3222095.8</v>
      </c>
      <c r="H6839" s="42">
        <v>211</v>
      </c>
    </row>
    <row r="6840" spans="1:8" ht="15" customHeight="1">
      <c r="A6840" s="26">
        <v>74372102</v>
      </c>
      <c r="B6840" s="30" t="s">
        <v>9068</v>
      </c>
      <c r="C6840" s="29" t="s">
        <v>23337</v>
      </c>
      <c r="D6840" s="29" t="s">
        <v>36614</v>
      </c>
      <c r="E6840" s="29" t="s">
        <v>49093</v>
      </c>
      <c r="F6840" s="36" t="s">
        <v>54401</v>
      </c>
      <c r="G6840" s="39">
        <v>4640422.97</v>
      </c>
      <c r="H6840" s="42">
        <v>211</v>
      </c>
    </row>
    <row r="6841" spans="1:8" ht="15" customHeight="1">
      <c r="A6841" s="26">
        <v>74372103</v>
      </c>
      <c r="B6841" s="30" t="s">
        <v>9069</v>
      </c>
      <c r="C6841" s="26" t="s">
        <v>23338</v>
      </c>
      <c r="D6841" s="26" t="s">
        <v>36615</v>
      </c>
      <c r="E6841" s="26" t="s">
        <v>49094</v>
      </c>
      <c r="F6841" s="37" t="s">
        <v>54401</v>
      </c>
      <c r="G6841" s="39">
        <f>2334205.76+344721</f>
        <v>2678926.7599999998</v>
      </c>
      <c r="H6841" s="42">
        <v>211</v>
      </c>
    </row>
    <row r="6842" spans="1:8" ht="15" customHeight="1">
      <c r="A6842" s="26">
        <v>74372111</v>
      </c>
      <c r="B6842" s="30" t="s">
        <v>9070</v>
      </c>
      <c r="C6842" s="29" t="s">
        <v>17204</v>
      </c>
      <c r="D6842" s="29" t="s">
        <v>36616</v>
      </c>
      <c r="E6842" s="29" t="s">
        <v>43926</v>
      </c>
      <c r="F6842" s="36" t="s">
        <v>54401</v>
      </c>
      <c r="G6842" s="39">
        <v>326346.45</v>
      </c>
      <c r="H6842" s="42">
        <v>211</v>
      </c>
    </row>
    <row r="6843" spans="1:8" ht="15" customHeight="1">
      <c r="A6843" s="26">
        <v>74372139</v>
      </c>
      <c r="B6843" s="30" t="s">
        <v>9071</v>
      </c>
      <c r="C6843" s="29" t="s">
        <v>23339</v>
      </c>
      <c r="D6843" s="29" t="s">
        <v>36617</v>
      </c>
      <c r="E6843" s="29" t="s">
        <v>49095</v>
      </c>
      <c r="F6843" s="36" t="s">
        <v>54401</v>
      </c>
      <c r="G6843" s="39">
        <v>61961.18</v>
      </c>
      <c r="H6843" s="42">
        <v>211</v>
      </c>
    </row>
    <row r="6844" spans="1:8" ht="15" customHeight="1">
      <c r="A6844" s="26">
        <v>74372144</v>
      </c>
      <c r="B6844" s="30" t="s">
        <v>9072</v>
      </c>
      <c r="C6844" s="29" t="s">
        <v>23340</v>
      </c>
      <c r="D6844" s="29" t="s">
        <v>36618</v>
      </c>
      <c r="E6844" s="29" t="s">
        <v>49096</v>
      </c>
      <c r="F6844" s="36" t="s">
        <v>54401</v>
      </c>
      <c r="G6844" s="39">
        <v>906466.59</v>
      </c>
      <c r="H6844" s="42">
        <v>211</v>
      </c>
    </row>
    <row r="6845" spans="1:8" ht="15" customHeight="1">
      <c r="A6845" s="26">
        <v>74372145</v>
      </c>
      <c r="B6845" s="30" t="s">
        <v>9073</v>
      </c>
      <c r="C6845" s="29" t="s">
        <v>17204</v>
      </c>
      <c r="D6845" s="29" t="s">
        <v>36619</v>
      </c>
      <c r="E6845" s="29" t="s">
        <v>43926</v>
      </c>
      <c r="F6845" s="36" t="s">
        <v>54401</v>
      </c>
      <c r="G6845" s="39">
        <v>220033.64</v>
      </c>
      <c r="H6845" s="42">
        <v>211</v>
      </c>
    </row>
    <row r="6846" spans="1:8" ht="15" customHeight="1">
      <c r="A6846" s="26">
        <v>74372153</v>
      </c>
      <c r="B6846" s="30" t="s">
        <v>9074</v>
      </c>
      <c r="C6846" s="29" t="s">
        <v>23341</v>
      </c>
      <c r="D6846" s="29" t="s">
        <v>36620</v>
      </c>
      <c r="E6846" s="29" t="s">
        <v>49097</v>
      </c>
      <c r="F6846" s="36" t="s">
        <v>54401</v>
      </c>
      <c r="G6846" s="39">
        <v>2329068.2200000002</v>
      </c>
      <c r="H6846" s="42">
        <v>211</v>
      </c>
    </row>
    <row r="6847" spans="1:8" ht="15" customHeight="1">
      <c r="A6847" s="26">
        <v>74372161</v>
      </c>
      <c r="B6847" s="30" t="s">
        <v>9075</v>
      </c>
      <c r="C6847" s="29" t="s">
        <v>23342</v>
      </c>
      <c r="D6847" s="29" t="s">
        <v>36621</v>
      </c>
      <c r="E6847" s="29" t="s">
        <v>49098</v>
      </c>
      <c r="F6847" s="36" t="s">
        <v>54401</v>
      </c>
      <c r="G6847" s="39">
        <f>2996554.4+236789</f>
        <v>3233343.4</v>
      </c>
      <c r="H6847" s="42">
        <v>211</v>
      </c>
    </row>
    <row r="6848" spans="1:8" ht="15" customHeight="1">
      <c r="A6848" s="26">
        <v>74372174</v>
      </c>
      <c r="B6848" s="30" t="s">
        <v>9076</v>
      </c>
      <c r="C6848" s="29" t="s">
        <v>23343</v>
      </c>
      <c r="D6848" s="29" t="s">
        <v>36622</v>
      </c>
      <c r="E6848" s="29" t="s">
        <v>43926</v>
      </c>
      <c r="F6848" s="36" t="s">
        <v>54401</v>
      </c>
      <c r="G6848" s="39">
        <v>197218</v>
      </c>
      <c r="H6848" s="42">
        <v>211</v>
      </c>
    </row>
    <row r="6849" spans="1:8" ht="15" customHeight="1">
      <c r="A6849" s="26">
        <v>74372177</v>
      </c>
      <c r="B6849" s="30" t="s">
        <v>9077</v>
      </c>
      <c r="C6849" s="26" t="s">
        <v>23344</v>
      </c>
      <c r="D6849" s="26" t="s">
        <v>36623</v>
      </c>
      <c r="E6849" s="26" t="s">
        <v>49099</v>
      </c>
      <c r="F6849" s="37" t="s">
        <v>54401</v>
      </c>
      <c r="G6849" s="39">
        <v>2731738.98</v>
      </c>
      <c r="H6849" s="42">
        <v>211</v>
      </c>
    </row>
    <row r="6850" spans="1:8" ht="15" customHeight="1">
      <c r="A6850" s="26">
        <v>74372180</v>
      </c>
      <c r="B6850" s="30" t="s">
        <v>9078</v>
      </c>
      <c r="C6850" s="29" t="s">
        <v>23345</v>
      </c>
      <c r="D6850" s="29" t="s">
        <v>36624</v>
      </c>
      <c r="E6850" s="29" t="s">
        <v>49100</v>
      </c>
      <c r="F6850" s="36" t="s">
        <v>54401</v>
      </c>
      <c r="G6850" s="39">
        <v>4157032.65</v>
      </c>
      <c r="H6850" s="42">
        <v>211</v>
      </c>
    </row>
    <row r="6851" spans="1:8" ht="15" customHeight="1">
      <c r="A6851" s="26">
        <v>74372181</v>
      </c>
      <c r="B6851" s="30" t="s">
        <v>9079</v>
      </c>
      <c r="C6851" s="29" t="s">
        <v>23346</v>
      </c>
      <c r="D6851" s="29" t="s">
        <v>36625</v>
      </c>
      <c r="E6851" s="29" t="s">
        <v>49101</v>
      </c>
      <c r="F6851" s="36" t="s">
        <v>54401</v>
      </c>
      <c r="G6851" s="39">
        <v>7105705.3600000003</v>
      </c>
      <c r="H6851" s="42">
        <v>211</v>
      </c>
    </row>
    <row r="6852" spans="1:8" ht="15" customHeight="1">
      <c r="A6852" s="26">
        <v>74372197</v>
      </c>
      <c r="B6852" s="30" t="s">
        <v>9080</v>
      </c>
      <c r="C6852" s="29" t="s">
        <v>23347</v>
      </c>
      <c r="D6852" s="29" t="s">
        <v>36626</v>
      </c>
      <c r="E6852" s="29" t="s">
        <v>49102</v>
      </c>
      <c r="F6852" s="36" t="s">
        <v>54401</v>
      </c>
      <c r="G6852" s="39">
        <f>7821904.93+327876</f>
        <v>8149780.9299999997</v>
      </c>
      <c r="H6852" s="42">
        <v>211</v>
      </c>
    </row>
    <row r="6853" spans="1:8" ht="15" customHeight="1">
      <c r="A6853" s="26">
        <v>74372198</v>
      </c>
      <c r="B6853" s="30" t="s">
        <v>9081</v>
      </c>
      <c r="C6853" s="29" t="s">
        <v>23348</v>
      </c>
      <c r="D6853" s="29" t="s">
        <v>36627</v>
      </c>
      <c r="E6853" s="29" t="s">
        <v>49103</v>
      </c>
      <c r="F6853" s="36" t="s">
        <v>54401</v>
      </c>
      <c r="G6853" s="39">
        <v>109013.8</v>
      </c>
      <c r="H6853" s="42">
        <v>211</v>
      </c>
    </row>
    <row r="6854" spans="1:8" ht="15" customHeight="1">
      <c r="A6854" s="26">
        <v>74372209</v>
      </c>
      <c r="B6854" s="30" t="s">
        <v>9082</v>
      </c>
      <c r="C6854" s="29" t="s">
        <v>23349</v>
      </c>
      <c r="D6854" s="29" t="s">
        <v>36628</v>
      </c>
      <c r="E6854" s="29" t="s">
        <v>49104</v>
      </c>
      <c r="F6854" s="36" t="s">
        <v>54401</v>
      </c>
      <c r="G6854" s="39">
        <v>1835787.42</v>
      </c>
      <c r="H6854" s="42">
        <v>211</v>
      </c>
    </row>
    <row r="6855" spans="1:8" ht="15" customHeight="1">
      <c r="A6855" s="26">
        <v>74372213</v>
      </c>
      <c r="B6855" s="30" t="s">
        <v>9083</v>
      </c>
      <c r="C6855" s="29" t="s">
        <v>23350</v>
      </c>
      <c r="D6855" s="29" t="s">
        <v>36629</v>
      </c>
      <c r="E6855" s="29" t="s">
        <v>49105</v>
      </c>
      <c r="F6855" s="36" t="s">
        <v>54401</v>
      </c>
      <c r="G6855" s="39">
        <f>3135347.36+1141977+393132</f>
        <v>4670456.3599999994</v>
      </c>
      <c r="H6855" s="42">
        <v>211</v>
      </c>
    </row>
    <row r="6856" spans="1:8" ht="15" customHeight="1">
      <c r="A6856" s="26">
        <v>74372219</v>
      </c>
      <c r="B6856" s="30" t="s">
        <v>9084</v>
      </c>
      <c r="C6856" s="29" t="s">
        <v>23351</v>
      </c>
      <c r="D6856" s="29" t="s">
        <v>36630</v>
      </c>
      <c r="E6856" s="29" t="s">
        <v>49106</v>
      </c>
      <c r="F6856" s="36" t="s">
        <v>54401</v>
      </c>
      <c r="G6856" s="39">
        <v>4542705.38</v>
      </c>
      <c r="H6856" s="42">
        <v>211</v>
      </c>
    </row>
    <row r="6857" spans="1:8" ht="15" customHeight="1">
      <c r="A6857" s="26">
        <v>74372226</v>
      </c>
      <c r="B6857" s="30" t="s">
        <v>9085</v>
      </c>
      <c r="C6857" s="29" t="s">
        <v>23352</v>
      </c>
      <c r="D6857" s="29" t="s">
        <v>36631</v>
      </c>
      <c r="E6857" s="29" t="s">
        <v>49107</v>
      </c>
      <c r="F6857" s="36" t="s">
        <v>54401</v>
      </c>
      <c r="G6857" s="39">
        <v>5586359.6100000003</v>
      </c>
      <c r="H6857" s="42">
        <v>211</v>
      </c>
    </row>
    <row r="6858" spans="1:8" ht="15" customHeight="1">
      <c r="A6858" s="26">
        <v>74372247</v>
      </c>
      <c r="B6858" s="30" t="s">
        <v>9086</v>
      </c>
      <c r="C6858" s="29" t="s">
        <v>23353</v>
      </c>
      <c r="D6858" s="29" t="s">
        <v>36632</v>
      </c>
      <c r="E6858" s="29" t="s">
        <v>49108</v>
      </c>
      <c r="F6858" s="36" t="s">
        <v>54401</v>
      </c>
      <c r="G6858" s="39">
        <v>1007024.94</v>
      </c>
      <c r="H6858" s="42">
        <v>211</v>
      </c>
    </row>
    <row r="6859" spans="1:8" ht="15" customHeight="1">
      <c r="A6859" s="26">
        <v>74372264</v>
      </c>
      <c r="B6859" s="30" t="s">
        <v>9087</v>
      </c>
      <c r="C6859" s="26" t="s">
        <v>23354</v>
      </c>
      <c r="D6859" s="26" t="s">
        <v>36633</v>
      </c>
      <c r="E6859" s="26" t="s">
        <v>731</v>
      </c>
      <c r="F6859" s="37" t="s">
        <v>54401</v>
      </c>
      <c r="G6859" s="39">
        <v>201731.8</v>
      </c>
      <c r="H6859" s="42">
        <v>211</v>
      </c>
    </row>
    <row r="6860" spans="1:8" ht="15" customHeight="1">
      <c r="A6860" s="26">
        <v>74372267</v>
      </c>
      <c r="B6860" s="30" t="s">
        <v>9088</v>
      </c>
      <c r="C6860" s="29" t="s">
        <v>23355</v>
      </c>
      <c r="D6860" s="29" t="s">
        <v>36634</v>
      </c>
      <c r="E6860" s="29" t="s">
        <v>49109</v>
      </c>
      <c r="F6860" s="36" t="s">
        <v>54401</v>
      </c>
      <c r="G6860" s="39">
        <f>562274.72+62923+574662</f>
        <v>1199859.72</v>
      </c>
      <c r="H6860" s="42">
        <v>211</v>
      </c>
    </row>
    <row r="6861" spans="1:8" ht="15" customHeight="1">
      <c r="A6861" s="26">
        <v>74372270</v>
      </c>
      <c r="B6861" s="30" t="s">
        <v>9089</v>
      </c>
      <c r="C6861" s="29" t="s">
        <v>23356</v>
      </c>
      <c r="D6861" s="29" t="s">
        <v>36635</v>
      </c>
      <c r="E6861" s="29" t="s">
        <v>49110</v>
      </c>
      <c r="F6861" s="36" t="s">
        <v>54401</v>
      </c>
      <c r="G6861" s="39">
        <v>2211205.77</v>
      </c>
      <c r="H6861" s="42">
        <v>211</v>
      </c>
    </row>
    <row r="6862" spans="1:8" ht="15" customHeight="1">
      <c r="A6862" s="26">
        <v>74372279</v>
      </c>
      <c r="B6862" s="30" t="s">
        <v>9090</v>
      </c>
      <c r="C6862" s="29" t="s">
        <v>17204</v>
      </c>
      <c r="D6862" s="29" t="s">
        <v>36636</v>
      </c>
      <c r="E6862" s="29" t="s">
        <v>43926</v>
      </c>
      <c r="F6862" s="36" t="s">
        <v>54401</v>
      </c>
      <c r="G6862" s="39">
        <v>936948.3</v>
      </c>
      <c r="H6862" s="42">
        <v>211</v>
      </c>
    </row>
    <row r="6863" spans="1:8" ht="15" customHeight="1">
      <c r="A6863" s="26">
        <v>74372280</v>
      </c>
      <c r="B6863" s="30" t="s">
        <v>9091</v>
      </c>
      <c r="C6863" s="29" t="s">
        <v>23357</v>
      </c>
      <c r="D6863" s="29" t="s">
        <v>36637</v>
      </c>
      <c r="E6863" s="29" t="s">
        <v>47684</v>
      </c>
      <c r="F6863" s="36" t="s">
        <v>54401</v>
      </c>
      <c r="G6863" s="39">
        <v>720203.01</v>
      </c>
      <c r="H6863" s="42">
        <v>211</v>
      </c>
    </row>
    <row r="6864" spans="1:8" ht="15" customHeight="1">
      <c r="A6864" s="26">
        <v>74372298</v>
      </c>
      <c r="B6864" s="30" t="s">
        <v>9092</v>
      </c>
      <c r="C6864" s="29" t="s">
        <v>23358</v>
      </c>
      <c r="D6864" s="29" t="s">
        <v>36638</v>
      </c>
      <c r="E6864" s="29" t="s">
        <v>45341</v>
      </c>
      <c r="F6864" s="36" t="s">
        <v>54401</v>
      </c>
      <c r="G6864" s="39">
        <v>35140.04</v>
      </c>
      <c r="H6864" s="42">
        <v>211</v>
      </c>
    </row>
    <row r="6865" spans="1:8" ht="15" customHeight="1">
      <c r="A6865" s="26">
        <v>74372305</v>
      </c>
      <c r="B6865" s="30" t="s">
        <v>9093</v>
      </c>
      <c r="C6865" s="29" t="s">
        <v>17204</v>
      </c>
      <c r="D6865" s="29" t="s">
        <v>30349</v>
      </c>
      <c r="E6865" s="29" t="s">
        <v>43926</v>
      </c>
      <c r="F6865" s="36" t="s">
        <v>54401</v>
      </c>
      <c r="G6865" s="39">
        <v>33445.379999999997</v>
      </c>
      <c r="H6865" s="42">
        <v>211</v>
      </c>
    </row>
    <row r="6866" spans="1:8" ht="15" customHeight="1">
      <c r="A6866" s="26">
        <v>74372318</v>
      </c>
      <c r="B6866" s="30" t="s">
        <v>9094</v>
      </c>
      <c r="C6866" s="29" t="s">
        <v>23359</v>
      </c>
      <c r="D6866" s="29" t="s">
        <v>36639</v>
      </c>
      <c r="E6866" s="29" t="s">
        <v>49111</v>
      </c>
      <c r="F6866" s="36" t="s">
        <v>54401</v>
      </c>
      <c r="G6866" s="39">
        <v>388376.24</v>
      </c>
      <c r="H6866" s="42">
        <v>211</v>
      </c>
    </row>
    <row r="6867" spans="1:8" ht="15" customHeight="1">
      <c r="A6867" s="26">
        <v>74372327</v>
      </c>
      <c r="B6867" s="30" t="s">
        <v>9095</v>
      </c>
      <c r="C6867" s="29" t="s">
        <v>23360</v>
      </c>
      <c r="D6867" s="29" t="s">
        <v>36640</v>
      </c>
      <c r="E6867" s="29" t="s">
        <v>49112</v>
      </c>
      <c r="F6867" s="36" t="s">
        <v>54401</v>
      </c>
      <c r="G6867" s="39">
        <v>1045964.1</v>
      </c>
      <c r="H6867" s="42">
        <v>211</v>
      </c>
    </row>
    <row r="6868" spans="1:8" ht="15" customHeight="1">
      <c r="A6868" s="26">
        <v>74372329</v>
      </c>
      <c r="B6868" s="30" t="s">
        <v>9096</v>
      </c>
      <c r="C6868" s="29" t="s">
        <v>23361</v>
      </c>
      <c r="D6868" s="29" t="s">
        <v>36641</v>
      </c>
      <c r="E6868" s="29" t="s">
        <v>49113</v>
      </c>
      <c r="F6868" s="36" t="s">
        <v>54401</v>
      </c>
      <c r="G6868" s="39">
        <v>4142761.82</v>
      </c>
      <c r="H6868" s="42">
        <v>211</v>
      </c>
    </row>
    <row r="6869" spans="1:8" ht="15" customHeight="1">
      <c r="A6869" s="26">
        <v>74372334</v>
      </c>
      <c r="B6869" s="30" t="s">
        <v>9097</v>
      </c>
      <c r="C6869" s="29" t="s">
        <v>23362</v>
      </c>
      <c r="D6869" s="29" t="s">
        <v>36642</v>
      </c>
      <c r="E6869" s="29" t="s">
        <v>49114</v>
      </c>
      <c r="F6869" s="36" t="s">
        <v>54401</v>
      </c>
      <c r="G6869" s="39">
        <v>4439978.42</v>
      </c>
      <c r="H6869" s="42">
        <v>211</v>
      </c>
    </row>
    <row r="6870" spans="1:8" ht="15" customHeight="1">
      <c r="A6870" s="26">
        <v>74372346</v>
      </c>
      <c r="B6870" s="30" t="s">
        <v>9098</v>
      </c>
      <c r="C6870" s="29" t="s">
        <v>23363</v>
      </c>
      <c r="D6870" s="29" t="s">
        <v>36643</v>
      </c>
      <c r="E6870" s="29" t="s">
        <v>49115</v>
      </c>
      <c r="F6870" s="36" t="s">
        <v>54401</v>
      </c>
      <c r="G6870" s="39">
        <f>4644072.88+34934</f>
        <v>4679006.88</v>
      </c>
      <c r="H6870" s="42">
        <v>211</v>
      </c>
    </row>
    <row r="6871" spans="1:8" ht="15" customHeight="1">
      <c r="A6871" s="26">
        <v>74372358</v>
      </c>
      <c r="B6871" s="30" t="s">
        <v>9099</v>
      </c>
      <c r="C6871" s="29" t="s">
        <v>23364</v>
      </c>
      <c r="D6871" s="29" t="s">
        <v>36644</v>
      </c>
      <c r="E6871" s="29" t="s">
        <v>49116</v>
      </c>
      <c r="F6871" s="36" t="s">
        <v>54401</v>
      </c>
      <c r="G6871" s="39">
        <f>964671.52+85336</f>
        <v>1050007.52</v>
      </c>
      <c r="H6871" s="42">
        <v>211</v>
      </c>
    </row>
    <row r="6872" spans="1:8" ht="15" customHeight="1">
      <c r="A6872" s="26">
        <v>74372367</v>
      </c>
      <c r="B6872" s="30" t="s">
        <v>9100</v>
      </c>
      <c r="C6872" s="29" t="s">
        <v>23365</v>
      </c>
      <c r="D6872" s="29" t="s">
        <v>36645</v>
      </c>
      <c r="E6872" s="29" t="s">
        <v>49117</v>
      </c>
      <c r="F6872" s="36" t="s">
        <v>54401</v>
      </c>
      <c r="G6872" s="39">
        <v>301466.84000000003</v>
      </c>
      <c r="H6872" s="42">
        <v>211</v>
      </c>
    </row>
    <row r="6873" spans="1:8" ht="15" customHeight="1">
      <c r="A6873" s="26">
        <v>74372380</v>
      </c>
      <c r="B6873" s="30" t="s">
        <v>9101</v>
      </c>
      <c r="C6873" s="29" t="s">
        <v>23366</v>
      </c>
      <c r="D6873" s="29" t="s">
        <v>36646</v>
      </c>
      <c r="E6873" s="29" t="s">
        <v>49118</v>
      </c>
      <c r="F6873" s="36" t="s">
        <v>54401</v>
      </c>
      <c r="G6873" s="39">
        <f>4705366.96+440641</f>
        <v>5146007.96</v>
      </c>
      <c r="H6873" s="42">
        <v>211</v>
      </c>
    </row>
    <row r="6874" spans="1:8" ht="15" customHeight="1">
      <c r="A6874" s="26">
        <v>74372384</v>
      </c>
      <c r="B6874" s="30" t="s">
        <v>9102</v>
      </c>
      <c r="C6874" s="29" t="s">
        <v>23367</v>
      </c>
      <c r="D6874" s="29" t="s">
        <v>33057</v>
      </c>
      <c r="E6874" s="29" t="s">
        <v>46295</v>
      </c>
      <c r="F6874" s="36" t="s">
        <v>54401</v>
      </c>
      <c r="G6874" s="39">
        <f>1923465.9+30252</f>
        <v>1953717.9</v>
      </c>
      <c r="H6874" s="42">
        <v>211</v>
      </c>
    </row>
    <row r="6875" spans="1:8" ht="15" customHeight="1">
      <c r="A6875" s="26">
        <v>74372404</v>
      </c>
      <c r="B6875" s="30" t="s">
        <v>9103</v>
      </c>
      <c r="C6875" s="29" t="s">
        <v>23368</v>
      </c>
      <c r="D6875" s="29" t="s">
        <v>36647</v>
      </c>
      <c r="E6875" s="29" t="s">
        <v>49119</v>
      </c>
      <c r="F6875" s="36" t="s">
        <v>54401</v>
      </c>
      <c r="G6875" s="39">
        <v>482398.56</v>
      </c>
      <c r="H6875" s="42">
        <v>211</v>
      </c>
    </row>
    <row r="6876" spans="1:8" ht="15" customHeight="1">
      <c r="A6876" s="26">
        <v>74372417</v>
      </c>
      <c r="B6876" s="30" t="s">
        <v>9104</v>
      </c>
      <c r="C6876" s="29" t="s">
        <v>23369</v>
      </c>
      <c r="D6876" s="29" t="s">
        <v>36648</v>
      </c>
      <c r="E6876" s="29" t="s">
        <v>49120</v>
      </c>
      <c r="F6876" s="36" t="s">
        <v>54401</v>
      </c>
      <c r="G6876" s="39">
        <v>56033.62</v>
      </c>
      <c r="H6876" s="42">
        <v>211</v>
      </c>
    </row>
    <row r="6877" spans="1:8" ht="15" customHeight="1">
      <c r="A6877" s="26">
        <v>74372455</v>
      </c>
      <c r="B6877" s="30" t="s">
        <v>9105</v>
      </c>
      <c r="C6877" s="29" t="s">
        <v>23370</v>
      </c>
      <c r="D6877" s="29" t="s">
        <v>36649</v>
      </c>
      <c r="E6877" s="29" t="s">
        <v>49121</v>
      </c>
      <c r="F6877" s="36" t="s">
        <v>54401</v>
      </c>
      <c r="G6877" s="39">
        <f>2342229.91+286160</f>
        <v>2628389.91</v>
      </c>
      <c r="H6877" s="42">
        <v>211</v>
      </c>
    </row>
    <row r="6878" spans="1:8" ht="15" customHeight="1">
      <c r="A6878" s="26">
        <v>74372462</v>
      </c>
      <c r="B6878" s="30" t="s">
        <v>9106</v>
      </c>
      <c r="C6878" s="29" t="s">
        <v>23371</v>
      </c>
      <c r="D6878" s="29" t="s">
        <v>36650</v>
      </c>
      <c r="E6878" s="29" t="s">
        <v>49122</v>
      </c>
      <c r="F6878" s="36" t="s">
        <v>54401</v>
      </c>
      <c r="G6878" s="39">
        <v>451036.03</v>
      </c>
      <c r="H6878" s="42">
        <v>211</v>
      </c>
    </row>
    <row r="6879" spans="1:8" ht="15" customHeight="1">
      <c r="A6879" s="26">
        <v>74372486</v>
      </c>
      <c r="B6879" s="30" t="s">
        <v>9107</v>
      </c>
      <c r="C6879" s="29" t="s">
        <v>23372</v>
      </c>
      <c r="D6879" s="29" t="s">
        <v>36651</v>
      </c>
      <c r="E6879" s="29" t="s">
        <v>49123</v>
      </c>
      <c r="F6879" s="36" t="s">
        <v>54401</v>
      </c>
      <c r="G6879" s="39">
        <v>2067206.65</v>
      </c>
      <c r="H6879" s="42">
        <v>211</v>
      </c>
    </row>
    <row r="6880" spans="1:8" ht="15" customHeight="1">
      <c r="A6880" s="26">
        <v>74372512</v>
      </c>
      <c r="B6880" s="30" t="s">
        <v>9108</v>
      </c>
      <c r="C6880" s="29" t="s">
        <v>23373</v>
      </c>
      <c r="D6880" s="29" t="s">
        <v>36652</v>
      </c>
      <c r="E6880" s="29" t="s">
        <v>49124</v>
      </c>
      <c r="F6880" s="36" t="s">
        <v>54401</v>
      </c>
      <c r="G6880" s="39">
        <f>4086926.9+1177999+589099</f>
        <v>5854024.9000000004</v>
      </c>
      <c r="H6880" s="42">
        <v>211</v>
      </c>
    </row>
    <row r="6881" spans="1:8" ht="15" customHeight="1">
      <c r="A6881" s="26">
        <v>74372530</v>
      </c>
      <c r="B6881" s="30" t="s">
        <v>9109</v>
      </c>
      <c r="C6881" s="29" t="s">
        <v>23374</v>
      </c>
      <c r="D6881" s="29" t="s">
        <v>36653</v>
      </c>
      <c r="E6881" s="29" t="s">
        <v>49125</v>
      </c>
      <c r="F6881" s="36" t="s">
        <v>54401</v>
      </c>
      <c r="G6881" s="39">
        <v>2922777.17</v>
      </c>
      <c r="H6881" s="42">
        <v>211</v>
      </c>
    </row>
    <row r="6882" spans="1:8" ht="15" customHeight="1">
      <c r="A6882" s="26">
        <v>74372537</v>
      </c>
      <c r="B6882" s="30" t="s">
        <v>9110</v>
      </c>
      <c r="C6882" s="29" t="s">
        <v>23375</v>
      </c>
      <c r="D6882" s="29" t="s">
        <v>36654</v>
      </c>
      <c r="E6882" s="29" t="s">
        <v>49126</v>
      </c>
      <c r="F6882" s="36" t="s">
        <v>54401</v>
      </c>
      <c r="G6882" s="39">
        <v>535373.44999999995</v>
      </c>
      <c r="H6882" s="42">
        <v>211</v>
      </c>
    </row>
    <row r="6883" spans="1:8" ht="15" customHeight="1">
      <c r="A6883" s="26">
        <v>74372543</v>
      </c>
      <c r="B6883" s="30" t="s">
        <v>9111</v>
      </c>
      <c r="C6883" s="26" t="s">
        <v>23376</v>
      </c>
      <c r="D6883" s="26" t="s">
        <v>36655</v>
      </c>
      <c r="E6883" s="26" t="s">
        <v>43926</v>
      </c>
      <c r="F6883" s="37" t="s">
        <v>54401</v>
      </c>
      <c r="G6883" s="39">
        <v>153855.42000000001</v>
      </c>
      <c r="H6883" s="42">
        <v>211</v>
      </c>
    </row>
    <row r="6884" spans="1:8" ht="15" customHeight="1">
      <c r="A6884" s="26">
        <v>74372546</v>
      </c>
      <c r="B6884" s="30" t="s">
        <v>9112</v>
      </c>
      <c r="C6884" s="29" t="s">
        <v>23377</v>
      </c>
      <c r="D6884" s="29" t="s">
        <v>36656</v>
      </c>
      <c r="E6884" s="29" t="s">
        <v>49127</v>
      </c>
      <c r="F6884" s="36" t="s">
        <v>54401</v>
      </c>
      <c r="G6884" s="39">
        <f>171361.35+3255462+6816989-449315</f>
        <v>9794497.3499999996</v>
      </c>
      <c r="H6884" s="42">
        <v>211</v>
      </c>
    </row>
    <row r="6885" spans="1:8" ht="15" customHeight="1">
      <c r="A6885" s="26">
        <v>74372548</v>
      </c>
      <c r="B6885" s="30" t="s">
        <v>9113</v>
      </c>
      <c r="C6885" s="29" t="s">
        <v>23378</v>
      </c>
      <c r="D6885" s="29" t="s">
        <v>36657</v>
      </c>
      <c r="E6885" s="29" t="s">
        <v>44264</v>
      </c>
      <c r="F6885" s="36" t="s">
        <v>54401</v>
      </c>
      <c r="G6885" s="39">
        <v>15780.95</v>
      </c>
      <c r="H6885" s="42">
        <v>211</v>
      </c>
    </row>
    <row r="6886" spans="1:8" ht="15" customHeight="1">
      <c r="A6886" s="26">
        <v>74372557</v>
      </c>
      <c r="B6886" s="30" t="s">
        <v>9114</v>
      </c>
      <c r="C6886" s="26" t="s">
        <v>23379</v>
      </c>
      <c r="D6886" s="26" t="s">
        <v>36658</v>
      </c>
      <c r="E6886" s="26" t="s">
        <v>43926</v>
      </c>
      <c r="F6886" s="37" t="s">
        <v>54401</v>
      </c>
      <c r="G6886" s="39">
        <v>87026.14</v>
      </c>
      <c r="H6886" s="42">
        <v>211</v>
      </c>
    </row>
    <row r="6887" spans="1:8" ht="15" customHeight="1">
      <c r="A6887" s="26">
        <v>74372560</v>
      </c>
      <c r="B6887" s="30" t="s">
        <v>9115</v>
      </c>
      <c r="C6887" s="29" t="s">
        <v>23380</v>
      </c>
      <c r="D6887" s="29" t="s">
        <v>36659</v>
      </c>
      <c r="E6887" s="29" t="s">
        <v>49128</v>
      </c>
      <c r="F6887" s="36" t="s">
        <v>54401</v>
      </c>
      <c r="G6887" s="39">
        <v>31483.49</v>
      </c>
      <c r="H6887" s="42">
        <v>211</v>
      </c>
    </row>
    <row r="6888" spans="1:8" ht="15" customHeight="1">
      <c r="A6888" s="26">
        <v>74372563</v>
      </c>
      <c r="B6888" s="30" t="s">
        <v>9116</v>
      </c>
      <c r="C6888" s="26" t="s">
        <v>23381</v>
      </c>
      <c r="D6888" s="26" t="s">
        <v>36660</v>
      </c>
      <c r="E6888" s="26" t="s">
        <v>49129</v>
      </c>
      <c r="F6888" s="37" t="s">
        <v>54401</v>
      </c>
      <c r="G6888" s="39">
        <v>611721.03</v>
      </c>
      <c r="H6888" s="42">
        <v>211</v>
      </c>
    </row>
    <row r="6889" spans="1:8" ht="15" customHeight="1">
      <c r="A6889" s="26">
        <v>74372573</v>
      </c>
      <c r="B6889" s="30" t="s">
        <v>9117</v>
      </c>
      <c r="C6889" s="29" t="s">
        <v>23382</v>
      </c>
      <c r="D6889" s="29" t="s">
        <v>36661</v>
      </c>
      <c r="E6889" s="29" t="s">
        <v>49130</v>
      </c>
      <c r="F6889" s="36" t="s">
        <v>54401</v>
      </c>
      <c r="G6889" s="39">
        <f>4873863.47+221821</f>
        <v>5095684.47</v>
      </c>
      <c r="H6889" s="42">
        <v>211</v>
      </c>
    </row>
    <row r="6890" spans="1:8" ht="15" customHeight="1">
      <c r="A6890" s="26">
        <v>74372580</v>
      </c>
      <c r="B6890" s="30" t="s">
        <v>9118</v>
      </c>
      <c r="C6890" s="29" t="s">
        <v>17204</v>
      </c>
      <c r="D6890" s="29" t="s">
        <v>30349</v>
      </c>
      <c r="E6890" s="29" t="s">
        <v>43926</v>
      </c>
      <c r="F6890" s="36" t="s">
        <v>54401</v>
      </c>
      <c r="G6890" s="39">
        <v>327578.36</v>
      </c>
      <c r="H6890" s="42">
        <v>211</v>
      </c>
    </row>
    <row r="6891" spans="1:8" ht="15" customHeight="1">
      <c r="A6891" s="26">
        <v>74372589</v>
      </c>
      <c r="B6891" s="30" t="s">
        <v>9119</v>
      </c>
      <c r="C6891" s="29" t="s">
        <v>23383</v>
      </c>
      <c r="D6891" s="29" t="s">
        <v>36662</v>
      </c>
      <c r="E6891" s="29" t="s">
        <v>49131</v>
      </c>
      <c r="F6891" s="36" t="s">
        <v>54401</v>
      </c>
      <c r="G6891" s="39">
        <v>633371.26</v>
      </c>
      <c r="H6891" s="42">
        <v>211</v>
      </c>
    </row>
    <row r="6892" spans="1:8" ht="15" customHeight="1">
      <c r="A6892" s="26">
        <v>74372600</v>
      </c>
      <c r="B6892" s="30" t="s">
        <v>9120</v>
      </c>
      <c r="C6892" s="29" t="s">
        <v>23384</v>
      </c>
      <c r="D6892" s="29" t="s">
        <v>36663</v>
      </c>
      <c r="E6892" s="29" t="s">
        <v>49132</v>
      </c>
      <c r="F6892" s="36" t="s">
        <v>54401</v>
      </c>
      <c r="G6892" s="39">
        <v>5253685.2</v>
      </c>
      <c r="H6892" s="42">
        <v>211</v>
      </c>
    </row>
    <row r="6893" spans="1:8" ht="15" customHeight="1">
      <c r="A6893" s="26">
        <v>74372620</v>
      </c>
      <c r="B6893" s="30" t="s">
        <v>9121</v>
      </c>
      <c r="C6893" s="26" t="s">
        <v>23385</v>
      </c>
      <c r="D6893" s="26" t="s">
        <v>36664</v>
      </c>
      <c r="E6893" s="26" t="s">
        <v>49133</v>
      </c>
      <c r="F6893" s="37" t="s">
        <v>54401</v>
      </c>
      <c r="G6893" s="39">
        <v>6911125.8300000001</v>
      </c>
      <c r="H6893" s="42">
        <v>211</v>
      </c>
    </row>
    <row r="6894" spans="1:8" ht="15" customHeight="1">
      <c r="A6894" s="26">
        <v>74372624</v>
      </c>
      <c r="B6894" s="30" t="s">
        <v>9122</v>
      </c>
      <c r="C6894" s="29" t="s">
        <v>23386</v>
      </c>
      <c r="D6894" s="29" t="s">
        <v>36665</v>
      </c>
      <c r="E6894" s="29" t="s">
        <v>49134</v>
      </c>
      <c r="F6894" s="36" t="s">
        <v>54401</v>
      </c>
      <c r="G6894" s="39">
        <v>3810602.39</v>
      </c>
      <c r="H6894" s="42">
        <v>211</v>
      </c>
    </row>
    <row r="6895" spans="1:8" ht="15" customHeight="1">
      <c r="A6895" s="26">
        <v>74372631</v>
      </c>
      <c r="B6895" s="30" t="s">
        <v>9123</v>
      </c>
      <c r="C6895" s="29" t="s">
        <v>23387</v>
      </c>
      <c r="D6895" s="29" t="s">
        <v>36666</v>
      </c>
      <c r="E6895" s="29" t="s">
        <v>49135</v>
      </c>
      <c r="F6895" s="36" t="s">
        <v>54401</v>
      </c>
      <c r="G6895" s="39">
        <v>88430.68</v>
      </c>
      <c r="H6895" s="42">
        <v>211</v>
      </c>
    </row>
    <row r="6896" spans="1:8" ht="15" customHeight="1">
      <c r="A6896" s="26">
        <v>74372633</v>
      </c>
      <c r="B6896" s="30" t="s">
        <v>9124</v>
      </c>
      <c r="C6896" s="29" t="s">
        <v>23388</v>
      </c>
      <c r="D6896" s="29" t="s">
        <v>30376</v>
      </c>
      <c r="E6896" s="29" t="s">
        <v>49136</v>
      </c>
      <c r="F6896" s="36" t="s">
        <v>54401</v>
      </c>
      <c r="G6896" s="39">
        <v>4139993.23</v>
      </c>
      <c r="H6896" s="42">
        <v>211</v>
      </c>
    </row>
    <row r="6897" spans="1:8" ht="15" customHeight="1">
      <c r="A6897" s="26">
        <v>74372683</v>
      </c>
      <c r="B6897" s="30" t="s">
        <v>9125</v>
      </c>
      <c r="C6897" s="29" t="s">
        <v>23389</v>
      </c>
      <c r="D6897" s="29" t="s">
        <v>36667</v>
      </c>
      <c r="E6897" s="29" t="s">
        <v>49137</v>
      </c>
      <c r="F6897" s="36" t="s">
        <v>54401</v>
      </c>
      <c r="G6897" s="39">
        <v>5034556.17</v>
      </c>
      <c r="H6897" s="42">
        <v>211</v>
      </c>
    </row>
    <row r="6898" spans="1:8" ht="15" customHeight="1">
      <c r="A6898" s="26">
        <v>74372694</v>
      </c>
      <c r="B6898" s="30" t="s">
        <v>9126</v>
      </c>
      <c r="C6898" s="29" t="s">
        <v>23390</v>
      </c>
      <c r="D6898" s="29" t="s">
        <v>30349</v>
      </c>
      <c r="E6898" s="29" t="s">
        <v>49138</v>
      </c>
      <c r="F6898" s="36" t="s">
        <v>54401</v>
      </c>
      <c r="G6898" s="39">
        <v>143483.42000000001</v>
      </c>
      <c r="H6898" s="42">
        <v>211</v>
      </c>
    </row>
    <row r="6899" spans="1:8" ht="15" customHeight="1">
      <c r="A6899" s="26">
        <v>74372695</v>
      </c>
      <c r="B6899" s="30" t="s">
        <v>9127</v>
      </c>
      <c r="C6899" s="29" t="s">
        <v>23391</v>
      </c>
      <c r="D6899" s="29" t="s">
        <v>36668</v>
      </c>
      <c r="E6899" s="29" t="s">
        <v>49139</v>
      </c>
      <c r="F6899" s="36" t="s">
        <v>54409</v>
      </c>
      <c r="G6899" s="39">
        <f>1504817.1-30588+3001156</f>
        <v>4475385.0999999996</v>
      </c>
      <c r="H6899" s="42">
        <v>211</v>
      </c>
    </row>
    <row r="6900" spans="1:8" ht="15" customHeight="1">
      <c r="A6900" s="26">
        <v>74372705</v>
      </c>
      <c r="B6900" s="30" t="s">
        <v>9128</v>
      </c>
      <c r="C6900" s="29" t="s">
        <v>23392</v>
      </c>
      <c r="D6900" s="29" t="s">
        <v>36669</v>
      </c>
      <c r="E6900" s="29" t="s">
        <v>45130</v>
      </c>
      <c r="F6900" s="36" t="s">
        <v>54401</v>
      </c>
      <c r="G6900" s="39">
        <v>938280.9</v>
      </c>
      <c r="H6900" s="42">
        <v>211</v>
      </c>
    </row>
    <row r="6901" spans="1:8" ht="15" customHeight="1">
      <c r="A6901" s="26">
        <v>74372722</v>
      </c>
      <c r="B6901" s="30" t="s">
        <v>9129</v>
      </c>
      <c r="C6901" s="29" t="s">
        <v>23393</v>
      </c>
      <c r="D6901" s="29" t="s">
        <v>36670</v>
      </c>
      <c r="E6901" s="29" t="s">
        <v>49140</v>
      </c>
      <c r="F6901" s="36" t="s">
        <v>54401</v>
      </c>
      <c r="G6901" s="39">
        <v>6844184.7699999996</v>
      </c>
      <c r="H6901" s="42">
        <v>211</v>
      </c>
    </row>
    <row r="6902" spans="1:8" ht="15" customHeight="1">
      <c r="A6902" s="26">
        <v>74372746</v>
      </c>
      <c r="B6902" s="30" t="s">
        <v>9130</v>
      </c>
      <c r="C6902" s="26" t="s">
        <v>23394</v>
      </c>
      <c r="D6902" s="26" t="s">
        <v>36671</v>
      </c>
      <c r="E6902" s="26" t="s">
        <v>43926</v>
      </c>
      <c r="F6902" s="37" t="s">
        <v>54401</v>
      </c>
      <c r="G6902" s="39">
        <v>113952.36</v>
      </c>
      <c r="H6902" s="42">
        <v>211</v>
      </c>
    </row>
    <row r="6903" spans="1:8" ht="15" customHeight="1">
      <c r="A6903" s="26">
        <v>74372776</v>
      </c>
      <c r="B6903" s="30" t="s">
        <v>9131</v>
      </c>
      <c r="C6903" s="29" t="s">
        <v>23395</v>
      </c>
      <c r="D6903" s="29" t="s">
        <v>36672</v>
      </c>
      <c r="E6903" s="29" t="s">
        <v>49141</v>
      </c>
      <c r="F6903" s="36" t="s">
        <v>54401</v>
      </c>
      <c r="G6903" s="39">
        <v>1066383.71</v>
      </c>
      <c r="H6903" s="42">
        <v>211</v>
      </c>
    </row>
    <row r="6904" spans="1:8" ht="15" customHeight="1">
      <c r="A6904" s="26">
        <v>74372788</v>
      </c>
      <c r="B6904" s="30" t="s">
        <v>9132</v>
      </c>
      <c r="C6904" s="29" t="s">
        <v>23396</v>
      </c>
      <c r="D6904" s="29" t="s">
        <v>36673</v>
      </c>
      <c r="E6904" s="29" t="s">
        <v>48891</v>
      </c>
      <c r="F6904" s="36" t="s">
        <v>54401</v>
      </c>
      <c r="G6904" s="39">
        <v>491461.82</v>
      </c>
      <c r="H6904" s="42">
        <v>211</v>
      </c>
    </row>
    <row r="6905" spans="1:8" ht="15" customHeight="1">
      <c r="A6905" s="26">
        <v>74372799</v>
      </c>
      <c r="B6905" s="30" t="s">
        <v>9133</v>
      </c>
      <c r="C6905" s="29" t="s">
        <v>23397</v>
      </c>
      <c r="D6905" s="29" t="s">
        <v>36674</v>
      </c>
      <c r="E6905" s="29" t="s">
        <v>49142</v>
      </c>
      <c r="F6905" s="36" t="s">
        <v>54401</v>
      </c>
      <c r="G6905" s="39">
        <v>2535538.13</v>
      </c>
      <c r="H6905" s="42">
        <v>211</v>
      </c>
    </row>
    <row r="6906" spans="1:8" ht="15" customHeight="1">
      <c r="A6906" s="26">
        <v>74372807</v>
      </c>
      <c r="B6906" s="30" t="s">
        <v>9134</v>
      </c>
      <c r="C6906" s="29" t="s">
        <v>23398</v>
      </c>
      <c r="D6906" s="29" t="s">
        <v>36675</v>
      </c>
      <c r="E6906" s="29" t="s">
        <v>49143</v>
      </c>
      <c r="F6906" s="36" t="s">
        <v>54401</v>
      </c>
      <c r="G6906" s="39">
        <v>73170</v>
      </c>
      <c r="H6906" s="42">
        <v>211</v>
      </c>
    </row>
    <row r="6907" spans="1:8" ht="15" customHeight="1">
      <c r="A6907" s="26">
        <v>74372820</v>
      </c>
      <c r="B6907" s="30" t="s">
        <v>9135</v>
      </c>
      <c r="C6907" s="29" t="s">
        <v>23399</v>
      </c>
      <c r="D6907" s="29" t="s">
        <v>35325</v>
      </c>
      <c r="E6907" s="29" t="s">
        <v>49144</v>
      </c>
      <c r="F6907" s="36" t="s">
        <v>54401</v>
      </c>
      <c r="G6907" s="39">
        <f>4506195.85+1088943</f>
        <v>5595138.8499999996</v>
      </c>
      <c r="H6907" s="42">
        <v>211</v>
      </c>
    </row>
    <row r="6908" spans="1:8" ht="15" customHeight="1">
      <c r="A6908" s="26">
        <v>74372826</v>
      </c>
      <c r="B6908" s="30" t="s">
        <v>9136</v>
      </c>
      <c r="C6908" s="29" t="s">
        <v>23400</v>
      </c>
      <c r="D6908" s="29" t="s">
        <v>31265</v>
      </c>
      <c r="E6908" s="29" t="s">
        <v>48608</v>
      </c>
      <c r="F6908" s="36" t="s">
        <v>54401</v>
      </c>
      <c r="G6908" s="39">
        <v>757985.7</v>
      </c>
      <c r="H6908" s="42">
        <v>211</v>
      </c>
    </row>
    <row r="6909" spans="1:8" ht="15" customHeight="1">
      <c r="A6909" s="26">
        <v>74372847</v>
      </c>
      <c r="B6909" s="30" t="s">
        <v>9137</v>
      </c>
      <c r="C6909" s="29" t="s">
        <v>23401</v>
      </c>
      <c r="D6909" s="29" t="s">
        <v>36676</v>
      </c>
      <c r="E6909" s="29" t="s">
        <v>49145</v>
      </c>
      <c r="F6909" s="36" t="s">
        <v>54401</v>
      </c>
      <c r="G6909" s="39">
        <v>176868.97</v>
      </c>
      <c r="H6909" s="42">
        <v>211</v>
      </c>
    </row>
    <row r="6910" spans="1:8" ht="15" customHeight="1">
      <c r="A6910" s="26">
        <v>74372871</v>
      </c>
      <c r="B6910" s="30" t="s">
        <v>9138</v>
      </c>
      <c r="C6910" s="29" t="s">
        <v>23402</v>
      </c>
      <c r="D6910" s="29" t="s">
        <v>36677</v>
      </c>
      <c r="E6910" s="29" t="s">
        <v>49146</v>
      </c>
      <c r="F6910" s="36" t="s">
        <v>54401</v>
      </c>
      <c r="G6910" s="39">
        <f>3623427.98+1464188+121434</f>
        <v>5209049.9800000004</v>
      </c>
      <c r="H6910" s="42">
        <v>211</v>
      </c>
    </row>
    <row r="6911" spans="1:8" ht="15" customHeight="1">
      <c r="A6911" s="26">
        <v>74372873</v>
      </c>
      <c r="B6911" s="30" t="s">
        <v>9139</v>
      </c>
      <c r="C6911" s="29" t="s">
        <v>23403</v>
      </c>
      <c r="D6911" s="29" t="s">
        <v>36678</v>
      </c>
      <c r="E6911" s="29" t="s">
        <v>44264</v>
      </c>
      <c r="F6911" s="36" t="s">
        <v>54409</v>
      </c>
      <c r="G6911" s="39">
        <f>1521657.06+1226640</f>
        <v>2748297.06</v>
      </c>
      <c r="H6911" s="42">
        <v>211</v>
      </c>
    </row>
    <row r="6912" spans="1:8" ht="15" customHeight="1">
      <c r="A6912" s="26">
        <v>74372885</v>
      </c>
      <c r="B6912" s="30" t="s">
        <v>9140</v>
      </c>
      <c r="C6912" s="26" t="s">
        <v>23404</v>
      </c>
      <c r="D6912" s="26" t="s">
        <v>36679</v>
      </c>
      <c r="E6912" s="26" t="s">
        <v>49147</v>
      </c>
      <c r="F6912" s="37" t="s">
        <v>54401</v>
      </c>
      <c r="G6912" s="39">
        <v>4355768.42</v>
      </c>
      <c r="H6912" s="42">
        <v>211</v>
      </c>
    </row>
    <row r="6913" spans="1:8" ht="15" customHeight="1">
      <c r="A6913" s="26">
        <v>74372892</v>
      </c>
      <c r="B6913" s="30" t="s">
        <v>9141</v>
      </c>
      <c r="C6913" s="29" t="s">
        <v>17204</v>
      </c>
      <c r="D6913" s="29" t="s">
        <v>30349</v>
      </c>
      <c r="E6913" s="29" t="s">
        <v>43926</v>
      </c>
      <c r="F6913" s="36" t="s">
        <v>54401</v>
      </c>
      <c r="G6913" s="39">
        <f>440803.38+777663</f>
        <v>1218466.3799999999</v>
      </c>
      <c r="H6913" s="42">
        <v>211</v>
      </c>
    </row>
    <row r="6914" spans="1:8" ht="15" customHeight="1">
      <c r="A6914" s="26">
        <v>74372904</v>
      </c>
      <c r="B6914" s="30" t="s">
        <v>9142</v>
      </c>
      <c r="C6914" s="29" t="s">
        <v>23405</v>
      </c>
      <c r="D6914" s="29" t="s">
        <v>36680</v>
      </c>
      <c r="E6914" s="29" t="s">
        <v>49148</v>
      </c>
      <c r="F6914" s="36" t="s">
        <v>54401</v>
      </c>
      <c r="G6914" s="39">
        <f>1998140.93+269429</f>
        <v>2267569.9299999997</v>
      </c>
      <c r="H6914" s="42">
        <v>211</v>
      </c>
    </row>
    <row r="6915" spans="1:8" ht="15" customHeight="1">
      <c r="A6915" s="26">
        <v>74372909</v>
      </c>
      <c r="B6915" s="30" t="s">
        <v>9143</v>
      </c>
      <c r="C6915" s="29" t="s">
        <v>23406</v>
      </c>
      <c r="D6915" s="29" t="s">
        <v>36681</v>
      </c>
      <c r="E6915" s="29" t="s">
        <v>46306</v>
      </c>
      <c r="F6915" s="36" t="s">
        <v>54401</v>
      </c>
      <c r="G6915" s="39">
        <v>43912.4</v>
      </c>
      <c r="H6915" s="42">
        <v>211</v>
      </c>
    </row>
    <row r="6916" spans="1:8" ht="15" customHeight="1">
      <c r="A6916" s="26">
        <v>74372911</v>
      </c>
      <c r="B6916" s="30" t="s">
        <v>9144</v>
      </c>
      <c r="C6916" s="29" t="s">
        <v>23407</v>
      </c>
      <c r="D6916" s="29" t="s">
        <v>36682</v>
      </c>
      <c r="E6916" s="29" t="s">
        <v>49149</v>
      </c>
      <c r="F6916" s="36" t="s">
        <v>54401</v>
      </c>
      <c r="G6916" s="39">
        <v>1684193.65</v>
      </c>
      <c r="H6916" s="42">
        <v>211</v>
      </c>
    </row>
    <row r="6917" spans="1:8" ht="15" customHeight="1">
      <c r="A6917" s="26">
        <v>74372918</v>
      </c>
      <c r="B6917" s="30" t="s">
        <v>9145</v>
      </c>
      <c r="C6917" s="29" t="s">
        <v>23408</v>
      </c>
      <c r="D6917" s="29" t="s">
        <v>36683</v>
      </c>
      <c r="E6917" s="29" t="s">
        <v>49150</v>
      </c>
      <c r="F6917" s="36" t="s">
        <v>54401</v>
      </c>
      <c r="G6917" s="39">
        <f>8062130.72+1041432+114530</f>
        <v>9218092.7199999988</v>
      </c>
      <c r="H6917" s="42">
        <v>211</v>
      </c>
    </row>
    <row r="6918" spans="1:8" ht="15" customHeight="1">
      <c r="A6918" s="26">
        <v>74372930</v>
      </c>
      <c r="B6918" s="30" t="s">
        <v>9146</v>
      </c>
      <c r="C6918" s="29" t="s">
        <v>17204</v>
      </c>
      <c r="D6918" s="29" t="s">
        <v>30349</v>
      </c>
      <c r="E6918" s="29" t="s">
        <v>43926</v>
      </c>
      <c r="F6918" s="36" t="s">
        <v>54401</v>
      </c>
      <c r="G6918" s="39">
        <v>387689.39</v>
      </c>
      <c r="H6918" s="42">
        <v>211</v>
      </c>
    </row>
    <row r="6919" spans="1:8" ht="15" customHeight="1">
      <c r="A6919" s="26">
        <v>74372934</v>
      </c>
      <c r="B6919" s="30" t="s">
        <v>9147</v>
      </c>
      <c r="C6919" s="29" t="s">
        <v>23409</v>
      </c>
      <c r="D6919" s="29" t="s">
        <v>30376</v>
      </c>
      <c r="E6919" s="29" t="s">
        <v>49151</v>
      </c>
      <c r="F6919" s="36" t="s">
        <v>54401</v>
      </c>
      <c r="G6919" s="39">
        <f>6256112.36+392156</f>
        <v>6648268.3600000003</v>
      </c>
      <c r="H6919" s="42">
        <v>211</v>
      </c>
    </row>
    <row r="6920" spans="1:8" ht="15" customHeight="1">
      <c r="A6920" s="26">
        <v>74372948</v>
      </c>
      <c r="B6920" s="30" t="s">
        <v>9148</v>
      </c>
      <c r="C6920" s="29" t="s">
        <v>23410</v>
      </c>
      <c r="D6920" s="29" t="s">
        <v>36684</v>
      </c>
      <c r="E6920" s="29" t="s">
        <v>49152</v>
      </c>
      <c r="F6920" s="36" t="s">
        <v>54401</v>
      </c>
      <c r="G6920" s="39">
        <f>860473.15+258551+2021857</f>
        <v>3140881.15</v>
      </c>
      <c r="H6920" s="42">
        <v>211</v>
      </c>
    </row>
    <row r="6921" spans="1:8" ht="15" customHeight="1">
      <c r="A6921" s="26">
        <v>74372957</v>
      </c>
      <c r="B6921" s="30" t="s">
        <v>9149</v>
      </c>
      <c r="C6921" s="29" t="s">
        <v>23411</v>
      </c>
      <c r="D6921" s="29" t="s">
        <v>36685</v>
      </c>
      <c r="E6921" s="29" t="s">
        <v>49153</v>
      </c>
      <c r="F6921" s="36" t="s">
        <v>54401</v>
      </c>
      <c r="G6921" s="39">
        <v>375123.52</v>
      </c>
      <c r="H6921" s="42">
        <v>211</v>
      </c>
    </row>
    <row r="6922" spans="1:8" ht="15" customHeight="1">
      <c r="A6922" s="26">
        <v>74372976</v>
      </c>
      <c r="B6922" s="30" t="s">
        <v>9150</v>
      </c>
      <c r="C6922" s="29" t="s">
        <v>23412</v>
      </c>
      <c r="D6922" s="29" t="s">
        <v>36686</v>
      </c>
      <c r="E6922" s="29" t="s">
        <v>43926</v>
      </c>
      <c r="F6922" s="36" t="s">
        <v>54401</v>
      </c>
      <c r="G6922" s="39">
        <v>189304.84</v>
      </c>
      <c r="H6922" s="42">
        <v>211</v>
      </c>
    </row>
    <row r="6923" spans="1:8" ht="15" customHeight="1">
      <c r="A6923" s="26">
        <v>74372998</v>
      </c>
      <c r="B6923" s="30" t="s">
        <v>9151</v>
      </c>
      <c r="C6923" s="29" t="s">
        <v>23413</v>
      </c>
      <c r="D6923" s="29" t="s">
        <v>36687</v>
      </c>
      <c r="E6923" s="29" t="s">
        <v>49154</v>
      </c>
      <c r="F6923" s="36" t="s">
        <v>54401</v>
      </c>
      <c r="G6923" s="39">
        <v>588199.84</v>
      </c>
      <c r="H6923" s="42">
        <v>211</v>
      </c>
    </row>
    <row r="6924" spans="1:8" ht="15" customHeight="1">
      <c r="A6924" s="26">
        <v>74372999</v>
      </c>
      <c r="B6924" s="30" t="s">
        <v>9152</v>
      </c>
      <c r="C6924" s="29" t="s">
        <v>23414</v>
      </c>
      <c r="D6924" s="29" t="s">
        <v>36688</v>
      </c>
      <c r="E6924" s="29" t="s">
        <v>49155</v>
      </c>
      <c r="F6924" s="36" t="s">
        <v>54401</v>
      </c>
      <c r="G6924" s="39">
        <v>65078.74</v>
      </c>
      <c r="H6924" s="42">
        <v>211</v>
      </c>
    </row>
    <row r="6925" spans="1:8" ht="15" customHeight="1">
      <c r="A6925" s="26">
        <v>74373006</v>
      </c>
      <c r="B6925" s="30" t="s">
        <v>9153</v>
      </c>
      <c r="C6925" s="29" t="s">
        <v>23415</v>
      </c>
      <c r="D6925" s="29" t="s">
        <v>36689</v>
      </c>
      <c r="E6925" s="29" t="s">
        <v>49156</v>
      </c>
      <c r="F6925" s="36" t="s">
        <v>54401</v>
      </c>
      <c r="G6925" s="39">
        <f>5686147.65+624720-11218</f>
        <v>6299649.6500000004</v>
      </c>
      <c r="H6925" s="42">
        <v>211</v>
      </c>
    </row>
    <row r="6926" spans="1:8" ht="15" customHeight="1">
      <c r="A6926" s="26">
        <v>74373020</v>
      </c>
      <c r="B6926" s="30" t="s">
        <v>9154</v>
      </c>
      <c r="C6926" s="29" t="s">
        <v>23416</v>
      </c>
      <c r="D6926" s="29" t="s">
        <v>36690</v>
      </c>
      <c r="E6926" s="29" t="s">
        <v>49157</v>
      </c>
      <c r="F6926" s="36" t="s">
        <v>54401</v>
      </c>
      <c r="G6926" s="39">
        <v>78483.47</v>
      </c>
      <c r="H6926" s="42">
        <v>211</v>
      </c>
    </row>
    <row r="6927" spans="1:8" ht="15" customHeight="1">
      <c r="A6927" s="26">
        <v>74373062</v>
      </c>
      <c r="B6927" s="30" t="s">
        <v>9155</v>
      </c>
      <c r="C6927" s="29" t="s">
        <v>23417</v>
      </c>
      <c r="D6927" s="29" t="s">
        <v>36691</v>
      </c>
      <c r="E6927" s="29" t="s">
        <v>49158</v>
      </c>
      <c r="F6927" s="36" t="s">
        <v>54401</v>
      </c>
      <c r="G6927" s="39">
        <v>338867.05</v>
      </c>
      <c r="H6927" s="42">
        <v>211</v>
      </c>
    </row>
    <row r="6928" spans="1:8" ht="15" customHeight="1">
      <c r="A6928" s="26">
        <v>74373071</v>
      </c>
      <c r="B6928" s="30" t="s">
        <v>9156</v>
      </c>
      <c r="C6928" s="29" t="s">
        <v>17204</v>
      </c>
      <c r="D6928" s="29" t="s">
        <v>30349</v>
      </c>
      <c r="E6928" s="29" t="s">
        <v>43926</v>
      </c>
      <c r="F6928" s="36" t="s">
        <v>54401</v>
      </c>
      <c r="G6928" s="39">
        <v>390797.61</v>
      </c>
      <c r="H6928" s="42">
        <v>211</v>
      </c>
    </row>
    <row r="6929" spans="1:8" ht="15" customHeight="1">
      <c r="A6929" s="26">
        <v>74373073</v>
      </c>
      <c r="B6929" s="30" t="s">
        <v>9157</v>
      </c>
      <c r="C6929" s="29" t="s">
        <v>23418</v>
      </c>
      <c r="D6929" s="29" t="s">
        <v>36692</v>
      </c>
      <c r="E6929" s="29" t="s">
        <v>49159</v>
      </c>
      <c r="F6929" s="36" t="s">
        <v>54401</v>
      </c>
      <c r="G6929" s="39">
        <v>115750.48</v>
      </c>
      <c r="H6929" s="42">
        <v>211</v>
      </c>
    </row>
    <row r="6930" spans="1:8" ht="15" customHeight="1">
      <c r="A6930" s="26">
        <v>74373085</v>
      </c>
      <c r="B6930" s="30" t="s">
        <v>9158</v>
      </c>
      <c r="C6930" s="29" t="s">
        <v>23419</v>
      </c>
      <c r="D6930" s="29" t="s">
        <v>33031</v>
      </c>
      <c r="E6930" s="29" t="s">
        <v>49160</v>
      </c>
      <c r="F6930" s="36" t="s">
        <v>54401</v>
      </c>
      <c r="G6930" s="39">
        <v>7021865.3899999997</v>
      </c>
      <c r="H6930" s="42">
        <v>211</v>
      </c>
    </row>
    <row r="6931" spans="1:8" ht="15" customHeight="1">
      <c r="A6931" s="26">
        <v>74373099</v>
      </c>
      <c r="B6931" s="30" t="s">
        <v>9159</v>
      </c>
      <c r="C6931" s="29" t="s">
        <v>17204</v>
      </c>
      <c r="D6931" s="29" t="s">
        <v>30349</v>
      </c>
      <c r="E6931" s="29" t="s">
        <v>43926</v>
      </c>
      <c r="F6931" s="36" t="s">
        <v>54401</v>
      </c>
      <c r="G6931" s="39">
        <v>311255.94</v>
      </c>
      <c r="H6931" s="42">
        <v>211</v>
      </c>
    </row>
    <row r="6932" spans="1:8" ht="15" customHeight="1">
      <c r="A6932" s="26">
        <v>74373101</v>
      </c>
      <c r="B6932" s="30" t="s">
        <v>9160</v>
      </c>
      <c r="C6932" s="26" t="s">
        <v>23420</v>
      </c>
      <c r="D6932" s="26" t="s">
        <v>36693</v>
      </c>
      <c r="E6932" s="26" t="s">
        <v>49161</v>
      </c>
      <c r="F6932" s="37" t="s">
        <v>54401</v>
      </c>
      <c r="G6932" s="39">
        <v>206423.14</v>
      </c>
      <c r="H6932" s="42">
        <v>211</v>
      </c>
    </row>
    <row r="6933" spans="1:8" ht="15" customHeight="1">
      <c r="A6933" s="26">
        <v>74373115</v>
      </c>
      <c r="B6933" s="30" t="s">
        <v>9161</v>
      </c>
      <c r="C6933" s="29" t="s">
        <v>23421</v>
      </c>
      <c r="D6933" s="29" t="s">
        <v>36694</v>
      </c>
      <c r="E6933" s="29" t="s">
        <v>43948</v>
      </c>
      <c r="F6933" s="36" t="s">
        <v>54401</v>
      </c>
      <c r="G6933" s="39">
        <v>3239735.59</v>
      </c>
      <c r="H6933" s="42">
        <v>211</v>
      </c>
    </row>
    <row r="6934" spans="1:8" ht="15" customHeight="1">
      <c r="A6934" s="26">
        <v>74373133</v>
      </c>
      <c r="B6934" s="30" t="s">
        <v>9162</v>
      </c>
      <c r="C6934" s="29" t="s">
        <v>23422</v>
      </c>
      <c r="D6934" s="29" t="s">
        <v>36695</v>
      </c>
      <c r="E6934" s="29" t="s">
        <v>49162</v>
      </c>
      <c r="F6934" s="36" t="s">
        <v>54401</v>
      </c>
      <c r="G6934" s="39">
        <f>194500.57+3375459</f>
        <v>3569959.57</v>
      </c>
      <c r="H6934" s="42">
        <v>211</v>
      </c>
    </row>
    <row r="6935" spans="1:8" ht="15" customHeight="1">
      <c r="A6935" s="26">
        <v>74373157</v>
      </c>
      <c r="B6935" s="30" t="s">
        <v>9163</v>
      </c>
      <c r="C6935" s="29" t="s">
        <v>23423</v>
      </c>
      <c r="D6935" s="29" t="s">
        <v>36696</v>
      </c>
      <c r="E6935" s="29" t="s">
        <v>49163</v>
      </c>
      <c r="F6935" s="36" t="s">
        <v>54401</v>
      </c>
      <c r="G6935" s="39">
        <v>677429.67</v>
      </c>
      <c r="H6935" s="42">
        <v>211</v>
      </c>
    </row>
    <row r="6936" spans="1:8" ht="15" customHeight="1">
      <c r="A6936" s="26">
        <v>74373167</v>
      </c>
      <c r="B6936" s="30" t="s">
        <v>9164</v>
      </c>
      <c r="C6936" s="29" t="s">
        <v>23424</v>
      </c>
      <c r="D6936" s="29" t="s">
        <v>36697</v>
      </c>
      <c r="E6936" s="29" t="s">
        <v>49164</v>
      </c>
      <c r="F6936" s="36" t="s">
        <v>54401</v>
      </c>
      <c r="G6936" s="39">
        <f>1481490.82+840983</f>
        <v>2322473.8200000003</v>
      </c>
      <c r="H6936" s="42">
        <v>211</v>
      </c>
    </row>
    <row r="6937" spans="1:8" ht="15" customHeight="1">
      <c r="A6937" s="26">
        <v>74373183</v>
      </c>
      <c r="B6937" s="30" t="s">
        <v>9165</v>
      </c>
      <c r="C6937" s="29" t="s">
        <v>23425</v>
      </c>
      <c r="D6937" s="29" t="s">
        <v>36698</v>
      </c>
      <c r="E6937" s="29" t="s">
        <v>49165</v>
      </c>
      <c r="F6937" s="36" t="s">
        <v>54401</v>
      </c>
      <c r="G6937" s="39">
        <v>513472.48</v>
      </c>
      <c r="H6937" s="42">
        <v>211</v>
      </c>
    </row>
    <row r="6938" spans="1:8" ht="15" customHeight="1">
      <c r="A6938" s="26">
        <v>74373203</v>
      </c>
      <c r="B6938" s="30" t="s">
        <v>9166</v>
      </c>
      <c r="C6938" s="29" t="s">
        <v>23426</v>
      </c>
      <c r="D6938" s="29" t="s">
        <v>36699</v>
      </c>
      <c r="E6938" s="29" t="s">
        <v>49166</v>
      </c>
      <c r="F6938" s="36" t="s">
        <v>54401</v>
      </c>
      <c r="G6938" s="39">
        <v>287736.98</v>
      </c>
      <c r="H6938" s="42">
        <v>211</v>
      </c>
    </row>
    <row r="6939" spans="1:8" ht="15" customHeight="1">
      <c r="A6939" s="26">
        <v>74373209</v>
      </c>
      <c r="B6939" s="30" t="s">
        <v>9167</v>
      </c>
      <c r="C6939" s="29" t="s">
        <v>23427</v>
      </c>
      <c r="D6939" s="29" t="s">
        <v>36700</v>
      </c>
      <c r="E6939" s="29" t="s">
        <v>43926</v>
      </c>
      <c r="F6939" s="36" t="s">
        <v>54401</v>
      </c>
      <c r="G6939" s="39">
        <f>1465351.31-8550+271716</f>
        <v>1728517.31</v>
      </c>
      <c r="H6939" s="42">
        <v>211</v>
      </c>
    </row>
    <row r="6940" spans="1:8" ht="15" customHeight="1">
      <c r="A6940" s="26">
        <v>74373226</v>
      </c>
      <c r="B6940" s="30" t="s">
        <v>9168</v>
      </c>
      <c r="C6940" s="29" t="s">
        <v>23428</v>
      </c>
      <c r="D6940" s="29" t="s">
        <v>36701</v>
      </c>
      <c r="E6940" s="29" t="s">
        <v>49167</v>
      </c>
      <c r="F6940" s="36" t="s">
        <v>54401</v>
      </c>
      <c r="G6940" s="39">
        <v>1151528.47</v>
      </c>
      <c r="H6940" s="42">
        <v>211</v>
      </c>
    </row>
    <row r="6941" spans="1:8" ht="15" customHeight="1">
      <c r="A6941" s="26">
        <v>74373228</v>
      </c>
      <c r="B6941" s="30" t="s">
        <v>9169</v>
      </c>
      <c r="C6941" s="29" t="s">
        <v>23429</v>
      </c>
      <c r="D6941" s="29" t="s">
        <v>36702</v>
      </c>
      <c r="E6941" s="29" t="s">
        <v>49168</v>
      </c>
      <c r="F6941" s="36" t="s">
        <v>54401</v>
      </c>
      <c r="G6941" s="39">
        <v>4648461.12</v>
      </c>
      <c r="H6941" s="42">
        <v>211</v>
      </c>
    </row>
    <row r="6942" spans="1:8" ht="15" customHeight="1">
      <c r="A6942" s="26">
        <v>74373250</v>
      </c>
      <c r="B6942" s="30" t="s">
        <v>9170</v>
      </c>
      <c r="C6942" s="29" t="s">
        <v>23430</v>
      </c>
      <c r="D6942" s="29" t="s">
        <v>36703</v>
      </c>
      <c r="E6942" s="29" t="s">
        <v>49169</v>
      </c>
      <c r="F6942" s="36" t="s">
        <v>54401</v>
      </c>
      <c r="G6942" s="39">
        <v>588614.53</v>
      </c>
      <c r="H6942" s="42">
        <v>211</v>
      </c>
    </row>
    <row r="6943" spans="1:8" ht="15" customHeight="1">
      <c r="A6943" s="26">
        <v>74373271</v>
      </c>
      <c r="B6943" s="30" t="s">
        <v>9171</v>
      </c>
      <c r="C6943" s="29" t="s">
        <v>23431</v>
      </c>
      <c r="D6943" s="29" t="s">
        <v>34489</v>
      </c>
      <c r="E6943" s="29" t="s">
        <v>47464</v>
      </c>
      <c r="F6943" s="36" t="s">
        <v>54401</v>
      </c>
      <c r="G6943" s="39">
        <v>484680.39</v>
      </c>
      <c r="H6943" s="42">
        <v>211</v>
      </c>
    </row>
    <row r="6944" spans="1:8" ht="15" customHeight="1">
      <c r="A6944" s="26">
        <v>74373273</v>
      </c>
      <c r="B6944" s="30" t="s">
        <v>9172</v>
      </c>
      <c r="C6944" s="29" t="s">
        <v>23432</v>
      </c>
      <c r="D6944" s="29" t="s">
        <v>36704</v>
      </c>
      <c r="E6944" s="29" t="s">
        <v>45254</v>
      </c>
      <c r="F6944" s="36" t="s">
        <v>54401</v>
      </c>
      <c r="G6944" s="39">
        <v>381475.42</v>
      </c>
      <c r="H6944" s="42">
        <v>211</v>
      </c>
    </row>
    <row r="6945" spans="1:8" ht="15" customHeight="1">
      <c r="A6945" s="26">
        <v>74373302</v>
      </c>
      <c r="B6945" s="30" t="s">
        <v>9173</v>
      </c>
      <c r="C6945" s="29" t="s">
        <v>23433</v>
      </c>
      <c r="D6945" s="29" t="s">
        <v>36705</v>
      </c>
      <c r="E6945" s="29" t="s">
        <v>49170</v>
      </c>
      <c r="F6945" s="36" t="s">
        <v>54401</v>
      </c>
      <c r="G6945" s="39">
        <v>1545953.68</v>
      </c>
      <c r="H6945" s="42">
        <v>211</v>
      </c>
    </row>
    <row r="6946" spans="1:8" ht="15" customHeight="1">
      <c r="A6946" s="26">
        <v>74373303</v>
      </c>
      <c r="B6946" s="30" t="s">
        <v>9174</v>
      </c>
      <c r="C6946" s="29" t="s">
        <v>23434</v>
      </c>
      <c r="D6946" s="29" t="s">
        <v>36706</v>
      </c>
      <c r="E6946" s="29" t="s">
        <v>45314</v>
      </c>
      <c r="F6946" s="36" t="s">
        <v>54401</v>
      </c>
      <c r="G6946" s="39">
        <v>4354689.97</v>
      </c>
      <c r="H6946" s="42">
        <v>211</v>
      </c>
    </row>
    <row r="6947" spans="1:8" ht="15" customHeight="1">
      <c r="A6947" s="26">
        <v>74373305</v>
      </c>
      <c r="B6947" s="30" t="s">
        <v>9175</v>
      </c>
      <c r="C6947" s="29" t="s">
        <v>23435</v>
      </c>
      <c r="D6947" s="29" t="s">
        <v>36707</v>
      </c>
      <c r="E6947" s="29" t="s">
        <v>49171</v>
      </c>
      <c r="F6947" s="36" t="s">
        <v>54401</v>
      </c>
      <c r="G6947" s="39">
        <v>62945.19</v>
      </c>
      <c r="H6947" s="42">
        <v>211</v>
      </c>
    </row>
    <row r="6948" spans="1:8" ht="15" customHeight="1">
      <c r="A6948" s="26">
        <v>74373330</v>
      </c>
      <c r="B6948" s="30" t="s">
        <v>9176</v>
      </c>
      <c r="C6948" s="29" t="s">
        <v>23436</v>
      </c>
      <c r="D6948" s="29" t="s">
        <v>36708</v>
      </c>
      <c r="E6948" s="29" t="s">
        <v>43926</v>
      </c>
      <c r="F6948" s="36" t="s">
        <v>54401</v>
      </c>
      <c r="G6948" s="39">
        <v>394656.82</v>
      </c>
      <c r="H6948" s="42">
        <v>211</v>
      </c>
    </row>
    <row r="6949" spans="1:8" ht="15" customHeight="1">
      <c r="A6949" s="26">
        <v>74373331</v>
      </c>
      <c r="B6949" s="30" t="s">
        <v>9177</v>
      </c>
      <c r="C6949" s="29" t="s">
        <v>23437</v>
      </c>
      <c r="D6949" s="29" t="s">
        <v>36709</v>
      </c>
      <c r="E6949" s="29" t="s">
        <v>49172</v>
      </c>
      <c r="F6949" s="36" t="s">
        <v>54401</v>
      </c>
      <c r="G6949" s="39">
        <v>5397259.6699999999</v>
      </c>
      <c r="H6949" s="42">
        <v>211</v>
      </c>
    </row>
    <row r="6950" spans="1:8" ht="15" customHeight="1">
      <c r="A6950" s="26">
        <v>74373333</v>
      </c>
      <c r="B6950" s="30" t="s">
        <v>9178</v>
      </c>
      <c r="C6950" s="29" t="s">
        <v>23438</v>
      </c>
      <c r="D6950" s="29" t="s">
        <v>36710</v>
      </c>
      <c r="E6950" s="29" t="s">
        <v>44923</v>
      </c>
      <c r="F6950" s="36" t="s">
        <v>54406</v>
      </c>
      <c r="G6950" s="39">
        <v>11506047.960000001</v>
      </c>
      <c r="H6950" s="42">
        <v>211</v>
      </c>
    </row>
    <row r="6951" spans="1:8" ht="15" customHeight="1">
      <c r="A6951" s="26">
        <v>74373336</v>
      </c>
      <c r="B6951" s="30" t="s">
        <v>9179</v>
      </c>
      <c r="C6951" s="29" t="s">
        <v>23439</v>
      </c>
      <c r="D6951" s="29" t="s">
        <v>36711</v>
      </c>
      <c r="E6951" s="29" t="s">
        <v>47141</v>
      </c>
      <c r="F6951" s="36" t="s">
        <v>54401</v>
      </c>
      <c r="G6951" s="39">
        <v>6777452.3099999996</v>
      </c>
      <c r="H6951" s="42">
        <v>211</v>
      </c>
    </row>
    <row r="6952" spans="1:8" ht="15" customHeight="1">
      <c r="A6952" s="26">
        <v>74373374</v>
      </c>
      <c r="B6952" s="30" t="s">
        <v>9180</v>
      </c>
      <c r="C6952" s="29" t="s">
        <v>23440</v>
      </c>
      <c r="D6952" s="29" t="s">
        <v>36712</v>
      </c>
      <c r="E6952" s="29" t="s">
        <v>49173</v>
      </c>
      <c r="F6952" s="36" t="s">
        <v>54401</v>
      </c>
      <c r="G6952" s="39">
        <f>3416628.98+456777</f>
        <v>3873405.98</v>
      </c>
      <c r="H6952" s="42">
        <v>211</v>
      </c>
    </row>
    <row r="6953" spans="1:8" ht="15" customHeight="1">
      <c r="A6953" s="26">
        <v>74373381</v>
      </c>
      <c r="B6953" s="30" t="s">
        <v>9181</v>
      </c>
      <c r="C6953" s="29" t="s">
        <v>23441</v>
      </c>
      <c r="D6953" s="29" t="s">
        <v>36713</v>
      </c>
      <c r="E6953" s="29" t="s">
        <v>45877</v>
      </c>
      <c r="F6953" s="36" t="s">
        <v>54401</v>
      </c>
      <c r="G6953" s="39">
        <v>1948985.99</v>
      </c>
      <c r="H6953" s="42">
        <v>211</v>
      </c>
    </row>
    <row r="6954" spans="1:8" ht="15" customHeight="1">
      <c r="A6954" s="26">
        <v>74373388</v>
      </c>
      <c r="B6954" s="30" t="s">
        <v>9182</v>
      </c>
      <c r="C6954" s="29" t="s">
        <v>23442</v>
      </c>
      <c r="D6954" s="29" t="s">
        <v>36714</v>
      </c>
      <c r="E6954" s="29" t="s">
        <v>43926</v>
      </c>
      <c r="F6954" s="36" t="s">
        <v>54401</v>
      </c>
      <c r="G6954" s="39">
        <v>2793090.87</v>
      </c>
      <c r="H6954" s="42">
        <v>211</v>
      </c>
    </row>
    <row r="6955" spans="1:8" ht="15" customHeight="1">
      <c r="A6955" s="26">
        <v>74373411</v>
      </c>
      <c r="B6955" s="30" t="s">
        <v>9183</v>
      </c>
      <c r="C6955" s="29" t="s">
        <v>23443</v>
      </c>
      <c r="D6955" s="29" t="s">
        <v>36715</v>
      </c>
      <c r="E6955" s="29" t="s">
        <v>49174</v>
      </c>
      <c r="F6955" s="36" t="s">
        <v>54401</v>
      </c>
      <c r="G6955" s="39">
        <v>203229.65</v>
      </c>
      <c r="H6955" s="42">
        <v>211</v>
      </c>
    </row>
    <row r="6956" spans="1:8" ht="15" customHeight="1">
      <c r="A6956" s="26">
        <v>74373415</v>
      </c>
      <c r="B6956" s="30" t="s">
        <v>9184</v>
      </c>
      <c r="C6956" s="29" t="s">
        <v>23444</v>
      </c>
      <c r="D6956" s="29" t="s">
        <v>33137</v>
      </c>
      <c r="E6956" s="29" t="s">
        <v>49175</v>
      </c>
      <c r="F6956" s="36" t="s">
        <v>54401</v>
      </c>
      <c r="G6956" s="39">
        <v>272768.03999999998</v>
      </c>
      <c r="H6956" s="42">
        <v>211</v>
      </c>
    </row>
    <row r="6957" spans="1:8" ht="15" customHeight="1">
      <c r="A6957" s="26">
        <v>74373416</v>
      </c>
      <c r="B6957" s="30" t="s">
        <v>9185</v>
      </c>
      <c r="C6957" s="29" t="s">
        <v>23445</v>
      </c>
      <c r="D6957" s="29" t="s">
        <v>32197</v>
      </c>
      <c r="E6957" s="29" t="s">
        <v>49176</v>
      </c>
      <c r="F6957" s="36" t="s">
        <v>54401</v>
      </c>
      <c r="G6957" s="39">
        <v>1385674.09</v>
      </c>
      <c r="H6957" s="42">
        <v>211</v>
      </c>
    </row>
    <row r="6958" spans="1:8" ht="15" customHeight="1">
      <c r="A6958" s="26">
        <v>74373418</v>
      </c>
      <c r="B6958" s="30" t="s">
        <v>9186</v>
      </c>
      <c r="C6958" s="29" t="s">
        <v>23446</v>
      </c>
      <c r="D6958" s="29" t="s">
        <v>36716</v>
      </c>
      <c r="E6958" s="29" t="s">
        <v>49177</v>
      </c>
      <c r="F6958" s="36" t="s">
        <v>54401</v>
      </c>
      <c r="G6958" s="39">
        <v>994268.7</v>
      </c>
      <c r="H6958" s="42">
        <v>211</v>
      </c>
    </row>
    <row r="6959" spans="1:8" ht="15" customHeight="1">
      <c r="A6959" s="26">
        <v>74373429</v>
      </c>
      <c r="B6959" s="30" t="s">
        <v>9187</v>
      </c>
      <c r="C6959" s="29" t="s">
        <v>23447</v>
      </c>
      <c r="D6959" s="29" t="s">
        <v>36717</v>
      </c>
      <c r="E6959" s="29" t="s">
        <v>49178</v>
      </c>
      <c r="F6959" s="36" t="s">
        <v>54401</v>
      </c>
      <c r="G6959" s="39">
        <v>6007170.0300000003</v>
      </c>
      <c r="H6959" s="42">
        <v>211</v>
      </c>
    </row>
    <row r="6960" spans="1:8" ht="15" customHeight="1">
      <c r="A6960" s="26">
        <v>74373430</v>
      </c>
      <c r="B6960" s="30" t="s">
        <v>9188</v>
      </c>
      <c r="C6960" s="29" t="s">
        <v>23448</v>
      </c>
      <c r="D6960" s="29" t="s">
        <v>36718</v>
      </c>
      <c r="E6960" s="29" t="s">
        <v>49179</v>
      </c>
      <c r="F6960" s="36" t="s">
        <v>54401</v>
      </c>
      <c r="G6960" s="39">
        <v>790859.46</v>
      </c>
      <c r="H6960" s="42">
        <v>211</v>
      </c>
    </row>
    <row r="6961" spans="1:8" ht="15" customHeight="1">
      <c r="A6961" s="26">
        <v>74373441</v>
      </c>
      <c r="B6961" s="30" t="s">
        <v>9189</v>
      </c>
      <c r="C6961" s="29" t="s">
        <v>23449</v>
      </c>
      <c r="D6961" s="29" t="s">
        <v>36719</v>
      </c>
      <c r="E6961" s="29" t="s">
        <v>44840</v>
      </c>
      <c r="F6961" s="36" t="s">
        <v>54401</v>
      </c>
      <c r="G6961" s="39">
        <v>3456986.61</v>
      </c>
      <c r="H6961" s="42">
        <v>211</v>
      </c>
    </row>
    <row r="6962" spans="1:8" ht="15" customHeight="1">
      <c r="A6962" s="26">
        <v>74373470</v>
      </c>
      <c r="B6962" s="30" t="s">
        <v>9190</v>
      </c>
      <c r="C6962" s="29" t="s">
        <v>23450</v>
      </c>
      <c r="D6962" s="29" t="s">
        <v>36720</v>
      </c>
      <c r="E6962" s="29" t="s">
        <v>49180</v>
      </c>
      <c r="F6962" s="36" t="s">
        <v>54401</v>
      </c>
      <c r="G6962" s="39">
        <f>7485427.7+234746</f>
        <v>7720173.7000000002</v>
      </c>
      <c r="H6962" s="42">
        <v>211</v>
      </c>
    </row>
    <row r="6963" spans="1:8" ht="15" customHeight="1">
      <c r="A6963" s="26">
        <v>74373494</v>
      </c>
      <c r="B6963" s="30" t="s">
        <v>9191</v>
      </c>
      <c r="C6963" s="29" t="s">
        <v>23451</v>
      </c>
      <c r="D6963" s="29" t="s">
        <v>36721</v>
      </c>
      <c r="E6963" s="29" t="s">
        <v>49181</v>
      </c>
      <c r="F6963" s="36" t="s">
        <v>54401</v>
      </c>
      <c r="G6963" s="39">
        <v>2303470.39</v>
      </c>
      <c r="H6963" s="42">
        <v>211</v>
      </c>
    </row>
    <row r="6964" spans="1:8" ht="15" customHeight="1">
      <c r="A6964" s="26">
        <v>74373523</v>
      </c>
      <c r="B6964" s="30" t="s">
        <v>9192</v>
      </c>
      <c r="C6964" s="29" t="s">
        <v>23452</v>
      </c>
      <c r="D6964" s="29" t="s">
        <v>36722</v>
      </c>
      <c r="E6964" s="29" t="s">
        <v>49182</v>
      </c>
      <c r="F6964" s="36" t="s">
        <v>54401</v>
      </c>
      <c r="G6964" s="39">
        <v>6508874.7400000002</v>
      </c>
      <c r="H6964" s="42">
        <v>211</v>
      </c>
    </row>
    <row r="6965" spans="1:8" ht="15" customHeight="1">
      <c r="A6965" s="26">
        <v>74373527</v>
      </c>
      <c r="B6965" s="30" t="s">
        <v>9193</v>
      </c>
      <c r="C6965" s="26" t="s">
        <v>23453</v>
      </c>
      <c r="D6965" s="26" t="s">
        <v>36723</v>
      </c>
      <c r="E6965" s="26" t="s">
        <v>43926</v>
      </c>
      <c r="F6965" s="37" t="s">
        <v>54401</v>
      </c>
      <c r="G6965" s="39">
        <v>142869.17000000001</v>
      </c>
      <c r="H6965" s="42">
        <v>211</v>
      </c>
    </row>
    <row r="6966" spans="1:8" ht="15" customHeight="1">
      <c r="A6966" s="26">
        <v>74373538</v>
      </c>
      <c r="B6966" s="30" t="s">
        <v>9194</v>
      </c>
      <c r="C6966" s="29" t="s">
        <v>23454</v>
      </c>
      <c r="D6966" s="29" t="s">
        <v>36724</v>
      </c>
      <c r="E6966" s="29" t="s">
        <v>49183</v>
      </c>
      <c r="F6966" s="36" t="s">
        <v>54401</v>
      </c>
      <c r="G6966" s="39">
        <f>1960657+320545</f>
        <v>2281202</v>
      </c>
      <c r="H6966" s="42">
        <v>211</v>
      </c>
    </row>
    <row r="6967" spans="1:8" ht="15" customHeight="1">
      <c r="A6967" s="26">
        <v>74373542</v>
      </c>
      <c r="B6967" s="30" t="s">
        <v>9195</v>
      </c>
      <c r="C6967" s="29" t="s">
        <v>23455</v>
      </c>
      <c r="D6967" s="29" t="s">
        <v>36725</v>
      </c>
      <c r="E6967" s="29" t="s">
        <v>49184</v>
      </c>
      <c r="F6967" s="36" t="s">
        <v>54401</v>
      </c>
      <c r="G6967" s="39">
        <v>234118.59</v>
      </c>
      <c r="H6967" s="42">
        <v>211</v>
      </c>
    </row>
    <row r="6968" spans="1:8" ht="15" customHeight="1">
      <c r="A6968" s="26">
        <v>74373552</v>
      </c>
      <c r="B6968" s="30" t="s">
        <v>9196</v>
      </c>
      <c r="C6968" s="29" t="s">
        <v>23456</v>
      </c>
      <c r="D6968" s="29" t="s">
        <v>36726</v>
      </c>
      <c r="E6968" s="29" t="s">
        <v>49185</v>
      </c>
      <c r="F6968" s="36" t="s">
        <v>54401</v>
      </c>
      <c r="G6968" s="39">
        <v>108259.04</v>
      </c>
      <c r="H6968" s="42">
        <v>211</v>
      </c>
    </row>
    <row r="6969" spans="1:8" ht="15" customHeight="1">
      <c r="A6969" s="26">
        <v>74373553</v>
      </c>
      <c r="B6969" s="30" t="s">
        <v>9197</v>
      </c>
      <c r="C6969" s="29" t="s">
        <v>23457</v>
      </c>
      <c r="D6969" s="29" t="s">
        <v>36727</v>
      </c>
      <c r="E6969" s="29" t="s">
        <v>49186</v>
      </c>
      <c r="F6969" s="36" t="s">
        <v>54401</v>
      </c>
      <c r="G6969" s="39">
        <v>737404.38</v>
      </c>
      <c r="H6969" s="42">
        <v>211</v>
      </c>
    </row>
    <row r="6970" spans="1:8" ht="15" customHeight="1">
      <c r="A6970" s="26">
        <v>74373556</v>
      </c>
      <c r="B6970" s="30" t="s">
        <v>9198</v>
      </c>
      <c r="C6970" s="26" t="s">
        <v>23458</v>
      </c>
      <c r="D6970" s="26" t="s">
        <v>36728</v>
      </c>
      <c r="E6970" s="26" t="s">
        <v>49187</v>
      </c>
      <c r="F6970" s="37" t="s">
        <v>54401</v>
      </c>
      <c r="G6970" s="39">
        <v>368436.86</v>
      </c>
      <c r="H6970" s="42">
        <v>211</v>
      </c>
    </row>
    <row r="6971" spans="1:8" ht="15" customHeight="1">
      <c r="A6971" s="26">
        <v>74373588</v>
      </c>
      <c r="B6971" s="30" t="s">
        <v>9199</v>
      </c>
      <c r="C6971" s="29" t="s">
        <v>23459</v>
      </c>
      <c r="D6971" s="29" t="s">
        <v>36729</v>
      </c>
      <c r="E6971" s="29" t="s">
        <v>44054</v>
      </c>
      <c r="F6971" s="36" t="s">
        <v>54401</v>
      </c>
      <c r="G6971" s="39">
        <v>2405332.34</v>
      </c>
      <c r="H6971" s="42">
        <v>211</v>
      </c>
    </row>
    <row r="6972" spans="1:8" ht="15" customHeight="1">
      <c r="A6972" s="26">
        <v>74373607</v>
      </c>
      <c r="B6972" s="30" t="s">
        <v>9200</v>
      </c>
      <c r="C6972" s="29" t="s">
        <v>23460</v>
      </c>
      <c r="D6972" s="29" t="s">
        <v>36730</v>
      </c>
      <c r="E6972" s="29" t="s">
        <v>49188</v>
      </c>
      <c r="F6972" s="36" t="s">
        <v>54401</v>
      </c>
      <c r="G6972" s="39">
        <v>1581486.83</v>
      </c>
      <c r="H6972" s="42">
        <v>211</v>
      </c>
    </row>
    <row r="6973" spans="1:8" ht="15" customHeight="1">
      <c r="A6973" s="26">
        <v>74373616</v>
      </c>
      <c r="B6973" s="30" t="s">
        <v>9201</v>
      </c>
      <c r="C6973" s="29" t="s">
        <v>23461</v>
      </c>
      <c r="D6973" s="29" t="s">
        <v>36731</v>
      </c>
      <c r="E6973" s="29" t="s">
        <v>49189</v>
      </c>
      <c r="F6973" s="36" t="s">
        <v>54401</v>
      </c>
      <c r="G6973" s="39">
        <v>194277.74</v>
      </c>
      <c r="H6973" s="42">
        <v>211</v>
      </c>
    </row>
    <row r="6974" spans="1:8" ht="15" customHeight="1">
      <c r="A6974" s="26">
        <v>74373619</v>
      </c>
      <c r="B6974" s="30" t="s">
        <v>9202</v>
      </c>
      <c r="C6974" s="29" t="s">
        <v>23462</v>
      </c>
      <c r="D6974" s="29" t="s">
        <v>36732</v>
      </c>
      <c r="E6974" s="29" t="s">
        <v>49190</v>
      </c>
      <c r="F6974" s="36" t="s">
        <v>54401</v>
      </c>
      <c r="G6974" s="39">
        <v>834720.69</v>
      </c>
      <c r="H6974" s="42">
        <v>211</v>
      </c>
    </row>
    <row r="6975" spans="1:8" ht="15" customHeight="1">
      <c r="A6975" s="26">
        <v>74373631</v>
      </c>
      <c r="B6975" s="30" t="s">
        <v>9203</v>
      </c>
      <c r="C6975" s="29" t="s">
        <v>23463</v>
      </c>
      <c r="D6975" s="29" t="s">
        <v>36733</v>
      </c>
      <c r="E6975" s="29" t="s">
        <v>49191</v>
      </c>
      <c r="F6975" s="36" t="s">
        <v>54401</v>
      </c>
      <c r="G6975" s="39">
        <v>4988142.6900000004</v>
      </c>
      <c r="H6975" s="42">
        <v>211</v>
      </c>
    </row>
    <row r="6976" spans="1:8" ht="15" customHeight="1">
      <c r="A6976" s="26">
        <v>74373636</v>
      </c>
      <c r="B6976" s="30" t="s">
        <v>9204</v>
      </c>
      <c r="C6976" s="29" t="s">
        <v>23464</v>
      </c>
      <c r="D6976" s="29" t="s">
        <v>36734</v>
      </c>
      <c r="E6976" s="29" t="s">
        <v>49192</v>
      </c>
      <c r="F6976" s="36" t="s">
        <v>54401</v>
      </c>
      <c r="G6976" s="39">
        <v>3508261.83</v>
      </c>
      <c r="H6976" s="42">
        <v>211</v>
      </c>
    </row>
    <row r="6977" spans="1:8" ht="15" customHeight="1">
      <c r="A6977" s="26">
        <v>74373667</v>
      </c>
      <c r="B6977" s="30" t="s">
        <v>9205</v>
      </c>
      <c r="C6977" s="29" t="s">
        <v>23465</v>
      </c>
      <c r="D6977" s="29" t="s">
        <v>36735</v>
      </c>
      <c r="E6977" s="29" t="s">
        <v>49193</v>
      </c>
      <c r="F6977" s="36" t="s">
        <v>54401</v>
      </c>
      <c r="G6977" s="39">
        <v>3572392.28</v>
      </c>
      <c r="H6977" s="42">
        <v>211</v>
      </c>
    </row>
    <row r="6978" spans="1:8" ht="15" customHeight="1">
      <c r="A6978" s="26">
        <v>74373677</v>
      </c>
      <c r="B6978" s="30" t="s">
        <v>9206</v>
      </c>
      <c r="C6978" s="26" t="s">
        <v>23466</v>
      </c>
      <c r="D6978" s="26" t="s">
        <v>36736</v>
      </c>
      <c r="E6978" s="26" t="s">
        <v>49194</v>
      </c>
      <c r="F6978" s="37" t="s">
        <v>54406</v>
      </c>
      <c r="G6978" s="39">
        <v>2270834.16</v>
      </c>
      <c r="H6978" s="42">
        <v>211</v>
      </c>
    </row>
    <row r="6979" spans="1:8" ht="15" customHeight="1">
      <c r="A6979" s="26">
        <v>74373689</v>
      </c>
      <c r="B6979" s="30" t="s">
        <v>9207</v>
      </c>
      <c r="C6979" s="29" t="s">
        <v>23467</v>
      </c>
      <c r="D6979" s="29" t="s">
        <v>36737</v>
      </c>
      <c r="E6979" s="29" t="s">
        <v>49195</v>
      </c>
      <c r="F6979" s="36" t="s">
        <v>54401</v>
      </c>
      <c r="G6979" s="39">
        <v>96201.58</v>
      </c>
      <c r="H6979" s="42">
        <v>211</v>
      </c>
    </row>
    <row r="6980" spans="1:8" ht="15" customHeight="1">
      <c r="A6980" s="26">
        <v>74373695</v>
      </c>
      <c r="B6980" s="30" t="s">
        <v>9208</v>
      </c>
      <c r="C6980" s="29" t="s">
        <v>17204</v>
      </c>
      <c r="D6980" s="29" t="s">
        <v>30349</v>
      </c>
      <c r="E6980" s="29" t="s">
        <v>43926</v>
      </c>
      <c r="F6980" s="36" t="s">
        <v>54401</v>
      </c>
      <c r="G6980" s="39">
        <f>336906.45+2455884</f>
        <v>2792790.45</v>
      </c>
      <c r="H6980" s="42">
        <v>211</v>
      </c>
    </row>
    <row r="6981" spans="1:8" ht="15" customHeight="1">
      <c r="A6981" s="26">
        <v>74373723</v>
      </c>
      <c r="B6981" s="30" t="s">
        <v>9209</v>
      </c>
      <c r="C6981" s="29" t="s">
        <v>23468</v>
      </c>
      <c r="D6981" s="29" t="s">
        <v>36738</v>
      </c>
      <c r="E6981" s="29" t="s">
        <v>49196</v>
      </c>
      <c r="F6981" s="36" t="s">
        <v>54401</v>
      </c>
      <c r="G6981" s="39">
        <v>8920</v>
      </c>
      <c r="H6981" s="42">
        <v>211</v>
      </c>
    </row>
    <row r="6982" spans="1:8" ht="15" customHeight="1">
      <c r="A6982" s="26">
        <v>74373728</v>
      </c>
      <c r="B6982" s="30" t="s">
        <v>9210</v>
      </c>
      <c r="C6982" s="29" t="s">
        <v>23469</v>
      </c>
      <c r="D6982" s="29" t="s">
        <v>36739</v>
      </c>
      <c r="E6982" s="29" t="s">
        <v>43926</v>
      </c>
      <c r="F6982" s="36" t="s">
        <v>54401</v>
      </c>
      <c r="G6982" s="39">
        <v>27326.04</v>
      </c>
      <c r="H6982" s="42">
        <v>211</v>
      </c>
    </row>
    <row r="6983" spans="1:8" ht="15" customHeight="1">
      <c r="A6983" s="26">
        <v>74373736</v>
      </c>
      <c r="B6983" s="30" t="s">
        <v>9211</v>
      </c>
      <c r="C6983" s="29" t="s">
        <v>23470</v>
      </c>
      <c r="D6983" s="29" t="s">
        <v>36740</v>
      </c>
      <c r="E6983" s="29" t="s">
        <v>49197</v>
      </c>
      <c r="F6983" s="36" t="s">
        <v>54401</v>
      </c>
      <c r="G6983" s="39">
        <v>118392.63</v>
      </c>
      <c r="H6983" s="42">
        <v>211</v>
      </c>
    </row>
    <row r="6984" spans="1:8" ht="15" customHeight="1">
      <c r="A6984" s="26">
        <v>74373742</v>
      </c>
      <c r="B6984" s="30" t="s">
        <v>9212</v>
      </c>
      <c r="C6984" s="29" t="s">
        <v>23471</v>
      </c>
      <c r="D6984" s="29" t="s">
        <v>36741</v>
      </c>
      <c r="E6984" s="29" t="s">
        <v>45006</v>
      </c>
      <c r="F6984" s="36" t="s">
        <v>54401</v>
      </c>
      <c r="G6984" s="39">
        <f>1195446.37+570556</f>
        <v>1766002.37</v>
      </c>
      <c r="H6984" s="42">
        <v>211</v>
      </c>
    </row>
    <row r="6985" spans="1:8" ht="15" customHeight="1">
      <c r="A6985" s="26">
        <v>74373766</v>
      </c>
      <c r="B6985" s="30" t="s">
        <v>9213</v>
      </c>
      <c r="C6985" s="29" t="s">
        <v>23472</v>
      </c>
      <c r="D6985" s="29" t="s">
        <v>36742</v>
      </c>
      <c r="E6985" s="29" t="s">
        <v>49198</v>
      </c>
      <c r="F6985" s="36" t="s">
        <v>54401</v>
      </c>
      <c r="G6985" s="39">
        <v>5857691.2699999996</v>
      </c>
      <c r="H6985" s="42">
        <v>211</v>
      </c>
    </row>
    <row r="6986" spans="1:8" ht="15" customHeight="1">
      <c r="A6986" s="26">
        <v>74373770</v>
      </c>
      <c r="B6986" s="30" t="s">
        <v>9214</v>
      </c>
      <c r="C6986" s="29" t="s">
        <v>23473</v>
      </c>
      <c r="D6986" s="29" t="s">
        <v>36743</v>
      </c>
      <c r="E6986" s="29" t="s">
        <v>49199</v>
      </c>
      <c r="F6986" s="36" t="s">
        <v>54401</v>
      </c>
      <c r="G6986" s="39">
        <v>369637.7</v>
      </c>
      <c r="H6986" s="42">
        <v>211</v>
      </c>
    </row>
    <row r="6987" spans="1:8" ht="15" customHeight="1">
      <c r="A6987" s="26">
        <v>74373781</v>
      </c>
      <c r="B6987" s="30" t="s">
        <v>9215</v>
      </c>
      <c r="C6987" s="29" t="s">
        <v>23474</v>
      </c>
      <c r="D6987" s="29" t="s">
        <v>36744</v>
      </c>
      <c r="E6987" s="29" t="s">
        <v>43926</v>
      </c>
      <c r="F6987" s="36" t="s">
        <v>54401</v>
      </c>
      <c r="G6987" s="39">
        <v>102661.34</v>
      </c>
      <c r="H6987" s="42">
        <v>211</v>
      </c>
    </row>
    <row r="6988" spans="1:8" ht="15" customHeight="1">
      <c r="A6988" s="26">
        <v>74373811</v>
      </c>
      <c r="B6988" s="30" t="s">
        <v>9216</v>
      </c>
      <c r="C6988" s="29" t="s">
        <v>23475</v>
      </c>
      <c r="D6988" s="29" t="s">
        <v>36745</v>
      </c>
      <c r="E6988" s="29" t="s">
        <v>49200</v>
      </c>
      <c r="F6988" s="36" t="s">
        <v>54401</v>
      </c>
      <c r="G6988" s="39">
        <v>79141.990000000005</v>
      </c>
      <c r="H6988" s="42">
        <v>211</v>
      </c>
    </row>
    <row r="6989" spans="1:8" ht="15" customHeight="1">
      <c r="A6989" s="26">
        <v>74373843</v>
      </c>
      <c r="B6989" s="30" t="s">
        <v>9217</v>
      </c>
      <c r="C6989" s="29" t="s">
        <v>23476</v>
      </c>
      <c r="D6989" s="29" t="s">
        <v>36746</v>
      </c>
      <c r="E6989" s="29" t="s">
        <v>49201</v>
      </c>
      <c r="F6989" s="36" t="s">
        <v>54401</v>
      </c>
      <c r="G6989" s="39">
        <v>1552328.91</v>
      </c>
      <c r="H6989" s="42">
        <v>211</v>
      </c>
    </row>
    <row r="6990" spans="1:8" ht="15" customHeight="1">
      <c r="A6990" s="26">
        <v>74373860</v>
      </c>
      <c r="B6990" s="30" t="s">
        <v>9218</v>
      </c>
      <c r="C6990" s="29" t="s">
        <v>23477</v>
      </c>
      <c r="D6990" s="29" t="s">
        <v>36747</v>
      </c>
      <c r="E6990" s="29" t="s">
        <v>49202</v>
      </c>
      <c r="F6990" s="36" t="s">
        <v>54401</v>
      </c>
      <c r="G6990" s="39">
        <v>573755.24</v>
      </c>
      <c r="H6990" s="42">
        <v>211</v>
      </c>
    </row>
    <row r="6991" spans="1:8" ht="15" customHeight="1">
      <c r="A6991" s="26">
        <v>74373861</v>
      </c>
      <c r="B6991" s="30" t="s">
        <v>9219</v>
      </c>
      <c r="C6991" s="26" t="s">
        <v>23478</v>
      </c>
      <c r="D6991" s="26" t="s">
        <v>36748</v>
      </c>
      <c r="E6991" s="26" t="s">
        <v>49203</v>
      </c>
      <c r="F6991" s="37" t="s">
        <v>54401</v>
      </c>
      <c r="G6991" s="39">
        <f>2964390.31+352043</f>
        <v>3316433.31</v>
      </c>
      <c r="H6991" s="42">
        <v>211</v>
      </c>
    </row>
    <row r="6992" spans="1:8" ht="15" customHeight="1">
      <c r="A6992" s="26">
        <v>74373871</v>
      </c>
      <c r="B6992" s="30" t="s">
        <v>9220</v>
      </c>
      <c r="C6992" s="29" t="s">
        <v>23479</v>
      </c>
      <c r="D6992" s="29" t="s">
        <v>36749</v>
      </c>
      <c r="E6992" s="29" t="s">
        <v>49204</v>
      </c>
      <c r="F6992" s="36" t="s">
        <v>54401</v>
      </c>
      <c r="G6992" s="39">
        <v>997998.13</v>
      </c>
      <c r="H6992" s="42">
        <v>211</v>
      </c>
    </row>
    <row r="6993" spans="1:8" ht="15" customHeight="1">
      <c r="A6993" s="26">
        <v>74373895</v>
      </c>
      <c r="B6993" s="30" t="s">
        <v>9221</v>
      </c>
      <c r="C6993" s="26" t="s">
        <v>23480</v>
      </c>
      <c r="D6993" s="26" t="s">
        <v>36750</v>
      </c>
      <c r="E6993" s="26" t="s">
        <v>49205</v>
      </c>
      <c r="F6993" s="37" t="s">
        <v>54401</v>
      </c>
      <c r="G6993" s="39">
        <v>3377193.16</v>
      </c>
      <c r="H6993" s="42">
        <v>211</v>
      </c>
    </row>
    <row r="6994" spans="1:8" ht="15" customHeight="1">
      <c r="A6994" s="26">
        <v>74373903</v>
      </c>
      <c r="B6994" s="30" t="s">
        <v>9222</v>
      </c>
      <c r="C6994" s="29" t="s">
        <v>23481</v>
      </c>
      <c r="D6994" s="29" t="s">
        <v>36751</v>
      </c>
      <c r="E6994" s="29" t="s">
        <v>49206</v>
      </c>
      <c r="F6994" s="36" t="s">
        <v>54401</v>
      </c>
      <c r="G6994" s="39">
        <v>1494191.25</v>
      </c>
      <c r="H6994" s="42">
        <v>211</v>
      </c>
    </row>
    <row r="6995" spans="1:8" ht="15" customHeight="1">
      <c r="A6995" s="26">
        <v>74373912</v>
      </c>
      <c r="B6995" s="30" t="s">
        <v>9223</v>
      </c>
      <c r="C6995" s="26" t="s">
        <v>23482</v>
      </c>
      <c r="D6995" s="26" t="s">
        <v>36752</v>
      </c>
      <c r="E6995" s="26" t="s">
        <v>45387</v>
      </c>
      <c r="F6995" s="37" t="s">
        <v>54401</v>
      </c>
      <c r="G6995" s="39">
        <v>440727.75</v>
      </c>
      <c r="H6995" s="42">
        <v>211</v>
      </c>
    </row>
    <row r="6996" spans="1:8" ht="15" customHeight="1">
      <c r="A6996" s="26">
        <v>74373930</v>
      </c>
      <c r="B6996" s="30" t="s">
        <v>9224</v>
      </c>
      <c r="C6996" s="29" t="s">
        <v>23483</v>
      </c>
      <c r="D6996" s="29" t="s">
        <v>36753</v>
      </c>
      <c r="E6996" s="29" t="s">
        <v>49207</v>
      </c>
      <c r="F6996" s="36" t="s">
        <v>54401</v>
      </c>
      <c r="G6996" s="39">
        <f>9756755+1514753</f>
        <v>11271508</v>
      </c>
      <c r="H6996" s="42">
        <v>211</v>
      </c>
    </row>
    <row r="6997" spans="1:8" ht="15" customHeight="1">
      <c r="A6997" s="26">
        <v>74373953</v>
      </c>
      <c r="B6997" s="30" t="s">
        <v>9225</v>
      </c>
      <c r="C6997" s="29" t="s">
        <v>23484</v>
      </c>
      <c r="D6997" s="29" t="s">
        <v>36754</v>
      </c>
      <c r="E6997" s="29" t="s">
        <v>49208</v>
      </c>
      <c r="F6997" s="36" t="s">
        <v>54401</v>
      </c>
      <c r="G6997" s="39">
        <v>809466.83</v>
      </c>
      <c r="H6997" s="42">
        <v>211</v>
      </c>
    </row>
    <row r="6998" spans="1:8" ht="15" customHeight="1">
      <c r="A6998" s="26">
        <v>74373954</v>
      </c>
      <c r="B6998" s="30" t="s">
        <v>9226</v>
      </c>
      <c r="C6998" s="29" t="s">
        <v>23485</v>
      </c>
      <c r="D6998" s="29" t="s">
        <v>31265</v>
      </c>
      <c r="E6998" s="29" t="s">
        <v>49209</v>
      </c>
      <c r="F6998" s="36" t="s">
        <v>54401</v>
      </c>
      <c r="G6998" s="39">
        <v>989888.12</v>
      </c>
      <c r="H6998" s="42">
        <v>211</v>
      </c>
    </row>
    <row r="6999" spans="1:8" ht="15" customHeight="1">
      <c r="A6999" s="26">
        <v>74373956</v>
      </c>
      <c r="B6999" s="30" t="s">
        <v>9227</v>
      </c>
      <c r="C6999" s="29" t="s">
        <v>23486</v>
      </c>
      <c r="D6999" s="29" t="s">
        <v>36755</v>
      </c>
      <c r="E6999" s="29" t="s">
        <v>47350</v>
      </c>
      <c r="F6999" s="36" t="s">
        <v>54401</v>
      </c>
      <c r="G6999" s="39">
        <f>4215914.27+376289</f>
        <v>4592203.2699999996</v>
      </c>
      <c r="H6999" s="42">
        <v>211</v>
      </c>
    </row>
    <row r="7000" spans="1:8" ht="15" customHeight="1">
      <c r="A7000" s="26">
        <v>74373961</v>
      </c>
      <c r="B7000" s="30" t="s">
        <v>9228</v>
      </c>
      <c r="C7000" s="29" t="s">
        <v>23487</v>
      </c>
      <c r="D7000" s="29" t="s">
        <v>36756</v>
      </c>
      <c r="E7000" s="29" t="s">
        <v>49210</v>
      </c>
      <c r="F7000" s="36" t="s">
        <v>54401</v>
      </c>
      <c r="G7000" s="39">
        <v>6112823.2000000002</v>
      </c>
      <c r="H7000" s="42">
        <v>211</v>
      </c>
    </row>
    <row r="7001" spans="1:8" ht="15" customHeight="1">
      <c r="A7001" s="26">
        <v>74373966</v>
      </c>
      <c r="B7001" s="30" t="s">
        <v>9229</v>
      </c>
      <c r="C7001" s="29" t="s">
        <v>23488</v>
      </c>
      <c r="D7001" s="29" t="s">
        <v>30376</v>
      </c>
      <c r="E7001" s="29" t="s">
        <v>49211</v>
      </c>
      <c r="F7001" s="36" t="s">
        <v>54401</v>
      </c>
      <c r="G7001" s="39">
        <v>1787930.35</v>
      </c>
      <c r="H7001" s="42">
        <v>211</v>
      </c>
    </row>
    <row r="7002" spans="1:8" ht="15" customHeight="1">
      <c r="A7002" s="26">
        <v>74373971</v>
      </c>
      <c r="B7002" s="30" t="s">
        <v>9230</v>
      </c>
      <c r="C7002" s="29" t="s">
        <v>23489</v>
      </c>
      <c r="D7002" s="29" t="s">
        <v>36757</v>
      </c>
      <c r="E7002" s="29" t="s">
        <v>49212</v>
      </c>
      <c r="F7002" s="36" t="s">
        <v>54401</v>
      </c>
      <c r="G7002" s="39">
        <v>413993.96</v>
      </c>
      <c r="H7002" s="42">
        <v>211</v>
      </c>
    </row>
    <row r="7003" spans="1:8" ht="15" customHeight="1">
      <c r="A7003" s="26">
        <v>74373975</v>
      </c>
      <c r="B7003" s="30" t="s">
        <v>9231</v>
      </c>
      <c r="C7003" s="29" t="s">
        <v>23490</v>
      </c>
      <c r="D7003" s="29" t="s">
        <v>36758</v>
      </c>
      <c r="E7003" s="29" t="s">
        <v>49213</v>
      </c>
      <c r="F7003" s="36" t="s">
        <v>54401</v>
      </c>
      <c r="G7003" s="39">
        <v>3417461.33</v>
      </c>
      <c r="H7003" s="42">
        <v>211</v>
      </c>
    </row>
    <row r="7004" spans="1:8" ht="15" customHeight="1">
      <c r="A7004" s="26">
        <v>74373979</v>
      </c>
      <c r="B7004" s="30" t="s">
        <v>9232</v>
      </c>
      <c r="C7004" s="29" t="s">
        <v>23491</v>
      </c>
      <c r="D7004" s="29" t="s">
        <v>36759</v>
      </c>
      <c r="E7004" s="29" t="s">
        <v>49214</v>
      </c>
      <c r="F7004" s="36" t="s">
        <v>54409</v>
      </c>
      <c r="G7004" s="39">
        <v>452886.63</v>
      </c>
      <c r="H7004" s="42">
        <v>211</v>
      </c>
    </row>
    <row r="7005" spans="1:8" ht="15" customHeight="1">
      <c r="A7005" s="26">
        <v>74373990</v>
      </c>
      <c r="B7005" s="30" t="s">
        <v>9233</v>
      </c>
      <c r="C7005" s="29" t="s">
        <v>23492</v>
      </c>
      <c r="D7005" s="29" t="s">
        <v>36760</v>
      </c>
      <c r="E7005" s="29" t="s">
        <v>49215</v>
      </c>
      <c r="F7005" s="36" t="s">
        <v>54414</v>
      </c>
      <c r="G7005" s="39">
        <v>4482153.66</v>
      </c>
      <c r="H7005" s="42">
        <v>211</v>
      </c>
    </row>
    <row r="7006" spans="1:8" ht="15" customHeight="1">
      <c r="A7006" s="26">
        <v>74373994</v>
      </c>
      <c r="B7006" s="30" t="s">
        <v>9234</v>
      </c>
      <c r="C7006" s="29" t="s">
        <v>23493</v>
      </c>
      <c r="D7006" s="29" t="s">
        <v>36761</v>
      </c>
      <c r="E7006" s="29" t="s">
        <v>45077</v>
      </c>
      <c r="F7006" s="36" t="s">
        <v>54401</v>
      </c>
      <c r="G7006" s="39">
        <v>2323240.35</v>
      </c>
      <c r="H7006" s="42">
        <v>211</v>
      </c>
    </row>
    <row r="7007" spans="1:8" ht="15" customHeight="1">
      <c r="A7007" s="26">
        <v>74374023</v>
      </c>
      <c r="B7007" s="30" t="s">
        <v>9235</v>
      </c>
      <c r="C7007" s="29" t="s">
        <v>17204</v>
      </c>
      <c r="D7007" s="29" t="s">
        <v>36762</v>
      </c>
      <c r="E7007" s="29" t="s">
        <v>43926</v>
      </c>
      <c r="F7007" s="36" t="s">
        <v>54401</v>
      </c>
      <c r="G7007" s="39">
        <v>229558.7</v>
      </c>
      <c r="H7007" s="42">
        <v>211</v>
      </c>
    </row>
    <row r="7008" spans="1:8" ht="15" customHeight="1">
      <c r="A7008" s="26">
        <v>74374024</v>
      </c>
      <c r="B7008" s="30" t="s">
        <v>9236</v>
      </c>
      <c r="C7008" s="29" t="s">
        <v>23494</v>
      </c>
      <c r="D7008" s="29" t="s">
        <v>36763</v>
      </c>
      <c r="E7008" s="29" t="s">
        <v>49216</v>
      </c>
      <c r="F7008" s="36" t="s">
        <v>54401</v>
      </c>
      <c r="G7008" s="39">
        <f>4657516.38+195467</f>
        <v>4852983.38</v>
      </c>
      <c r="H7008" s="42">
        <v>211</v>
      </c>
    </row>
    <row r="7009" spans="1:8" ht="15" customHeight="1">
      <c r="A7009" s="26">
        <v>74374078</v>
      </c>
      <c r="B7009" s="30" t="s">
        <v>9237</v>
      </c>
      <c r="C7009" s="29" t="s">
        <v>23495</v>
      </c>
      <c r="D7009" s="29" t="s">
        <v>36764</v>
      </c>
      <c r="E7009" s="29" t="s">
        <v>49217</v>
      </c>
      <c r="F7009" s="36" t="s">
        <v>54401</v>
      </c>
      <c r="G7009" s="39">
        <f>7292571.13+73944</f>
        <v>7366515.1299999999</v>
      </c>
      <c r="H7009" s="42">
        <v>211</v>
      </c>
    </row>
    <row r="7010" spans="1:8" ht="15" customHeight="1">
      <c r="A7010" s="26">
        <v>74374087</v>
      </c>
      <c r="B7010" s="30" t="s">
        <v>9238</v>
      </c>
      <c r="C7010" s="29" t="s">
        <v>23496</v>
      </c>
      <c r="D7010" s="29" t="s">
        <v>36765</v>
      </c>
      <c r="E7010" s="29" t="s">
        <v>49218</v>
      </c>
      <c r="F7010" s="36" t="s">
        <v>54401</v>
      </c>
      <c r="G7010" s="39">
        <v>7035762.2400000002</v>
      </c>
      <c r="H7010" s="42">
        <v>211</v>
      </c>
    </row>
    <row r="7011" spans="1:8" ht="15" customHeight="1">
      <c r="A7011" s="26">
        <v>74374100</v>
      </c>
      <c r="B7011" s="30" t="s">
        <v>9239</v>
      </c>
      <c r="C7011" s="29" t="s">
        <v>23497</v>
      </c>
      <c r="D7011" s="29" t="s">
        <v>36766</v>
      </c>
      <c r="E7011" s="29" t="s">
        <v>43926</v>
      </c>
      <c r="F7011" s="36" t="s">
        <v>54401</v>
      </c>
      <c r="G7011" s="39">
        <v>961953.93</v>
      </c>
      <c r="H7011" s="42">
        <v>211</v>
      </c>
    </row>
    <row r="7012" spans="1:8" ht="15" customHeight="1">
      <c r="A7012" s="26">
        <v>74374108</v>
      </c>
      <c r="B7012" s="30" t="s">
        <v>9240</v>
      </c>
      <c r="C7012" s="26" t="s">
        <v>23498</v>
      </c>
      <c r="D7012" s="26" t="s">
        <v>36767</v>
      </c>
      <c r="E7012" s="26" t="s">
        <v>44973</v>
      </c>
      <c r="F7012" s="37" t="s">
        <v>54401</v>
      </c>
      <c r="G7012" s="39">
        <f>1223792.4+760868+44321</f>
        <v>2028981.4</v>
      </c>
      <c r="H7012" s="42">
        <v>211</v>
      </c>
    </row>
    <row r="7013" spans="1:8" ht="15" customHeight="1">
      <c r="A7013" s="26">
        <v>74374113</v>
      </c>
      <c r="B7013" s="30" t="s">
        <v>9241</v>
      </c>
      <c r="C7013" s="29" t="s">
        <v>23499</v>
      </c>
      <c r="D7013" s="29" t="s">
        <v>36768</v>
      </c>
      <c r="E7013" s="29" t="s">
        <v>49219</v>
      </c>
      <c r="F7013" s="36" t="s">
        <v>54401</v>
      </c>
      <c r="G7013" s="39">
        <v>3654781.3</v>
      </c>
      <c r="H7013" s="42">
        <v>211</v>
      </c>
    </row>
    <row r="7014" spans="1:8" ht="15" customHeight="1">
      <c r="A7014" s="26">
        <v>74374137</v>
      </c>
      <c r="B7014" s="30" t="s">
        <v>9242</v>
      </c>
      <c r="C7014" s="29" t="s">
        <v>23500</v>
      </c>
      <c r="D7014" s="29" t="s">
        <v>36769</v>
      </c>
      <c r="E7014" s="29" t="s">
        <v>49220</v>
      </c>
      <c r="F7014" s="36" t="s">
        <v>54401</v>
      </c>
      <c r="G7014" s="39">
        <v>170874.55</v>
      </c>
      <c r="H7014" s="42">
        <v>211</v>
      </c>
    </row>
    <row r="7015" spans="1:8" ht="15" customHeight="1">
      <c r="A7015" s="26">
        <v>74374142</v>
      </c>
      <c r="B7015" s="30" t="s">
        <v>9243</v>
      </c>
      <c r="C7015" s="29" t="s">
        <v>23501</v>
      </c>
      <c r="D7015" s="29" t="s">
        <v>34165</v>
      </c>
      <c r="E7015" s="29" t="s">
        <v>45502</v>
      </c>
      <c r="F7015" s="36" t="s">
        <v>54401</v>
      </c>
      <c r="G7015" s="39">
        <v>4706248.1399999997</v>
      </c>
      <c r="H7015" s="42">
        <v>211</v>
      </c>
    </row>
    <row r="7016" spans="1:8" ht="15" customHeight="1">
      <c r="A7016" s="26">
        <v>74374146</v>
      </c>
      <c r="B7016" s="30" t="s">
        <v>9244</v>
      </c>
      <c r="C7016" s="29" t="s">
        <v>23502</v>
      </c>
      <c r="D7016" s="29" t="s">
        <v>36770</v>
      </c>
      <c r="E7016" s="29" t="s">
        <v>49221</v>
      </c>
      <c r="F7016" s="36" t="s">
        <v>54401</v>
      </c>
      <c r="G7016" s="39">
        <v>544278.09</v>
      </c>
      <c r="H7016" s="42">
        <v>211</v>
      </c>
    </row>
    <row r="7017" spans="1:8" ht="15" customHeight="1">
      <c r="A7017" s="26">
        <v>74374167</v>
      </c>
      <c r="B7017" s="30" t="s">
        <v>9245</v>
      </c>
      <c r="C7017" s="26" t="s">
        <v>23503</v>
      </c>
      <c r="D7017" s="26" t="s">
        <v>36771</v>
      </c>
      <c r="E7017" s="26" t="s">
        <v>49222</v>
      </c>
      <c r="F7017" s="37" t="s">
        <v>54401</v>
      </c>
      <c r="G7017" s="39">
        <v>492601.9</v>
      </c>
      <c r="H7017" s="42">
        <v>211</v>
      </c>
    </row>
    <row r="7018" spans="1:8" ht="15" customHeight="1">
      <c r="A7018" s="26">
        <v>74374169</v>
      </c>
      <c r="B7018" s="30" t="s">
        <v>9246</v>
      </c>
      <c r="C7018" s="29" t="s">
        <v>23504</v>
      </c>
      <c r="D7018" s="29" t="s">
        <v>36772</v>
      </c>
      <c r="E7018" s="29" t="s">
        <v>49223</v>
      </c>
      <c r="F7018" s="36" t="s">
        <v>54401</v>
      </c>
      <c r="G7018" s="39">
        <v>3127430.03</v>
      </c>
      <c r="H7018" s="42">
        <v>211</v>
      </c>
    </row>
    <row r="7019" spans="1:8" ht="15" customHeight="1">
      <c r="A7019" s="26">
        <v>74374172</v>
      </c>
      <c r="B7019" s="30" t="s">
        <v>9247</v>
      </c>
      <c r="C7019" s="29" t="s">
        <v>23505</v>
      </c>
      <c r="D7019" s="29" t="s">
        <v>36773</v>
      </c>
      <c r="E7019" s="29" t="s">
        <v>49224</v>
      </c>
      <c r="F7019" s="36" t="s">
        <v>54401</v>
      </c>
      <c r="G7019" s="39">
        <f>3371436.32+123718</f>
        <v>3495154.32</v>
      </c>
      <c r="H7019" s="42">
        <v>211</v>
      </c>
    </row>
    <row r="7020" spans="1:8" ht="15" customHeight="1">
      <c r="A7020" s="26">
        <v>74374173</v>
      </c>
      <c r="B7020" s="30" t="s">
        <v>9248</v>
      </c>
      <c r="C7020" s="29" t="s">
        <v>23506</v>
      </c>
      <c r="D7020" s="29" t="s">
        <v>36774</v>
      </c>
      <c r="E7020" s="29" t="s">
        <v>45073</v>
      </c>
      <c r="F7020" s="36" t="s">
        <v>54401</v>
      </c>
      <c r="G7020" s="39">
        <f>4638442.94+70880</f>
        <v>4709322.9400000004</v>
      </c>
      <c r="H7020" s="42">
        <v>211</v>
      </c>
    </row>
    <row r="7021" spans="1:8" ht="15" customHeight="1">
      <c r="A7021" s="26">
        <v>74374174</v>
      </c>
      <c r="B7021" s="30" t="s">
        <v>9249</v>
      </c>
      <c r="C7021" s="29" t="s">
        <v>23507</v>
      </c>
      <c r="D7021" s="29" t="s">
        <v>36775</v>
      </c>
      <c r="E7021" s="29" t="s">
        <v>49225</v>
      </c>
      <c r="F7021" s="36" t="s">
        <v>54401</v>
      </c>
      <c r="G7021" s="39">
        <v>710990.21</v>
      </c>
      <c r="H7021" s="42">
        <v>211</v>
      </c>
    </row>
    <row r="7022" spans="1:8" ht="15" customHeight="1">
      <c r="A7022" s="26">
        <v>74374183</v>
      </c>
      <c r="B7022" s="30" t="s">
        <v>9250</v>
      </c>
      <c r="C7022" s="29" t="s">
        <v>23508</v>
      </c>
      <c r="D7022" s="29" t="s">
        <v>30349</v>
      </c>
      <c r="E7022" s="29" t="s">
        <v>49226</v>
      </c>
      <c r="F7022" s="36" t="s">
        <v>54401</v>
      </c>
      <c r="G7022" s="39">
        <v>530502.98</v>
      </c>
      <c r="H7022" s="42">
        <v>211</v>
      </c>
    </row>
    <row r="7023" spans="1:8" ht="15" customHeight="1">
      <c r="A7023" s="26">
        <v>74374192</v>
      </c>
      <c r="B7023" s="30" t="s">
        <v>9251</v>
      </c>
      <c r="C7023" s="29" t="s">
        <v>23509</v>
      </c>
      <c r="D7023" s="29" t="s">
        <v>36776</v>
      </c>
      <c r="E7023" s="29" t="s">
        <v>49227</v>
      </c>
      <c r="F7023" s="36" t="s">
        <v>54401</v>
      </c>
      <c r="G7023" s="39">
        <v>331058.14</v>
      </c>
      <c r="H7023" s="42">
        <v>211</v>
      </c>
    </row>
    <row r="7024" spans="1:8" ht="15" customHeight="1">
      <c r="A7024" s="26">
        <v>74374196</v>
      </c>
      <c r="B7024" s="30" t="s">
        <v>9252</v>
      </c>
      <c r="C7024" s="29" t="s">
        <v>23510</v>
      </c>
      <c r="D7024" s="29" t="s">
        <v>36777</v>
      </c>
      <c r="E7024" s="29" t="s">
        <v>49228</v>
      </c>
      <c r="F7024" s="36" t="s">
        <v>54401</v>
      </c>
      <c r="G7024" s="39">
        <v>214171.96</v>
      </c>
      <c r="H7024" s="42">
        <v>211</v>
      </c>
    </row>
    <row r="7025" spans="1:8" ht="15" customHeight="1">
      <c r="A7025" s="26">
        <v>74374214</v>
      </c>
      <c r="B7025" s="30" t="s">
        <v>9253</v>
      </c>
      <c r="C7025" s="29" t="s">
        <v>23511</v>
      </c>
      <c r="D7025" s="29" t="s">
        <v>32840</v>
      </c>
      <c r="E7025" s="29" t="s">
        <v>49229</v>
      </c>
      <c r="F7025" s="36" t="s">
        <v>54401</v>
      </c>
      <c r="G7025" s="39">
        <v>57561.26</v>
      </c>
      <c r="H7025" s="42">
        <v>211</v>
      </c>
    </row>
    <row r="7026" spans="1:8" ht="15" customHeight="1">
      <c r="A7026" s="26">
        <v>74374220</v>
      </c>
      <c r="B7026" s="30" t="s">
        <v>9254</v>
      </c>
      <c r="C7026" s="29" t="s">
        <v>23512</v>
      </c>
      <c r="D7026" s="29" t="s">
        <v>36778</v>
      </c>
      <c r="E7026" s="29" t="s">
        <v>43926</v>
      </c>
      <c r="F7026" s="36" t="s">
        <v>54401</v>
      </c>
      <c r="G7026" s="39">
        <f>2408246.93+807675</f>
        <v>3215921.93</v>
      </c>
      <c r="H7026" s="42">
        <v>211</v>
      </c>
    </row>
    <row r="7027" spans="1:8" ht="15" customHeight="1">
      <c r="A7027" s="26">
        <v>74374231</v>
      </c>
      <c r="B7027" s="30" t="s">
        <v>9255</v>
      </c>
      <c r="C7027" s="29" t="s">
        <v>23513</v>
      </c>
      <c r="D7027" s="29" t="s">
        <v>36779</v>
      </c>
      <c r="E7027" s="29" t="s">
        <v>47635</v>
      </c>
      <c r="F7027" s="36" t="s">
        <v>54401</v>
      </c>
      <c r="G7027" s="39">
        <v>3837917.98</v>
      </c>
      <c r="H7027" s="42">
        <v>211</v>
      </c>
    </row>
    <row r="7028" spans="1:8" ht="15" customHeight="1">
      <c r="A7028" s="26">
        <v>74374242</v>
      </c>
      <c r="B7028" s="30" t="s">
        <v>9256</v>
      </c>
      <c r="C7028" s="29" t="s">
        <v>23514</v>
      </c>
      <c r="D7028" s="29" t="s">
        <v>36780</v>
      </c>
      <c r="E7028" s="29" t="s">
        <v>49230</v>
      </c>
      <c r="F7028" s="36" t="s">
        <v>54401</v>
      </c>
      <c r="G7028" s="39">
        <v>867469.44</v>
      </c>
      <c r="H7028" s="42">
        <v>211</v>
      </c>
    </row>
    <row r="7029" spans="1:8" ht="15" customHeight="1">
      <c r="A7029" s="26">
        <v>74374246</v>
      </c>
      <c r="B7029" s="30" t="s">
        <v>9257</v>
      </c>
      <c r="C7029" s="29" t="s">
        <v>23515</v>
      </c>
      <c r="D7029" s="29" t="s">
        <v>36781</v>
      </c>
      <c r="E7029" s="29" t="s">
        <v>49231</v>
      </c>
      <c r="F7029" s="36" t="s">
        <v>54401</v>
      </c>
      <c r="G7029" s="39">
        <f>4360820.12+890611</f>
        <v>5251431.12</v>
      </c>
      <c r="H7029" s="42">
        <v>211</v>
      </c>
    </row>
    <row r="7030" spans="1:8" ht="15" customHeight="1">
      <c r="A7030" s="26">
        <v>74374267</v>
      </c>
      <c r="B7030" s="30" t="s">
        <v>9258</v>
      </c>
      <c r="C7030" s="29" t="s">
        <v>23516</v>
      </c>
      <c r="D7030" s="29" t="s">
        <v>36782</v>
      </c>
      <c r="E7030" s="29" t="s">
        <v>49232</v>
      </c>
      <c r="F7030" s="36" t="s">
        <v>54401</v>
      </c>
      <c r="G7030" s="39">
        <v>397145.26</v>
      </c>
      <c r="H7030" s="42">
        <v>211</v>
      </c>
    </row>
    <row r="7031" spans="1:8" ht="15" customHeight="1">
      <c r="A7031" s="26">
        <v>74374273</v>
      </c>
      <c r="B7031" s="30" t="s">
        <v>9259</v>
      </c>
      <c r="C7031" s="29" t="s">
        <v>23517</v>
      </c>
      <c r="D7031" s="29" t="s">
        <v>36783</v>
      </c>
      <c r="E7031" s="29" t="s">
        <v>49233</v>
      </c>
      <c r="F7031" s="36" t="s">
        <v>54401</v>
      </c>
      <c r="G7031" s="39">
        <f>820956.38+174182</f>
        <v>995138.38</v>
      </c>
      <c r="H7031" s="42">
        <v>211</v>
      </c>
    </row>
    <row r="7032" spans="1:8" ht="15" customHeight="1">
      <c r="A7032" s="26">
        <v>74374274</v>
      </c>
      <c r="B7032" s="30" t="s">
        <v>9260</v>
      </c>
      <c r="C7032" s="29" t="s">
        <v>23518</v>
      </c>
      <c r="D7032" s="29" t="s">
        <v>36784</v>
      </c>
      <c r="E7032" s="29" t="s">
        <v>49234</v>
      </c>
      <c r="F7032" s="36" t="s">
        <v>54401</v>
      </c>
      <c r="G7032" s="39">
        <v>421784.83</v>
      </c>
      <c r="H7032" s="42">
        <v>211</v>
      </c>
    </row>
    <row r="7033" spans="1:8" ht="15" customHeight="1">
      <c r="A7033" s="26">
        <v>74374276</v>
      </c>
      <c r="B7033" s="30" t="s">
        <v>9261</v>
      </c>
      <c r="C7033" s="29" t="s">
        <v>23519</v>
      </c>
      <c r="D7033" s="29" t="s">
        <v>36785</v>
      </c>
      <c r="E7033" s="29" t="s">
        <v>49235</v>
      </c>
      <c r="F7033" s="36" t="s">
        <v>54401</v>
      </c>
      <c r="G7033" s="39">
        <v>6860678.1699999999</v>
      </c>
      <c r="H7033" s="42">
        <v>211</v>
      </c>
    </row>
    <row r="7034" spans="1:8" ht="15" customHeight="1">
      <c r="A7034" s="26">
        <v>74374286</v>
      </c>
      <c r="B7034" s="30" t="s">
        <v>9262</v>
      </c>
      <c r="C7034" s="29" t="s">
        <v>23520</v>
      </c>
      <c r="D7034" s="29" t="s">
        <v>30623</v>
      </c>
      <c r="E7034" s="29" t="s">
        <v>49236</v>
      </c>
      <c r="F7034" s="36" t="s">
        <v>54401</v>
      </c>
      <c r="G7034" s="39">
        <v>541857.43000000005</v>
      </c>
      <c r="H7034" s="42">
        <v>211</v>
      </c>
    </row>
    <row r="7035" spans="1:8" ht="15" customHeight="1">
      <c r="A7035" s="26">
        <v>74374298</v>
      </c>
      <c r="B7035" s="30" t="s">
        <v>9263</v>
      </c>
      <c r="C7035" s="29" t="s">
        <v>23521</v>
      </c>
      <c r="D7035" s="29" t="s">
        <v>36786</v>
      </c>
      <c r="E7035" s="29" t="s">
        <v>45502</v>
      </c>
      <c r="F7035" s="36" t="s">
        <v>54401</v>
      </c>
      <c r="G7035" s="39">
        <v>5693219.2199999997</v>
      </c>
      <c r="H7035" s="42">
        <v>211</v>
      </c>
    </row>
    <row r="7036" spans="1:8" ht="15" customHeight="1">
      <c r="A7036" s="26">
        <v>74374302</v>
      </c>
      <c r="B7036" s="30" t="s">
        <v>9264</v>
      </c>
      <c r="C7036" s="29" t="s">
        <v>23522</v>
      </c>
      <c r="D7036" s="29" t="s">
        <v>36787</v>
      </c>
      <c r="E7036" s="29" t="s">
        <v>49237</v>
      </c>
      <c r="F7036" s="36" t="s">
        <v>54401</v>
      </c>
      <c r="G7036" s="39">
        <f>2872457.38+190791+900205</f>
        <v>3963453.38</v>
      </c>
      <c r="H7036" s="42">
        <v>211</v>
      </c>
    </row>
    <row r="7037" spans="1:8" ht="15" customHeight="1">
      <c r="A7037" s="26">
        <v>74374305</v>
      </c>
      <c r="B7037" s="30" t="s">
        <v>9265</v>
      </c>
      <c r="C7037" s="29" t="s">
        <v>23523</v>
      </c>
      <c r="D7037" s="29" t="s">
        <v>36788</v>
      </c>
      <c r="E7037" s="29" t="s">
        <v>49238</v>
      </c>
      <c r="F7037" s="36" t="s">
        <v>54401</v>
      </c>
      <c r="G7037" s="39">
        <v>2194271.87</v>
      </c>
      <c r="H7037" s="42">
        <v>211</v>
      </c>
    </row>
    <row r="7038" spans="1:8" ht="15" customHeight="1">
      <c r="A7038" s="26">
        <v>74374308</v>
      </c>
      <c r="B7038" s="30" t="s">
        <v>9266</v>
      </c>
      <c r="C7038" s="26" t="s">
        <v>23524</v>
      </c>
      <c r="D7038" s="26" t="s">
        <v>36789</v>
      </c>
      <c r="E7038" s="26" t="s">
        <v>43926</v>
      </c>
      <c r="F7038" s="37" t="s">
        <v>54401</v>
      </c>
      <c r="G7038" s="39">
        <v>53615.86</v>
      </c>
      <c r="H7038" s="42">
        <v>211</v>
      </c>
    </row>
    <row r="7039" spans="1:8" ht="15" customHeight="1">
      <c r="A7039" s="26">
        <v>74374313</v>
      </c>
      <c r="B7039" s="30" t="s">
        <v>9267</v>
      </c>
      <c r="C7039" s="29" t="s">
        <v>23525</v>
      </c>
      <c r="D7039" s="29" t="s">
        <v>36790</v>
      </c>
      <c r="E7039" s="29" t="s">
        <v>46204</v>
      </c>
      <c r="F7039" s="36" t="s">
        <v>54401</v>
      </c>
      <c r="G7039" s="39">
        <v>809528.53</v>
      </c>
      <c r="H7039" s="42">
        <v>211</v>
      </c>
    </row>
    <row r="7040" spans="1:8" ht="15" customHeight="1">
      <c r="A7040" s="26">
        <v>74374316</v>
      </c>
      <c r="B7040" s="30" t="s">
        <v>9268</v>
      </c>
      <c r="C7040" s="29" t="s">
        <v>23526</v>
      </c>
      <c r="D7040" s="29" t="s">
        <v>36791</v>
      </c>
      <c r="E7040" s="29" t="s">
        <v>49239</v>
      </c>
      <c r="F7040" s="36" t="s">
        <v>54401</v>
      </c>
      <c r="G7040" s="39">
        <v>4259677.75</v>
      </c>
      <c r="H7040" s="42">
        <v>211</v>
      </c>
    </row>
    <row r="7041" spans="1:8" ht="15" customHeight="1">
      <c r="A7041" s="26">
        <v>74374334</v>
      </c>
      <c r="B7041" s="30" t="s">
        <v>9269</v>
      </c>
      <c r="C7041" s="29" t="s">
        <v>23527</v>
      </c>
      <c r="D7041" s="29" t="s">
        <v>36792</v>
      </c>
      <c r="E7041" s="29" t="s">
        <v>49240</v>
      </c>
      <c r="F7041" s="36" t="s">
        <v>54412</v>
      </c>
      <c r="G7041" s="39">
        <f>86820274.2-601623</f>
        <v>86218651.200000003</v>
      </c>
      <c r="H7041" s="42">
        <v>211</v>
      </c>
    </row>
    <row r="7042" spans="1:8" ht="15" customHeight="1">
      <c r="A7042" s="26">
        <v>74374340</v>
      </c>
      <c r="B7042" s="30" t="s">
        <v>9270</v>
      </c>
      <c r="C7042" s="29" t="s">
        <v>23528</v>
      </c>
      <c r="D7042" s="29" t="s">
        <v>36793</v>
      </c>
      <c r="E7042" s="29" t="s">
        <v>44019</v>
      </c>
      <c r="F7042" s="36" t="s">
        <v>54401</v>
      </c>
      <c r="G7042" s="39">
        <v>3018785.75</v>
      </c>
      <c r="H7042" s="42">
        <v>211</v>
      </c>
    </row>
    <row r="7043" spans="1:8" ht="15" customHeight="1">
      <c r="A7043" s="26">
        <v>74374387</v>
      </c>
      <c r="B7043" s="30" t="s">
        <v>9271</v>
      </c>
      <c r="C7043" s="29" t="s">
        <v>23529</v>
      </c>
      <c r="D7043" s="29" t="s">
        <v>36794</v>
      </c>
      <c r="E7043" s="29" t="s">
        <v>49241</v>
      </c>
      <c r="F7043" s="36" t="s">
        <v>54456</v>
      </c>
      <c r="G7043" s="39">
        <v>458757.22</v>
      </c>
      <c r="H7043" s="42">
        <v>211</v>
      </c>
    </row>
    <row r="7044" spans="1:8" ht="15" customHeight="1">
      <c r="A7044" s="26">
        <v>74374411</v>
      </c>
      <c r="B7044" s="30" t="s">
        <v>9272</v>
      </c>
      <c r="C7044" s="29" t="s">
        <v>23530</v>
      </c>
      <c r="D7044" s="29" t="s">
        <v>36795</v>
      </c>
      <c r="E7044" s="29" t="s">
        <v>43926</v>
      </c>
      <c r="F7044" s="36" t="s">
        <v>54401</v>
      </c>
      <c r="G7044" s="39">
        <v>499914.49</v>
      </c>
      <c r="H7044" s="42">
        <v>211</v>
      </c>
    </row>
    <row r="7045" spans="1:8" ht="15" customHeight="1">
      <c r="A7045" s="26">
        <v>74374417</v>
      </c>
      <c r="B7045" s="30" t="s">
        <v>9273</v>
      </c>
      <c r="C7045" s="29" t="s">
        <v>23531</v>
      </c>
      <c r="D7045" s="29" t="s">
        <v>36796</v>
      </c>
      <c r="E7045" s="29" t="s">
        <v>49242</v>
      </c>
      <c r="F7045" s="36" t="s">
        <v>54401</v>
      </c>
      <c r="G7045" s="39">
        <v>1296845.26</v>
      </c>
      <c r="H7045" s="42">
        <v>211</v>
      </c>
    </row>
    <row r="7046" spans="1:8" ht="15" customHeight="1">
      <c r="A7046" s="26">
        <v>74374421</v>
      </c>
      <c r="B7046" s="30" t="s">
        <v>9274</v>
      </c>
      <c r="C7046" s="29" t="s">
        <v>23532</v>
      </c>
      <c r="D7046" s="29" t="s">
        <v>36797</v>
      </c>
      <c r="E7046" s="29" t="s">
        <v>44923</v>
      </c>
      <c r="F7046" s="36" t="s">
        <v>54401</v>
      </c>
      <c r="G7046" s="39">
        <v>3569105.91</v>
      </c>
      <c r="H7046" s="42">
        <v>211</v>
      </c>
    </row>
    <row r="7047" spans="1:8" ht="15" customHeight="1">
      <c r="A7047" s="26">
        <v>74374434</v>
      </c>
      <c r="B7047" s="30" t="s">
        <v>9275</v>
      </c>
      <c r="C7047" s="29" t="s">
        <v>23533</v>
      </c>
      <c r="D7047" s="29" t="s">
        <v>36798</v>
      </c>
      <c r="E7047" s="29" t="s">
        <v>49243</v>
      </c>
      <c r="F7047" s="36" t="s">
        <v>54401</v>
      </c>
      <c r="G7047" s="39">
        <v>3723346.33</v>
      </c>
      <c r="H7047" s="42">
        <v>211</v>
      </c>
    </row>
    <row r="7048" spans="1:8" ht="15" customHeight="1">
      <c r="A7048" s="26">
        <v>74374450</v>
      </c>
      <c r="B7048" s="30" t="s">
        <v>9276</v>
      </c>
      <c r="C7048" s="29" t="s">
        <v>23534</v>
      </c>
      <c r="D7048" s="29" t="s">
        <v>36799</v>
      </c>
      <c r="E7048" s="29" t="s">
        <v>49244</v>
      </c>
      <c r="F7048" s="36" t="s">
        <v>54401</v>
      </c>
      <c r="G7048" s="39">
        <v>33502.1</v>
      </c>
      <c r="H7048" s="42">
        <v>211</v>
      </c>
    </row>
    <row r="7049" spans="1:8" ht="15" customHeight="1">
      <c r="A7049" s="26">
        <v>74374453</v>
      </c>
      <c r="B7049" s="30" t="s">
        <v>9277</v>
      </c>
      <c r="C7049" s="29" t="s">
        <v>17204</v>
      </c>
      <c r="D7049" s="29" t="s">
        <v>30349</v>
      </c>
      <c r="E7049" s="29" t="s">
        <v>43926</v>
      </c>
      <c r="F7049" s="36" t="s">
        <v>54401</v>
      </c>
      <c r="G7049" s="39">
        <v>278093.7</v>
      </c>
      <c r="H7049" s="42">
        <v>211</v>
      </c>
    </row>
    <row r="7050" spans="1:8" ht="15" customHeight="1">
      <c r="A7050" s="26">
        <v>74374477</v>
      </c>
      <c r="B7050" s="30" t="s">
        <v>9278</v>
      </c>
      <c r="C7050" s="29" t="s">
        <v>23535</v>
      </c>
      <c r="D7050" s="29" t="s">
        <v>36800</v>
      </c>
      <c r="E7050" s="29" t="s">
        <v>45603</v>
      </c>
      <c r="F7050" s="36" t="s">
        <v>54401</v>
      </c>
      <c r="G7050" s="39">
        <v>271734.59000000003</v>
      </c>
      <c r="H7050" s="42">
        <v>211</v>
      </c>
    </row>
    <row r="7051" spans="1:8" ht="15" customHeight="1">
      <c r="A7051" s="26">
        <v>74374480</v>
      </c>
      <c r="B7051" s="30" t="s">
        <v>9279</v>
      </c>
      <c r="C7051" s="29" t="s">
        <v>23536</v>
      </c>
      <c r="D7051" s="29" t="s">
        <v>36801</v>
      </c>
      <c r="E7051" s="29" t="s">
        <v>49245</v>
      </c>
      <c r="F7051" s="36" t="s">
        <v>54401</v>
      </c>
      <c r="G7051" s="39">
        <v>1978688.53</v>
      </c>
      <c r="H7051" s="42">
        <v>211</v>
      </c>
    </row>
    <row r="7052" spans="1:8" ht="15" customHeight="1">
      <c r="A7052" s="26">
        <v>74374498</v>
      </c>
      <c r="B7052" s="30" t="s">
        <v>9280</v>
      </c>
      <c r="C7052" s="29" t="s">
        <v>23537</v>
      </c>
      <c r="D7052" s="29" t="s">
        <v>36802</v>
      </c>
      <c r="E7052" s="29" t="s">
        <v>48185</v>
      </c>
      <c r="F7052" s="36" t="s">
        <v>54401</v>
      </c>
      <c r="G7052" s="39">
        <v>182642.01</v>
      </c>
      <c r="H7052" s="42">
        <v>211</v>
      </c>
    </row>
    <row r="7053" spans="1:8" ht="15" customHeight="1">
      <c r="A7053" s="26">
        <v>74374506</v>
      </c>
      <c r="B7053" s="30" t="s">
        <v>9281</v>
      </c>
      <c r="C7053" s="29" t="s">
        <v>17204</v>
      </c>
      <c r="D7053" s="29" t="s">
        <v>36803</v>
      </c>
      <c r="E7053" s="29" t="s">
        <v>43926</v>
      </c>
      <c r="F7053" s="36" t="s">
        <v>54401</v>
      </c>
      <c r="G7053" s="39">
        <v>807551.02</v>
      </c>
      <c r="H7053" s="42">
        <v>211</v>
      </c>
    </row>
    <row r="7054" spans="1:8" ht="15" customHeight="1">
      <c r="A7054" s="26">
        <v>74374553</v>
      </c>
      <c r="B7054" s="30" t="s">
        <v>9282</v>
      </c>
      <c r="C7054" s="29" t="s">
        <v>23538</v>
      </c>
      <c r="D7054" s="29" t="s">
        <v>36804</v>
      </c>
      <c r="E7054" s="29" t="s">
        <v>45006</v>
      </c>
      <c r="F7054" s="36" t="s">
        <v>54401</v>
      </c>
      <c r="G7054" s="39">
        <v>2895169.16</v>
      </c>
      <c r="H7054" s="42">
        <v>211</v>
      </c>
    </row>
    <row r="7055" spans="1:8" ht="15" customHeight="1">
      <c r="A7055" s="26">
        <v>74374560</v>
      </c>
      <c r="B7055" s="30" t="s">
        <v>9283</v>
      </c>
      <c r="C7055" s="29" t="s">
        <v>23539</v>
      </c>
      <c r="D7055" s="29" t="s">
        <v>36805</v>
      </c>
      <c r="E7055" s="29" t="s">
        <v>45432</v>
      </c>
      <c r="F7055" s="36" t="s">
        <v>54401</v>
      </c>
      <c r="G7055" s="39">
        <v>3069423.41</v>
      </c>
      <c r="H7055" s="42">
        <v>211</v>
      </c>
    </row>
    <row r="7056" spans="1:8" ht="15" customHeight="1">
      <c r="A7056" s="26">
        <v>74374562</v>
      </c>
      <c r="B7056" s="30" t="s">
        <v>9284</v>
      </c>
      <c r="C7056" s="29" t="s">
        <v>23540</v>
      </c>
      <c r="D7056" s="29" t="s">
        <v>36806</v>
      </c>
      <c r="E7056" s="29" t="s">
        <v>49246</v>
      </c>
      <c r="F7056" s="36" t="s">
        <v>54401</v>
      </c>
      <c r="G7056" s="39">
        <f>6855793.66+101161</f>
        <v>6956954.6600000001</v>
      </c>
      <c r="H7056" s="42">
        <v>211</v>
      </c>
    </row>
    <row r="7057" spans="1:8" ht="15" customHeight="1">
      <c r="A7057" s="26">
        <v>74374565</v>
      </c>
      <c r="B7057" s="30" t="s">
        <v>9285</v>
      </c>
      <c r="C7057" s="29" t="s">
        <v>23541</v>
      </c>
      <c r="D7057" s="29" t="s">
        <v>36807</v>
      </c>
      <c r="E7057" s="29" t="s">
        <v>49247</v>
      </c>
      <c r="F7057" s="36" t="s">
        <v>54401</v>
      </c>
      <c r="G7057" s="39">
        <v>1009495.22</v>
      </c>
      <c r="H7057" s="42">
        <v>211</v>
      </c>
    </row>
    <row r="7058" spans="1:8" ht="15" customHeight="1">
      <c r="A7058" s="26">
        <v>74374573</v>
      </c>
      <c r="B7058" s="30" t="s">
        <v>9286</v>
      </c>
      <c r="C7058" s="29" t="s">
        <v>23542</v>
      </c>
      <c r="D7058" s="29" t="s">
        <v>36808</v>
      </c>
      <c r="E7058" s="29" t="s">
        <v>47350</v>
      </c>
      <c r="F7058" s="36" t="s">
        <v>54401</v>
      </c>
      <c r="G7058" s="39">
        <v>482508.61</v>
      </c>
      <c r="H7058" s="42">
        <v>211</v>
      </c>
    </row>
    <row r="7059" spans="1:8" ht="15" customHeight="1">
      <c r="A7059" s="26">
        <v>74374579</v>
      </c>
      <c r="B7059" s="30" t="s">
        <v>9287</v>
      </c>
      <c r="C7059" s="29" t="s">
        <v>23543</v>
      </c>
      <c r="D7059" s="29" t="s">
        <v>36809</v>
      </c>
      <c r="E7059" s="29" t="s">
        <v>43926</v>
      </c>
      <c r="F7059" s="36" t="s">
        <v>54401</v>
      </c>
      <c r="G7059" s="39">
        <v>60790.080000000002</v>
      </c>
      <c r="H7059" s="42">
        <v>211</v>
      </c>
    </row>
    <row r="7060" spans="1:8" ht="15" customHeight="1">
      <c r="A7060" s="26">
        <v>74374583</v>
      </c>
      <c r="B7060" s="30" t="s">
        <v>9288</v>
      </c>
      <c r="C7060" s="29" t="s">
        <v>23544</v>
      </c>
      <c r="D7060" s="29" t="s">
        <v>36810</v>
      </c>
      <c r="E7060" s="29" t="s">
        <v>49248</v>
      </c>
      <c r="F7060" s="36" t="s">
        <v>54401</v>
      </c>
      <c r="G7060" s="39">
        <v>70731.100000000006</v>
      </c>
      <c r="H7060" s="42">
        <v>211</v>
      </c>
    </row>
    <row r="7061" spans="1:8" ht="15" customHeight="1">
      <c r="A7061" s="26">
        <v>74374591</v>
      </c>
      <c r="B7061" s="30" t="s">
        <v>9289</v>
      </c>
      <c r="C7061" s="29" t="s">
        <v>23545</v>
      </c>
      <c r="D7061" s="29" t="s">
        <v>36811</v>
      </c>
      <c r="E7061" s="29" t="s">
        <v>49249</v>
      </c>
      <c r="F7061" s="36" t="s">
        <v>54401</v>
      </c>
      <c r="G7061" s="39">
        <f>2343232.61+46837</f>
        <v>2390069.61</v>
      </c>
      <c r="H7061" s="42">
        <v>211</v>
      </c>
    </row>
    <row r="7062" spans="1:8" ht="15" customHeight="1">
      <c r="A7062" s="26">
        <v>74374595</v>
      </c>
      <c r="B7062" s="30" t="s">
        <v>9290</v>
      </c>
      <c r="C7062" s="29" t="s">
        <v>17204</v>
      </c>
      <c r="D7062" s="29" t="s">
        <v>30349</v>
      </c>
      <c r="E7062" s="29" t="s">
        <v>43926</v>
      </c>
      <c r="F7062" s="36" t="s">
        <v>54401</v>
      </c>
      <c r="G7062" s="39">
        <v>569576.06999999995</v>
      </c>
      <c r="H7062" s="42">
        <v>211</v>
      </c>
    </row>
    <row r="7063" spans="1:8" ht="15" customHeight="1">
      <c r="A7063" s="26">
        <v>74374611</v>
      </c>
      <c r="B7063" s="30" t="s">
        <v>9291</v>
      </c>
      <c r="C7063" s="29" t="s">
        <v>23546</v>
      </c>
      <c r="D7063" s="29" t="s">
        <v>36812</v>
      </c>
      <c r="E7063" s="29" t="s">
        <v>49250</v>
      </c>
      <c r="F7063" s="36" t="s">
        <v>54401</v>
      </c>
      <c r="G7063" s="39">
        <f>418266.87+49179</f>
        <v>467445.87</v>
      </c>
      <c r="H7063" s="42">
        <v>211</v>
      </c>
    </row>
    <row r="7064" spans="1:8" ht="15" customHeight="1">
      <c r="A7064" s="26">
        <v>74374625</v>
      </c>
      <c r="B7064" s="30" t="s">
        <v>9292</v>
      </c>
      <c r="C7064" s="29" t="s">
        <v>23547</v>
      </c>
      <c r="D7064" s="29" t="s">
        <v>36813</v>
      </c>
      <c r="E7064" s="29" t="s">
        <v>49251</v>
      </c>
      <c r="F7064" s="36" t="s">
        <v>54401</v>
      </c>
      <c r="G7064" s="39">
        <v>695409.82</v>
      </c>
      <c r="H7064" s="42">
        <v>211</v>
      </c>
    </row>
    <row r="7065" spans="1:8" ht="15" customHeight="1">
      <c r="A7065" s="26">
        <v>74374666</v>
      </c>
      <c r="B7065" s="30" t="s">
        <v>9293</v>
      </c>
      <c r="C7065" s="29" t="s">
        <v>23548</v>
      </c>
      <c r="D7065" s="29" t="s">
        <v>36814</v>
      </c>
      <c r="E7065" s="29" t="s">
        <v>49252</v>
      </c>
      <c r="F7065" s="36" t="s">
        <v>54401</v>
      </c>
      <c r="G7065" s="39">
        <v>2949042.43</v>
      </c>
      <c r="H7065" s="42">
        <v>211</v>
      </c>
    </row>
    <row r="7066" spans="1:8" ht="15" customHeight="1">
      <c r="A7066" s="26">
        <v>74374691</v>
      </c>
      <c r="B7066" s="30" t="s">
        <v>9294</v>
      </c>
      <c r="C7066" s="29" t="s">
        <v>23549</v>
      </c>
      <c r="D7066" s="29" t="s">
        <v>36815</v>
      </c>
      <c r="E7066" s="29" t="s">
        <v>49253</v>
      </c>
      <c r="F7066" s="36" t="s">
        <v>54401</v>
      </c>
      <c r="G7066" s="39">
        <f>8049337.7+384950</f>
        <v>8434287.6999999993</v>
      </c>
      <c r="H7066" s="42">
        <v>211</v>
      </c>
    </row>
    <row r="7067" spans="1:8" ht="15" customHeight="1">
      <c r="A7067" s="26">
        <v>74374697</v>
      </c>
      <c r="B7067" s="30" t="s">
        <v>9295</v>
      </c>
      <c r="C7067" s="29" t="s">
        <v>23550</v>
      </c>
      <c r="D7067" s="29" t="s">
        <v>36816</v>
      </c>
      <c r="E7067" s="29" t="s">
        <v>49254</v>
      </c>
      <c r="F7067" s="36" t="s">
        <v>54401</v>
      </c>
      <c r="G7067" s="39">
        <v>2535624.15</v>
      </c>
      <c r="H7067" s="42">
        <v>211</v>
      </c>
    </row>
    <row r="7068" spans="1:8" ht="15" customHeight="1">
      <c r="A7068" s="26">
        <v>74374703</v>
      </c>
      <c r="B7068" s="30" t="s">
        <v>9296</v>
      </c>
      <c r="C7068" s="26" t="s">
        <v>17204</v>
      </c>
      <c r="D7068" s="26" t="s">
        <v>30349</v>
      </c>
      <c r="E7068" s="26" t="s">
        <v>43926</v>
      </c>
      <c r="F7068" s="37" t="s">
        <v>54401</v>
      </c>
      <c r="G7068" s="39">
        <v>344173.19</v>
      </c>
      <c r="H7068" s="42">
        <v>211</v>
      </c>
    </row>
    <row r="7069" spans="1:8" ht="15" customHeight="1">
      <c r="A7069" s="26">
        <v>74374728</v>
      </c>
      <c r="B7069" s="30" t="s">
        <v>9297</v>
      </c>
      <c r="C7069" s="29" t="s">
        <v>23551</v>
      </c>
      <c r="D7069" s="29" t="s">
        <v>36817</v>
      </c>
      <c r="E7069" s="29" t="s">
        <v>47280</v>
      </c>
      <c r="F7069" s="36" t="s">
        <v>54401</v>
      </c>
      <c r="G7069" s="39">
        <f>7270710.83+1039056</f>
        <v>8309766.8300000001</v>
      </c>
      <c r="H7069" s="42">
        <v>211</v>
      </c>
    </row>
    <row r="7070" spans="1:8" ht="15" customHeight="1">
      <c r="A7070" s="26">
        <v>74374748</v>
      </c>
      <c r="B7070" s="30" t="s">
        <v>9298</v>
      </c>
      <c r="C7070" s="29" t="s">
        <v>23552</v>
      </c>
      <c r="D7070" s="29" t="s">
        <v>36818</v>
      </c>
      <c r="E7070" s="29" t="s">
        <v>47375</v>
      </c>
      <c r="F7070" s="36" t="s">
        <v>54401</v>
      </c>
      <c r="G7070" s="39">
        <v>437816.37</v>
      </c>
      <c r="H7070" s="42">
        <v>211</v>
      </c>
    </row>
    <row r="7071" spans="1:8" ht="15" customHeight="1">
      <c r="A7071" s="26">
        <v>74374763</v>
      </c>
      <c r="B7071" s="30" t="s">
        <v>9299</v>
      </c>
      <c r="C7071" s="29" t="s">
        <v>23553</v>
      </c>
      <c r="D7071" s="29" t="s">
        <v>36819</v>
      </c>
      <c r="E7071" s="29" t="s">
        <v>49255</v>
      </c>
      <c r="F7071" s="36" t="s">
        <v>54401</v>
      </c>
      <c r="G7071" s="39">
        <v>1128809.6100000001</v>
      </c>
      <c r="H7071" s="42">
        <v>211</v>
      </c>
    </row>
    <row r="7072" spans="1:8" ht="15" customHeight="1">
      <c r="A7072" s="26">
        <v>74374771</v>
      </c>
      <c r="B7072" s="30" t="s">
        <v>9300</v>
      </c>
      <c r="C7072" s="29" t="s">
        <v>23554</v>
      </c>
      <c r="D7072" s="29" t="s">
        <v>36820</v>
      </c>
      <c r="E7072" s="29" t="s">
        <v>43948</v>
      </c>
      <c r="F7072" s="36" t="s">
        <v>54401</v>
      </c>
      <c r="G7072" s="39">
        <v>30206.19</v>
      </c>
      <c r="H7072" s="42">
        <v>211</v>
      </c>
    </row>
    <row r="7073" spans="1:8" ht="15" customHeight="1">
      <c r="A7073" s="26">
        <v>74374781</v>
      </c>
      <c r="B7073" s="30" t="s">
        <v>9301</v>
      </c>
      <c r="C7073" s="29" t="s">
        <v>23555</v>
      </c>
      <c r="D7073" s="29" t="s">
        <v>36821</v>
      </c>
      <c r="E7073" s="29" t="s">
        <v>49256</v>
      </c>
      <c r="F7073" s="36" t="s">
        <v>54401</v>
      </c>
      <c r="G7073" s="39">
        <v>336036.01</v>
      </c>
      <c r="H7073" s="42">
        <v>211</v>
      </c>
    </row>
    <row r="7074" spans="1:8" ht="15" customHeight="1">
      <c r="A7074" s="26">
        <v>74374797</v>
      </c>
      <c r="B7074" s="30" t="s">
        <v>9302</v>
      </c>
      <c r="C7074" s="29" t="s">
        <v>23556</v>
      </c>
      <c r="D7074" s="29" t="s">
        <v>36822</v>
      </c>
      <c r="E7074" s="29" t="s">
        <v>44973</v>
      </c>
      <c r="F7074" s="36" t="s">
        <v>54401</v>
      </c>
      <c r="G7074" s="39">
        <v>3845239.08</v>
      </c>
      <c r="H7074" s="42">
        <v>211</v>
      </c>
    </row>
    <row r="7075" spans="1:8" ht="15" customHeight="1">
      <c r="A7075" s="26">
        <v>74374816</v>
      </c>
      <c r="B7075" s="30" t="s">
        <v>9303</v>
      </c>
      <c r="C7075" s="29" t="s">
        <v>23557</v>
      </c>
      <c r="D7075" s="29" t="s">
        <v>36823</v>
      </c>
      <c r="E7075" s="29" t="s">
        <v>43926</v>
      </c>
      <c r="F7075" s="36" t="s">
        <v>54401</v>
      </c>
      <c r="G7075" s="39">
        <v>4278881.32</v>
      </c>
      <c r="H7075" s="42">
        <v>211</v>
      </c>
    </row>
    <row r="7076" spans="1:8" ht="15" customHeight="1">
      <c r="A7076" s="26">
        <v>74374824</v>
      </c>
      <c r="B7076" s="30" t="s">
        <v>9304</v>
      </c>
      <c r="C7076" s="29" t="s">
        <v>23558</v>
      </c>
      <c r="D7076" s="29" t="s">
        <v>36824</v>
      </c>
      <c r="E7076" s="29" t="s">
        <v>49257</v>
      </c>
      <c r="F7076" s="36" t="s">
        <v>54401</v>
      </c>
      <c r="G7076" s="39">
        <v>54579.839999999997</v>
      </c>
      <c r="H7076" s="42">
        <v>211</v>
      </c>
    </row>
    <row r="7077" spans="1:8" ht="15" customHeight="1">
      <c r="A7077" s="26">
        <v>74374838</v>
      </c>
      <c r="B7077" s="30" t="s">
        <v>9305</v>
      </c>
      <c r="C7077" s="29" t="s">
        <v>23559</v>
      </c>
      <c r="D7077" s="29" t="s">
        <v>36825</v>
      </c>
      <c r="E7077" s="29" t="s">
        <v>44923</v>
      </c>
      <c r="F7077" s="36" t="s">
        <v>54406</v>
      </c>
      <c r="G7077" s="39">
        <v>2363628.77</v>
      </c>
      <c r="H7077" s="42">
        <v>211</v>
      </c>
    </row>
    <row r="7078" spans="1:8" ht="15" customHeight="1">
      <c r="A7078" s="26">
        <v>74374859</v>
      </c>
      <c r="B7078" s="30" t="s">
        <v>9306</v>
      </c>
      <c r="C7078" s="29" t="s">
        <v>23560</v>
      </c>
      <c r="D7078" s="29" t="s">
        <v>36826</v>
      </c>
      <c r="E7078" s="29" t="s">
        <v>49258</v>
      </c>
      <c r="F7078" s="36" t="s">
        <v>54457</v>
      </c>
      <c r="G7078" s="39">
        <v>823688.25</v>
      </c>
      <c r="H7078" s="42">
        <v>211</v>
      </c>
    </row>
    <row r="7079" spans="1:8" ht="15" customHeight="1">
      <c r="A7079" s="26">
        <v>74374861</v>
      </c>
      <c r="B7079" s="30" t="s">
        <v>9307</v>
      </c>
      <c r="C7079" s="29" t="s">
        <v>17204</v>
      </c>
      <c r="D7079" s="29" t="s">
        <v>36827</v>
      </c>
      <c r="E7079" s="29" t="s">
        <v>49259</v>
      </c>
      <c r="F7079" s="36" t="s">
        <v>54401</v>
      </c>
      <c r="G7079" s="39">
        <v>153338.41</v>
      </c>
      <c r="H7079" s="42">
        <v>211</v>
      </c>
    </row>
    <row r="7080" spans="1:8" ht="15" customHeight="1">
      <c r="A7080" s="26">
        <v>74374877</v>
      </c>
      <c r="B7080" s="30" t="s">
        <v>9308</v>
      </c>
      <c r="C7080" s="29" t="s">
        <v>23561</v>
      </c>
      <c r="D7080" s="29" t="s">
        <v>36828</v>
      </c>
      <c r="E7080" s="29" t="s">
        <v>49260</v>
      </c>
      <c r="F7080" s="36" t="s">
        <v>54401</v>
      </c>
      <c r="G7080" s="39">
        <v>4970915.4800000004</v>
      </c>
      <c r="H7080" s="42">
        <v>211</v>
      </c>
    </row>
    <row r="7081" spans="1:8" ht="15" customHeight="1">
      <c r="A7081" s="26">
        <v>74374883</v>
      </c>
      <c r="B7081" s="30" t="s">
        <v>9309</v>
      </c>
      <c r="C7081" s="29" t="s">
        <v>23562</v>
      </c>
      <c r="D7081" s="29" t="s">
        <v>36829</v>
      </c>
      <c r="E7081" s="29" t="s">
        <v>49261</v>
      </c>
      <c r="F7081" s="36" t="s">
        <v>54401</v>
      </c>
      <c r="G7081" s="39">
        <v>106780.08</v>
      </c>
      <c r="H7081" s="42">
        <v>211</v>
      </c>
    </row>
    <row r="7082" spans="1:8" ht="15" customHeight="1">
      <c r="A7082" s="26">
        <v>74374899</v>
      </c>
      <c r="B7082" s="30" t="s">
        <v>9310</v>
      </c>
      <c r="C7082" s="29" t="s">
        <v>23563</v>
      </c>
      <c r="D7082" s="29" t="s">
        <v>36830</v>
      </c>
      <c r="E7082" s="29" t="s">
        <v>49262</v>
      </c>
      <c r="F7082" s="36" t="s">
        <v>54401</v>
      </c>
      <c r="G7082" s="39">
        <f>3297769.94+54621</f>
        <v>3352390.94</v>
      </c>
      <c r="H7082" s="42">
        <v>211</v>
      </c>
    </row>
    <row r="7083" spans="1:8" ht="15" customHeight="1">
      <c r="A7083" s="26">
        <v>74374914</v>
      </c>
      <c r="B7083" s="30" t="s">
        <v>9311</v>
      </c>
      <c r="C7083" s="29" t="s">
        <v>23564</v>
      </c>
      <c r="D7083" s="29" t="s">
        <v>30376</v>
      </c>
      <c r="E7083" s="29" t="s">
        <v>49263</v>
      </c>
      <c r="F7083" s="36" t="s">
        <v>54401</v>
      </c>
      <c r="G7083" s="39">
        <v>4229652.43</v>
      </c>
      <c r="H7083" s="42">
        <v>211</v>
      </c>
    </row>
    <row r="7084" spans="1:8" ht="15" customHeight="1">
      <c r="A7084" s="26">
        <v>74374920</v>
      </c>
      <c r="B7084" s="30" t="s">
        <v>9312</v>
      </c>
      <c r="C7084" s="29" t="s">
        <v>23565</v>
      </c>
      <c r="D7084" s="29" t="s">
        <v>36831</v>
      </c>
      <c r="E7084" s="29" t="s">
        <v>49264</v>
      </c>
      <c r="F7084" s="36" t="s">
        <v>54401</v>
      </c>
      <c r="G7084" s="39">
        <v>26739.48</v>
      </c>
      <c r="H7084" s="42">
        <v>211</v>
      </c>
    </row>
    <row r="7085" spans="1:8" ht="15" customHeight="1">
      <c r="A7085" s="26">
        <v>74374929</v>
      </c>
      <c r="B7085" s="30" t="s">
        <v>9313</v>
      </c>
      <c r="C7085" s="29" t="s">
        <v>23566</v>
      </c>
      <c r="D7085" s="29" t="s">
        <v>36832</v>
      </c>
      <c r="E7085" s="29" t="s">
        <v>49265</v>
      </c>
      <c r="F7085" s="36" t="s">
        <v>54401</v>
      </c>
      <c r="G7085" s="39">
        <v>278334.37</v>
      </c>
      <c r="H7085" s="42">
        <v>211</v>
      </c>
    </row>
    <row r="7086" spans="1:8" ht="15" customHeight="1">
      <c r="A7086" s="26">
        <v>74374953</v>
      </c>
      <c r="B7086" s="30" t="s">
        <v>9314</v>
      </c>
      <c r="C7086" s="29" t="s">
        <v>23567</v>
      </c>
      <c r="D7086" s="29" t="s">
        <v>36833</v>
      </c>
      <c r="E7086" s="29" t="s">
        <v>49266</v>
      </c>
      <c r="F7086" s="36" t="s">
        <v>54401</v>
      </c>
      <c r="G7086" s="39">
        <v>428108.61</v>
      </c>
      <c r="H7086" s="42">
        <v>211</v>
      </c>
    </row>
    <row r="7087" spans="1:8" ht="15" customHeight="1">
      <c r="A7087" s="26">
        <v>74374974</v>
      </c>
      <c r="B7087" s="30" t="s">
        <v>9315</v>
      </c>
      <c r="C7087" s="29" t="s">
        <v>23568</v>
      </c>
      <c r="D7087" s="29" t="s">
        <v>36834</v>
      </c>
      <c r="E7087" s="29" t="s">
        <v>49267</v>
      </c>
      <c r="F7087" s="36" t="s">
        <v>54401</v>
      </c>
      <c r="G7087" s="39">
        <v>5334189.22</v>
      </c>
      <c r="H7087" s="42">
        <v>211</v>
      </c>
    </row>
    <row r="7088" spans="1:8" ht="15" customHeight="1">
      <c r="A7088" s="26">
        <v>74374975</v>
      </c>
      <c r="B7088" s="30" t="s">
        <v>9316</v>
      </c>
      <c r="C7088" s="26" t="s">
        <v>23569</v>
      </c>
      <c r="D7088" s="26" t="s">
        <v>36835</v>
      </c>
      <c r="E7088" s="26" t="s">
        <v>43926</v>
      </c>
      <c r="F7088" s="37" t="s">
        <v>54401</v>
      </c>
      <c r="G7088" s="39">
        <v>226832.75</v>
      </c>
      <c r="H7088" s="42">
        <v>211</v>
      </c>
    </row>
    <row r="7089" spans="1:8" ht="15" customHeight="1">
      <c r="A7089" s="26">
        <v>74375000</v>
      </c>
      <c r="B7089" s="30" t="s">
        <v>9317</v>
      </c>
      <c r="C7089" s="29" t="s">
        <v>23570</v>
      </c>
      <c r="D7089" s="29" t="s">
        <v>36836</v>
      </c>
      <c r="E7089" s="29" t="s">
        <v>49268</v>
      </c>
      <c r="F7089" s="36" t="s">
        <v>54401</v>
      </c>
      <c r="G7089" s="39">
        <v>79630.25</v>
      </c>
      <c r="H7089" s="42">
        <v>211</v>
      </c>
    </row>
    <row r="7090" spans="1:8" ht="15" customHeight="1">
      <c r="A7090" s="26">
        <v>74375003</v>
      </c>
      <c r="B7090" s="30" t="s">
        <v>9318</v>
      </c>
      <c r="C7090" s="29" t="s">
        <v>23571</v>
      </c>
      <c r="D7090" s="29" t="s">
        <v>36837</v>
      </c>
      <c r="E7090" s="29" t="s">
        <v>711</v>
      </c>
      <c r="F7090" s="36" t="s">
        <v>54406</v>
      </c>
      <c r="G7090" s="39">
        <v>4749139.08</v>
      </c>
      <c r="H7090" s="42">
        <v>211</v>
      </c>
    </row>
    <row r="7091" spans="1:8" ht="15" customHeight="1">
      <c r="A7091" s="26">
        <v>74375005</v>
      </c>
      <c r="B7091" s="30" t="s">
        <v>9319</v>
      </c>
      <c r="C7091" s="29" t="s">
        <v>23572</v>
      </c>
      <c r="D7091" s="29" t="s">
        <v>36838</v>
      </c>
      <c r="E7091" s="29" t="s">
        <v>49269</v>
      </c>
      <c r="F7091" s="36" t="s">
        <v>54401</v>
      </c>
      <c r="G7091" s="39">
        <v>916504.89</v>
      </c>
      <c r="H7091" s="42">
        <v>211</v>
      </c>
    </row>
    <row r="7092" spans="1:8" ht="15" customHeight="1">
      <c r="A7092" s="26">
        <v>74375008</v>
      </c>
      <c r="B7092" s="30" t="s">
        <v>9320</v>
      </c>
      <c r="C7092" s="29" t="s">
        <v>23573</v>
      </c>
      <c r="D7092" s="29" t="s">
        <v>36839</v>
      </c>
      <c r="E7092" s="29" t="s">
        <v>49270</v>
      </c>
      <c r="F7092" s="36" t="s">
        <v>54401</v>
      </c>
      <c r="G7092" s="39">
        <f>5654851.2+169961</f>
        <v>5824812.2000000002</v>
      </c>
      <c r="H7092" s="42">
        <v>211</v>
      </c>
    </row>
    <row r="7093" spans="1:8" ht="15" customHeight="1">
      <c r="A7093" s="26">
        <v>74375010</v>
      </c>
      <c r="B7093" s="30" t="s">
        <v>9321</v>
      </c>
      <c r="C7093" s="29" t="s">
        <v>23574</v>
      </c>
      <c r="D7093" s="29" t="s">
        <v>36840</v>
      </c>
      <c r="E7093" s="29" t="s">
        <v>44587</v>
      </c>
      <c r="F7093" s="36" t="s">
        <v>54401</v>
      </c>
      <c r="G7093" s="39">
        <v>208231.96</v>
      </c>
      <c r="H7093" s="42">
        <v>211</v>
      </c>
    </row>
    <row r="7094" spans="1:8" ht="15" customHeight="1">
      <c r="A7094" s="26">
        <v>74375047</v>
      </c>
      <c r="B7094" s="30" t="s">
        <v>9322</v>
      </c>
      <c r="C7094" s="29" t="s">
        <v>23575</v>
      </c>
      <c r="D7094" s="29" t="s">
        <v>36841</v>
      </c>
      <c r="E7094" s="29" t="s">
        <v>47563</v>
      </c>
      <c r="F7094" s="36" t="s">
        <v>54401</v>
      </c>
      <c r="G7094" s="39">
        <f>579785.57+75706+34077</f>
        <v>689568.57</v>
      </c>
      <c r="H7094" s="42">
        <v>211</v>
      </c>
    </row>
    <row r="7095" spans="1:8" ht="15" customHeight="1">
      <c r="A7095" s="26">
        <v>74375063</v>
      </c>
      <c r="B7095" s="30" t="s">
        <v>9323</v>
      </c>
      <c r="C7095" s="29" t="s">
        <v>23576</v>
      </c>
      <c r="D7095" s="29" t="s">
        <v>36842</v>
      </c>
      <c r="E7095" s="29" t="s">
        <v>47783</v>
      </c>
      <c r="F7095" s="36" t="s">
        <v>54401</v>
      </c>
      <c r="G7095" s="39">
        <v>852232.78</v>
      </c>
      <c r="H7095" s="42">
        <v>211</v>
      </c>
    </row>
    <row r="7096" spans="1:8" ht="15" customHeight="1">
      <c r="A7096" s="26">
        <v>74375068</v>
      </c>
      <c r="B7096" s="30" t="s">
        <v>9324</v>
      </c>
      <c r="C7096" s="29" t="s">
        <v>23577</v>
      </c>
      <c r="D7096" s="29" t="s">
        <v>36843</v>
      </c>
      <c r="E7096" s="29" t="s">
        <v>49271</v>
      </c>
      <c r="F7096" s="36" t="s">
        <v>54423</v>
      </c>
      <c r="G7096" s="39">
        <v>839283.9</v>
      </c>
      <c r="H7096" s="42">
        <v>211</v>
      </c>
    </row>
    <row r="7097" spans="1:8" ht="15" customHeight="1">
      <c r="A7097" s="26">
        <v>74375071</v>
      </c>
      <c r="B7097" s="30" t="s">
        <v>9325</v>
      </c>
      <c r="C7097" s="29" t="s">
        <v>23578</v>
      </c>
      <c r="D7097" s="29" t="s">
        <v>36844</v>
      </c>
      <c r="E7097" s="29" t="s">
        <v>49272</v>
      </c>
      <c r="F7097" s="36" t="s">
        <v>54401</v>
      </c>
      <c r="G7097" s="39">
        <f>4151850.75+531096</f>
        <v>4682946.75</v>
      </c>
      <c r="H7097" s="42">
        <v>211</v>
      </c>
    </row>
    <row r="7098" spans="1:8" ht="15" customHeight="1">
      <c r="A7098" s="26">
        <v>74375086</v>
      </c>
      <c r="B7098" s="30" t="s">
        <v>9326</v>
      </c>
      <c r="C7098" s="29" t="s">
        <v>23579</v>
      </c>
      <c r="D7098" s="29" t="s">
        <v>36845</v>
      </c>
      <c r="E7098" s="29" t="s">
        <v>49273</v>
      </c>
      <c r="F7098" s="36" t="s">
        <v>54401</v>
      </c>
      <c r="G7098" s="39">
        <v>4507006.22</v>
      </c>
      <c r="H7098" s="42">
        <v>211</v>
      </c>
    </row>
    <row r="7099" spans="1:8" ht="15" customHeight="1">
      <c r="A7099" s="26">
        <v>74375088</v>
      </c>
      <c r="B7099" s="30" t="s">
        <v>9327</v>
      </c>
      <c r="C7099" s="29" t="s">
        <v>23580</v>
      </c>
      <c r="D7099" s="29" t="s">
        <v>36846</v>
      </c>
      <c r="E7099" s="29" t="s">
        <v>49274</v>
      </c>
      <c r="F7099" s="36" t="s">
        <v>54401</v>
      </c>
      <c r="G7099" s="39">
        <f>4032737.87+332715</f>
        <v>4365452.87</v>
      </c>
      <c r="H7099" s="42">
        <v>211</v>
      </c>
    </row>
    <row r="7100" spans="1:8" ht="15" customHeight="1">
      <c r="A7100" s="26">
        <v>74375091</v>
      </c>
      <c r="B7100" s="30" t="s">
        <v>9328</v>
      </c>
      <c r="C7100" s="29" t="s">
        <v>17204</v>
      </c>
      <c r="D7100" s="29" t="s">
        <v>30349</v>
      </c>
      <c r="E7100" s="29" t="s">
        <v>43926</v>
      </c>
      <c r="F7100" s="36" t="s">
        <v>54401</v>
      </c>
      <c r="G7100" s="39">
        <v>224890.79</v>
      </c>
      <c r="H7100" s="42">
        <v>211</v>
      </c>
    </row>
    <row r="7101" spans="1:8" ht="15" customHeight="1">
      <c r="A7101" s="26">
        <v>74375093</v>
      </c>
      <c r="B7101" s="30" t="s">
        <v>9329</v>
      </c>
      <c r="C7101" s="29" t="s">
        <v>23581</v>
      </c>
      <c r="D7101" s="29" t="s">
        <v>36847</v>
      </c>
      <c r="E7101" s="29" t="s">
        <v>49275</v>
      </c>
      <c r="F7101" s="36" t="s">
        <v>54401</v>
      </c>
      <c r="G7101" s="39">
        <v>1387168.51</v>
      </c>
      <c r="H7101" s="42">
        <v>211</v>
      </c>
    </row>
    <row r="7102" spans="1:8" ht="15" customHeight="1">
      <c r="A7102" s="26">
        <v>74375125</v>
      </c>
      <c r="B7102" s="30" t="s">
        <v>9330</v>
      </c>
      <c r="C7102" s="26" t="s">
        <v>23582</v>
      </c>
      <c r="D7102" s="26" t="s">
        <v>36848</v>
      </c>
      <c r="E7102" s="26" t="s">
        <v>49276</v>
      </c>
      <c r="F7102" s="37" t="s">
        <v>54401</v>
      </c>
      <c r="G7102" s="39">
        <v>16850.419999999998</v>
      </c>
      <c r="H7102" s="42">
        <v>211</v>
      </c>
    </row>
    <row r="7103" spans="1:8" ht="15" customHeight="1">
      <c r="A7103" s="26">
        <v>74375138</v>
      </c>
      <c r="B7103" s="30" t="s">
        <v>9331</v>
      </c>
      <c r="C7103" s="26" t="s">
        <v>17204</v>
      </c>
      <c r="D7103" s="26" t="s">
        <v>30349</v>
      </c>
      <c r="E7103" s="26" t="s">
        <v>43926</v>
      </c>
      <c r="F7103" s="37" t="s">
        <v>54401</v>
      </c>
      <c r="G7103" s="39">
        <v>267177.18</v>
      </c>
      <c r="H7103" s="42">
        <v>211</v>
      </c>
    </row>
    <row r="7104" spans="1:8" ht="15" customHeight="1">
      <c r="A7104" s="26">
        <v>74375153</v>
      </c>
      <c r="B7104" s="30" t="s">
        <v>9332</v>
      </c>
      <c r="C7104" s="29" t="s">
        <v>23583</v>
      </c>
      <c r="D7104" s="29" t="s">
        <v>36849</v>
      </c>
      <c r="E7104" s="29" t="s">
        <v>49277</v>
      </c>
      <c r="F7104" s="36" t="s">
        <v>54401</v>
      </c>
      <c r="G7104" s="39">
        <v>5882264.79</v>
      </c>
      <c r="H7104" s="42">
        <v>211</v>
      </c>
    </row>
    <row r="7105" spans="1:8" ht="15" customHeight="1">
      <c r="A7105" s="26">
        <v>74375175</v>
      </c>
      <c r="B7105" s="30" t="s">
        <v>9333</v>
      </c>
      <c r="C7105" s="29" t="s">
        <v>23584</v>
      </c>
      <c r="D7105" s="29" t="s">
        <v>36850</v>
      </c>
      <c r="E7105" s="29" t="s">
        <v>49278</v>
      </c>
      <c r="F7105" s="36" t="s">
        <v>54401</v>
      </c>
      <c r="G7105" s="39">
        <v>3393905.57</v>
      </c>
      <c r="H7105" s="42">
        <v>211</v>
      </c>
    </row>
    <row r="7106" spans="1:8" ht="15" customHeight="1">
      <c r="A7106" s="26">
        <v>74375176</v>
      </c>
      <c r="B7106" s="30" t="s">
        <v>9334</v>
      </c>
      <c r="C7106" s="29" t="s">
        <v>23585</v>
      </c>
      <c r="D7106" s="29" t="s">
        <v>36851</v>
      </c>
      <c r="E7106" s="29" t="s">
        <v>45384</v>
      </c>
      <c r="F7106" s="36" t="s">
        <v>54423</v>
      </c>
      <c r="G7106" s="39">
        <f>8779826.13+529537</f>
        <v>9309363.1300000008</v>
      </c>
      <c r="H7106" s="42">
        <v>211</v>
      </c>
    </row>
    <row r="7107" spans="1:8" ht="15" customHeight="1">
      <c r="A7107" s="26">
        <v>74375188</v>
      </c>
      <c r="B7107" s="30" t="s">
        <v>9335</v>
      </c>
      <c r="C7107" s="29" t="s">
        <v>23586</v>
      </c>
      <c r="D7107" s="29" t="s">
        <v>36852</v>
      </c>
      <c r="E7107" s="29" t="s">
        <v>44211</v>
      </c>
      <c r="F7107" s="36" t="s">
        <v>54401</v>
      </c>
      <c r="G7107" s="39">
        <f>1056398.4+85607</f>
        <v>1142005.3999999999</v>
      </c>
      <c r="H7107" s="42">
        <v>211</v>
      </c>
    </row>
    <row r="7108" spans="1:8" ht="15" customHeight="1">
      <c r="A7108" s="26">
        <v>74375209</v>
      </c>
      <c r="B7108" s="30" t="s">
        <v>9336</v>
      </c>
      <c r="C7108" s="29" t="s">
        <v>23587</v>
      </c>
      <c r="D7108" s="29" t="s">
        <v>36853</v>
      </c>
      <c r="E7108" s="29" t="s">
        <v>49279</v>
      </c>
      <c r="F7108" s="36" t="s">
        <v>54401</v>
      </c>
      <c r="G7108" s="39">
        <v>268367.84999999998</v>
      </c>
      <c r="H7108" s="42">
        <v>211</v>
      </c>
    </row>
    <row r="7109" spans="1:8" ht="15" customHeight="1">
      <c r="A7109" s="26">
        <v>74375212</v>
      </c>
      <c r="B7109" s="30" t="s">
        <v>9337</v>
      </c>
      <c r="C7109" s="29" t="s">
        <v>23588</v>
      </c>
      <c r="D7109" s="29" t="s">
        <v>36854</v>
      </c>
      <c r="E7109" s="29" t="s">
        <v>49280</v>
      </c>
      <c r="F7109" s="36" t="s">
        <v>54401</v>
      </c>
      <c r="G7109" s="39">
        <f>1489707.6+829491</f>
        <v>2319198.6</v>
      </c>
      <c r="H7109" s="42">
        <v>211</v>
      </c>
    </row>
    <row r="7110" spans="1:8" ht="15" customHeight="1">
      <c r="A7110" s="26">
        <v>74375226</v>
      </c>
      <c r="B7110" s="30" t="s">
        <v>9338</v>
      </c>
      <c r="C7110" s="29" t="s">
        <v>23589</v>
      </c>
      <c r="D7110" s="29" t="s">
        <v>36855</v>
      </c>
      <c r="E7110" s="29" t="s">
        <v>49281</v>
      </c>
      <c r="F7110" s="36" t="s">
        <v>54401</v>
      </c>
      <c r="G7110" s="39">
        <v>2676861.34</v>
      </c>
      <c r="H7110" s="42">
        <v>211</v>
      </c>
    </row>
    <row r="7111" spans="1:8" ht="15" customHeight="1">
      <c r="A7111" s="26">
        <v>74375233</v>
      </c>
      <c r="B7111" s="30" t="s">
        <v>9339</v>
      </c>
      <c r="C7111" s="29" t="s">
        <v>23590</v>
      </c>
      <c r="D7111" s="29" t="s">
        <v>36856</v>
      </c>
      <c r="E7111" s="29" t="s">
        <v>43926</v>
      </c>
      <c r="F7111" s="36" t="s">
        <v>54401</v>
      </c>
      <c r="G7111" s="39">
        <v>381857.9</v>
      </c>
      <c r="H7111" s="42">
        <v>211</v>
      </c>
    </row>
    <row r="7112" spans="1:8" ht="15" customHeight="1">
      <c r="A7112" s="26">
        <v>74375243</v>
      </c>
      <c r="B7112" s="30" t="s">
        <v>9340</v>
      </c>
      <c r="C7112" s="29" t="s">
        <v>23591</v>
      </c>
      <c r="D7112" s="29" t="s">
        <v>36857</v>
      </c>
      <c r="E7112" s="29" t="s">
        <v>49282</v>
      </c>
      <c r="F7112" s="36" t="s">
        <v>54458</v>
      </c>
      <c r="G7112" s="39">
        <v>181479.17</v>
      </c>
      <c r="H7112" s="42">
        <v>211</v>
      </c>
    </row>
    <row r="7113" spans="1:8" ht="15" customHeight="1">
      <c r="A7113" s="26">
        <v>74375246</v>
      </c>
      <c r="B7113" s="30" t="s">
        <v>9341</v>
      </c>
      <c r="C7113" s="29" t="s">
        <v>23592</v>
      </c>
      <c r="D7113" s="29" t="s">
        <v>36858</v>
      </c>
      <c r="E7113" s="29" t="s">
        <v>49283</v>
      </c>
      <c r="F7113" s="36" t="s">
        <v>54401</v>
      </c>
      <c r="G7113" s="39">
        <v>626387.80000000005</v>
      </c>
      <c r="H7113" s="42">
        <v>211</v>
      </c>
    </row>
    <row r="7114" spans="1:8" ht="15" customHeight="1">
      <c r="A7114" s="26">
        <v>74375257</v>
      </c>
      <c r="B7114" s="30" t="s">
        <v>9342</v>
      </c>
      <c r="C7114" s="29" t="s">
        <v>23593</v>
      </c>
      <c r="D7114" s="29" t="s">
        <v>36859</v>
      </c>
      <c r="E7114" s="29" t="s">
        <v>49284</v>
      </c>
      <c r="F7114" s="36" t="s">
        <v>54401</v>
      </c>
      <c r="G7114" s="39">
        <v>3309481.2</v>
      </c>
      <c r="H7114" s="42">
        <v>211</v>
      </c>
    </row>
    <row r="7115" spans="1:8" ht="15" customHeight="1">
      <c r="A7115" s="26">
        <v>74375268</v>
      </c>
      <c r="B7115" s="30" t="s">
        <v>9343</v>
      </c>
      <c r="C7115" s="26" t="s">
        <v>17204</v>
      </c>
      <c r="D7115" s="26" t="s">
        <v>30349</v>
      </c>
      <c r="E7115" s="26" t="s">
        <v>43926</v>
      </c>
      <c r="F7115" s="37" t="s">
        <v>54401</v>
      </c>
      <c r="G7115" s="39">
        <v>143138.20000000001</v>
      </c>
      <c r="H7115" s="42">
        <v>211</v>
      </c>
    </row>
    <row r="7116" spans="1:8" ht="15" customHeight="1">
      <c r="A7116" s="26">
        <v>74375285</v>
      </c>
      <c r="B7116" s="30" t="s">
        <v>9344</v>
      </c>
      <c r="C7116" s="29" t="s">
        <v>23594</v>
      </c>
      <c r="D7116" s="29" t="s">
        <v>36860</v>
      </c>
      <c r="E7116" s="29" t="s">
        <v>49285</v>
      </c>
      <c r="F7116" s="36" t="s">
        <v>54413</v>
      </c>
      <c r="G7116" s="39">
        <v>101824.65</v>
      </c>
      <c r="H7116" s="42">
        <v>211</v>
      </c>
    </row>
    <row r="7117" spans="1:8" ht="15" customHeight="1">
      <c r="A7117" s="26">
        <v>74375292</v>
      </c>
      <c r="B7117" s="30" t="s">
        <v>9345</v>
      </c>
      <c r="C7117" s="26" t="s">
        <v>23595</v>
      </c>
      <c r="D7117" s="26" t="s">
        <v>36861</v>
      </c>
      <c r="E7117" s="26" t="s">
        <v>49286</v>
      </c>
      <c r="F7117" s="37" t="s">
        <v>54401</v>
      </c>
      <c r="G7117" s="39">
        <v>4321001.96</v>
      </c>
      <c r="H7117" s="42">
        <v>211</v>
      </c>
    </row>
    <row r="7118" spans="1:8" ht="15" customHeight="1">
      <c r="A7118" s="26">
        <v>74375296</v>
      </c>
      <c r="B7118" s="30" t="s">
        <v>9346</v>
      </c>
      <c r="C7118" s="29" t="s">
        <v>23596</v>
      </c>
      <c r="D7118" s="29" t="s">
        <v>36862</v>
      </c>
      <c r="E7118" s="29" t="s">
        <v>49287</v>
      </c>
      <c r="F7118" s="36" t="s">
        <v>54401</v>
      </c>
      <c r="G7118" s="39">
        <f>1382473.01+645112+186674</f>
        <v>2214259.0099999998</v>
      </c>
      <c r="H7118" s="42">
        <v>211</v>
      </c>
    </row>
    <row r="7119" spans="1:8" ht="15" customHeight="1">
      <c r="A7119" s="26">
        <v>74375300</v>
      </c>
      <c r="B7119" s="30" t="s">
        <v>9347</v>
      </c>
      <c r="C7119" s="29" t="s">
        <v>21911</v>
      </c>
      <c r="D7119" s="29" t="s">
        <v>35139</v>
      </c>
      <c r="E7119" s="29" t="s">
        <v>49288</v>
      </c>
      <c r="F7119" s="36" t="s">
        <v>54401</v>
      </c>
      <c r="G7119" s="39">
        <v>492847.58</v>
      </c>
      <c r="H7119" s="42">
        <v>211</v>
      </c>
    </row>
    <row r="7120" spans="1:8" ht="15" customHeight="1">
      <c r="A7120" s="26">
        <v>74375304</v>
      </c>
      <c r="B7120" s="30" t="s">
        <v>9348</v>
      </c>
      <c r="C7120" s="29" t="s">
        <v>23597</v>
      </c>
      <c r="D7120" s="29" t="s">
        <v>36863</v>
      </c>
      <c r="E7120" s="29" t="s">
        <v>43926</v>
      </c>
      <c r="F7120" s="36" t="s">
        <v>54401</v>
      </c>
      <c r="G7120" s="39">
        <v>205395.07</v>
      </c>
      <c r="H7120" s="42">
        <v>211</v>
      </c>
    </row>
    <row r="7121" spans="1:8" ht="15" customHeight="1">
      <c r="A7121" s="26">
        <v>74375312</v>
      </c>
      <c r="B7121" s="30" t="s">
        <v>9349</v>
      </c>
      <c r="C7121" s="29" t="s">
        <v>23598</v>
      </c>
      <c r="D7121" s="29" t="s">
        <v>36864</v>
      </c>
      <c r="E7121" s="29" t="s">
        <v>49289</v>
      </c>
      <c r="F7121" s="36" t="s">
        <v>54401</v>
      </c>
      <c r="G7121" s="39">
        <v>3702543.68</v>
      </c>
      <c r="H7121" s="42">
        <v>211</v>
      </c>
    </row>
    <row r="7122" spans="1:8" ht="15" customHeight="1">
      <c r="A7122" s="26">
        <v>74375316</v>
      </c>
      <c r="B7122" s="30" t="s">
        <v>9350</v>
      </c>
      <c r="C7122" s="29" t="s">
        <v>23599</v>
      </c>
      <c r="D7122" s="29" t="s">
        <v>36865</v>
      </c>
      <c r="E7122" s="29" t="s">
        <v>49290</v>
      </c>
      <c r="F7122" s="36" t="s">
        <v>54401</v>
      </c>
      <c r="G7122" s="39">
        <v>6611602.25</v>
      </c>
      <c r="H7122" s="42">
        <v>211</v>
      </c>
    </row>
    <row r="7123" spans="1:8" ht="15" customHeight="1">
      <c r="A7123" s="26">
        <v>74375323</v>
      </c>
      <c r="B7123" s="30" t="s">
        <v>9351</v>
      </c>
      <c r="C7123" s="29" t="s">
        <v>23600</v>
      </c>
      <c r="D7123" s="29" t="s">
        <v>36866</v>
      </c>
      <c r="E7123" s="29" t="s">
        <v>49291</v>
      </c>
      <c r="F7123" s="36" t="s">
        <v>54401</v>
      </c>
      <c r="G7123" s="39">
        <v>3025270.59</v>
      </c>
      <c r="H7123" s="42">
        <v>211</v>
      </c>
    </row>
    <row r="7124" spans="1:8" ht="15" customHeight="1">
      <c r="A7124" s="26">
        <v>74375355</v>
      </c>
      <c r="B7124" s="30" t="s">
        <v>9352</v>
      </c>
      <c r="C7124" s="29" t="s">
        <v>23601</v>
      </c>
      <c r="D7124" s="29" t="s">
        <v>34028</v>
      </c>
      <c r="E7124" s="29" t="s">
        <v>49292</v>
      </c>
      <c r="F7124" s="36" t="s">
        <v>54406</v>
      </c>
      <c r="G7124" s="39">
        <v>7066285.9400000004</v>
      </c>
      <c r="H7124" s="42">
        <v>211</v>
      </c>
    </row>
    <row r="7125" spans="1:8" ht="15" customHeight="1">
      <c r="A7125" s="26">
        <v>74375368</v>
      </c>
      <c r="B7125" s="30" t="s">
        <v>9353</v>
      </c>
      <c r="C7125" s="29" t="s">
        <v>23602</v>
      </c>
      <c r="D7125" s="29" t="s">
        <v>36867</v>
      </c>
      <c r="E7125" s="29" t="s">
        <v>49293</v>
      </c>
      <c r="F7125" s="36" t="s">
        <v>54401</v>
      </c>
      <c r="G7125" s="39">
        <f>1342576+169980</f>
        <v>1512556</v>
      </c>
      <c r="H7125" s="42">
        <v>211</v>
      </c>
    </row>
    <row r="7126" spans="1:8" ht="15" customHeight="1">
      <c r="A7126" s="26">
        <v>74375378</v>
      </c>
      <c r="B7126" s="30" t="s">
        <v>9354</v>
      </c>
      <c r="C7126" s="29" t="s">
        <v>17204</v>
      </c>
      <c r="D7126" s="29" t="s">
        <v>30349</v>
      </c>
      <c r="E7126" s="29" t="s">
        <v>43926</v>
      </c>
      <c r="F7126" s="36" t="s">
        <v>54401</v>
      </c>
      <c r="G7126" s="39">
        <f>586863.67+972953</f>
        <v>1559816.67</v>
      </c>
      <c r="H7126" s="42">
        <v>211</v>
      </c>
    </row>
    <row r="7127" spans="1:8" ht="15" customHeight="1">
      <c r="A7127" s="26">
        <v>74375383</v>
      </c>
      <c r="B7127" s="30" t="s">
        <v>9355</v>
      </c>
      <c r="C7127" s="29" t="s">
        <v>23603</v>
      </c>
      <c r="D7127" s="29" t="s">
        <v>36868</v>
      </c>
      <c r="E7127" s="29" t="s">
        <v>49294</v>
      </c>
      <c r="F7127" s="36" t="s">
        <v>54401</v>
      </c>
      <c r="G7127" s="39">
        <v>974192.03</v>
      </c>
      <c r="H7127" s="42">
        <v>211</v>
      </c>
    </row>
    <row r="7128" spans="1:8" ht="15" customHeight="1">
      <c r="A7128" s="26">
        <v>74375395</v>
      </c>
      <c r="B7128" s="30" t="s">
        <v>9356</v>
      </c>
      <c r="C7128" s="29" t="s">
        <v>23604</v>
      </c>
      <c r="D7128" s="29" t="s">
        <v>36869</v>
      </c>
      <c r="E7128" s="29" t="s">
        <v>45178</v>
      </c>
      <c r="F7128" s="36" t="s">
        <v>54401</v>
      </c>
      <c r="G7128" s="39">
        <v>316910.02</v>
      </c>
      <c r="H7128" s="42">
        <v>211</v>
      </c>
    </row>
    <row r="7129" spans="1:8" ht="15" customHeight="1">
      <c r="A7129" s="26">
        <v>74375418</v>
      </c>
      <c r="B7129" s="30" t="s">
        <v>9357</v>
      </c>
      <c r="C7129" s="29" t="s">
        <v>23605</v>
      </c>
      <c r="D7129" s="29" t="s">
        <v>36870</v>
      </c>
      <c r="E7129" s="29" t="s">
        <v>49295</v>
      </c>
      <c r="F7129" s="36" t="s">
        <v>54401</v>
      </c>
      <c r="G7129" s="39">
        <v>460414.17</v>
      </c>
      <c r="H7129" s="42">
        <v>211</v>
      </c>
    </row>
    <row r="7130" spans="1:8" ht="15" customHeight="1">
      <c r="A7130" s="26">
        <v>74375428</v>
      </c>
      <c r="B7130" s="30" t="s">
        <v>9358</v>
      </c>
      <c r="C7130" s="29" t="s">
        <v>23606</v>
      </c>
      <c r="D7130" s="29" t="s">
        <v>36871</v>
      </c>
      <c r="E7130" s="29" t="s">
        <v>49296</v>
      </c>
      <c r="F7130" s="36" t="s">
        <v>54401</v>
      </c>
      <c r="G7130" s="39">
        <f>8209776.37+65793+1149414</f>
        <v>9424983.370000001</v>
      </c>
      <c r="H7130" s="42">
        <v>211</v>
      </c>
    </row>
    <row r="7131" spans="1:8" ht="15" customHeight="1">
      <c r="A7131" s="26">
        <v>74375440</v>
      </c>
      <c r="B7131" s="30" t="s">
        <v>9359</v>
      </c>
      <c r="C7131" s="29" t="s">
        <v>23607</v>
      </c>
      <c r="D7131" s="29" t="s">
        <v>36872</v>
      </c>
      <c r="E7131" s="29" t="s">
        <v>43926</v>
      </c>
      <c r="F7131" s="36" t="s">
        <v>54401</v>
      </c>
      <c r="G7131" s="39">
        <v>213051.87</v>
      </c>
      <c r="H7131" s="42">
        <v>211</v>
      </c>
    </row>
    <row r="7132" spans="1:8" ht="15" customHeight="1">
      <c r="A7132" s="26">
        <v>74375443</v>
      </c>
      <c r="B7132" s="30" t="s">
        <v>9360</v>
      </c>
      <c r="C7132" s="29" t="s">
        <v>23608</v>
      </c>
      <c r="D7132" s="29" t="s">
        <v>36873</v>
      </c>
      <c r="E7132" s="29" t="s">
        <v>49297</v>
      </c>
      <c r="F7132" s="36" t="s">
        <v>54407</v>
      </c>
      <c r="G7132" s="39">
        <v>3335778.86</v>
      </c>
      <c r="H7132" s="42">
        <v>211</v>
      </c>
    </row>
    <row r="7133" spans="1:8" ht="15" customHeight="1">
      <c r="A7133" s="26">
        <v>74375465</v>
      </c>
      <c r="B7133" s="30" t="s">
        <v>9361</v>
      </c>
      <c r="C7133" s="29" t="s">
        <v>23609</v>
      </c>
      <c r="D7133" s="29" t="s">
        <v>36874</v>
      </c>
      <c r="E7133" s="29" t="s">
        <v>49298</v>
      </c>
      <c r="F7133" s="36" t="s">
        <v>54401</v>
      </c>
      <c r="G7133" s="39">
        <f>4320567.78-20100</f>
        <v>4300467.78</v>
      </c>
      <c r="H7133" s="42">
        <v>211</v>
      </c>
    </row>
    <row r="7134" spans="1:8" ht="15" customHeight="1">
      <c r="A7134" s="26">
        <v>74375473</v>
      </c>
      <c r="B7134" s="30" t="s">
        <v>9362</v>
      </c>
      <c r="C7134" s="29" t="s">
        <v>23610</v>
      </c>
      <c r="D7134" s="29" t="s">
        <v>36875</v>
      </c>
      <c r="E7134" s="29" t="s">
        <v>49299</v>
      </c>
      <c r="F7134" s="36" t="s">
        <v>54401</v>
      </c>
      <c r="G7134" s="39">
        <v>4944263.96</v>
      </c>
      <c r="H7134" s="42">
        <v>211</v>
      </c>
    </row>
    <row r="7135" spans="1:8" ht="15" customHeight="1">
      <c r="A7135" s="26">
        <v>74375484</v>
      </c>
      <c r="B7135" s="30" t="s">
        <v>9363</v>
      </c>
      <c r="C7135" s="29" t="s">
        <v>17204</v>
      </c>
      <c r="D7135" s="29" t="s">
        <v>36876</v>
      </c>
      <c r="E7135" s="29" t="s">
        <v>49300</v>
      </c>
      <c r="F7135" s="36" t="s">
        <v>54412</v>
      </c>
      <c r="G7135" s="39">
        <v>214868.67</v>
      </c>
      <c r="H7135" s="42">
        <v>211</v>
      </c>
    </row>
    <row r="7136" spans="1:8" ht="15" customHeight="1">
      <c r="A7136" s="26">
        <v>74375500</v>
      </c>
      <c r="B7136" s="30" t="s">
        <v>9364</v>
      </c>
      <c r="C7136" s="29" t="s">
        <v>23611</v>
      </c>
      <c r="D7136" s="29" t="s">
        <v>36877</v>
      </c>
      <c r="E7136" s="29" t="s">
        <v>49301</v>
      </c>
      <c r="F7136" s="36" t="s">
        <v>54401</v>
      </c>
      <c r="G7136" s="39">
        <v>339591.31</v>
      </c>
      <c r="H7136" s="42">
        <v>211</v>
      </c>
    </row>
    <row r="7137" spans="1:8" ht="15" customHeight="1">
      <c r="A7137" s="26">
        <v>74375509</v>
      </c>
      <c r="B7137" s="30" t="s">
        <v>9365</v>
      </c>
      <c r="C7137" s="29" t="s">
        <v>23612</v>
      </c>
      <c r="D7137" s="29" t="s">
        <v>36878</v>
      </c>
      <c r="E7137" s="29" t="s">
        <v>49302</v>
      </c>
      <c r="F7137" s="36" t="s">
        <v>54401</v>
      </c>
      <c r="G7137" s="39">
        <v>254356.18</v>
      </c>
      <c r="H7137" s="42">
        <v>211</v>
      </c>
    </row>
    <row r="7138" spans="1:8" ht="15" customHeight="1">
      <c r="A7138" s="26">
        <v>74375528</v>
      </c>
      <c r="B7138" s="30" t="s">
        <v>9366</v>
      </c>
      <c r="C7138" s="29" t="s">
        <v>17204</v>
      </c>
      <c r="D7138" s="29" t="s">
        <v>30349</v>
      </c>
      <c r="E7138" s="29" t="s">
        <v>43926</v>
      </c>
      <c r="F7138" s="36" t="s">
        <v>54401</v>
      </c>
      <c r="G7138" s="39">
        <v>423087.9</v>
      </c>
      <c r="H7138" s="42">
        <v>211</v>
      </c>
    </row>
    <row r="7139" spans="1:8" ht="15" customHeight="1">
      <c r="A7139" s="26">
        <v>74375535</v>
      </c>
      <c r="B7139" s="30" t="s">
        <v>9367</v>
      </c>
      <c r="C7139" s="29" t="s">
        <v>17204</v>
      </c>
      <c r="D7139" s="29" t="s">
        <v>36879</v>
      </c>
      <c r="E7139" s="29" t="s">
        <v>43926</v>
      </c>
      <c r="F7139" s="36" t="s">
        <v>54401</v>
      </c>
      <c r="G7139" s="39">
        <v>82009.08</v>
      </c>
      <c r="H7139" s="42">
        <v>211</v>
      </c>
    </row>
    <row r="7140" spans="1:8" ht="15" customHeight="1">
      <c r="A7140" s="26">
        <v>74375543</v>
      </c>
      <c r="B7140" s="30" t="s">
        <v>9368</v>
      </c>
      <c r="C7140" s="29" t="s">
        <v>23613</v>
      </c>
      <c r="D7140" s="29" t="s">
        <v>36880</v>
      </c>
      <c r="E7140" s="29" t="s">
        <v>49303</v>
      </c>
      <c r="F7140" s="36" t="s">
        <v>54401</v>
      </c>
      <c r="G7140" s="39">
        <v>6600007.54</v>
      </c>
      <c r="H7140" s="42">
        <v>211</v>
      </c>
    </row>
    <row r="7141" spans="1:8" ht="15" customHeight="1">
      <c r="A7141" s="26">
        <v>74375545</v>
      </c>
      <c r="B7141" s="30" t="s">
        <v>9369</v>
      </c>
      <c r="C7141" s="29" t="s">
        <v>23614</v>
      </c>
      <c r="D7141" s="29" t="s">
        <v>36881</v>
      </c>
      <c r="E7141" s="29" t="s">
        <v>49304</v>
      </c>
      <c r="F7141" s="36" t="s">
        <v>54401</v>
      </c>
      <c r="G7141" s="39">
        <v>564724.55000000005</v>
      </c>
      <c r="H7141" s="42">
        <v>211</v>
      </c>
    </row>
    <row r="7142" spans="1:8" ht="15" customHeight="1">
      <c r="A7142" s="26">
        <v>74375546</v>
      </c>
      <c r="B7142" s="30" t="s">
        <v>9370</v>
      </c>
      <c r="C7142" s="29" t="s">
        <v>23615</v>
      </c>
      <c r="D7142" s="29" t="s">
        <v>36882</v>
      </c>
      <c r="E7142" s="29" t="s">
        <v>44942</v>
      </c>
      <c r="F7142" s="36" t="s">
        <v>54401</v>
      </c>
      <c r="G7142" s="39">
        <v>4604560.82</v>
      </c>
      <c r="H7142" s="42">
        <v>211</v>
      </c>
    </row>
    <row r="7143" spans="1:8" ht="15" customHeight="1">
      <c r="A7143" s="26">
        <v>74375554</v>
      </c>
      <c r="B7143" s="30" t="s">
        <v>9371</v>
      </c>
      <c r="C7143" s="29" t="s">
        <v>23616</v>
      </c>
      <c r="D7143" s="29" t="s">
        <v>36883</v>
      </c>
      <c r="E7143" s="29" t="s">
        <v>49305</v>
      </c>
      <c r="F7143" s="36" t="s">
        <v>54401</v>
      </c>
      <c r="G7143" s="39">
        <v>54919.33</v>
      </c>
      <c r="H7143" s="42">
        <v>211</v>
      </c>
    </row>
    <row r="7144" spans="1:8" ht="15" customHeight="1">
      <c r="A7144" s="26">
        <v>74375574</v>
      </c>
      <c r="B7144" s="30" t="s">
        <v>9372</v>
      </c>
      <c r="C7144" s="29" t="s">
        <v>23617</v>
      </c>
      <c r="D7144" s="29" t="s">
        <v>36884</v>
      </c>
      <c r="E7144" s="29" t="s">
        <v>49306</v>
      </c>
      <c r="F7144" s="36" t="s">
        <v>54401</v>
      </c>
      <c r="G7144" s="39">
        <v>126516.17</v>
      </c>
      <c r="H7144" s="42">
        <v>211</v>
      </c>
    </row>
    <row r="7145" spans="1:8" ht="15" customHeight="1">
      <c r="A7145" s="26">
        <v>74375575</v>
      </c>
      <c r="B7145" s="30" t="s">
        <v>9373</v>
      </c>
      <c r="C7145" s="29" t="s">
        <v>17204</v>
      </c>
      <c r="D7145" s="29" t="s">
        <v>36885</v>
      </c>
      <c r="E7145" s="29" t="s">
        <v>43926</v>
      </c>
      <c r="F7145" s="36" t="s">
        <v>54401</v>
      </c>
      <c r="G7145" s="39">
        <v>946442.8</v>
      </c>
      <c r="H7145" s="42">
        <v>211</v>
      </c>
    </row>
    <row r="7146" spans="1:8" ht="15" customHeight="1">
      <c r="A7146" s="26">
        <v>74375581</v>
      </c>
      <c r="B7146" s="30" t="s">
        <v>9374</v>
      </c>
      <c r="C7146" s="29" t="s">
        <v>23618</v>
      </c>
      <c r="D7146" s="29" t="s">
        <v>36886</v>
      </c>
      <c r="E7146" s="29" t="s">
        <v>49307</v>
      </c>
      <c r="F7146" s="36" t="s">
        <v>54401</v>
      </c>
      <c r="G7146" s="39">
        <v>4846054.9400000004</v>
      </c>
      <c r="H7146" s="42">
        <v>211</v>
      </c>
    </row>
    <row r="7147" spans="1:8" ht="15" customHeight="1">
      <c r="A7147" s="26">
        <v>74375606</v>
      </c>
      <c r="B7147" s="30" t="s">
        <v>9375</v>
      </c>
      <c r="C7147" s="26" t="s">
        <v>23619</v>
      </c>
      <c r="D7147" s="26" t="s">
        <v>36887</v>
      </c>
      <c r="E7147" s="26" t="s">
        <v>44264</v>
      </c>
      <c r="F7147" s="37" t="s">
        <v>54401</v>
      </c>
      <c r="G7147" s="39">
        <v>570225.15</v>
      </c>
      <c r="H7147" s="42">
        <v>211</v>
      </c>
    </row>
    <row r="7148" spans="1:8" ht="15" customHeight="1">
      <c r="A7148" s="26">
        <v>74375625</v>
      </c>
      <c r="B7148" s="30" t="s">
        <v>9376</v>
      </c>
      <c r="C7148" s="29" t="s">
        <v>23620</v>
      </c>
      <c r="D7148" s="29" t="s">
        <v>36888</v>
      </c>
      <c r="E7148" s="29" t="s">
        <v>49308</v>
      </c>
      <c r="F7148" s="36" t="s">
        <v>54407</v>
      </c>
      <c r="G7148" s="39">
        <v>1715046.01</v>
      </c>
      <c r="H7148" s="42">
        <v>211</v>
      </c>
    </row>
    <row r="7149" spans="1:8" ht="15" customHeight="1">
      <c r="A7149" s="26">
        <v>74375665</v>
      </c>
      <c r="B7149" s="30" t="s">
        <v>9377</v>
      </c>
      <c r="C7149" s="26" t="s">
        <v>23621</v>
      </c>
      <c r="D7149" s="26" t="s">
        <v>36889</v>
      </c>
      <c r="E7149" s="26" t="s">
        <v>49309</v>
      </c>
      <c r="F7149" s="37" t="s">
        <v>54423</v>
      </c>
      <c r="G7149" s="39">
        <v>7328994.0300000003</v>
      </c>
      <c r="H7149" s="42">
        <v>211</v>
      </c>
    </row>
    <row r="7150" spans="1:8" ht="15" customHeight="1">
      <c r="A7150" s="26">
        <v>74375666</v>
      </c>
      <c r="B7150" s="30" t="s">
        <v>9378</v>
      </c>
      <c r="C7150" s="29" t="s">
        <v>23622</v>
      </c>
      <c r="D7150" s="29" t="s">
        <v>36890</v>
      </c>
      <c r="E7150" s="29" t="s">
        <v>49310</v>
      </c>
      <c r="F7150" s="36" t="s">
        <v>54401</v>
      </c>
      <c r="G7150" s="39">
        <v>124991.67999999999</v>
      </c>
      <c r="H7150" s="42">
        <v>211</v>
      </c>
    </row>
    <row r="7151" spans="1:8" ht="15" customHeight="1">
      <c r="A7151" s="26">
        <v>74375680</v>
      </c>
      <c r="B7151" s="30" t="s">
        <v>9379</v>
      </c>
      <c r="C7151" s="29" t="s">
        <v>23623</v>
      </c>
      <c r="D7151" s="29" t="s">
        <v>36891</v>
      </c>
      <c r="E7151" s="29" t="s">
        <v>43948</v>
      </c>
      <c r="F7151" s="36" t="s">
        <v>54401</v>
      </c>
      <c r="G7151" s="39">
        <v>54453.78</v>
      </c>
      <c r="H7151" s="42">
        <v>211</v>
      </c>
    </row>
    <row r="7152" spans="1:8" ht="15" customHeight="1">
      <c r="A7152" s="26">
        <v>74375687</v>
      </c>
      <c r="B7152" s="30" t="s">
        <v>9380</v>
      </c>
      <c r="C7152" s="29" t="s">
        <v>23624</v>
      </c>
      <c r="D7152" s="29" t="s">
        <v>36892</v>
      </c>
      <c r="E7152" s="29" t="s">
        <v>46375</v>
      </c>
      <c r="F7152" s="36" t="s">
        <v>54401</v>
      </c>
      <c r="G7152" s="39">
        <v>828486.32</v>
      </c>
      <c r="H7152" s="42">
        <v>211</v>
      </c>
    </row>
    <row r="7153" spans="1:8" ht="15" customHeight="1">
      <c r="A7153" s="26">
        <v>74375696</v>
      </c>
      <c r="B7153" s="30" t="s">
        <v>9381</v>
      </c>
      <c r="C7153" s="29" t="s">
        <v>23625</v>
      </c>
      <c r="D7153" s="29" t="s">
        <v>36893</v>
      </c>
      <c r="E7153" s="29" t="s">
        <v>49311</v>
      </c>
      <c r="F7153" s="36" t="s">
        <v>54401</v>
      </c>
      <c r="G7153" s="39">
        <v>288959.68</v>
      </c>
      <c r="H7153" s="42">
        <v>211</v>
      </c>
    </row>
    <row r="7154" spans="1:8" ht="15" customHeight="1">
      <c r="A7154" s="26">
        <v>74375704</v>
      </c>
      <c r="B7154" s="30" t="s">
        <v>9382</v>
      </c>
      <c r="C7154" s="29" t="s">
        <v>23626</v>
      </c>
      <c r="D7154" s="29" t="s">
        <v>36894</v>
      </c>
      <c r="E7154" s="29" t="s">
        <v>48267</v>
      </c>
      <c r="F7154" s="36" t="s">
        <v>54401</v>
      </c>
      <c r="G7154" s="39">
        <v>702644.34</v>
      </c>
      <c r="H7154" s="42">
        <v>211</v>
      </c>
    </row>
    <row r="7155" spans="1:8" ht="15" customHeight="1">
      <c r="A7155" s="26">
        <v>74375714</v>
      </c>
      <c r="B7155" s="30" t="s">
        <v>9383</v>
      </c>
      <c r="C7155" s="29" t="s">
        <v>23627</v>
      </c>
      <c r="D7155" s="29" t="s">
        <v>36895</v>
      </c>
      <c r="E7155" s="29" t="s">
        <v>45516</v>
      </c>
      <c r="F7155" s="36" t="s">
        <v>54401</v>
      </c>
      <c r="G7155" s="39">
        <v>3245139.05</v>
      </c>
      <c r="H7155" s="42">
        <v>211</v>
      </c>
    </row>
    <row r="7156" spans="1:8" ht="15" customHeight="1">
      <c r="A7156" s="26">
        <v>74375717</v>
      </c>
      <c r="B7156" s="30" t="s">
        <v>9384</v>
      </c>
      <c r="C7156" s="29" t="s">
        <v>22515</v>
      </c>
      <c r="D7156" s="29" t="s">
        <v>36896</v>
      </c>
      <c r="E7156" s="29" t="s">
        <v>717</v>
      </c>
      <c r="F7156" s="36" t="s">
        <v>54401</v>
      </c>
      <c r="G7156" s="39">
        <v>547543.66</v>
      </c>
      <c r="H7156" s="42">
        <v>211</v>
      </c>
    </row>
    <row r="7157" spans="1:8" ht="15" customHeight="1">
      <c r="A7157" s="26">
        <v>74375718</v>
      </c>
      <c r="B7157" s="30" t="s">
        <v>9385</v>
      </c>
      <c r="C7157" s="29" t="s">
        <v>23628</v>
      </c>
      <c r="D7157" s="29" t="s">
        <v>36897</v>
      </c>
      <c r="E7157" s="29" t="s">
        <v>49312</v>
      </c>
      <c r="F7157" s="36" t="s">
        <v>54401</v>
      </c>
      <c r="G7157" s="39">
        <v>2312554.9300000002</v>
      </c>
      <c r="H7157" s="42">
        <v>211</v>
      </c>
    </row>
    <row r="7158" spans="1:8" ht="15" customHeight="1">
      <c r="A7158" s="26">
        <v>74375728</v>
      </c>
      <c r="B7158" s="30" t="s">
        <v>9386</v>
      </c>
      <c r="C7158" s="29" t="s">
        <v>17204</v>
      </c>
      <c r="D7158" s="29" t="s">
        <v>36898</v>
      </c>
      <c r="E7158" s="29" t="s">
        <v>43926</v>
      </c>
      <c r="F7158" s="36" t="s">
        <v>54401</v>
      </c>
      <c r="G7158" s="39">
        <v>485227.31</v>
      </c>
      <c r="H7158" s="42">
        <v>211</v>
      </c>
    </row>
    <row r="7159" spans="1:8" ht="15" customHeight="1">
      <c r="A7159" s="26">
        <v>74375736</v>
      </c>
      <c r="B7159" s="30" t="s">
        <v>9387</v>
      </c>
      <c r="C7159" s="29" t="s">
        <v>23629</v>
      </c>
      <c r="D7159" s="29" t="s">
        <v>36899</v>
      </c>
      <c r="E7159" s="29" t="s">
        <v>49313</v>
      </c>
      <c r="F7159" s="36" t="s">
        <v>54401</v>
      </c>
      <c r="G7159" s="39">
        <f>10504047.68+139880</f>
        <v>10643927.68</v>
      </c>
      <c r="H7159" s="42">
        <v>211</v>
      </c>
    </row>
    <row r="7160" spans="1:8" ht="15" customHeight="1">
      <c r="A7160" s="26">
        <v>74375740</v>
      </c>
      <c r="B7160" s="30" t="s">
        <v>9388</v>
      </c>
      <c r="C7160" s="29" t="s">
        <v>23630</v>
      </c>
      <c r="D7160" s="29" t="s">
        <v>36900</v>
      </c>
      <c r="E7160" s="29" t="s">
        <v>49314</v>
      </c>
      <c r="F7160" s="36" t="s">
        <v>54401</v>
      </c>
      <c r="G7160" s="39">
        <f>698786.84+520108</f>
        <v>1218894.8399999999</v>
      </c>
      <c r="H7160" s="42">
        <v>211</v>
      </c>
    </row>
    <row r="7161" spans="1:8" ht="15" customHeight="1">
      <c r="A7161" s="26">
        <v>74375741</v>
      </c>
      <c r="B7161" s="30" t="s">
        <v>9389</v>
      </c>
      <c r="C7161" s="29" t="s">
        <v>23631</v>
      </c>
      <c r="D7161" s="29" t="s">
        <v>36901</v>
      </c>
      <c r="E7161" s="29" t="s">
        <v>49315</v>
      </c>
      <c r="F7161" s="36" t="s">
        <v>54401</v>
      </c>
      <c r="G7161" s="39">
        <v>1436767.19</v>
      </c>
      <c r="H7161" s="42">
        <v>211</v>
      </c>
    </row>
    <row r="7162" spans="1:8" ht="15" customHeight="1">
      <c r="A7162" s="26">
        <v>74375742</v>
      </c>
      <c r="B7162" s="30" t="s">
        <v>9390</v>
      </c>
      <c r="C7162" s="29" t="s">
        <v>23632</v>
      </c>
      <c r="D7162" s="29" t="s">
        <v>36902</v>
      </c>
      <c r="E7162" s="29" t="s">
        <v>49316</v>
      </c>
      <c r="F7162" s="36" t="s">
        <v>54401</v>
      </c>
      <c r="G7162" s="39">
        <f>2176107.29-18865</f>
        <v>2157242.29</v>
      </c>
      <c r="H7162" s="42">
        <v>211</v>
      </c>
    </row>
    <row r="7163" spans="1:8" ht="15" customHeight="1">
      <c r="A7163" s="26">
        <v>74375777</v>
      </c>
      <c r="B7163" s="30" t="s">
        <v>9391</v>
      </c>
      <c r="C7163" s="29" t="s">
        <v>23633</v>
      </c>
      <c r="D7163" s="29" t="s">
        <v>36903</v>
      </c>
      <c r="E7163" s="29" t="s">
        <v>49317</v>
      </c>
      <c r="F7163" s="36" t="s">
        <v>54401</v>
      </c>
      <c r="G7163" s="39">
        <v>39892.720000000001</v>
      </c>
      <c r="H7163" s="42">
        <v>211</v>
      </c>
    </row>
    <row r="7164" spans="1:8" ht="15" customHeight="1">
      <c r="A7164" s="26">
        <v>74375792</v>
      </c>
      <c r="B7164" s="30" t="s">
        <v>9392</v>
      </c>
      <c r="C7164" s="29" t="s">
        <v>23634</v>
      </c>
      <c r="D7164" s="29" t="s">
        <v>36904</v>
      </c>
      <c r="E7164" s="29" t="s">
        <v>49318</v>
      </c>
      <c r="F7164" s="36" t="s">
        <v>54401</v>
      </c>
      <c r="G7164" s="39">
        <v>2068201.63</v>
      </c>
      <c r="H7164" s="42">
        <v>211</v>
      </c>
    </row>
    <row r="7165" spans="1:8" ht="15" customHeight="1">
      <c r="A7165" s="26">
        <v>74375802</v>
      </c>
      <c r="B7165" s="30" t="s">
        <v>9393</v>
      </c>
      <c r="C7165" s="29" t="s">
        <v>23635</v>
      </c>
      <c r="D7165" s="29" t="s">
        <v>36905</v>
      </c>
      <c r="E7165" s="29" t="s">
        <v>49319</v>
      </c>
      <c r="F7165" s="36" t="s">
        <v>54401</v>
      </c>
      <c r="G7165" s="39">
        <v>547392.44999999995</v>
      </c>
      <c r="H7165" s="42">
        <v>211</v>
      </c>
    </row>
    <row r="7166" spans="1:8" ht="15" customHeight="1">
      <c r="A7166" s="26">
        <v>74375813</v>
      </c>
      <c r="B7166" s="30" t="s">
        <v>9394</v>
      </c>
      <c r="C7166" s="29" t="s">
        <v>23636</v>
      </c>
      <c r="D7166" s="29" t="s">
        <v>36906</v>
      </c>
      <c r="E7166" s="29" t="s">
        <v>49320</v>
      </c>
      <c r="F7166" s="36" t="s">
        <v>54401</v>
      </c>
      <c r="G7166" s="39">
        <v>580410.29</v>
      </c>
      <c r="H7166" s="42">
        <v>211</v>
      </c>
    </row>
    <row r="7167" spans="1:8" ht="15" customHeight="1">
      <c r="A7167" s="26">
        <v>74375849</v>
      </c>
      <c r="B7167" s="30" t="s">
        <v>9395</v>
      </c>
      <c r="C7167" s="29" t="s">
        <v>23637</v>
      </c>
      <c r="D7167" s="29" t="s">
        <v>36907</v>
      </c>
      <c r="E7167" s="29" t="s">
        <v>49321</v>
      </c>
      <c r="F7167" s="36" t="s">
        <v>54401</v>
      </c>
      <c r="G7167" s="39">
        <v>553288.41</v>
      </c>
      <c r="H7167" s="42">
        <v>211</v>
      </c>
    </row>
    <row r="7168" spans="1:8" ht="15" customHeight="1">
      <c r="A7168" s="26">
        <v>74375880</v>
      </c>
      <c r="B7168" s="30" t="s">
        <v>9396</v>
      </c>
      <c r="C7168" s="29" t="s">
        <v>23638</v>
      </c>
      <c r="D7168" s="29" t="s">
        <v>36908</v>
      </c>
      <c r="E7168" s="29" t="s">
        <v>47979</v>
      </c>
      <c r="F7168" s="36" t="s">
        <v>54401</v>
      </c>
      <c r="G7168" s="39">
        <v>6968405.7000000002</v>
      </c>
      <c r="H7168" s="42">
        <v>211</v>
      </c>
    </row>
    <row r="7169" spans="1:8" ht="15" customHeight="1">
      <c r="A7169" s="26">
        <v>74375885</v>
      </c>
      <c r="B7169" s="30" t="s">
        <v>9397</v>
      </c>
      <c r="C7169" s="29" t="s">
        <v>23639</v>
      </c>
      <c r="D7169" s="29" t="s">
        <v>36909</v>
      </c>
      <c r="E7169" s="29" t="s">
        <v>49322</v>
      </c>
      <c r="F7169" s="36" t="s">
        <v>54401</v>
      </c>
      <c r="G7169" s="39">
        <v>42537.82</v>
      </c>
      <c r="H7169" s="42">
        <v>211</v>
      </c>
    </row>
    <row r="7170" spans="1:8" ht="15" customHeight="1">
      <c r="A7170" s="26">
        <v>74375896</v>
      </c>
      <c r="B7170" s="30" t="s">
        <v>9398</v>
      </c>
      <c r="C7170" s="29" t="s">
        <v>17204</v>
      </c>
      <c r="D7170" s="29" t="s">
        <v>36910</v>
      </c>
      <c r="E7170" s="29" t="s">
        <v>44324</v>
      </c>
      <c r="F7170" s="36" t="s">
        <v>54401</v>
      </c>
      <c r="G7170" s="39">
        <v>447885.4</v>
      </c>
      <c r="H7170" s="42">
        <v>211</v>
      </c>
    </row>
    <row r="7171" spans="1:8" ht="15" customHeight="1">
      <c r="A7171" s="26">
        <v>74375909</v>
      </c>
      <c r="B7171" s="30" t="s">
        <v>9399</v>
      </c>
      <c r="C7171" s="29" t="s">
        <v>23640</v>
      </c>
      <c r="D7171" s="29" t="s">
        <v>36911</v>
      </c>
      <c r="E7171" s="29" t="s">
        <v>43926</v>
      </c>
      <c r="F7171" s="36" t="s">
        <v>54401</v>
      </c>
      <c r="G7171" s="39">
        <f>1285418.86-27647</f>
        <v>1257771.8600000001</v>
      </c>
      <c r="H7171" s="42">
        <v>211</v>
      </c>
    </row>
    <row r="7172" spans="1:8" ht="15" customHeight="1">
      <c r="A7172" s="26">
        <v>74375911</v>
      </c>
      <c r="B7172" s="30" t="s">
        <v>9400</v>
      </c>
      <c r="C7172" s="29" t="s">
        <v>23641</v>
      </c>
      <c r="D7172" s="29" t="s">
        <v>36912</v>
      </c>
      <c r="E7172" s="29" t="s">
        <v>45831</v>
      </c>
      <c r="F7172" s="36" t="s">
        <v>54401</v>
      </c>
      <c r="G7172" s="39">
        <v>1058720.8700000001</v>
      </c>
      <c r="H7172" s="42">
        <v>211</v>
      </c>
    </row>
    <row r="7173" spans="1:8" ht="15" customHeight="1">
      <c r="A7173" s="26">
        <v>74375929</v>
      </c>
      <c r="B7173" s="30" t="s">
        <v>9401</v>
      </c>
      <c r="C7173" s="29" t="s">
        <v>23642</v>
      </c>
      <c r="D7173" s="29" t="s">
        <v>36913</v>
      </c>
      <c r="E7173" s="29" t="s">
        <v>49323</v>
      </c>
      <c r="F7173" s="36" t="s">
        <v>54401</v>
      </c>
      <c r="G7173" s="39">
        <v>4399943.5199999996</v>
      </c>
      <c r="H7173" s="42">
        <v>211</v>
      </c>
    </row>
    <row r="7174" spans="1:8" ht="15" customHeight="1">
      <c r="A7174" s="26">
        <v>74375935</v>
      </c>
      <c r="B7174" s="30" t="s">
        <v>9402</v>
      </c>
      <c r="C7174" s="29" t="s">
        <v>17204</v>
      </c>
      <c r="D7174" s="29" t="s">
        <v>30349</v>
      </c>
      <c r="E7174" s="29" t="s">
        <v>43926</v>
      </c>
      <c r="F7174" s="36" t="s">
        <v>54401</v>
      </c>
      <c r="G7174" s="39">
        <v>335091.06</v>
      </c>
      <c r="H7174" s="42">
        <v>211</v>
      </c>
    </row>
    <row r="7175" spans="1:8" ht="15" customHeight="1">
      <c r="A7175" s="26">
        <v>74375944</v>
      </c>
      <c r="B7175" s="30" t="s">
        <v>9403</v>
      </c>
      <c r="C7175" s="29" t="s">
        <v>23643</v>
      </c>
      <c r="D7175" s="29" t="s">
        <v>36914</v>
      </c>
      <c r="E7175" s="29" t="s">
        <v>49324</v>
      </c>
      <c r="F7175" s="36" t="s">
        <v>54406</v>
      </c>
      <c r="G7175" s="39">
        <v>235581.21</v>
      </c>
      <c r="H7175" s="42">
        <v>211</v>
      </c>
    </row>
    <row r="7176" spans="1:8" ht="15" customHeight="1">
      <c r="A7176" s="26">
        <v>74375961</v>
      </c>
      <c r="B7176" s="30" t="s">
        <v>9404</v>
      </c>
      <c r="C7176" s="29" t="s">
        <v>23644</v>
      </c>
      <c r="D7176" s="29" t="s">
        <v>36915</v>
      </c>
      <c r="E7176" s="29" t="s">
        <v>49325</v>
      </c>
      <c r="F7176" s="36" t="s">
        <v>54412</v>
      </c>
      <c r="G7176" s="39">
        <v>4306910.67</v>
      </c>
      <c r="H7176" s="42">
        <v>211</v>
      </c>
    </row>
    <row r="7177" spans="1:8" ht="15" customHeight="1">
      <c r="A7177" s="26">
        <v>74375976</v>
      </c>
      <c r="B7177" s="30" t="s">
        <v>9405</v>
      </c>
      <c r="C7177" s="29" t="s">
        <v>23645</v>
      </c>
      <c r="D7177" s="29" t="s">
        <v>36916</v>
      </c>
      <c r="E7177" s="29" t="s">
        <v>49326</v>
      </c>
      <c r="F7177" s="36" t="s">
        <v>54401</v>
      </c>
      <c r="G7177" s="39">
        <v>806607.64</v>
      </c>
      <c r="H7177" s="42">
        <v>211</v>
      </c>
    </row>
    <row r="7178" spans="1:8" ht="15" customHeight="1">
      <c r="A7178" s="26">
        <v>74375985</v>
      </c>
      <c r="B7178" s="30" t="s">
        <v>9406</v>
      </c>
      <c r="C7178" s="29" t="s">
        <v>23646</v>
      </c>
      <c r="D7178" s="29" t="s">
        <v>36917</v>
      </c>
      <c r="E7178" s="29" t="s">
        <v>49327</v>
      </c>
      <c r="F7178" s="36" t="s">
        <v>54401</v>
      </c>
      <c r="G7178" s="39">
        <f>2238523.18+389957</f>
        <v>2628480.1800000002</v>
      </c>
      <c r="H7178" s="42">
        <v>211</v>
      </c>
    </row>
    <row r="7179" spans="1:8" ht="15" customHeight="1">
      <c r="A7179" s="26">
        <v>74375987</v>
      </c>
      <c r="B7179" s="30" t="s">
        <v>9407</v>
      </c>
      <c r="C7179" s="29" t="s">
        <v>23647</v>
      </c>
      <c r="D7179" s="29" t="s">
        <v>36918</v>
      </c>
      <c r="E7179" s="29" t="s">
        <v>49328</v>
      </c>
      <c r="F7179" s="36" t="s">
        <v>54401</v>
      </c>
      <c r="G7179" s="39">
        <f>1003321.61+156456</f>
        <v>1159777.6099999999</v>
      </c>
      <c r="H7179" s="42">
        <v>211</v>
      </c>
    </row>
    <row r="7180" spans="1:8" ht="15" customHeight="1">
      <c r="A7180" s="26">
        <v>74375992</v>
      </c>
      <c r="B7180" s="30" t="s">
        <v>9408</v>
      </c>
      <c r="C7180" s="29" t="s">
        <v>23648</v>
      </c>
      <c r="D7180" s="29" t="s">
        <v>36919</v>
      </c>
      <c r="E7180" s="29" t="s">
        <v>49329</v>
      </c>
      <c r="F7180" s="36" t="s">
        <v>54401</v>
      </c>
      <c r="G7180" s="39">
        <v>284409.14</v>
      </c>
      <c r="H7180" s="42">
        <v>211</v>
      </c>
    </row>
    <row r="7181" spans="1:8" ht="15" customHeight="1">
      <c r="A7181" s="26">
        <v>74375998</v>
      </c>
      <c r="B7181" s="30" t="s">
        <v>9409</v>
      </c>
      <c r="C7181" s="29" t="s">
        <v>23649</v>
      </c>
      <c r="D7181" s="29" t="s">
        <v>36920</v>
      </c>
      <c r="E7181" s="29" t="s">
        <v>49330</v>
      </c>
      <c r="F7181" s="36" t="s">
        <v>54401</v>
      </c>
      <c r="G7181" s="39">
        <f>3714517.03+1951122-7931</f>
        <v>5657708.0299999993</v>
      </c>
      <c r="H7181" s="42">
        <v>211</v>
      </c>
    </row>
    <row r="7182" spans="1:8" ht="15" customHeight="1">
      <c r="A7182" s="26">
        <v>74376004</v>
      </c>
      <c r="B7182" s="30" t="s">
        <v>9410</v>
      </c>
      <c r="C7182" s="29" t="s">
        <v>23650</v>
      </c>
      <c r="D7182" s="29" t="s">
        <v>36921</v>
      </c>
      <c r="E7182" s="29" t="s">
        <v>49331</v>
      </c>
      <c r="F7182" s="36" t="s">
        <v>54401</v>
      </c>
      <c r="G7182" s="39">
        <v>233188.71</v>
      </c>
      <c r="H7182" s="42">
        <v>211</v>
      </c>
    </row>
    <row r="7183" spans="1:8" ht="15" customHeight="1">
      <c r="A7183" s="26">
        <v>74376033</v>
      </c>
      <c r="B7183" s="30" t="s">
        <v>9411</v>
      </c>
      <c r="C7183" s="29" t="s">
        <v>23651</v>
      </c>
      <c r="D7183" s="29" t="s">
        <v>36922</v>
      </c>
      <c r="E7183" s="29" t="s">
        <v>49332</v>
      </c>
      <c r="F7183" s="36" t="s">
        <v>54402</v>
      </c>
      <c r="G7183" s="39">
        <f>1064729.35+499113+844195</f>
        <v>2408037.35</v>
      </c>
      <c r="H7183" s="42">
        <v>211</v>
      </c>
    </row>
    <row r="7184" spans="1:8" ht="15" customHeight="1">
      <c r="A7184" s="26">
        <v>74376040</v>
      </c>
      <c r="B7184" s="30" t="s">
        <v>9412</v>
      </c>
      <c r="C7184" s="26" t="s">
        <v>23652</v>
      </c>
      <c r="D7184" s="26" t="s">
        <v>36923</v>
      </c>
      <c r="E7184" s="26" t="s">
        <v>45006</v>
      </c>
      <c r="F7184" s="37" t="s">
        <v>54401</v>
      </c>
      <c r="G7184" s="39">
        <v>175532.52</v>
      </c>
      <c r="H7184" s="42">
        <v>211</v>
      </c>
    </row>
    <row r="7185" spans="1:8" ht="15" customHeight="1">
      <c r="A7185" s="26">
        <v>74376042</v>
      </c>
      <c r="B7185" s="30" t="s">
        <v>9413</v>
      </c>
      <c r="C7185" s="29" t="s">
        <v>17204</v>
      </c>
      <c r="D7185" s="29" t="s">
        <v>30349</v>
      </c>
      <c r="E7185" s="29" t="s">
        <v>43926</v>
      </c>
      <c r="F7185" s="36" t="s">
        <v>54401</v>
      </c>
      <c r="G7185" s="39">
        <v>304470.31</v>
      </c>
      <c r="H7185" s="42">
        <v>211</v>
      </c>
    </row>
    <row r="7186" spans="1:8" ht="15" customHeight="1">
      <c r="A7186" s="26">
        <v>74376048</v>
      </c>
      <c r="B7186" s="30" t="s">
        <v>9414</v>
      </c>
      <c r="C7186" s="29" t="s">
        <v>23653</v>
      </c>
      <c r="D7186" s="29" t="s">
        <v>36924</v>
      </c>
      <c r="E7186" s="29" t="s">
        <v>49333</v>
      </c>
      <c r="F7186" s="36" t="s">
        <v>54401</v>
      </c>
      <c r="G7186" s="39">
        <v>163001.29</v>
      </c>
      <c r="H7186" s="42">
        <v>211</v>
      </c>
    </row>
    <row r="7187" spans="1:8" ht="15" customHeight="1">
      <c r="A7187" s="26">
        <v>74376053</v>
      </c>
      <c r="B7187" s="30" t="s">
        <v>9415</v>
      </c>
      <c r="C7187" s="29" t="s">
        <v>23654</v>
      </c>
      <c r="D7187" s="29" t="s">
        <v>36925</v>
      </c>
      <c r="E7187" s="29" t="s">
        <v>49334</v>
      </c>
      <c r="F7187" s="36" t="s">
        <v>54401</v>
      </c>
      <c r="G7187" s="39">
        <v>332425.40000000002</v>
      </c>
      <c r="H7187" s="42">
        <v>211</v>
      </c>
    </row>
    <row r="7188" spans="1:8" ht="15" customHeight="1">
      <c r="A7188" s="26">
        <v>74376057</v>
      </c>
      <c r="B7188" s="30" t="s">
        <v>9416</v>
      </c>
      <c r="C7188" s="29" t="s">
        <v>23655</v>
      </c>
      <c r="D7188" s="29" t="s">
        <v>36926</v>
      </c>
      <c r="E7188" s="29" t="s">
        <v>49335</v>
      </c>
      <c r="F7188" s="36" t="s">
        <v>54401</v>
      </c>
      <c r="G7188" s="39">
        <v>2513990.41</v>
      </c>
      <c r="H7188" s="42">
        <v>211</v>
      </c>
    </row>
    <row r="7189" spans="1:8" ht="15" customHeight="1">
      <c r="A7189" s="26">
        <v>74376059</v>
      </c>
      <c r="B7189" s="30" t="s">
        <v>9417</v>
      </c>
      <c r="C7189" s="29" t="s">
        <v>23656</v>
      </c>
      <c r="D7189" s="29" t="s">
        <v>36927</v>
      </c>
      <c r="E7189" s="29" t="s">
        <v>49336</v>
      </c>
      <c r="F7189" s="36" t="s">
        <v>54401</v>
      </c>
      <c r="G7189" s="39">
        <v>4279281.4800000004</v>
      </c>
      <c r="H7189" s="42">
        <v>211</v>
      </c>
    </row>
    <row r="7190" spans="1:8" ht="15" customHeight="1">
      <c r="A7190" s="26">
        <v>74376060</v>
      </c>
      <c r="B7190" s="30" t="s">
        <v>9418</v>
      </c>
      <c r="C7190" s="29" t="s">
        <v>23657</v>
      </c>
      <c r="D7190" s="29" t="s">
        <v>36928</v>
      </c>
      <c r="E7190" s="29" t="s">
        <v>49337</v>
      </c>
      <c r="F7190" s="36" t="s">
        <v>54401</v>
      </c>
      <c r="G7190" s="39">
        <f>983489.87+355839</f>
        <v>1339328.8700000001</v>
      </c>
      <c r="H7190" s="42">
        <v>211</v>
      </c>
    </row>
    <row r="7191" spans="1:8" ht="15" customHeight="1">
      <c r="A7191" s="26">
        <v>74376065</v>
      </c>
      <c r="B7191" s="30" t="s">
        <v>9419</v>
      </c>
      <c r="C7191" s="29" t="s">
        <v>23658</v>
      </c>
      <c r="D7191" s="29" t="s">
        <v>36929</v>
      </c>
      <c r="E7191" s="29" t="s">
        <v>49338</v>
      </c>
      <c r="F7191" s="36" t="s">
        <v>54401</v>
      </c>
      <c r="G7191" s="39">
        <v>103109.42</v>
      </c>
      <c r="H7191" s="42">
        <v>211</v>
      </c>
    </row>
    <row r="7192" spans="1:8" ht="15" customHeight="1">
      <c r="A7192" s="26">
        <v>74376066</v>
      </c>
      <c r="B7192" s="30" t="s">
        <v>9420</v>
      </c>
      <c r="C7192" s="29" t="s">
        <v>23659</v>
      </c>
      <c r="D7192" s="29" t="s">
        <v>36930</v>
      </c>
      <c r="E7192" s="29" t="s">
        <v>49339</v>
      </c>
      <c r="F7192" s="36" t="s">
        <v>54401</v>
      </c>
      <c r="G7192" s="39">
        <v>702335.3</v>
      </c>
      <c r="H7192" s="42">
        <v>211</v>
      </c>
    </row>
    <row r="7193" spans="1:8" ht="15" customHeight="1">
      <c r="A7193" s="26">
        <v>74376070</v>
      </c>
      <c r="B7193" s="30" t="s">
        <v>9421</v>
      </c>
      <c r="C7193" s="29" t="s">
        <v>20915</v>
      </c>
      <c r="D7193" s="29" t="s">
        <v>34139</v>
      </c>
      <c r="E7193" s="29" t="s">
        <v>47185</v>
      </c>
      <c r="F7193" s="36" t="s">
        <v>54401</v>
      </c>
      <c r="G7193" s="39">
        <v>5432455.1600000001</v>
      </c>
      <c r="H7193" s="42">
        <v>211</v>
      </c>
    </row>
    <row r="7194" spans="1:8" ht="15" customHeight="1">
      <c r="A7194" s="26">
        <v>74376072</v>
      </c>
      <c r="B7194" s="30" t="s">
        <v>9422</v>
      </c>
      <c r="C7194" s="29" t="s">
        <v>23660</v>
      </c>
      <c r="D7194" s="29" t="s">
        <v>36931</v>
      </c>
      <c r="E7194" s="29" t="s">
        <v>45931</v>
      </c>
      <c r="F7194" s="36" t="s">
        <v>54401</v>
      </c>
      <c r="G7194" s="39">
        <v>538639.26</v>
      </c>
      <c r="H7194" s="42">
        <v>211</v>
      </c>
    </row>
    <row r="7195" spans="1:8" ht="15" customHeight="1">
      <c r="A7195" s="26">
        <v>74376083</v>
      </c>
      <c r="B7195" s="30" t="s">
        <v>9423</v>
      </c>
      <c r="C7195" s="29" t="s">
        <v>23661</v>
      </c>
      <c r="D7195" s="29" t="s">
        <v>36932</v>
      </c>
      <c r="E7195" s="29" t="s">
        <v>49340</v>
      </c>
      <c r="F7195" s="36" t="s">
        <v>54401</v>
      </c>
      <c r="G7195" s="39">
        <f>882962.31+41101</f>
        <v>924063.31</v>
      </c>
      <c r="H7195" s="42">
        <v>211</v>
      </c>
    </row>
    <row r="7196" spans="1:8" ht="15" customHeight="1">
      <c r="A7196" s="26">
        <v>74376104</v>
      </c>
      <c r="B7196" s="30" t="s">
        <v>9424</v>
      </c>
      <c r="C7196" s="29" t="s">
        <v>23662</v>
      </c>
      <c r="D7196" s="29" t="s">
        <v>36933</v>
      </c>
      <c r="E7196" s="29" t="s">
        <v>44324</v>
      </c>
      <c r="F7196" s="36" t="s">
        <v>54401</v>
      </c>
      <c r="G7196" s="39">
        <f>443652.14+120684+685662</f>
        <v>1249998.1400000001</v>
      </c>
      <c r="H7196" s="42">
        <v>211</v>
      </c>
    </row>
    <row r="7197" spans="1:8" ht="15" customHeight="1">
      <c r="A7197" s="26">
        <v>74376118</v>
      </c>
      <c r="B7197" s="30" t="s">
        <v>9425</v>
      </c>
      <c r="C7197" s="29" t="s">
        <v>23663</v>
      </c>
      <c r="D7197" s="29" t="s">
        <v>36934</v>
      </c>
      <c r="E7197" s="29" t="s">
        <v>46335</v>
      </c>
      <c r="F7197" s="36" t="s">
        <v>54401</v>
      </c>
      <c r="G7197" s="39">
        <v>12945.88</v>
      </c>
      <c r="H7197" s="42">
        <v>211</v>
      </c>
    </row>
    <row r="7198" spans="1:8" ht="15" customHeight="1">
      <c r="A7198" s="26">
        <v>74376119</v>
      </c>
      <c r="B7198" s="30" t="s">
        <v>9426</v>
      </c>
      <c r="C7198" s="29" t="s">
        <v>23664</v>
      </c>
      <c r="D7198" s="29" t="s">
        <v>36935</v>
      </c>
      <c r="E7198" s="29" t="s">
        <v>49341</v>
      </c>
      <c r="F7198" s="36" t="s">
        <v>54401</v>
      </c>
      <c r="G7198" s="39">
        <v>14626.5</v>
      </c>
      <c r="H7198" s="42">
        <v>211</v>
      </c>
    </row>
    <row r="7199" spans="1:8" ht="15" customHeight="1">
      <c r="A7199" s="26">
        <v>74376137</v>
      </c>
      <c r="B7199" s="30" t="s">
        <v>9427</v>
      </c>
      <c r="C7199" s="29" t="s">
        <v>23665</v>
      </c>
      <c r="D7199" s="29" t="s">
        <v>36936</v>
      </c>
      <c r="E7199" s="29" t="s">
        <v>49342</v>
      </c>
      <c r="F7199" s="36" t="s">
        <v>54401</v>
      </c>
      <c r="G7199" s="39">
        <v>59779.16</v>
      </c>
      <c r="H7199" s="42">
        <v>211</v>
      </c>
    </row>
    <row r="7200" spans="1:8" ht="15" customHeight="1">
      <c r="A7200" s="26">
        <v>74376142</v>
      </c>
      <c r="B7200" s="30" t="s">
        <v>9428</v>
      </c>
      <c r="C7200" s="26" t="s">
        <v>17204</v>
      </c>
      <c r="D7200" s="26" t="s">
        <v>36937</v>
      </c>
      <c r="E7200" s="26" t="s">
        <v>49343</v>
      </c>
      <c r="F7200" s="37" t="s">
        <v>54401</v>
      </c>
      <c r="G7200" s="39">
        <v>199952.68</v>
      </c>
      <c r="H7200" s="42">
        <v>211</v>
      </c>
    </row>
    <row r="7201" spans="1:8" ht="15" customHeight="1">
      <c r="A7201" s="26">
        <v>74376150</v>
      </c>
      <c r="B7201" s="30" t="s">
        <v>9429</v>
      </c>
      <c r="C7201" s="29" t="s">
        <v>23666</v>
      </c>
      <c r="D7201" s="29" t="s">
        <v>36938</v>
      </c>
      <c r="E7201" s="29" t="s">
        <v>49344</v>
      </c>
      <c r="F7201" s="36" t="s">
        <v>54401</v>
      </c>
      <c r="G7201" s="39">
        <v>2146220.96</v>
      </c>
      <c r="H7201" s="42">
        <v>211</v>
      </c>
    </row>
    <row r="7202" spans="1:8" ht="15" customHeight="1">
      <c r="A7202" s="26">
        <v>74376151</v>
      </c>
      <c r="B7202" s="30" t="s">
        <v>9430</v>
      </c>
      <c r="C7202" s="29" t="s">
        <v>23667</v>
      </c>
      <c r="D7202" s="29" t="s">
        <v>36939</v>
      </c>
      <c r="E7202" s="29" t="s">
        <v>49345</v>
      </c>
      <c r="F7202" s="36" t="s">
        <v>54401</v>
      </c>
      <c r="G7202" s="39">
        <f>2281643.59+2360552</f>
        <v>4642195.59</v>
      </c>
      <c r="H7202" s="42">
        <v>211</v>
      </c>
    </row>
    <row r="7203" spans="1:8" ht="15" customHeight="1">
      <c r="A7203" s="26">
        <v>74376155</v>
      </c>
      <c r="B7203" s="30" t="s">
        <v>9431</v>
      </c>
      <c r="C7203" s="26" t="s">
        <v>23668</v>
      </c>
      <c r="D7203" s="26" t="s">
        <v>36940</v>
      </c>
      <c r="E7203" s="26" t="s">
        <v>49346</v>
      </c>
      <c r="F7203" s="37" t="s">
        <v>54401</v>
      </c>
      <c r="G7203" s="39">
        <v>679009.3</v>
      </c>
      <c r="H7203" s="42">
        <v>211</v>
      </c>
    </row>
    <row r="7204" spans="1:8" ht="15" customHeight="1">
      <c r="A7204" s="26">
        <v>74376169</v>
      </c>
      <c r="B7204" s="30" t="s">
        <v>9432</v>
      </c>
      <c r="C7204" s="29" t="s">
        <v>23669</v>
      </c>
      <c r="D7204" s="29" t="s">
        <v>36941</v>
      </c>
      <c r="E7204" s="29" t="s">
        <v>49347</v>
      </c>
      <c r="F7204" s="36" t="s">
        <v>54401</v>
      </c>
      <c r="G7204" s="39">
        <v>82833.570000000007</v>
      </c>
      <c r="H7204" s="42">
        <v>211</v>
      </c>
    </row>
    <row r="7205" spans="1:8" ht="15" customHeight="1">
      <c r="A7205" s="26">
        <v>74376184</v>
      </c>
      <c r="B7205" s="30" t="s">
        <v>9433</v>
      </c>
      <c r="C7205" s="29" t="s">
        <v>23670</v>
      </c>
      <c r="D7205" s="29" t="s">
        <v>36942</v>
      </c>
      <c r="E7205" s="29" t="s">
        <v>49348</v>
      </c>
      <c r="F7205" s="36" t="s">
        <v>54401</v>
      </c>
      <c r="G7205" s="39">
        <v>41879.03</v>
      </c>
      <c r="H7205" s="42">
        <v>211</v>
      </c>
    </row>
    <row r="7206" spans="1:8" ht="15" customHeight="1">
      <c r="A7206" s="26">
        <v>74376185</v>
      </c>
      <c r="B7206" s="30" t="s">
        <v>9434</v>
      </c>
      <c r="C7206" s="29" t="s">
        <v>23671</v>
      </c>
      <c r="D7206" s="29" t="s">
        <v>36943</v>
      </c>
      <c r="E7206" s="29" t="s">
        <v>49349</v>
      </c>
      <c r="F7206" s="36" t="s">
        <v>54401</v>
      </c>
      <c r="G7206" s="39">
        <v>1718771.34</v>
      </c>
      <c r="H7206" s="42">
        <v>211</v>
      </c>
    </row>
    <row r="7207" spans="1:8" ht="15" customHeight="1">
      <c r="A7207" s="26">
        <v>74376191</v>
      </c>
      <c r="B7207" s="30" t="s">
        <v>9435</v>
      </c>
      <c r="C7207" s="29" t="s">
        <v>23672</v>
      </c>
      <c r="D7207" s="29" t="s">
        <v>36944</v>
      </c>
      <c r="E7207" s="29" t="s">
        <v>47406</v>
      </c>
      <c r="F7207" s="36" t="s">
        <v>54401</v>
      </c>
      <c r="G7207" s="39">
        <v>2394243.6</v>
      </c>
      <c r="H7207" s="42">
        <v>211</v>
      </c>
    </row>
    <row r="7208" spans="1:8" ht="15" customHeight="1">
      <c r="A7208" s="26">
        <v>74376209</v>
      </c>
      <c r="B7208" s="30" t="s">
        <v>9436</v>
      </c>
      <c r="C7208" s="29" t="s">
        <v>17204</v>
      </c>
      <c r="D7208" s="29" t="s">
        <v>36945</v>
      </c>
      <c r="E7208" s="29" t="s">
        <v>43926</v>
      </c>
      <c r="F7208" s="36" t="s">
        <v>54401</v>
      </c>
      <c r="G7208" s="39">
        <v>474001.74</v>
      </c>
      <c r="H7208" s="42">
        <v>211</v>
      </c>
    </row>
    <row r="7209" spans="1:8" ht="15" customHeight="1">
      <c r="A7209" s="26">
        <v>74376214</v>
      </c>
      <c r="B7209" s="30" t="s">
        <v>9437</v>
      </c>
      <c r="C7209" s="29" t="s">
        <v>23673</v>
      </c>
      <c r="D7209" s="29" t="s">
        <v>36946</v>
      </c>
      <c r="E7209" s="29" t="s">
        <v>43926</v>
      </c>
      <c r="F7209" s="36" t="s">
        <v>54401</v>
      </c>
      <c r="G7209" s="39">
        <v>483415.05</v>
      </c>
      <c r="H7209" s="42">
        <v>211</v>
      </c>
    </row>
    <row r="7210" spans="1:8" ht="15" customHeight="1">
      <c r="A7210" s="26">
        <v>74376221</v>
      </c>
      <c r="B7210" s="30" t="s">
        <v>9438</v>
      </c>
      <c r="C7210" s="29" t="s">
        <v>23674</v>
      </c>
      <c r="D7210" s="29" t="s">
        <v>36947</v>
      </c>
      <c r="E7210" s="29" t="s">
        <v>49350</v>
      </c>
      <c r="F7210" s="36" t="s">
        <v>54401</v>
      </c>
      <c r="G7210" s="39">
        <v>492635.3</v>
      </c>
      <c r="H7210" s="42">
        <v>211</v>
      </c>
    </row>
    <row r="7211" spans="1:8" ht="15" customHeight="1">
      <c r="A7211" s="26">
        <v>74376247</v>
      </c>
      <c r="B7211" s="30" t="s">
        <v>9439</v>
      </c>
      <c r="C7211" s="29" t="s">
        <v>23675</v>
      </c>
      <c r="D7211" s="29" t="s">
        <v>36948</v>
      </c>
      <c r="E7211" s="29" t="s">
        <v>49351</v>
      </c>
      <c r="F7211" s="36" t="s">
        <v>54401</v>
      </c>
      <c r="G7211" s="39">
        <v>6889037.8799999999</v>
      </c>
      <c r="H7211" s="42">
        <v>211</v>
      </c>
    </row>
    <row r="7212" spans="1:8" ht="15" customHeight="1">
      <c r="A7212" s="26">
        <v>74376284</v>
      </c>
      <c r="B7212" s="30" t="s">
        <v>9440</v>
      </c>
      <c r="C7212" s="26" t="s">
        <v>23676</v>
      </c>
      <c r="D7212" s="26" t="s">
        <v>36949</v>
      </c>
      <c r="E7212" s="26" t="s">
        <v>43926</v>
      </c>
      <c r="F7212" s="37" t="s">
        <v>54401</v>
      </c>
      <c r="G7212" s="39">
        <v>236097.96</v>
      </c>
      <c r="H7212" s="42">
        <v>211</v>
      </c>
    </row>
    <row r="7213" spans="1:8" ht="15" customHeight="1">
      <c r="A7213" s="26">
        <v>74376290</v>
      </c>
      <c r="B7213" s="30" t="s">
        <v>9441</v>
      </c>
      <c r="C7213" s="29" t="s">
        <v>23677</v>
      </c>
      <c r="D7213" s="29" t="s">
        <v>36950</v>
      </c>
      <c r="E7213" s="29" t="s">
        <v>49352</v>
      </c>
      <c r="F7213" s="36" t="s">
        <v>54401</v>
      </c>
      <c r="G7213" s="39">
        <v>1694438.45</v>
      </c>
      <c r="H7213" s="42">
        <v>211</v>
      </c>
    </row>
    <row r="7214" spans="1:8" ht="15" customHeight="1">
      <c r="A7214" s="26">
        <v>74376294</v>
      </c>
      <c r="B7214" s="30" t="s">
        <v>9442</v>
      </c>
      <c r="C7214" s="29" t="s">
        <v>23678</v>
      </c>
      <c r="D7214" s="29" t="s">
        <v>36951</v>
      </c>
      <c r="E7214" s="29" t="s">
        <v>49353</v>
      </c>
      <c r="F7214" s="36" t="s">
        <v>54401</v>
      </c>
      <c r="G7214" s="39">
        <v>438117.03</v>
      </c>
      <c r="H7214" s="42">
        <v>211</v>
      </c>
    </row>
    <row r="7215" spans="1:8" ht="15" customHeight="1">
      <c r="A7215" s="26">
        <v>74376296</v>
      </c>
      <c r="B7215" s="30" t="s">
        <v>9443</v>
      </c>
      <c r="C7215" s="29" t="s">
        <v>23679</v>
      </c>
      <c r="D7215" s="29" t="s">
        <v>36952</v>
      </c>
      <c r="E7215" s="29" t="s">
        <v>49354</v>
      </c>
      <c r="F7215" s="36" t="s">
        <v>54409</v>
      </c>
      <c r="G7215" s="39">
        <v>627687.87</v>
      </c>
      <c r="H7215" s="42">
        <v>211</v>
      </c>
    </row>
    <row r="7216" spans="1:8" ht="15" customHeight="1">
      <c r="A7216" s="26">
        <v>74376302</v>
      </c>
      <c r="B7216" s="30" t="s">
        <v>9444</v>
      </c>
      <c r="C7216" s="26" t="s">
        <v>23680</v>
      </c>
      <c r="D7216" s="26" t="s">
        <v>36953</v>
      </c>
      <c r="E7216" s="26" t="s">
        <v>49355</v>
      </c>
      <c r="F7216" s="37" t="s">
        <v>54408</v>
      </c>
      <c r="G7216" s="39">
        <f>2956719.52+363590</f>
        <v>3320309.52</v>
      </c>
      <c r="H7216" s="42">
        <v>211</v>
      </c>
    </row>
    <row r="7217" spans="1:8" ht="15" customHeight="1">
      <c r="A7217" s="26">
        <v>74376305</v>
      </c>
      <c r="B7217" s="30" t="s">
        <v>9445</v>
      </c>
      <c r="C7217" s="29" t="s">
        <v>23681</v>
      </c>
      <c r="D7217" s="29" t="s">
        <v>36954</v>
      </c>
      <c r="E7217" s="29" t="s">
        <v>49356</v>
      </c>
      <c r="F7217" s="36" t="s">
        <v>54401</v>
      </c>
      <c r="G7217" s="39">
        <v>3730851.14</v>
      </c>
      <c r="H7217" s="42">
        <v>211</v>
      </c>
    </row>
    <row r="7218" spans="1:8" ht="15" customHeight="1">
      <c r="A7218" s="26">
        <v>74376320</v>
      </c>
      <c r="B7218" s="30" t="s">
        <v>9446</v>
      </c>
      <c r="C7218" s="29" t="s">
        <v>23682</v>
      </c>
      <c r="D7218" s="29" t="s">
        <v>36955</v>
      </c>
      <c r="E7218" s="29" t="s">
        <v>49357</v>
      </c>
      <c r="F7218" s="36" t="s">
        <v>54401</v>
      </c>
      <c r="G7218" s="39">
        <v>497459.13</v>
      </c>
      <c r="H7218" s="42">
        <v>211</v>
      </c>
    </row>
    <row r="7219" spans="1:8" ht="15" customHeight="1">
      <c r="A7219" s="26">
        <v>74376326</v>
      </c>
      <c r="B7219" s="30" t="s">
        <v>9447</v>
      </c>
      <c r="C7219" s="29" t="s">
        <v>23683</v>
      </c>
      <c r="D7219" s="29" t="s">
        <v>36956</v>
      </c>
      <c r="E7219" s="29" t="s">
        <v>49358</v>
      </c>
      <c r="F7219" s="36" t="s">
        <v>54401</v>
      </c>
      <c r="G7219" s="39">
        <f>7536674.94+123098</f>
        <v>7659772.9400000004</v>
      </c>
      <c r="H7219" s="42">
        <v>211</v>
      </c>
    </row>
    <row r="7220" spans="1:8" ht="15" customHeight="1">
      <c r="A7220" s="26">
        <v>74376337</v>
      </c>
      <c r="B7220" s="30" t="s">
        <v>9448</v>
      </c>
      <c r="C7220" s="29" t="s">
        <v>23684</v>
      </c>
      <c r="D7220" s="29" t="s">
        <v>36957</v>
      </c>
      <c r="E7220" s="29" t="s">
        <v>49359</v>
      </c>
      <c r="F7220" s="36" t="s">
        <v>54401</v>
      </c>
      <c r="G7220" s="39">
        <f>5282820.55+199541</f>
        <v>5482361.5499999998</v>
      </c>
      <c r="H7220" s="42">
        <v>211</v>
      </c>
    </row>
    <row r="7221" spans="1:8" ht="15" customHeight="1">
      <c r="A7221" s="26">
        <v>74376338</v>
      </c>
      <c r="B7221" s="30" t="s">
        <v>9449</v>
      </c>
      <c r="C7221" s="29" t="s">
        <v>23685</v>
      </c>
      <c r="D7221" s="29" t="s">
        <v>36958</v>
      </c>
      <c r="E7221" s="29" t="s">
        <v>49360</v>
      </c>
      <c r="F7221" s="36" t="s">
        <v>54401</v>
      </c>
      <c r="G7221" s="39">
        <v>282182.78999999998</v>
      </c>
      <c r="H7221" s="42">
        <v>211</v>
      </c>
    </row>
    <row r="7222" spans="1:8" ht="15" customHeight="1">
      <c r="A7222" s="26">
        <v>74376350</v>
      </c>
      <c r="B7222" s="30" t="s">
        <v>9450</v>
      </c>
      <c r="C7222" s="29" t="s">
        <v>23686</v>
      </c>
      <c r="D7222" s="29" t="s">
        <v>36959</v>
      </c>
      <c r="E7222" s="29" t="s">
        <v>49361</v>
      </c>
      <c r="F7222" s="36" t="s">
        <v>54401</v>
      </c>
      <c r="G7222" s="39">
        <v>795817.73</v>
      </c>
      <c r="H7222" s="42">
        <v>211</v>
      </c>
    </row>
    <row r="7223" spans="1:8" ht="15" customHeight="1">
      <c r="A7223" s="26">
        <v>74376362</v>
      </c>
      <c r="B7223" s="30" t="s">
        <v>9451</v>
      </c>
      <c r="C7223" s="29" t="s">
        <v>17204</v>
      </c>
      <c r="D7223" s="29" t="s">
        <v>30349</v>
      </c>
      <c r="E7223" s="29" t="s">
        <v>43926</v>
      </c>
      <c r="F7223" s="36" t="s">
        <v>54401</v>
      </c>
      <c r="G7223" s="39">
        <v>382433.45</v>
      </c>
      <c r="H7223" s="42">
        <v>211</v>
      </c>
    </row>
    <row r="7224" spans="1:8" ht="15" customHeight="1">
      <c r="A7224" s="26">
        <v>74376364</v>
      </c>
      <c r="B7224" s="30" t="s">
        <v>9452</v>
      </c>
      <c r="C7224" s="29" t="s">
        <v>17204</v>
      </c>
      <c r="D7224" s="29" t="s">
        <v>30349</v>
      </c>
      <c r="E7224" s="29" t="s">
        <v>43926</v>
      </c>
      <c r="F7224" s="36" t="s">
        <v>54401</v>
      </c>
      <c r="G7224" s="39">
        <v>168993.57</v>
      </c>
      <c r="H7224" s="42">
        <v>211</v>
      </c>
    </row>
    <row r="7225" spans="1:8" ht="15" customHeight="1">
      <c r="A7225" s="26">
        <v>74376394</v>
      </c>
      <c r="B7225" s="30" t="s">
        <v>9453</v>
      </c>
      <c r="C7225" s="29" t="s">
        <v>23687</v>
      </c>
      <c r="D7225" s="29" t="s">
        <v>36960</v>
      </c>
      <c r="E7225" s="29" t="s">
        <v>49362</v>
      </c>
      <c r="F7225" s="36" t="s">
        <v>54401</v>
      </c>
      <c r="G7225" s="39">
        <v>458011.98</v>
      </c>
      <c r="H7225" s="42">
        <v>211</v>
      </c>
    </row>
    <row r="7226" spans="1:8" ht="15" customHeight="1">
      <c r="A7226" s="26">
        <v>74376395</v>
      </c>
      <c r="B7226" s="30" t="s">
        <v>9454</v>
      </c>
      <c r="C7226" s="29" t="s">
        <v>23688</v>
      </c>
      <c r="D7226" s="29" t="s">
        <v>36961</v>
      </c>
      <c r="E7226" s="29" t="s">
        <v>49363</v>
      </c>
      <c r="F7226" s="36" t="s">
        <v>54401</v>
      </c>
      <c r="G7226" s="39">
        <v>3556713.8</v>
      </c>
      <c r="H7226" s="42">
        <v>211</v>
      </c>
    </row>
    <row r="7227" spans="1:8" ht="15" customHeight="1">
      <c r="A7227" s="26">
        <v>74376404</v>
      </c>
      <c r="B7227" s="30" t="s">
        <v>9455</v>
      </c>
      <c r="C7227" s="29" t="s">
        <v>23689</v>
      </c>
      <c r="D7227" s="29" t="s">
        <v>36962</v>
      </c>
      <c r="E7227" s="29" t="s">
        <v>49364</v>
      </c>
      <c r="F7227" s="36" t="s">
        <v>54401</v>
      </c>
      <c r="G7227" s="39">
        <v>2652548.5099999998</v>
      </c>
      <c r="H7227" s="42">
        <v>211</v>
      </c>
    </row>
    <row r="7228" spans="1:8" ht="15" customHeight="1">
      <c r="A7228" s="26">
        <v>74376414</v>
      </c>
      <c r="B7228" s="30" t="s">
        <v>9456</v>
      </c>
      <c r="C7228" s="29" t="s">
        <v>23690</v>
      </c>
      <c r="D7228" s="29" t="s">
        <v>36963</v>
      </c>
      <c r="E7228" s="29" t="s">
        <v>49365</v>
      </c>
      <c r="F7228" s="36" t="s">
        <v>54401</v>
      </c>
      <c r="G7228" s="39">
        <v>954297.79</v>
      </c>
      <c r="H7228" s="42">
        <v>211</v>
      </c>
    </row>
    <row r="7229" spans="1:8" ht="15" customHeight="1">
      <c r="A7229" s="26">
        <v>74376421</v>
      </c>
      <c r="B7229" s="30" t="s">
        <v>9457</v>
      </c>
      <c r="C7229" s="26" t="s">
        <v>17204</v>
      </c>
      <c r="D7229" s="26" t="s">
        <v>30349</v>
      </c>
      <c r="E7229" s="26" t="s">
        <v>43926</v>
      </c>
      <c r="F7229" s="37" t="s">
        <v>54401</v>
      </c>
      <c r="G7229" s="39">
        <v>63138.75</v>
      </c>
      <c r="H7229" s="42">
        <v>211</v>
      </c>
    </row>
    <row r="7230" spans="1:8" ht="15" customHeight="1">
      <c r="A7230" s="26">
        <v>74376423</v>
      </c>
      <c r="B7230" s="30" t="s">
        <v>9458</v>
      </c>
      <c r="C7230" s="29" t="s">
        <v>23691</v>
      </c>
      <c r="D7230" s="29" t="s">
        <v>36964</v>
      </c>
      <c r="E7230" s="29" t="s">
        <v>49366</v>
      </c>
      <c r="F7230" s="36" t="s">
        <v>54401</v>
      </c>
      <c r="G7230" s="39">
        <v>4585621.9400000004</v>
      </c>
      <c r="H7230" s="42">
        <v>211</v>
      </c>
    </row>
    <row r="7231" spans="1:8" ht="15" customHeight="1">
      <c r="A7231" s="26">
        <v>74376437</v>
      </c>
      <c r="B7231" s="30" t="s">
        <v>9459</v>
      </c>
      <c r="C7231" s="29" t="s">
        <v>23692</v>
      </c>
      <c r="D7231" s="29" t="s">
        <v>36965</v>
      </c>
      <c r="E7231" s="29" t="s">
        <v>49367</v>
      </c>
      <c r="F7231" s="36" t="s">
        <v>54401</v>
      </c>
      <c r="G7231" s="39">
        <v>1303614.92</v>
      </c>
      <c r="H7231" s="42">
        <v>211</v>
      </c>
    </row>
    <row r="7232" spans="1:8" ht="15" customHeight="1">
      <c r="A7232" s="26">
        <v>74376476</v>
      </c>
      <c r="B7232" s="30" t="s">
        <v>9460</v>
      </c>
      <c r="C7232" s="29" t="s">
        <v>23693</v>
      </c>
      <c r="D7232" s="29" t="s">
        <v>36966</v>
      </c>
      <c r="E7232" s="29" t="s">
        <v>49368</v>
      </c>
      <c r="F7232" s="36" t="s">
        <v>54401</v>
      </c>
      <c r="G7232" s="39">
        <v>391025.12</v>
      </c>
      <c r="H7232" s="42">
        <v>211</v>
      </c>
    </row>
    <row r="7233" spans="1:8" ht="15" customHeight="1">
      <c r="A7233" s="26">
        <v>74376480</v>
      </c>
      <c r="B7233" s="30" t="s">
        <v>9461</v>
      </c>
      <c r="C7233" s="29" t="s">
        <v>23694</v>
      </c>
      <c r="D7233" s="29" t="s">
        <v>36967</v>
      </c>
      <c r="E7233" s="29" t="s">
        <v>49369</v>
      </c>
      <c r="F7233" s="36" t="s">
        <v>54401</v>
      </c>
      <c r="G7233" s="39">
        <f>595516.24+284174+346788</f>
        <v>1226478.24</v>
      </c>
      <c r="H7233" s="42">
        <v>211</v>
      </c>
    </row>
    <row r="7234" spans="1:8" ht="15" customHeight="1">
      <c r="A7234" s="26">
        <v>74376481</v>
      </c>
      <c r="B7234" s="30" t="s">
        <v>9462</v>
      </c>
      <c r="C7234" s="29" t="s">
        <v>23695</v>
      </c>
      <c r="D7234" s="29" t="s">
        <v>36968</v>
      </c>
      <c r="E7234" s="29" t="s">
        <v>49370</v>
      </c>
      <c r="F7234" s="36" t="s">
        <v>54401</v>
      </c>
      <c r="G7234" s="39">
        <f>5667063.51+49799</f>
        <v>5716862.5099999998</v>
      </c>
      <c r="H7234" s="42">
        <v>211</v>
      </c>
    </row>
    <row r="7235" spans="1:8" ht="15" customHeight="1">
      <c r="A7235" s="26">
        <v>74376482</v>
      </c>
      <c r="B7235" s="30" t="s">
        <v>9463</v>
      </c>
      <c r="C7235" s="29" t="s">
        <v>23696</v>
      </c>
      <c r="D7235" s="29" t="s">
        <v>36969</v>
      </c>
      <c r="E7235" s="29" t="s">
        <v>49371</v>
      </c>
      <c r="F7235" s="36" t="s">
        <v>54401</v>
      </c>
      <c r="G7235" s="39">
        <v>215796.38</v>
      </c>
      <c r="H7235" s="42">
        <v>211</v>
      </c>
    </row>
    <row r="7236" spans="1:8" ht="15" customHeight="1">
      <c r="A7236" s="26">
        <v>74376489</v>
      </c>
      <c r="B7236" s="30" t="s">
        <v>9464</v>
      </c>
      <c r="C7236" s="29" t="s">
        <v>23697</v>
      </c>
      <c r="D7236" s="29" t="s">
        <v>36970</v>
      </c>
      <c r="E7236" s="29" t="s">
        <v>49372</v>
      </c>
      <c r="F7236" s="36" t="s">
        <v>54401</v>
      </c>
      <c r="G7236" s="39">
        <v>88352.960000000006</v>
      </c>
      <c r="H7236" s="42">
        <v>211</v>
      </c>
    </row>
    <row r="7237" spans="1:8" ht="15" customHeight="1">
      <c r="A7237" s="26">
        <v>74376490</v>
      </c>
      <c r="B7237" s="30" t="s">
        <v>9465</v>
      </c>
      <c r="C7237" s="29" t="s">
        <v>23698</v>
      </c>
      <c r="D7237" s="29" t="s">
        <v>30376</v>
      </c>
      <c r="E7237" s="29" t="s">
        <v>49373</v>
      </c>
      <c r="F7237" s="36" t="s">
        <v>54401</v>
      </c>
      <c r="G7237" s="39">
        <v>2028459.4</v>
      </c>
      <c r="H7237" s="42">
        <v>211</v>
      </c>
    </row>
    <row r="7238" spans="1:8" ht="15" customHeight="1">
      <c r="A7238" s="26">
        <v>74376496</v>
      </c>
      <c r="B7238" s="30" t="s">
        <v>9466</v>
      </c>
      <c r="C7238" s="29" t="s">
        <v>23699</v>
      </c>
      <c r="D7238" s="29" t="s">
        <v>36971</v>
      </c>
      <c r="E7238" s="29" t="s">
        <v>49374</v>
      </c>
      <c r="F7238" s="36" t="s">
        <v>54401</v>
      </c>
      <c r="G7238" s="39">
        <v>2248893.0099999998</v>
      </c>
      <c r="H7238" s="42">
        <v>211</v>
      </c>
    </row>
    <row r="7239" spans="1:8" ht="15" customHeight="1">
      <c r="A7239" s="26">
        <v>74376497</v>
      </c>
      <c r="B7239" s="30" t="s">
        <v>9467</v>
      </c>
      <c r="C7239" s="29" t="s">
        <v>17204</v>
      </c>
      <c r="D7239" s="29" t="s">
        <v>30349</v>
      </c>
      <c r="E7239" s="29" t="s">
        <v>43926</v>
      </c>
      <c r="F7239" s="36" t="s">
        <v>54401</v>
      </c>
      <c r="G7239" s="39">
        <v>342749.28</v>
      </c>
      <c r="H7239" s="42">
        <v>211</v>
      </c>
    </row>
    <row r="7240" spans="1:8" ht="15" customHeight="1">
      <c r="A7240" s="26">
        <v>74376498</v>
      </c>
      <c r="B7240" s="30" t="s">
        <v>9468</v>
      </c>
      <c r="C7240" s="29" t="s">
        <v>23700</v>
      </c>
      <c r="D7240" s="29" t="s">
        <v>36972</v>
      </c>
      <c r="E7240" s="29" t="s">
        <v>49375</v>
      </c>
      <c r="F7240" s="36" t="s">
        <v>54401</v>
      </c>
      <c r="G7240" s="39">
        <v>2057793.15</v>
      </c>
      <c r="H7240" s="42">
        <v>211</v>
      </c>
    </row>
    <row r="7241" spans="1:8" ht="15" customHeight="1">
      <c r="A7241" s="26">
        <v>74376527</v>
      </c>
      <c r="B7241" s="30" t="s">
        <v>9469</v>
      </c>
      <c r="C7241" s="29" t="s">
        <v>23701</v>
      </c>
      <c r="D7241" s="29" t="s">
        <v>36973</v>
      </c>
      <c r="E7241" s="29" t="s">
        <v>49376</v>
      </c>
      <c r="F7241" s="36" t="s">
        <v>54401</v>
      </c>
      <c r="G7241" s="39">
        <v>2109884.59</v>
      </c>
      <c r="H7241" s="42">
        <v>211</v>
      </c>
    </row>
    <row r="7242" spans="1:8" ht="15" customHeight="1">
      <c r="A7242" s="26">
        <v>74376529</v>
      </c>
      <c r="B7242" s="30" t="s">
        <v>9470</v>
      </c>
      <c r="C7242" s="29" t="s">
        <v>23702</v>
      </c>
      <c r="D7242" s="29" t="s">
        <v>36974</v>
      </c>
      <c r="E7242" s="29" t="s">
        <v>49377</v>
      </c>
      <c r="F7242" s="36" t="s">
        <v>54401</v>
      </c>
      <c r="G7242" s="39">
        <v>462882.08</v>
      </c>
      <c r="H7242" s="42">
        <v>211</v>
      </c>
    </row>
    <row r="7243" spans="1:8" ht="15" customHeight="1">
      <c r="A7243" s="26">
        <v>74376572</v>
      </c>
      <c r="B7243" s="30" t="s">
        <v>9471</v>
      </c>
      <c r="C7243" s="29" t="s">
        <v>23703</v>
      </c>
      <c r="D7243" s="29" t="s">
        <v>36975</v>
      </c>
      <c r="E7243" s="29" t="s">
        <v>43926</v>
      </c>
      <c r="F7243" s="36" t="s">
        <v>54409</v>
      </c>
      <c r="G7243" s="39">
        <f>2878200.35+322646</f>
        <v>3200846.35</v>
      </c>
      <c r="H7243" s="42">
        <v>211</v>
      </c>
    </row>
    <row r="7244" spans="1:8" ht="15" customHeight="1">
      <c r="A7244" s="26">
        <v>74376585</v>
      </c>
      <c r="B7244" s="30" t="s">
        <v>9472</v>
      </c>
      <c r="C7244" s="26" t="s">
        <v>23704</v>
      </c>
      <c r="D7244" s="26" t="s">
        <v>36976</v>
      </c>
      <c r="E7244" s="26" t="s">
        <v>43926</v>
      </c>
      <c r="F7244" s="37" t="s">
        <v>54401</v>
      </c>
      <c r="G7244" s="39">
        <v>307117.75</v>
      </c>
      <c r="H7244" s="42">
        <v>211</v>
      </c>
    </row>
    <row r="7245" spans="1:8" ht="15" customHeight="1">
      <c r="A7245" s="26">
        <v>74376587</v>
      </c>
      <c r="B7245" s="30" t="s">
        <v>9473</v>
      </c>
      <c r="C7245" s="29" t="s">
        <v>23705</v>
      </c>
      <c r="D7245" s="29" t="s">
        <v>36977</v>
      </c>
      <c r="E7245" s="29" t="s">
        <v>49378</v>
      </c>
      <c r="F7245" s="36" t="s">
        <v>54401</v>
      </c>
      <c r="G7245" s="39">
        <v>66819.070000000007</v>
      </c>
      <c r="H7245" s="42">
        <v>211</v>
      </c>
    </row>
    <row r="7246" spans="1:8" ht="15" customHeight="1">
      <c r="A7246" s="26">
        <v>74376591</v>
      </c>
      <c r="B7246" s="30" t="s">
        <v>9474</v>
      </c>
      <c r="C7246" s="29" t="s">
        <v>20969</v>
      </c>
      <c r="D7246" s="29" t="s">
        <v>30376</v>
      </c>
      <c r="E7246" s="29" t="s">
        <v>43926</v>
      </c>
      <c r="F7246" s="36" t="s">
        <v>54401</v>
      </c>
      <c r="G7246" s="39">
        <v>3291654.71</v>
      </c>
      <c r="H7246" s="42">
        <v>211</v>
      </c>
    </row>
    <row r="7247" spans="1:8" ht="15" customHeight="1">
      <c r="A7247" s="26">
        <v>74376600</v>
      </c>
      <c r="B7247" s="30" t="s">
        <v>9475</v>
      </c>
      <c r="C7247" s="29" t="s">
        <v>23706</v>
      </c>
      <c r="D7247" s="29" t="s">
        <v>30376</v>
      </c>
      <c r="E7247" s="29" t="s">
        <v>44313</v>
      </c>
      <c r="F7247" s="36" t="s">
        <v>54401</v>
      </c>
      <c r="G7247" s="39">
        <v>4508637.0999999996</v>
      </c>
      <c r="H7247" s="42">
        <v>211</v>
      </c>
    </row>
    <row r="7248" spans="1:8" ht="15" customHeight="1">
      <c r="A7248" s="26">
        <v>74376615</v>
      </c>
      <c r="B7248" s="30" t="s">
        <v>9476</v>
      </c>
      <c r="C7248" s="29" t="s">
        <v>23707</v>
      </c>
      <c r="D7248" s="29" t="s">
        <v>36978</v>
      </c>
      <c r="E7248" s="29" t="s">
        <v>49379</v>
      </c>
      <c r="F7248" s="36" t="s">
        <v>54401</v>
      </c>
      <c r="G7248" s="39">
        <v>986151.59</v>
      </c>
      <c r="H7248" s="42">
        <v>211</v>
      </c>
    </row>
    <row r="7249" spans="1:8" ht="15" customHeight="1">
      <c r="A7249" s="26">
        <v>74376633</v>
      </c>
      <c r="B7249" s="30" t="s">
        <v>9477</v>
      </c>
      <c r="C7249" s="29" t="s">
        <v>23708</v>
      </c>
      <c r="D7249" s="29" t="s">
        <v>36979</v>
      </c>
      <c r="E7249" s="29" t="s">
        <v>49380</v>
      </c>
      <c r="F7249" s="36" t="s">
        <v>54401</v>
      </c>
      <c r="G7249" s="39">
        <v>963350.65</v>
      </c>
      <c r="H7249" s="42">
        <v>211</v>
      </c>
    </row>
    <row r="7250" spans="1:8" ht="15" customHeight="1">
      <c r="A7250" s="26">
        <v>74376636</v>
      </c>
      <c r="B7250" s="30" t="s">
        <v>9478</v>
      </c>
      <c r="C7250" s="29" t="s">
        <v>23709</v>
      </c>
      <c r="D7250" s="29" t="s">
        <v>36980</v>
      </c>
      <c r="E7250" s="29" t="s">
        <v>44942</v>
      </c>
      <c r="F7250" s="36" t="s">
        <v>54401</v>
      </c>
      <c r="G7250" s="39">
        <f>872827.1-1647+965408+59943</f>
        <v>1896531.1</v>
      </c>
      <c r="H7250" s="42">
        <v>211</v>
      </c>
    </row>
    <row r="7251" spans="1:8" ht="15" customHeight="1">
      <c r="A7251" s="26">
        <v>74376637</v>
      </c>
      <c r="B7251" s="30" t="s">
        <v>9479</v>
      </c>
      <c r="C7251" s="26" t="s">
        <v>23710</v>
      </c>
      <c r="D7251" s="26" t="s">
        <v>36981</v>
      </c>
      <c r="E7251" s="26" t="s">
        <v>48827</v>
      </c>
      <c r="F7251" s="37" t="s">
        <v>54409</v>
      </c>
      <c r="G7251" s="39">
        <v>1593639.63</v>
      </c>
      <c r="H7251" s="42">
        <v>211</v>
      </c>
    </row>
    <row r="7252" spans="1:8" ht="15" customHeight="1">
      <c r="A7252" s="26">
        <v>74376658</v>
      </c>
      <c r="B7252" s="30" t="s">
        <v>9480</v>
      </c>
      <c r="C7252" s="29" t="s">
        <v>23711</v>
      </c>
      <c r="D7252" s="29" t="s">
        <v>34280</v>
      </c>
      <c r="E7252" s="29" t="s">
        <v>49381</v>
      </c>
      <c r="F7252" s="36" t="s">
        <v>54401</v>
      </c>
      <c r="G7252" s="39">
        <v>1810991.19</v>
      </c>
      <c r="H7252" s="42">
        <v>211</v>
      </c>
    </row>
    <row r="7253" spans="1:8" ht="15" customHeight="1">
      <c r="A7253" s="26">
        <v>74376676</v>
      </c>
      <c r="B7253" s="30" t="s">
        <v>9481</v>
      </c>
      <c r="C7253" s="29" t="s">
        <v>23712</v>
      </c>
      <c r="D7253" s="29" t="s">
        <v>36982</v>
      </c>
      <c r="E7253" s="29" t="s">
        <v>49382</v>
      </c>
      <c r="F7253" s="36" t="s">
        <v>54401</v>
      </c>
      <c r="G7253" s="39">
        <v>665052.24</v>
      </c>
      <c r="H7253" s="42">
        <v>211</v>
      </c>
    </row>
    <row r="7254" spans="1:8" ht="15" customHeight="1">
      <c r="A7254" s="26">
        <v>74376697</v>
      </c>
      <c r="B7254" s="30" t="s">
        <v>9482</v>
      </c>
      <c r="C7254" s="26" t="s">
        <v>23713</v>
      </c>
      <c r="D7254" s="26" t="s">
        <v>36983</v>
      </c>
      <c r="E7254" s="26" t="s">
        <v>49383</v>
      </c>
      <c r="F7254" s="37" t="s">
        <v>54401</v>
      </c>
      <c r="G7254" s="39">
        <v>284947.39</v>
      </c>
      <c r="H7254" s="42">
        <v>211</v>
      </c>
    </row>
    <row r="7255" spans="1:8" ht="15" customHeight="1">
      <c r="A7255" s="26">
        <v>74376704</v>
      </c>
      <c r="B7255" s="30" t="s">
        <v>9483</v>
      </c>
      <c r="C7255" s="29" t="s">
        <v>23714</v>
      </c>
      <c r="D7255" s="29" t="s">
        <v>36984</v>
      </c>
      <c r="E7255" s="29" t="s">
        <v>45006</v>
      </c>
      <c r="F7255" s="36" t="s">
        <v>54401</v>
      </c>
      <c r="G7255" s="39">
        <v>5217647.84</v>
      </c>
      <c r="H7255" s="42">
        <v>211</v>
      </c>
    </row>
    <row r="7256" spans="1:8" ht="15" customHeight="1">
      <c r="A7256" s="26">
        <v>74376709</v>
      </c>
      <c r="B7256" s="30" t="s">
        <v>9484</v>
      </c>
      <c r="C7256" s="29" t="s">
        <v>23715</v>
      </c>
      <c r="D7256" s="29" t="s">
        <v>36985</v>
      </c>
      <c r="E7256" s="29" t="s">
        <v>44973</v>
      </c>
      <c r="F7256" s="36" t="s">
        <v>54401</v>
      </c>
      <c r="G7256" s="39">
        <f>4558863.46+77008</f>
        <v>4635871.46</v>
      </c>
      <c r="H7256" s="42">
        <v>211</v>
      </c>
    </row>
    <row r="7257" spans="1:8" ht="15" customHeight="1">
      <c r="A7257" s="26">
        <v>74376717</v>
      </c>
      <c r="B7257" s="30" t="s">
        <v>9485</v>
      </c>
      <c r="C7257" s="29" t="s">
        <v>23716</v>
      </c>
      <c r="D7257" s="29" t="s">
        <v>36986</v>
      </c>
      <c r="E7257" s="29" t="s">
        <v>49384</v>
      </c>
      <c r="F7257" s="36" t="s">
        <v>54401</v>
      </c>
      <c r="G7257" s="39">
        <v>616852.56999999995</v>
      </c>
      <c r="H7257" s="42">
        <v>211</v>
      </c>
    </row>
    <row r="7258" spans="1:8" ht="15" customHeight="1">
      <c r="A7258" s="26">
        <v>74376721</v>
      </c>
      <c r="B7258" s="30" t="s">
        <v>9486</v>
      </c>
      <c r="C7258" s="29" t="s">
        <v>23717</v>
      </c>
      <c r="D7258" s="29" t="s">
        <v>36987</v>
      </c>
      <c r="E7258" s="29" t="s">
        <v>49385</v>
      </c>
      <c r="F7258" s="36" t="s">
        <v>54401</v>
      </c>
      <c r="G7258" s="39">
        <f>887456.97+881998</f>
        <v>1769454.97</v>
      </c>
      <c r="H7258" s="42">
        <v>211</v>
      </c>
    </row>
    <row r="7259" spans="1:8" ht="15" customHeight="1">
      <c r="A7259" s="26">
        <v>74376726</v>
      </c>
      <c r="B7259" s="30" t="s">
        <v>9487</v>
      </c>
      <c r="C7259" s="29" t="s">
        <v>23718</v>
      </c>
      <c r="D7259" s="29" t="s">
        <v>36988</v>
      </c>
      <c r="E7259" s="29" t="s">
        <v>49386</v>
      </c>
      <c r="F7259" s="36" t="s">
        <v>54401</v>
      </c>
      <c r="G7259" s="39">
        <v>95624.35</v>
      </c>
      <c r="H7259" s="42">
        <v>211</v>
      </c>
    </row>
    <row r="7260" spans="1:8" ht="15" customHeight="1">
      <c r="A7260" s="26">
        <v>74376729</v>
      </c>
      <c r="B7260" s="30" t="s">
        <v>9488</v>
      </c>
      <c r="C7260" s="29" t="s">
        <v>23719</v>
      </c>
      <c r="D7260" s="29" t="s">
        <v>36989</v>
      </c>
      <c r="E7260" s="29" t="s">
        <v>49387</v>
      </c>
      <c r="F7260" s="36" t="s">
        <v>54401</v>
      </c>
      <c r="G7260" s="39">
        <v>502207.24</v>
      </c>
      <c r="H7260" s="42">
        <v>211</v>
      </c>
    </row>
    <row r="7261" spans="1:8" ht="15" customHeight="1">
      <c r="A7261" s="26">
        <v>74376732</v>
      </c>
      <c r="B7261" s="30" t="s">
        <v>9489</v>
      </c>
      <c r="C7261" s="29" t="s">
        <v>23720</v>
      </c>
      <c r="D7261" s="29" t="s">
        <v>36990</v>
      </c>
      <c r="E7261" s="29" t="s">
        <v>49388</v>
      </c>
      <c r="F7261" s="36" t="s">
        <v>54401</v>
      </c>
      <c r="G7261" s="39">
        <v>7996134.5199999996</v>
      </c>
      <c r="H7261" s="42">
        <v>211</v>
      </c>
    </row>
    <row r="7262" spans="1:8" ht="15" customHeight="1">
      <c r="A7262" s="26">
        <v>74376738</v>
      </c>
      <c r="B7262" s="30" t="s">
        <v>9490</v>
      </c>
      <c r="C7262" s="29" t="s">
        <v>23721</v>
      </c>
      <c r="D7262" s="29" t="s">
        <v>36991</v>
      </c>
      <c r="E7262" s="29" t="s">
        <v>49389</v>
      </c>
      <c r="F7262" s="36" t="s">
        <v>54401</v>
      </c>
      <c r="G7262" s="39">
        <v>3778092.23</v>
      </c>
      <c r="H7262" s="42">
        <v>211</v>
      </c>
    </row>
    <row r="7263" spans="1:8" ht="15" customHeight="1">
      <c r="A7263" s="26">
        <v>74376751</v>
      </c>
      <c r="B7263" s="30" t="s">
        <v>9491</v>
      </c>
      <c r="C7263" s="29" t="s">
        <v>23722</v>
      </c>
      <c r="D7263" s="29" t="s">
        <v>31137</v>
      </c>
      <c r="E7263" s="29" t="s">
        <v>44627</v>
      </c>
      <c r="F7263" s="36" t="s">
        <v>54401</v>
      </c>
      <c r="G7263" s="39">
        <v>3567012.5</v>
      </c>
      <c r="H7263" s="42">
        <v>211</v>
      </c>
    </row>
    <row r="7264" spans="1:8" ht="15" customHeight="1">
      <c r="A7264" s="26">
        <v>74376765</v>
      </c>
      <c r="B7264" s="30" t="s">
        <v>9492</v>
      </c>
      <c r="C7264" s="29" t="s">
        <v>23723</v>
      </c>
      <c r="D7264" s="29" t="s">
        <v>36992</v>
      </c>
      <c r="E7264" s="29" t="s">
        <v>49390</v>
      </c>
      <c r="F7264" s="36" t="s">
        <v>54401</v>
      </c>
      <c r="G7264" s="39">
        <f>1053162.15+829591</f>
        <v>1882753.15</v>
      </c>
      <c r="H7264" s="42">
        <v>211</v>
      </c>
    </row>
    <row r="7265" spans="1:8" ht="15" customHeight="1">
      <c r="A7265" s="26">
        <v>74376766</v>
      </c>
      <c r="B7265" s="30" t="s">
        <v>9493</v>
      </c>
      <c r="C7265" s="29" t="s">
        <v>23724</v>
      </c>
      <c r="D7265" s="29" t="s">
        <v>36993</v>
      </c>
      <c r="E7265" s="29" t="s">
        <v>49391</v>
      </c>
      <c r="F7265" s="36" t="s">
        <v>54401</v>
      </c>
      <c r="G7265" s="39">
        <f>1726092.99+493810</f>
        <v>2219902.9900000002</v>
      </c>
      <c r="H7265" s="42">
        <v>211</v>
      </c>
    </row>
    <row r="7266" spans="1:8" ht="15" customHeight="1">
      <c r="A7266" s="26">
        <v>74376774</v>
      </c>
      <c r="B7266" s="30" t="s">
        <v>9494</v>
      </c>
      <c r="C7266" s="29" t="s">
        <v>23725</v>
      </c>
      <c r="D7266" s="29" t="s">
        <v>36994</v>
      </c>
      <c r="E7266" s="29" t="s">
        <v>49392</v>
      </c>
      <c r="F7266" s="36" t="s">
        <v>54401</v>
      </c>
      <c r="G7266" s="39">
        <v>739570.62</v>
      </c>
      <c r="H7266" s="42">
        <v>211</v>
      </c>
    </row>
    <row r="7267" spans="1:8" ht="15" customHeight="1">
      <c r="A7267" s="26">
        <v>74376777</v>
      </c>
      <c r="B7267" s="30" t="s">
        <v>9495</v>
      </c>
      <c r="C7267" s="29" t="s">
        <v>23726</v>
      </c>
      <c r="D7267" s="29" t="s">
        <v>36995</v>
      </c>
      <c r="E7267" s="29" t="s">
        <v>49393</v>
      </c>
      <c r="F7267" s="36" t="s">
        <v>54401</v>
      </c>
      <c r="G7267" s="39">
        <v>223115.71</v>
      </c>
      <c r="H7267" s="42">
        <v>211</v>
      </c>
    </row>
    <row r="7268" spans="1:8" ht="15" customHeight="1">
      <c r="A7268" s="26">
        <v>74376797</v>
      </c>
      <c r="B7268" s="30" t="s">
        <v>9496</v>
      </c>
      <c r="C7268" s="29" t="s">
        <v>23727</v>
      </c>
      <c r="D7268" s="29" t="s">
        <v>36996</v>
      </c>
      <c r="E7268" s="29" t="s">
        <v>49394</v>
      </c>
      <c r="F7268" s="36" t="s">
        <v>54401</v>
      </c>
      <c r="G7268" s="39">
        <f>1895811.08+94218</f>
        <v>1990029.08</v>
      </c>
      <c r="H7268" s="42">
        <v>211</v>
      </c>
    </row>
    <row r="7269" spans="1:8" ht="15" customHeight="1">
      <c r="A7269" s="26">
        <v>74376798</v>
      </c>
      <c r="B7269" s="30" t="s">
        <v>9497</v>
      </c>
      <c r="C7269" s="29" t="s">
        <v>23728</v>
      </c>
      <c r="D7269" s="29" t="s">
        <v>36997</v>
      </c>
      <c r="E7269" s="29" t="s">
        <v>49395</v>
      </c>
      <c r="F7269" s="36" t="s">
        <v>54401</v>
      </c>
      <c r="G7269" s="39">
        <v>865768.04</v>
      </c>
      <c r="H7269" s="42">
        <v>211</v>
      </c>
    </row>
    <row r="7270" spans="1:8" ht="15" customHeight="1">
      <c r="A7270" s="26">
        <v>74376809</v>
      </c>
      <c r="B7270" s="30" t="s">
        <v>9498</v>
      </c>
      <c r="C7270" s="29" t="s">
        <v>23729</v>
      </c>
      <c r="D7270" s="29" t="s">
        <v>36998</v>
      </c>
      <c r="E7270" s="29" t="s">
        <v>49396</v>
      </c>
      <c r="F7270" s="36" t="s">
        <v>54401</v>
      </c>
      <c r="G7270" s="39">
        <v>23593.040000000001</v>
      </c>
      <c r="H7270" s="42">
        <v>211</v>
      </c>
    </row>
    <row r="7271" spans="1:8" ht="15" customHeight="1">
      <c r="A7271" s="26">
        <v>74376831</v>
      </c>
      <c r="B7271" s="30" t="s">
        <v>9499</v>
      </c>
      <c r="C7271" s="29" t="s">
        <v>23730</v>
      </c>
      <c r="D7271" s="29" t="s">
        <v>36999</v>
      </c>
      <c r="E7271" s="29" t="s">
        <v>49397</v>
      </c>
      <c r="F7271" s="36" t="s">
        <v>54401</v>
      </c>
      <c r="G7271" s="39">
        <f>1591414.83+63604</f>
        <v>1655018.83</v>
      </c>
      <c r="H7271" s="42">
        <v>211</v>
      </c>
    </row>
    <row r="7272" spans="1:8" ht="15" customHeight="1">
      <c r="A7272" s="26">
        <v>74376832</v>
      </c>
      <c r="B7272" s="30" t="s">
        <v>9500</v>
      </c>
      <c r="C7272" s="29" t="s">
        <v>23731</v>
      </c>
      <c r="D7272" s="29" t="s">
        <v>37000</v>
      </c>
      <c r="E7272" s="29" t="s">
        <v>43926</v>
      </c>
      <c r="F7272" s="36" t="s">
        <v>54401</v>
      </c>
      <c r="G7272" s="39">
        <v>266128.12</v>
      </c>
      <c r="H7272" s="42">
        <v>211</v>
      </c>
    </row>
    <row r="7273" spans="1:8" ht="15" customHeight="1">
      <c r="A7273" s="26">
        <v>74376836</v>
      </c>
      <c r="B7273" s="30" t="s">
        <v>9501</v>
      </c>
      <c r="C7273" s="29" t="s">
        <v>23732</v>
      </c>
      <c r="D7273" s="29" t="s">
        <v>37001</v>
      </c>
      <c r="E7273" s="29" t="s">
        <v>46906</v>
      </c>
      <c r="F7273" s="36" t="s">
        <v>54401</v>
      </c>
      <c r="G7273" s="39">
        <v>140995.22</v>
      </c>
      <c r="H7273" s="42">
        <v>211</v>
      </c>
    </row>
    <row r="7274" spans="1:8" ht="15" customHeight="1">
      <c r="A7274" s="26">
        <v>74376840</v>
      </c>
      <c r="B7274" s="30" t="s">
        <v>9502</v>
      </c>
      <c r="C7274" s="29" t="s">
        <v>23733</v>
      </c>
      <c r="D7274" s="29" t="s">
        <v>37002</v>
      </c>
      <c r="E7274" s="29" t="s">
        <v>49398</v>
      </c>
      <c r="F7274" s="36" t="s">
        <v>54401</v>
      </c>
      <c r="G7274" s="39">
        <v>3375672.36</v>
      </c>
      <c r="H7274" s="42">
        <v>211</v>
      </c>
    </row>
    <row r="7275" spans="1:8" ht="15" customHeight="1">
      <c r="A7275" s="26">
        <v>74376851</v>
      </c>
      <c r="B7275" s="30" t="s">
        <v>9503</v>
      </c>
      <c r="C7275" s="29" t="s">
        <v>17204</v>
      </c>
      <c r="D7275" s="29" t="s">
        <v>30349</v>
      </c>
      <c r="E7275" s="29" t="s">
        <v>43926</v>
      </c>
      <c r="F7275" s="36" t="s">
        <v>54401</v>
      </c>
      <c r="G7275" s="39">
        <v>406480.9</v>
      </c>
      <c r="H7275" s="42">
        <v>211</v>
      </c>
    </row>
    <row r="7276" spans="1:8" ht="15" customHeight="1">
      <c r="A7276" s="26">
        <v>74376853</v>
      </c>
      <c r="B7276" s="30" t="s">
        <v>9504</v>
      </c>
      <c r="C7276" s="29" t="s">
        <v>23734</v>
      </c>
      <c r="D7276" s="29" t="s">
        <v>37003</v>
      </c>
      <c r="E7276" s="29" t="s">
        <v>48942</v>
      </c>
      <c r="F7276" s="36" t="s">
        <v>54401</v>
      </c>
      <c r="G7276" s="39">
        <v>491713.48</v>
      </c>
      <c r="H7276" s="42">
        <v>211</v>
      </c>
    </row>
    <row r="7277" spans="1:8" ht="15" customHeight="1">
      <c r="A7277" s="26">
        <v>74376864</v>
      </c>
      <c r="B7277" s="30" t="s">
        <v>9505</v>
      </c>
      <c r="C7277" s="29" t="s">
        <v>23735</v>
      </c>
      <c r="D7277" s="29" t="s">
        <v>37004</v>
      </c>
      <c r="E7277" s="29" t="s">
        <v>49399</v>
      </c>
      <c r="F7277" s="36" t="s">
        <v>54401</v>
      </c>
      <c r="G7277" s="39">
        <f>2761190.35+366899</f>
        <v>3128089.35</v>
      </c>
      <c r="H7277" s="42">
        <v>211</v>
      </c>
    </row>
    <row r="7278" spans="1:8" ht="15" customHeight="1">
      <c r="A7278" s="26">
        <v>74376873</v>
      </c>
      <c r="B7278" s="30" t="s">
        <v>9506</v>
      </c>
      <c r="C7278" s="29" t="s">
        <v>23736</v>
      </c>
      <c r="D7278" s="29" t="s">
        <v>37005</v>
      </c>
      <c r="E7278" s="29" t="s">
        <v>49400</v>
      </c>
      <c r="F7278" s="36" t="s">
        <v>54401</v>
      </c>
      <c r="G7278" s="39">
        <v>61325.97</v>
      </c>
      <c r="H7278" s="42">
        <v>211</v>
      </c>
    </row>
    <row r="7279" spans="1:8" ht="15" customHeight="1">
      <c r="A7279" s="26">
        <v>74376893</v>
      </c>
      <c r="B7279" s="30" t="s">
        <v>9507</v>
      </c>
      <c r="C7279" s="29" t="s">
        <v>23737</v>
      </c>
      <c r="D7279" s="29" t="s">
        <v>37006</v>
      </c>
      <c r="E7279" s="29" t="s">
        <v>47547</v>
      </c>
      <c r="F7279" s="36" t="s">
        <v>54401</v>
      </c>
      <c r="G7279" s="39">
        <f>3119118.05+462906</f>
        <v>3582024.05</v>
      </c>
      <c r="H7279" s="42">
        <v>211</v>
      </c>
    </row>
    <row r="7280" spans="1:8" ht="15" customHeight="1">
      <c r="A7280" s="26">
        <v>74376926</v>
      </c>
      <c r="B7280" s="30" t="s">
        <v>9508</v>
      </c>
      <c r="C7280" s="26" t="s">
        <v>17204</v>
      </c>
      <c r="D7280" s="26" t="s">
        <v>37007</v>
      </c>
      <c r="E7280" s="26" t="s">
        <v>49401</v>
      </c>
      <c r="F7280" s="37" t="s">
        <v>54401</v>
      </c>
      <c r="G7280" s="39">
        <v>420935.95</v>
      </c>
      <c r="H7280" s="42">
        <v>211</v>
      </c>
    </row>
    <row r="7281" spans="1:8" ht="15" customHeight="1">
      <c r="A7281" s="26">
        <v>74376940</v>
      </c>
      <c r="B7281" s="30" t="s">
        <v>9509</v>
      </c>
      <c r="C7281" s="29" t="s">
        <v>23738</v>
      </c>
      <c r="D7281" s="29" t="s">
        <v>37008</v>
      </c>
      <c r="E7281" s="29" t="s">
        <v>49402</v>
      </c>
      <c r="F7281" s="36" t="s">
        <v>54401</v>
      </c>
      <c r="G7281" s="39">
        <f>2762485.85+1137525+387266</f>
        <v>4287276.8499999996</v>
      </c>
      <c r="H7281" s="42">
        <v>211</v>
      </c>
    </row>
    <row r="7282" spans="1:8" ht="15" customHeight="1">
      <c r="A7282" s="26">
        <v>74376945</v>
      </c>
      <c r="B7282" s="30" t="s">
        <v>9510</v>
      </c>
      <c r="C7282" s="29" t="s">
        <v>17946</v>
      </c>
      <c r="D7282" s="29" t="s">
        <v>37009</v>
      </c>
      <c r="E7282" s="29" t="s">
        <v>49403</v>
      </c>
      <c r="F7282" s="36" t="s">
        <v>54413</v>
      </c>
      <c r="G7282" s="39">
        <v>6937992.8399999999</v>
      </c>
      <c r="H7282" s="42">
        <v>211</v>
      </c>
    </row>
    <row r="7283" spans="1:8" ht="15" customHeight="1">
      <c r="A7283" s="26">
        <v>74376947</v>
      </c>
      <c r="B7283" s="30" t="s">
        <v>9511</v>
      </c>
      <c r="C7283" s="29" t="s">
        <v>23739</v>
      </c>
      <c r="D7283" s="29" t="s">
        <v>37010</v>
      </c>
      <c r="E7283" s="29" t="s">
        <v>49404</v>
      </c>
      <c r="F7283" s="36" t="s">
        <v>54401</v>
      </c>
      <c r="G7283" s="39">
        <v>233040.21</v>
      </c>
      <c r="H7283" s="42">
        <v>211</v>
      </c>
    </row>
    <row r="7284" spans="1:8" ht="15" customHeight="1">
      <c r="A7284" s="26">
        <v>74376951</v>
      </c>
      <c r="B7284" s="30" t="s">
        <v>9512</v>
      </c>
      <c r="C7284" s="29" t="s">
        <v>23740</v>
      </c>
      <c r="D7284" s="29" t="s">
        <v>37011</v>
      </c>
      <c r="E7284" s="29" t="s">
        <v>49405</v>
      </c>
      <c r="F7284" s="36" t="s">
        <v>54401</v>
      </c>
      <c r="G7284" s="39">
        <v>237850.35</v>
      </c>
      <c r="H7284" s="42">
        <v>211</v>
      </c>
    </row>
    <row r="7285" spans="1:8" ht="15" customHeight="1">
      <c r="A7285" s="26">
        <v>74376971</v>
      </c>
      <c r="B7285" s="30" t="s">
        <v>9513</v>
      </c>
      <c r="C7285" s="29" t="s">
        <v>23741</v>
      </c>
      <c r="D7285" s="29" t="s">
        <v>37012</v>
      </c>
      <c r="E7285" s="29" t="s">
        <v>49406</v>
      </c>
      <c r="F7285" s="36" t="s">
        <v>54401</v>
      </c>
      <c r="G7285" s="39">
        <v>339982.24</v>
      </c>
      <c r="H7285" s="42">
        <v>211</v>
      </c>
    </row>
    <row r="7286" spans="1:8" ht="15" customHeight="1">
      <c r="A7286" s="26">
        <v>74376980</v>
      </c>
      <c r="B7286" s="30" t="s">
        <v>9514</v>
      </c>
      <c r="C7286" s="29" t="s">
        <v>23742</v>
      </c>
      <c r="D7286" s="29" t="s">
        <v>37013</v>
      </c>
      <c r="E7286" s="29" t="s">
        <v>49407</v>
      </c>
      <c r="F7286" s="36" t="s">
        <v>54401</v>
      </c>
      <c r="G7286" s="39">
        <v>123009.12</v>
      </c>
      <c r="H7286" s="42">
        <v>211</v>
      </c>
    </row>
    <row r="7287" spans="1:8" ht="15" customHeight="1">
      <c r="A7287" s="26">
        <v>74376985</v>
      </c>
      <c r="B7287" s="30" t="s">
        <v>9515</v>
      </c>
      <c r="C7287" s="29" t="s">
        <v>23743</v>
      </c>
      <c r="D7287" s="29" t="s">
        <v>37014</v>
      </c>
      <c r="E7287" s="29" t="s">
        <v>44973</v>
      </c>
      <c r="F7287" s="36" t="s">
        <v>54401</v>
      </c>
      <c r="G7287" s="39">
        <v>4602832.07</v>
      </c>
      <c r="H7287" s="42">
        <v>211</v>
      </c>
    </row>
    <row r="7288" spans="1:8" ht="15" customHeight="1">
      <c r="A7288" s="26">
        <v>74376990</v>
      </c>
      <c r="B7288" s="30" t="s">
        <v>9516</v>
      </c>
      <c r="C7288" s="29" t="s">
        <v>23744</v>
      </c>
      <c r="D7288" s="29" t="s">
        <v>37015</v>
      </c>
      <c r="E7288" s="29" t="s">
        <v>49408</v>
      </c>
      <c r="F7288" s="36" t="s">
        <v>54401</v>
      </c>
      <c r="G7288" s="39">
        <v>324897.77</v>
      </c>
      <c r="H7288" s="42">
        <v>211</v>
      </c>
    </row>
    <row r="7289" spans="1:8" ht="15" customHeight="1">
      <c r="A7289" s="26">
        <v>74376993</v>
      </c>
      <c r="B7289" s="30" t="s">
        <v>9517</v>
      </c>
      <c r="C7289" s="26" t="s">
        <v>23745</v>
      </c>
      <c r="D7289" s="26" t="s">
        <v>37016</v>
      </c>
      <c r="E7289" s="26" t="s">
        <v>49409</v>
      </c>
      <c r="F7289" s="37" t="s">
        <v>54401</v>
      </c>
      <c r="G7289" s="39">
        <v>4969758.74</v>
      </c>
      <c r="H7289" s="42">
        <v>211</v>
      </c>
    </row>
    <row r="7290" spans="1:8" ht="15" customHeight="1">
      <c r="A7290" s="26">
        <v>74377004</v>
      </c>
      <c r="B7290" s="30" t="s">
        <v>9518</v>
      </c>
      <c r="C7290" s="29" t="s">
        <v>23746</v>
      </c>
      <c r="D7290" s="29" t="s">
        <v>37017</v>
      </c>
      <c r="E7290" s="29" t="s">
        <v>49410</v>
      </c>
      <c r="F7290" s="36" t="s">
        <v>54401</v>
      </c>
      <c r="G7290" s="39">
        <v>177835.2</v>
      </c>
      <c r="H7290" s="42">
        <v>211</v>
      </c>
    </row>
    <row r="7291" spans="1:8" ht="15" customHeight="1">
      <c r="A7291" s="26">
        <v>74377006</v>
      </c>
      <c r="B7291" s="30" t="s">
        <v>9519</v>
      </c>
      <c r="C7291" s="29" t="s">
        <v>23747</v>
      </c>
      <c r="D7291" s="29" t="s">
        <v>37018</v>
      </c>
      <c r="E7291" s="29" t="s">
        <v>49411</v>
      </c>
      <c r="F7291" s="36" t="s">
        <v>54401</v>
      </c>
      <c r="G7291" s="39">
        <v>1277398.6599999999</v>
      </c>
      <c r="H7291" s="42">
        <v>211</v>
      </c>
    </row>
    <row r="7292" spans="1:8" ht="15" customHeight="1">
      <c r="A7292" s="26">
        <v>74377018</v>
      </c>
      <c r="B7292" s="30" t="s">
        <v>9520</v>
      </c>
      <c r="C7292" s="29" t="s">
        <v>23748</v>
      </c>
      <c r="D7292" s="29" t="s">
        <v>37019</v>
      </c>
      <c r="E7292" s="29" t="s">
        <v>49412</v>
      </c>
      <c r="F7292" s="36" t="s">
        <v>54401</v>
      </c>
      <c r="G7292" s="39">
        <v>529085.14</v>
      </c>
      <c r="H7292" s="42">
        <v>211</v>
      </c>
    </row>
    <row r="7293" spans="1:8" ht="15" customHeight="1">
      <c r="A7293" s="26">
        <v>74377021</v>
      </c>
      <c r="B7293" s="30" t="s">
        <v>9521</v>
      </c>
      <c r="C7293" s="29" t="s">
        <v>23749</v>
      </c>
      <c r="D7293" s="29" t="s">
        <v>37020</v>
      </c>
      <c r="E7293" s="29" t="s">
        <v>46325</v>
      </c>
      <c r="F7293" s="36" t="s">
        <v>54401</v>
      </c>
      <c r="G7293" s="39">
        <v>4659482.16</v>
      </c>
      <c r="H7293" s="42">
        <v>211</v>
      </c>
    </row>
    <row r="7294" spans="1:8" ht="15" customHeight="1">
      <c r="A7294" s="26">
        <v>74377023</v>
      </c>
      <c r="B7294" s="30" t="s">
        <v>9522</v>
      </c>
      <c r="C7294" s="29" t="s">
        <v>23750</v>
      </c>
      <c r="D7294" s="29" t="s">
        <v>37021</v>
      </c>
      <c r="E7294" s="29" t="s">
        <v>49413</v>
      </c>
      <c r="F7294" s="36" t="s">
        <v>54401</v>
      </c>
      <c r="G7294" s="39">
        <v>674917.04</v>
      </c>
      <c r="H7294" s="42">
        <v>211</v>
      </c>
    </row>
    <row r="7295" spans="1:8" ht="15" customHeight="1">
      <c r="A7295" s="28">
        <v>74377028</v>
      </c>
      <c r="B7295" s="30" t="s">
        <v>9523</v>
      </c>
      <c r="C7295" s="33" t="s">
        <v>23751</v>
      </c>
      <c r="D7295" s="33" t="s">
        <v>37022</v>
      </c>
      <c r="E7295" s="29" t="s">
        <v>46768</v>
      </c>
      <c r="F7295" s="36" t="s">
        <v>54401</v>
      </c>
      <c r="G7295" s="39">
        <v>506766.4</v>
      </c>
      <c r="H7295" s="42">
        <v>211</v>
      </c>
    </row>
    <row r="7296" spans="1:8" ht="15" customHeight="1">
      <c r="A7296" s="26">
        <v>74377036</v>
      </c>
      <c r="B7296" s="30" t="s">
        <v>9524</v>
      </c>
      <c r="C7296" s="29" t="s">
        <v>23752</v>
      </c>
      <c r="D7296" s="29" t="s">
        <v>37023</v>
      </c>
      <c r="E7296" s="29" t="s">
        <v>49414</v>
      </c>
      <c r="F7296" s="36" t="s">
        <v>54401</v>
      </c>
      <c r="G7296" s="39">
        <v>3228177.8</v>
      </c>
      <c r="H7296" s="42">
        <v>211</v>
      </c>
    </row>
    <row r="7297" spans="1:8" ht="15" customHeight="1">
      <c r="A7297" s="26">
        <v>74377052</v>
      </c>
      <c r="B7297" s="30" t="s">
        <v>9525</v>
      </c>
      <c r="C7297" s="26" t="s">
        <v>23753</v>
      </c>
      <c r="D7297" s="26" t="s">
        <v>37024</v>
      </c>
      <c r="E7297" s="26" t="s">
        <v>49415</v>
      </c>
      <c r="F7297" s="37" t="s">
        <v>54401</v>
      </c>
      <c r="G7297" s="39">
        <v>52638.65</v>
      </c>
      <c r="H7297" s="42">
        <v>211</v>
      </c>
    </row>
    <row r="7298" spans="1:8" ht="15" customHeight="1">
      <c r="A7298" s="26">
        <v>74377060</v>
      </c>
      <c r="B7298" s="30" t="s">
        <v>9526</v>
      </c>
      <c r="C7298" s="29" t="s">
        <v>23754</v>
      </c>
      <c r="D7298" s="29" t="s">
        <v>37025</v>
      </c>
      <c r="E7298" s="29" t="s">
        <v>49416</v>
      </c>
      <c r="F7298" s="36" t="s">
        <v>54401</v>
      </c>
      <c r="G7298" s="39">
        <v>948493.55</v>
      </c>
      <c r="H7298" s="42">
        <v>211</v>
      </c>
    </row>
    <row r="7299" spans="1:8" ht="15" customHeight="1">
      <c r="A7299" s="26">
        <v>74377061</v>
      </c>
      <c r="B7299" s="30" t="s">
        <v>9527</v>
      </c>
      <c r="C7299" s="26" t="s">
        <v>23755</v>
      </c>
      <c r="D7299" s="26" t="s">
        <v>37026</v>
      </c>
      <c r="E7299" s="26" t="s">
        <v>49417</v>
      </c>
      <c r="F7299" s="37" t="s">
        <v>54401</v>
      </c>
      <c r="G7299" s="39">
        <f>1639234.5+368782</f>
        <v>2008016.5</v>
      </c>
      <c r="H7299" s="42">
        <v>211</v>
      </c>
    </row>
    <row r="7300" spans="1:8" ht="15" customHeight="1">
      <c r="A7300" s="26">
        <v>74377065</v>
      </c>
      <c r="B7300" s="30" t="s">
        <v>9528</v>
      </c>
      <c r="C7300" s="29" t="s">
        <v>17204</v>
      </c>
      <c r="D7300" s="29" t="s">
        <v>30349</v>
      </c>
      <c r="E7300" s="29" t="s">
        <v>43926</v>
      </c>
      <c r="F7300" s="36" t="s">
        <v>54401</v>
      </c>
      <c r="G7300" s="39">
        <v>27065.72</v>
      </c>
      <c r="H7300" s="42">
        <v>211</v>
      </c>
    </row>
    <row r="7301" spans="1:8" ht="15" customHeight="1">
      <c r="A7301" s="26">
        <v>74377077</v>
      </c>
      <c r="B7301" s="30" t="s">
        <v>9529</v>
      </c>
      <c r="C7301" s="29" t="s">
        <v>23756</v>
      </c>
      <c r="D7301" s="29" t="s">
        <v>37027</v>
      </c>
      <c r="E7301" s="29" t="s">
        <v>49418</v>
      </c>
      <c r="F7301" s="36" t="s">
        <v>54401</v>
      </c>
      <c r="G7301" s="39">
        <f>2155411.87+1078857</f>
        <v>3234268.87</v>
      </c>
      <c r="H7301" s="42">
        <v>211</v>
      </c>
    </row>
    <row r="7302" spans="1:8" ht="15" customHeight="1">
      <c r="A7302" s="26">
        <v>74377078</v>
      </c>
      <c r="B7302" s="30" t="s">
        <v>9530</v>
      </c>
      <c r="C7302" s="29" t="s">
        <v>17204</v>
      </c>
      <c r="D7302" s="29" t="s">
        <v>37028</v>
      </c>
      <c r="E7302" s="29" t="s">
        <v>43926</v>
      </c>
      <c r="F7302" s="36" t="s">
        <v>54401</v>
      </c>
      <c r="G7302" s="39">
        <v>372349.82</v>
      </c>
      <c r="H7302" s="42">
        <v>211</v>
      </c>
    </row>
    <row r="7303" spans="1:8" ht="15" customHeight="1">
      <c r="A7303" s="26">
        <v>74377098</v>
      </c>
      <c r="B7303" s="30" t="s">
        <v>9531</v>
      </c>
      <c r="C7303" s="29" t="s">
        <v>23757</v>
      </c>
      <c r="D7303" s="29" t="s">
        <v>37029</v>
      </c>
      <c r="E7303" s="29" t="s">
        <v>49419</v>
      </c>
      <c r="F7303" s="36" t="s">
        <v>54401</v>
      </c>
      <c r="G7303" s="39">
        <v>960450.19</v>
      </c>
      <c r="H7303" s="42">
        <v>211</v>
      </c>
    </row>
    <row r="7304" spans="1:8" ht="15" customHeight="1">
      <c r="A7304" s="26">
        <v>74377103</v>
      </c>
      <c r="B7304" s="30" t="s">
        <v>9532</v>
      </c>
      <c r="C7304" s="29" t="s">
        <v>23758</v>
      </c>
      <c r="D7304" s="29" t="s">
        <v>37030</v>
      </c>
      <c r="E7304" s="29" t="s">
        <v>49420</v>
      </c>
      <c r="F7304" s="36" t="s">
        <v>54401</v>
      </c>
      <c r="G7304" s="39">
        <f>3991183.29+601061</f>
        <v>4592244.29</v>
      </c>
      <c r="H7304" s="42">
        <v>211</v>
      </c>
    </row>
    <row r="7305" spans="1:8" ht="15" customHeight="1">
      <c r="A7305" s="26">
        <v>74377118</v>
      </c>
      <c r="B7305" s="30" t="s">
        <v>9533</v>
      </c>
      <c r="C7305" s="29" t="s">
        <v>23759</v>
      </c>
      <c r="D7305" s="29" t="s">
        <v>37031</v>
      </c>
      <c r="E7305" s="29" t="s">
        <v>49421</v>
      </c>
      <c r="F7305" s="36" t="s">
        <v>54401</v>
      </c>
      <c r="G7305" s="39">
        <v>1369142.74</v>
      </c>
      <c r="H7305" s="42">
        <v>211</v>
      </c>
    </row>
    <row r="7306" spans="1:8" ht="15" customHeight="1">
      <c r="A7306" s="26">
        <v>74377134</v>
      </c>
      <c r="B7306" s="30" t="s">
        <v>9534</v>
      </c>
      <c r="C7306" s="29" t="s">
        <v>17204</v>
      </c>
      <c r="D7306" s="29" t="s">
        <v>37032</v>
      </c>
      <c r="E7306" s="29" t="s">
        <v>43926</v>
      </c>
      <c r="F7306" s="36" t="s">
        <v>54401</v>
      </c>
      <c r="G7306" s="39">
        <v>1234999.97</v>
      </c>
      <c r="H7306" s="42">
        <v>211</v>
      </c>
    </row>
    <row r="7307" spans="1:8" ht="15" customHeight="1">
      <c r="A7307" s="26">
        <v>74377165</v>
      </c>
      <c r="B7307" s="30" t="s">
        <v>9535</v>
      </c>
      <c r="C7307" s="29" t="s">
        <v>23760</v>
      </c>
      <c r="D7307" s="29" t="s">
        <v>37033</v>
      </c>
      <c r="E7307" s="29" t="s">
        <v>49422</v>
      </c>
      <c r="F7307" s="36" t="s">
        <v>54401</v>
      </c>
      <c r="G7307" s="39">
        <v>244878.37</v>
      </c>
      <c r="H7307" s="42">
        <v>211</v>
      </c>
    </row>
    <row r="7308" spans="1:8" ht="15" customHeight="1">
      <c r="A7308" s="26">
        <v>74377170</v>
      </c>
      <c r="B7308" s="30" t="s">
        <v>9536</v>
      </c>
      <c r="C7308" s="29" t="s">
        <v>23761</v>
      </c>
      <c r="D7308" s="29" t="s">
        <v>37034</v>
      </c>
      <c r="E7308" s="29" t="s">
        <v>49423</v>
      </c>
      <c r="F7308" s="36" t="s">
        <v>54423</v>
      </c>
      <c r="G7308" s="39">
        <v>618509.74</v>
      </c>
      <c r="H7308" s="42">
        <v>211</v>
      </c>
    </row>
    <row r="7309" spans="1:8" ht="15" customHeight="1">
      <c r="A7309" s="26">
        <v>74377186</v>
      </c>
      <c r="B7309" s="30" t="s">
        <v>9537</v>
      </c>
      <c r="C7309" s="29" t="s">
        <v>23762</v>
      </c>
      <c r="D7309" s="29" t="s">
        <v>37035</v>
      </c>
      <c r="E7309" s="29" t="s">
        <v>49424</v>
      </c>
      <c r="F7309" s="36" t="s">
        <v>54401</v>
      </c>
      <c r="G7309" s="39">
        <f>2530392.79+34161</f>
        <v>2564553.79</v>
      </c>
      <c r="H7309" s="42">
        <v>211</v>
      </c>
    </row>
    <row r="7310" spans="1:8" ht="15" customHeight="1">
      <c r="A7310" s="26">
        <v>74377187</v>
      </c>
      <c r="B7310" s="30" t="s">
        <v>9538</v>
      </c>
      <c r="C7310" s="29" t="s">
        <v>23763</v>
      </c>
      <c r="D7310" s="29" t="s">
        <v>37036</v>
      </c>
      <c r="E7310" s="29" t="s">
        <v>49425</v>
      </c>
      <c r="F7310" s="36" t="s">
        <v>54401</v>
      </c>
      <c r="G7310" s="39">
        <v>85731.03</v>
      </c>
      <c r="H7310" s="42">
        <v>211</v>
      </c>
    </row>
    <row r="7311" spans="1:8" ht="15" customHeight="1">
      <c r="A7311" s="26">
        <v>74377207</v>
      </c>
      <c r="B7311" s="30" t="s">
        <v>9539</v>
      </c>
      <c r="C7311" s="29" t="s">
        <v>23764</v>
      </c>
      <c r="D7311" s="29" t="s">
        <v>37037</v>
      </c>
      <c r="E7311" s="29" t="s">
        <v>49426</v>
      </c>
      <c r="F7311" s="36" t="s">
        <v>54401</v>
      </c>
      <c r="G7311" s="39">
        <v>390681.02</v>
      </c>
      <c r="H7311" s="42">
        <v>211</v>
      </c>
    </row>
    <row r="7312" spans="1:8" ht="15" customHeight="1">
      <c r="A7312" s="26">
        <v>74377210</v>
      </c>
      <c r="B7312" s="30" t="s">
        <v>9540</v>
      </c>
      <c r="C7312" s="29" t="s">
        <v>23765</v>
      </c>
      <c r="D7312" s="29" t="s">
        <v>37038</v>
      </c>
      <c r="E7312" s="29" t="s">
        <v>49427</v>
      </c>
      <c r="F7312" s="36" t="s">
        <v>54401</v>
      </c>
      <c r="G7312" s="39">
        <v>1064384.6399999999</v>
      </c>
      <c r="H7312" s="42">
        <v>211</v>
      </c>
    </row>
    <row r="7313" spans="1:8" ht="15" customHeight="1">
      <c r="A7313" s="26">
        <v>74377213</v>
      </c>
      <c r="B7313" s="30" t="s">
        <v>9541</v>
      </c>
      <c r="C7313" s="29" t="s">
        <v>23766</v>
      </c>
      <c r="D7313" s="29" t="s">
        <v>37039</v>
      </c>
      <c r="E7313" s="29" t="s">
        <v>49428</v>
      </c>
      <c r="F7313" s="36" t="s">
        <v>54401</v>
      </c>
      <c r="G7313" s="39">
        <v>102500</v>
      </c>
      <c r="H7313" s="42">
        <v>211</v>
      </c>
    </row>
    <row r="7314" spans="1:8" ht="15" customHeight="1">
      <c r="A7314" s="26">
        <v>74377230</v>
      </c>
      <c r="B7314" s="30" t="s">
        <v>9542</v>
      </c>
      <c r="C7314" s="29" t="s">
        <v>23767</v>
      </c>
      <c r="D7314" s="29" t="s">
        <v>37040</v>
      </c>
      <c r="E7314" s="29" t="s">
        <v>49429</v>
      </c>
      <c r="F7314" s="36" t="s">
        <v>54401</v>
      </c>
      <c r="G7314" s="39">
        <f>1200294.43+115890</f>
        <v>1316184.43</v>
      </c>
      <c r="H7314" s="42">
        <v>211</v>
      </c>
    </row>
    <row r="7315" spans="1:8" ht="15" customHeight="1">
      <c r="A7315" s="26">
        <v>74377236</v>
      </c>
      <c r="B7315" s="30" t="s">
        <v>9543</v>
      </c>
      <c r="C7315" s="29" t="s">
        <v>23768</v>
      </c>
      <c r="D7315" s="29" t="s">
        <v>37041</v>
      </c>
      <c r="E7315" s="29" t="s">
        <v>43926</v>
      </c>
      <c r="F7315" s="36" t="s">
        <v>54401</v>
      </c>
      <c r="G7315" s="39">
        <v>145178.28</v>
      </c>
      <c r="H7315" s="42">
        <v>211</v>
      </c>
    </row>
    <row r="7316" spans="1:8" ht="15" customHeight="1">
      <c r="A7316" s="26">
        <v>74377243</v>
      </c>
      <c r="B7316" s="30" t="s">
        <v>9544</v>
      </c>
      <c r="C7316" s="29" t="s">
        <v>23769</v>
      </c>
      <c r="D7316" s="29" t="s">
        <v>37042</v>
      </c>
      <c r="E7316" s="29" t="s">
        <v>48792</v>
      </c>
      <c r="F7316" s="36" t="s">
        <v>54401</v>
      </c>
      <c r="G7316" s="39">
        <v>4053810.87</v>
      </c>
      <c r="H7316" s="42">
        <v>211</v>
      </c>
    </row>
    <row r="7317" spans="1:8" ht="15" customHeight="1">
      <c r="A7317" s="26">
        <v>74377252</v>
      </c>
      <c r="B7317" s="30" t="s">
        <v>9545</v>
      </c>
      <c r="C7317" s="29" t="s">
        <v>23770</v>
      </c>
      <c r="D7317" s="29" t="s">
        <v>37043</v>
      </c>
      <c r="E7317" s="29" t="s">
        <v>49430</v>
      </c>
      <c r="F7317" s="36" t="s">
        <v>54401</v>
      </c>
      <c r="G7317" s="39">
        <v>7496611.1900000004</v>
      </c>
      <c r="H7317" s="42">
        <v>211</v>
      </c>
    </row>
    <row r="7318" spans="1:8" ht="15" customHeight="1">
      <c r="A7318" s="26">
        <v>74377263</v>
      </c>
      <c r="B7318" s="30" t="s">
        <v>9546</v>
      </c>
      <c r="C7318" s="26" t="s">
        <v>23771</v>
      </c>
      <c r="D7318" s="26" t="s">
        <v>37044</v>
      </c>
      <c r="E7318" s="26" t="s">
        <v>49431</v>
      </c>
      <c r="F7318" s="37" t="s">
        <v>54401</v>
      </c>
      <c r="G7318" s="39">
        <v>2924715.18</v>
      </c>
      <c r="H7318" s="42">
        <v>211</v>
      </c>
    </row>
    <row r="7319" spans="1:8" ht="15" customHeight="1">
      <c r="A7319" s="26">
        <v>74377267</v>
      </c>
      <c r="B7319" s="30" t="s">
        <v>9547</v>
      </c>
      <c r="C7319" s="26" t="s">
        <v>23772</v>
      </c>
      <c r="D7319" s="26" t="s">
        <v>37045</v>
      </c>
      <c r="E7319" s="26" t="s">
        <v>49432</v>
      </c>
      <c r="F7319" s="37" t="s">
        <v>54401</v>
      </c>
      <c r="G7319" s="39">
        <v>1344779.1</v>
      </c>
      <c r="H7319" s="42">
        <v>211</v>
      </c>
    </row>
    <row r="7320" spans="1:8" ht="15" customHeight="1">
      <c r="A7320" s="26">
        <v>74377276</v>
      </c>
      <c r="B7320" s="30" t="s">
        <v>9548</v>
      </c>
      <c r="C7320" s="29" t="s">
        <v>23773</v>
      </c>
      <c r="D7320" s="29" t="s">
        <v>36913</v>
      </c>
      <c r="E7320" s="29" t="s">
        <v>49433</v>
      </c>
      <c r="F7320" s="36" t="s">
        <v>54401</v>
      </c>
      <c r="G7320" s="39">
        <v>558935.68000000005</v>
      </c>
      <c r="H7320" s="42">
        <v>211</v>
      </c>
    </row>
    <row r="7321" spans="1:8" ht="15" customHeight="1">
      <c r="A7321" s="26">
        <v>74377294</v>
      </c>
      <c r="B7321" s="30" t="s">
        <v>9549</v>
      </c>
      <c r="C7321" s="29" t="s">
        <v>23774</v>
      </c>
      <c r="D7321" s="29" t="s">
        <v>37046</v>
      </c>
      <c r="E7321" s="29" t="s">
        <v>49434</v>
      </c>
      <c r="F7321" s="36" t="s">
        <v>54401</v>
      </c>
      <c r="G7321" s="39">
        <v>5997939.9500000002</v>
      </c>
      <c r="H7321" s="42">
        <v>211</v>
      </c>
    </row>
    <row r="7322" spans="1:8" ht="15" customHeight="1">
      <c r="A7322" s="26">
        <v>74377302</v>
      </c>
      <c r="B7322" s="30" t="s">
        <v>9550</v>
      </c>
      <c r="C7322" s="29" t="s">
        <v>23775</v>
      </c>
      <c r="D7322" s="29" t="s">
        <v>37047</v>
      </c>
      <c r="E7322" s="29" t="s">
        <v>49435</v>
      </c>
      <c r="F7322" s="36" t="s">
        <v>54401</v>
      </c>
      <c r="G7322" s="39">
        <v>575776.55000000005</v>
      </c>
      <c r="H7322" s="42">
        <v>211</v>
      </c>
    </row>
    <row r="7323" spans="1:8" ht="15" customHeight="1">
      <c r="A7323" s="26">
        <v>74377303</v>
      </c>
      <c r="B7323" s="30" t="s">
        <v>9551</v>
      </c>
      <c r="C7323" s="26" t="s">
        <v>23776</v>
      </c>
      <c r="D7323" s="26" t="s">
        <v>37048</v>
      </c>
      <c r="E7323" s="26" t="s">
        <v>49436</v>
      </c>
      <c r="F7323" s="37" t="s">
        <v>54401</v>
      </c>
      <c r="G7323" s="39">
        <v>264666.75</v>
      </c>
      <c r="H7323" s="42">
        <v>211</v>
      </c>
    </row>
    <row r="7324" spans="1:8" ht="15" customHeight="1">
      <c r="A7324" s="26">
        <v>74377305</v>
      </c>
      <c r="B7324" s="30" t="s">
        <v>9552</v>
      </c>
      <c r="C7324" s="29" t="s">
        <v>23777</v>
      </c>
      <c r="D7324" s="29" t="s">
        <v>37049</v>
      </c>
      <c r="E7324" s="29" t="s">
        <v>49437</v>
      </c>
      <c r="F7324" s="36" t="s">
        <v>54401</v>
      </c>
      <c r="G7324" s="39">
        <f>3769316.22+1061792</f>
        <v>4831108.2200000007</v>
      </c>
      <c r="H7324" s="42">
        <v>211</v>
      </c>
    </row>
    <row r="7325" spans="1:8" ht="15" customHeight="1">
      <c r="A7325" s="26">
        <v>74377315</v>
      </c>
      <c r="B7325" s="30" t="s">
        <v>9553</v>
      </c>
      <c r="C7325" s="29" t="s">
        <v>23778</v>
      </c>
      <c r="D7325" s="29" t="s">
        <v>37050</v>
      </c>
      <c r="E7325" s="29" t="s">
        <v>49438</v>
      </c>
      <c r="F7325" s="36" t="s">
        <v>54401</v>
      </c>
      <c r="G7325" s="39">
        <v>335441.45</v>
      </c>
      <c r="H7325" s="42">
        <v>211</v>
      </c>
    </row>
    <row r="7326" spans="1:8" ht="15" customHeight="1">
      <c r="A7326" s="26">
        <v>74377336</v>
      </c>
      <c r="B7326" s="30" t="s">
        <v>9554</v>
      </c>
      <c r="C7326" s="29" t="s">
        <v>23779</v>
      </c>
      <c r="D7326" s="29" t="s">
        <v>37051</v>
      </c>
      <c r="E7326" s="29" t="s">
        <v>49439</v>
      </c>
      <c r="F7326" s="36" t="s">
        <v>54401</v>
      </c>
      <c r="G7326" s="39">
        <f>6220367.2+1092080</f>
        <v>7312447.2000000002</v>
      </c>
      <c r="H7326" s="42">
        <v>211</v>
      </c>
    </row>
    <row r="7327" spans="1:8" ht="15" customHeight="1">
      <c r="A7327" s="26">
        <v>74377344</v>
      </c>
      <c r="B7327" s="30" t="s">
        <v>9555</v>
      </c>
      <c r="C7327" s="29" t="s">
        <v>23780</v>
      </c>
      <c r="D7327" s="29" t="s">
        <v>37052</v>
      </c>
      <c r="E7327" s="29" t="s">
        <v>49440</v>
      </c>
      <c r="F7327" s="36" t="s">
        <v>54401</v>
      </c>
      <c r="G7327" s="39">
        <f>5042792.14+88143</f>
        <v>5130935.1399999997</v>
      </c>
      <c r="H7327" s="42">
        <v>211</v>
      </c>
    </row>
    <row r="7328" spans="1:8" ht="15" customHeight="1">
      <c r="A7328" s="26">
        <v>74377346</v>
      </c>
      <c r="B7328" s="30" t="s">
        <v>9556</v>
      </c>
      <c r="C7328" s="29" t="s">
        <v>23781</v>
      </c>
      <c r="D7328" s="29" t="s">
        <v>37053</v>
      </c>
      <c r="E7328" s="29" t="s">
        <v>43926</v>
      </c>
      <c r="F7328" s="36" t="s">
        <v>54401</v>
      </c>
      <c r="G7328" s="39">
        <f>3495604.38-93094</f>
        <v>3402510.38</v>
      </c>
      <c r="H7328" s="42">
        <v>211</v>
      </c>
    </row>
    <row r="7329" spans="1:8" ht="15" customHeight="1">
      <c r="A7329" s="26">
        <v>74377362</v>
      </c>
      <c r="B7329" s="30" t="s">
        <v>9557</v>
      </c>
      <c r="C7329" s="29" t="s">
        <v>23782</v>
      </c>
      <c r="D7329" s="29" t="s">
        <v>37054</v>
      </c>
      <c r="E7329" s="29" t="s">
        <v>49441</v>
      </c>
      <c r="F7329" s="36" t="s">
        <v>54401</v>
      </c>
      <c r="G7329" s="39">
        <v>73584.87</v>
      </c>
      <c r="H7329" s="42">
        <v>211</v>
      </c>
    </row>
    <row r="7330" spans="1:8" ht="15" customHeight="1">
      <c r="A7330" s="26">
        <v>74377392</v>
      </c>
      <c r="B7330" s="30" t="s">
        <v>9558</v>
      </c>
      <c r="C7330" s="29" t="s">
        <v>23783</v>
      </c>
      <c r="D7330" s="29" t="s">
        <v>37055</v>
      </c>
      <c r="E7330" s="29" t="s">
        <v>49442</v>
      </c>
      <c r="F7330" s="36" t="s">
        <v>54401</v>
      </c>
      <c r="G7330" s="39">
        <f>1815901.64+591770</f>
        <v>2407671.6399999997</v>
      </c>
      <c r="H7330" s="42">
        <v>211</v>
      </c>
    </row>
    <row r="7331" spans="1:8" ht="15" customHeight="1">
      <c r="A7331" s="26">
        <v>74377401</v>
      </c>
      <c r="B7331" s="30" t="s">
        <v>9559</v>
      </c>
      <c r="C7331" s="29" t="s">
        <v>23784</v>
      </c>
      <c r="D7331" s="29" t="s">
        <v>37056</v>
      </c>
      <c r="E7331" s="29" t="s">
        <v>49443</v>
      </c>
      <c r="F7331" s="36" t="s">
        <v>54401</v>
      </c>
      <c r="G7331" s="39">
        <v>597449.64</v>
      </c>
      <c r="H7331" s="42">
        <v>211</v>
      </c>
    </row>
    <row r="7332" spans="1:8" ht="15" customHeight="1">
      <c r="A7332" s="26">
        <v>74377403</v>
      </c>
      <c r="B7332" s="30" t="s">
        <v>9560</v>
      </c>
      <c r="C7332" s="29" t="s">
        <v>23785</v>
      </c>
      <c r="D7332" s="29" t="s">
        <v>37057</v>
      </c>
      <c r="E7332" s="29" t="s">
        <v>49444</v>
      </c>
      <c r="F7332" s="36" t="s">
        <v>54401</v>
      </c>
      <c r="G7332" s="39">
        <v>645303.30000000005</v>
      </c>
      <c r="H7332" s="42">
        <v>211</v>
      </c>
    </row>
    <row r="7333" spans="1:8" ht="15" customHeight="1">
      <c r="A7333" s="26">
        <v>74377415</v>
      </c>
      <c r="B7333" s="30" t="s">
        <v>9561</v>
      </c>
      <c r="C7333" s="29" t="s">
        <v>23786</v>
      </c>
      <c r="D7333" s="29" t="s">
        <v>37058</v>
      </c>
      <c r="E7333" s="29" t="s">
        <v>44005</v>
      </c>
      <c r="F7333" s="36" t="s">
        <v>54401</v>
      </c>
      <c r="G7333" s="39">
        <v>839256.85</v>
      </c>
      <c r="H7333" s="42">
        <v>211</v>
      </c>
    </row>
    <row r="7334" spans="1:8" ht="15" customHeight="1">
      <c r="A7334" s="26">
        <v>74377420</v>
      </c>
      <c r="B7334" s="30" t="s">
        <v>9562</v>
      </c>
      <c r="C7334" s="29" t="s">
        <v>23787</v>
      </c>
      <c r="D7334" s="29" t="s">
        <v>37059</v>
      </c>
      <c r="E7334" s="29" t="s">
        <v>49445</v>
      </c>
      <c r="F7334" s="36" t="s">
        <v>54401</v>
      </c>
      <c r="G7334" s="39">
        <f>975773.22+4806496</f>
        <v>5782269.2199999997</v>
      </c>
      <c r="H7334" s="42">
        <v>211</v>
      </c>
    </row>
    <row r="7335" spans="1:8" ht="15" customHeight="1">
      <c r="A7335" s="26">
        <v>74377427</v>
      </c>
      <c r="B7335" s="30" t="s">
        <v>9563</v>
      </c>
      <c r="C7335" s="29" t="s">
        <v>23788</v>
      </c>
      <c r="D7335" s="29" t="s">
        <v>37060</v>
      </c>
      <c r="E7335" s="29" t="s">
        <v>47091</v>
      </c>
      <c r="F7335" s="36" t="s">
        <v>54401</v>
      </c>
      <c r="G7335" s="39">
        <v>58310.64</v>
      </c>
      <c r="H7335" s="42">
        <v>211</v>
      </c>
    </row>
    <row r="7336" spans="1:8" ht="15" customHeight="1">
      <c r="A7336" s="26">
        <v>74377432</v>
      </c>
      <c r="B7336" s="30" t="s">
        <v>9564</v>
      </c>
      <c r="C7336" s="29" t="s">
        <v>23789</v>
      </c>
      <c r="D7336" s="29" t="s">
        <v>37061</v>
      </c>
      <c r="E7336" s="29" t="s">
        <v>49446</v>
      </c>
      <c r="F7336" s="36" t="s">
        <v>54401</v>
      </c>
      <c r="G7336" s="39">
        <v>505866.65</v>
      </c>
      <c r="H7336" s="42">
        <v>211</v>
      </c>
    </row>
    <row r="7337" spans="1:8" ht="15" customHeight="1">
      <c r="A7337" s="26">
        <v>74377439</v>
      </c>
      <c r="B7337" s="30" t="s">
        <v>9565</v>
      </c>
      <c r="C7337" s="29" t="s">
        <v>23790</v>
      </c>
      <c r="D7337" s="29" t="s">
        <v>37062</v>
      </c>
      <c r="E7337" s="29" t="s">
        <v>44563</v>
      </c>
      <c r="F7337" s="36" t="s">
        <v>54401</v>
      </c>
      <c r="G7337" s="39">
        <v>57714.15</v>
      </c>
      <c r="H7337" s="42">
        <v>211</v>
      </c>
    </row>
    <row r="7338" spans="1:8" ht="15" customHeight="1">
      <c r="A7338" s="26">
        <v>74377453</v>
      </c>
      <c r="B7338" s="30" t="s">
        <v>9566</v>
      </c>
      <c r="C7338" s="29" t="s">
        <v>23791</v>
      </c>
      <c r="D7338" s="29" t="s">
        <v>37063</v>
      </c>
      <c r="E7338" s="29" t="s">
        <v>49260</v>
      </c>
      <c r="F7338" s="36" t="s">
        <v>54401</v>
      </c>
      <c r="G7338" s="39">
        <v>2868613.27</v>
      </c>
      <c r="H7338" s="42">
        <v>211</v>
      </c>
    </row>
    <row r="7339" spans="1:8" ht="15" customHeight="1">
      <c r="A7339" s="26">
        <v>74377470</v>
      </c>
      <c r="B7339" s="30" t="s">
        <v>9567</v>
      </c>
      <c r="C7339" s="26" t="s">
        <v>23792</v>
      </c>
      <c r="D7339" s="26" t="s">
        <v>37064</v>
      </c>
      <c r="E7339" s="26" t="s">
        <v>49447</v>
      </c>
      <c r="F7339" s="37" t="s">
        <v>54401</v>
      </c>
      <c r="G7339" s="39">
        <v>4387389.8899999997</v>
      </c>
      <c r="H7339" s="42">
        <v>211</v>
      </c>
    </row>
    <row r="7340" spans="1:8" ht="15" customHeight="1">
      <c r="A7340" s="26">
        <v>74377473</v>
      </c>
      <c r="B7340" s="30" t="s">
        <v>9568</v>
      </c>
      <c r="C7340" s="29" t="s">
        <v>23793</v>
      </c>
      <c r="D7340" s="29" t="s">
        <v>37065</v>
      </c>
      <c r="E7340" s="29" t="s">
        <v>49448</v>
      </c>
      <c r="F7340" s="36" t="s">
        <v>54401</v>
      </c>
      <c r="G7340" s="39">
        <v>240257.55</v>
      </c>
      <c r="H7340" s="42">
        <v>211</v>
      </c>
    </row>
    <row r="7341" spans="1:8" ht="15" customHeight="1">
      <c r="A7341" s="26">
        <v>74377496</v>
      </c>
      <c r="B7341" s="30" t="s">
        <v>9569</v>
      </c>
      <c r="C7341" s="29" t="s">
        <v>23794</v>
      </c>
      <c r="D7341" s="29" t="s">
        <v>37066</v>
      </c>
      <c r="E7341" s="29" t="s">
        <v>49449</v>
      </c>
      <c r="F7341" s="36" t="s">
        <v>54401</v>
      </c>
      <c r="G7341" s="39">
        <v>2820765.9</v>
      </c>
      <c r="H7341" s="42">
        <v>211</v>
      </c>
    </row>
    <row r="7342" spans="1:8" ht="15" customHeight="1">
      <c r="A7342" s="26">
        <v>74377520</v>
      </c>
      <c r="B7342" s="30" t="s">
        <v>9570</v>
      </c>
      <c r="C7342" s="29" t="s">
        <v>23795</v>
      </c>
      <c r="D7342" s="29" t="s">
        <v>37067</v>
      </c>
      <c r="E7342" s="29" t="s">
        <v>49450</v>
      </c>
      <c r="F7342" s="36" t="s">
        <v>54401</v>
      </c>
      <c r="G7342" s="39">
        <v>1914255.33</v>
      </c>
      <c r="H7342" s="42">
        <v>211</v>
      </c>
    </row>
    <row r="7343" spans="1:8" ht="15" customHeight="1">
      <c r="A7343" s="26">
        <v>74377538</v>
      </c>
      <c r="B7343" s="30" t="s">
        <v>9571</v>
      </c>
      <c r="C7343" s="29" t="s">
        <v>23796</v>
      </c>
      <c r="D7343" s="29" t="s">
        <v>37068</v>
      </c>
      <c r="E7343" s="29" t="s">
        <v>49451</v>
      </c>
      <c r="F7343" s="36" t="s">
        <v>54401</v>
      </c>
      <c r="G7343" s="39">
        <v>225626.82</v>
      </c>
      <c r="H7343" s="42">
        <v>211</v>
      </c>
    </row>
    <row r="7344" spans="1:8" ht="15" customHeight="1">
      <c r="A7344" s="26">
        <v>74377549</v>
      </c>
      <c r="B7344" s="30" t="s">
        <v>9572</v>
      </c>
      <c r="C7344" s="29" t="s">
        <v>23797</v>
      </c>
      <c r="D7344" s="29" t="s">
        <v>30376</v>
      </c>
      <c r="E7344" s="29" t="s">
        <v>49452</v>
      </c>
      <c r="F7344" s="36" t="s">
        <v>54401</v>
      </c>
      <c r="G7344" s="39">
        <f>1549510.73+627835</f>
        <v>2177345.73</v>
      </c>
      <c r="H7344" s="42">
        <v>211</v>
      </c>
    </row>
    <row r="7345" spans="1:8" ht="15" customHeight="1">
      <c r="A7345" s="26">
        <v>74377566</v>
      </c>
      <c r="B7345" s="30" t="s">
        <v>9573</v>
      </c>
      <c r="C7345" s="26" t="s">
        <v>23798</v>
      </c>
      <c r="D7345" s="26" t="s">
        <v>37069</v>
      </c>
      <c r="E7345" s="26" t="s">
        <v>47162</v>
      </c>
      <c r="F7345" s="37" t="s">
        <v>54401</v>
      </c>
      <c r="G7345" s="39">
        <v>2889213.04</v>
      </c>
      <c r="H7345" s="42">
        <v>211</v>
      </c>
    </row>
    <row r="7346" spans="1:8" ht="15" customHeight="1">
      <c r="A7346" s="26">
        <v>74377575</v>
      </c>
      <c r="B7346" s="30" t="s">
        <v>9574</v>
      </c>
      <c r="C7346" s="29" t="s">
        <v>23799</v>
      </c>
      <c r="D7346" s="29" t="s">
        <v>37070</v>
      </c>
      <c r="E7346" s="29" t="s">
        <v>49453</v>
      </c>
      <c r="F7346" s="36" t="s">
        <v>54401</v>
      </c>
      <c r="G7346" s="39">
        <f>5026422.9+364399</f>
        <v>5390821.9000000004</v>
      </c>
      <c r="H7346" s="42">
        <v>211</v>
      </c>
    </row>
    <row r="7347" spans="1:8" ht="15" customHeight="1">
      <c r="A7347" s="26">
        <v>74377580</v>
      </c>
      <c r="B7347" s="30" t="s">
        <v>9575</v>
      </c>
      <c r="C7347" s="29" t="s">
        <v>23800</v>
      </c>
      <c r="D7347" s="29" t="s">
        <v>37071</v>
      </c>
      <c r="E7347" s="29" t="s">
        <v>49454</v>
      </c>
      <c r="F7347" s="36" t="s">
        <v>54409</v>
      </c>
      <c r="G7347" s="39">
        <v>4162756.35</v>
      </c>
      <c r="H7347" s="42">
        <v>211</v>
      </c>
    </row>
    <row r="7348" spans="1:8" ht="15" customHeight="1">
      <c r="A7348" s="26">
        <v>74377581</v>
      </c>
      <c r="B7348" s="30" t="s">
        <v>9576</v>
      </c>
      <c r="C7348" s="26" t="s">
        <v>23801</v>
      </c>
      <c r="D7348" s="26" t="s">
        <v>37072</v>
      </c>
      <c r="E7348" s="26" t="s">
        <v>43926</v>
      </c>
      <c r="F7348" s="37" t="s">
        <v>54401</v>
      </c>
      <c r="G7348" s="39">
        <v>100898.37</v>
      </c>
      <c r="H7348" s="42">
        <v>211</v>
      </c>
    </row>
    <row r="7349" spans="1:8" ht="15" customHeight="1">
      <c r="A7349" s="26">
        <v>74377597</v>
      </c>
      <c r="B7349" s="30" t="s">
        <v>9577</v>
      </c>
      <c r="C7349" s="29" t="s">
        <v>23802</v>
      </c>
      <c r="D7349" s="29" t="s">
        <v>37073</v>
      </c>
      <c r="E7349" s="29" t="s">
        <v>49455</v>
      </c>
      <c r="F7349" s="36" t="s">
        <v>54401</v>
      </c>
      <c r="G7349" s="39">
        <f>3690104.99+432320</f>
        <v>4122424.99</v>
      </c>
      <c r="H7349" s="42">
        <v>211</v>
      </c>
    </row>
    <row r="7350" spans="1:8" ht="15" customHeight="1">
      <c r="A7350" s="26">
        <v>74377605</v>
      </c>
      <c r="B7350" s="30" t="s">
        <v>9578</v>
      </c>
      <c r="C7350" s="29" t="s">
        <v>23803</v>
      </c>
      <c r="D7350" s="29" t="s">
        <v>37074</v>
      </c>
      <c r="E7350" s="29" t="s">
        <v>49456</v>
      </c>
      <c r="F7350" s="36" t="s">
        <v>54401</v>
      </c>
      <c r="G7350" s="39">
        <v>3258120.37</v>
      </c>
      <c r="H7350" s="42">
        <v>211</v>
      </c>
    </row>
    <row r="7351" spans="1:8" ht="15" customHeight="1">
      <c r="A7351" s="26">
        <v>74377623</v>
      </c>
      <c r="B7351" s="30" t="s">
        <v>9579</v>
      </c>
      <c r="C7351" s="29" t="s">
        <v>23804</v>
      </c>
      <c r="D7351" s="29" t="s">
        <v>37075</v>
      </c>
      <c r="E7351" s="29" t="s">
        <v>49457</v>
      </c>
      <c r="F7351" s="36" t="s">
        <v>54401</v>
      </c>
      <c r="G7351" s="39">
        <v>3153544.23</v>
      </c>
      <c r="H7351" s="42">
        <v>211</v>
      </c>
    </row>
    <row r="7352" spans="1:8" ht="15" customHeight="1">
      <c r="A7352" s="26">
        <v>74377624</v>
      </c>
      <c r="B7352" s="30" t="s">
        <v>9580</v>
      </c>
      <c r="C7352" s="29" t="s">
        <v>23805</v>
      </c>
      <c r="D7352" s="29" t="s">
        <v>37076</v>
      </c>
      <c r="E7352" s="29" t="s">
        <v>49458</v>
      </c>
      <c r="F7352" s="36" t="s">
        <v>54401</v>
      </c>
      <c r="G7352" s="39">
        <v>828014.26</v>
      </c>
      <c r="H7352" s="42">
        <v>211</v>
      </c>
    </row>
    <row r="7353" spans="1:8" ht="15" customHeight="1">
      <c r="A7353" s="26">
        <v>74377627</v>
      </c>
      <c r="B7353" s="30" t="s">
        <v>9581</v>
      </c>
      <c r="C7353" s="29" t="s">
        <v>23806</v>
      </c>
      <c r="D7353" s="29" t="s">
        <v>37077</v>
      </c>
      <c r="E7353" s="29" t="s">
        <v>49459</v>
      </c>
      <c r="F7353" s="36" t="s">
        <v>54401</v>
      </c>
      <c r="G7353" s="39">
        <v>400920.02</v>
      </c>
      <c r="H7353" s="42">
        <v>211</v>
      </c>
    </row>
    <row r="7354" spans="1:8" ht="15" customHeight="1">
      <c r="A7354" s="26">
        <v>74377628</v>
      </c>
      <c r="B7354" s="30" t="s">
        <v>9582</v>
      </c>
      <c r="C7354" s="29" t="s">
        <v>23807</v>
      </c>
      <c r="D7354" s="29" t="s">
        <v>37078</v>
      </c>
      <c r="E7354" s="29" t="s">
        <v>49460</v>
      </c>
      <c r="F7354" s="36" t="s">
        <v>54401</v>
      </c>
      <c r="G7354" s="39">
        <v>3502649.68</v>
      </c>
      <c r="H7354" s="42">
        <v>211</v>
      </c>
    </row>
    <row r="7355" spans="1:8" ht="15" customHeight="1">
      <c r="A7355" s="26">
        <v>74377659</v>
      </c>
      <c r="B7355" s="30" t="s">
        <v>9583</v>
      </c>
      <c r="C7355" s="29" t="s">
        <v>17204</v>
      </c>
      <c r="D7355" s="29" t="s">
        <v>30349</v>
      </c>
      <c r="E7355" s="29" t="s">
        <v>43926</v>
      </c>
      <c r="F7355" s="36" t="s">
        <v>54401</v>
      </c>
      <c r="G7355" s="39">
        <v>193507.58</v>
      </c>
      <c r="H7355" s="42">
        <v>211</v>
      </c>
    </row>
    <row r="7356" spans="1:8" ht="15" customHeight="1">
      <c r="A7356" s="26">
        <v>74377670</v>
      </c>
      <c r="B7356" s="30" t="s">
        <v>9584</v>
      </c>
      <c r="C7356" s="29" t="s">
        <v>23808</v>
      </c>
      <c r="D7356" s="29" t="s">
        <v>37079</v>
      </c>
      <c r="E7356" s="29" t="s">
        <v>49461</v>
      </c>
      <c r="F7356" s="36" t="s">
        <v>54401</v>
      </c>
      <c r="G7356" s="39">
        <v>272407.19</v>
      </c>
      <c r="H7356" s="42">
        <v>211</v>
      </c>
    </row>
    <row r="7357" spans="1:8" ht="15" customHeight="1">
      <c r="A7357" s="26">
        <v>74377675</v>
      </c>
      <c r="B7357" s="30" t="s">
        <v>9585</v>
      </c>
      <c r="C7357" s="29" t="s">
        <v>23809</v>
      </c>
      <c r="D7357" s="29" t="s">
        <v>37080</v>
      </c>
      <c r="E7357" s="29" t="s">
        <v>49462</v>
      </c>
      <c r="F7357" s="36" t="s">
        <v>54401</v>
      </c>
      <c r="G7357" s="39">
        <v>3896542.97</v>
      </c>
      <c r="H7357" s="42">
        <v>211</v>
      </c>
    </row>
    <row r="7358" spans="1:8" ht="15" customHeight="1">
      <c r="A7358" s="26">
        <v>74377691</v>
      </c>
      <c r="B7358" s="30" t="s">
        <v>9586</v>
      </c>
      <c r="C7358" s="29" t="s">
        <v>23810</v>
      </c>
      <c r="D7358" s="29" t="s">
        <v>37081</v>
      </c>
      <c r="E7358" s="29" t="s">
        <v>49463</v>
      </c>
      <c r="F7358" s="36" t="s">
        <v>54401</v>
      </c>
      <c r="G7358" s="39">
        <v>167884.71</v>
      </c>
      <c r="H7358" s="42">
        <v>211</v>
      </c>
    </row>
    <row r="7359" spans="1:8" ht="15" customHeight="1">
      <c r="A7359" s="26">
        <v>74377695</v>
      </c>
      <c r="B7359" s="30" t="s">
        <v>9587</v>
      </c>
      <c r="C7359" s="26" t="s">
        <v>23811</v>
      </c>
      <c r="D7359" s="26" t="s">
        <v>30376</v>
      </c>
      <c r="E7359" s="26" t="s">
        <v>49464</v>
      </c>
      <c r="F7359" s="37" t="s">
        <v>54401</v>
      </c>
      <c r="G7359" s="39">
        <v>25120</v>
      </c>
      <c r="H7359" s="42">
        <v>211</v>
      </c>
    </row>
    <row r="7360" spans="1:8" ht="15" customHeight="1">
      <c r="A7360" s="26">
        <v>74377707</v>
      </c>
      <c r="B7360" s="30" t="s">
        <v>9588</v>
      </c>
      <c r="C7360" s="29" t="s">
        <v>23812</v>
      </c>
      <c r="D7360" s="29" t="s">
        <v>37082</v>
      </c>
      <c r="E7360" s="29" t="s">
        <v>49465</v>
      </c>
      <c r="F7360" s="36" t="s">
        <v>54423</v>
      </c>
      <c r="G7360" s="39">
        <v>659715.30000000005</v>
      </c>
      <c r="H7360" s="42">
        <v>211</v>
      </c>
    </row>
    <row r="7361" spans="1:8" ht="15" customHeight="1">
      <c r="A7361" s="26">
        <v>74377734</v>
      </c>
      <c r="B7361" s="30" t="s">
        <v>9589</v>
      </c>
      <c r="C7361" s="29" t="s">
        <v>17204</v>
      </c>
      <c r="D7361" s="29" t="s">
        <v>37083</v>
      </c>
      <c r="E7361" s="29" t="s">
        <v>43926</v>
      </c>
      <c r="F7361" s="36" t="s">
        <v>54401</v>
      </c>
      <c r="G7361" s="39">
        <v>307590.15999999997</v>
      </c>
      <c r="H7361" s="42">
        <v>211</v>
      </c>
    </row>
    <row r="7362" spans="1:8" ht="15" customHeight="1">
      <c r="A7362" s="26">
        <v>74377766</v>
      </c>
      <c r="B7362" s="30" t="s">
        <v>9590</v>
      </c>
      <c r="C7362" s="29" t="s">
        <v>23813</v>
      </c>
      <c r="D7362" s="29" t="s">
        <v>37084</v>
      </c>
      <c r="E7362" s="29" t="s">
        <v>49466</v>
      </c>
      <c r="F7362" s="36" t="s">
        <v>54401</v>
      </c>
      <c r="G7362" s="39">
        <v>3333384.33</v>
      </c>
      <c r="H7362" s="42">
        <v>211</v>
      </c>
    </row>
    <row r="7363" spans="1:8" ht="15" customHeight="1">
      <c r="A7363" s="26">
        <v>74377773</v>
      </c>
      <c r="B7363" s="30" t="s">
        <v>9591</v>
      </c>
      <c r="C7363" s="26" t="s">
        <v>23814</v>
      </c>
      <c r="D7363" s="26" t="s">
        <v>34592</v>
      </c>
      <c r="E7363" s="26" t="s">
        <v>46808</v>
      </c>
      <c r="F7363" s="37" t="s">
        <v>54401</v>
      </c>
      <c r="G7363" s="39">
        <v>1061006.51</v>
      </c>
      <c r="H7363" s="42">
        <v>211</v>
      </c>
    </row>
    <row r="7364" spans="1:8" ht="15" customHeight="1">
      <c r="A7364" s="26">
        <v>74377774</v>
      </c>
      <c r="B7364" s="30" t="s">
        <v>9592</v>
      </c>
      <c r="C7364" s="29" t="s">
        <v>23815</v>
      </c>
      <c r="D7364" s="29" t="s">
        <v>37085</v>
      </c>
      <c r="E7364" s="29" t="s">
        <v>49467</v>
      </c>
      <c r="F7364" s="36" t="s">
        <v>54401</v>
      </c>
      <c r="G7364" s="39">
        <v>171680.5</v>
      </c>
      <c r="H7364" s="42">
        <v>211</v>
      </c>
    </row>
    <row r="7365" spans="1:8" ht="15" customHeight="1">
      <c r="A7365" s="26">
        <v>74377775</v>
      </c>
      <c r="B7365" s="30" t="s">
        <v>9593</v>
      </c>
      <c r="C7365" s="29" t="s">
        <v>23816</v>
      </c>
      <c r="D7365" s="29" t="s">
        <v>37086</v>
      </c>
      <c r="E7365" s="29" t="s">
        <v>49468</v>
      </c>
      <c r="F7365" s="36" t="s">
        <v>54401</v>
      </c>
      <c r="G7365" s="39">
        <f>4388874.26+416285</f>
        <v>4805159.26</v>
      </c>
      <c r="H7365" s="42">
        <v>211</v>
      </c>
    </row>
    <row r="7366" spans="1:8" ht="15" customHeight="1">
      <c r="A7366" s="26">
        <v>74377814</v>
      </c>
      <c r="B7366" s="30" t="s">
        <v>9594</v>
      </c>
      <c r="C7366" s="26" t="s">
        <v>17204</v>
      </c>
      <c r="D7366" s="26" t="s">
        <v>30349</v>
      </c>
      <c r="E7366" s="26" t="s">
        <v>43926</v>
      </c>
      <c r="F7366" s="37" t="s">
        <v>54401</v>
      </c>
      <c r="G7366" s="39">
        <v>93949.68</v>
      </c>
      <c r="H7366" s="42">
        <v>211</v>
      </c>
    </row>
    <row r="7367" spans="1:8" ht="15" customHeight="1">
      <c r="A7367" s="26">
        <v>74377817</v>
      </c>
      <c r="B7367" s="30" t="s">
        <v>9595</v>
      </c>
      <c r="C7367" s="29" t="s">
        <v>23817</v>
      </c>
      <c r="D7367" s="29" t="s">
        <v>37087</v>
      </c>
      <c r="E7367" s="29" t="s">
        <v>47215</v>
      </c>
      <c r="F7367" s="36" t="s">
        <v>54401</v>
      </c>
      <c r="G7367" s="39">
        <v>399050.13</v>
      </c>
      <c r="H7367" s="42">
        <v>211</v>
      </c>
    </row>
    <row r="7368" spans="1:8" ht="15" customHeight="1">
      <c r="A7368" s="26">
        <v>74377821</v>
      </c>
      <c r="B7368" s="30" t="s">
        <v>9596</v>
      </c>
      <c r="C7368" s="29" t="s">
        <v>23818</v>
      </c>
      <c r="D7368" s="29" t="s">
        <v>37088</v>
      </c>
      <c r="E7368" s="29" t="s">
        <v>49469</v>
      </c>
      <c r="F7368" s="36" t="s">
        <v>54401</v>
      </c>
      <c r="G7368" s="39">
        <f>2814125.61+846783+27437</f>
        <v>3688345.61</v>
      </c>
      <c r="H7368" s="42">
        <v>211</v>
      </c>
    </row>
    <row r="7369" spans="1:8" ht="15" customHeight="1">
      <c r="A7369" s="26">
        <v>74377850</v>
      </c>
      <c r="B7369" s="30" t="s">
        <v>9597</v>
      </c>
      <c r="C7369" s="29" t="s">
        <v>23819</v>
      </c>
      <c r="D7369" s="29" t="s">
        <v>37089</v>
      </c>
      <c r="E7369" s="29" t="s">
        <v>48391</v>
      </c>
      <c r="F7369" s="36" t="s">
        <v>54401</v>
      </c>
      <c r="G7369" s="39">
        <v>132749.04999999999</v>
      </c>
      <c r="H7369" s="42">
        <v>211</v>
      </c>
    </row>
    <row r="7370" spans="1:8" ht="15" customHeight="1">
      <c r="A7370" s="26">
        <v>74377859</v>
      </c>
      <c r="B7370" s="30" t="s">
        <v>9598</v>
      </c>
      <c r="C7370" s="29" t="s">
        <v>23820</v>
      </c>
      <c r="D7370" s="29" t="s">
        <v>37090</v>
      </c>
      <c r="E7370" s="29" t="s">
        <v>47110</v>
      </c>
      <c r="F7370" s="36" t="s">
        <v>54401</v>
      </c>
      <c r="G7370" s="39">
        <f>1119184.33+1022739</f>
        <v>2141923.33</v>
      </c>
      <c r="H7370" s="42">
        <v>211</v>
      </c>
    </row>
    <row r="7371" spans="1:8" ht="15" customHeight="1">
      <c r="A7371" s="26">
        <v>74377878</v>
      </c>
      <c r="B7371" s="30" t="s">
        <v>9599</v>
      </c>
      <c r="C7371" s="29" t="s">
        <v>23821</v>
      </c>
      <c r="D7371" s="29" t="s">
        <v>37091</v>
      </c>
      <c r="E7371" s="29" t="s">
        <v>47170</v>
      </c>
      <c r="F7371" s="36" t="s">
        <v>54401</v>
      </c>
      <c r="G7371" s="39">
        <v>2490913.9300000002</v>
      </c>
      <c r="H7371" s="42">
        <v>211</v>
      </c>
    </row>
    <row r="7372" spans="1:8" ht="15" customHeight="1">
      <c r="A7372" s="26">
        <v>74377880</v>
      </c>
      <c r="B7372" s="30" t="s">
        <v>9600</v>
      </c>
      <c r="C7372" s="26" t="s">
        <v>23822</v>
      </c>
      <c r="D7372" s="26" t="s">
        <v>37092</v>
      </c>
      <c r="E7372" s="26" t="s">
        <v>46499</v>
      </c>
      <c r="F7372" s="37" t="s">
        <v>54401</v>
      </c>
      <c r="G7372" s="39">
        <v>28019.83</v>
      </c>
      <c r="H7372" s="42">
        <v>211</v>
      </c>
    </row>
    <row r="7373" spans="1:8" ht="15" customHeight="1">
      <c r="A7373" s="26">
        <v>74377906</v>
      </c>
      <c r="B7373" s="30" t="s">
        <v>9601</v>
      </c>
      <c r="C7373" s="26" t="s">
        <v>23823</v>
      </c>
      <c r="D7373" s="26" t="s">
        <v>37093</v>
      </c>
      <c r="E7373" s="26" t="s">
        <v>49470</v>
      </c>
      <c r="F7373" s="37" t="s">
        <v>54401</v>
      </c>
      <c r="G7373" s="39">
        <v>2359384.9</v>
      </c>
      <c r="H7373" s="42">
        <v>211</v>
      </c>
    </row>
    <row r="7374" spans="1:8" ht="15" customHeight="1">
      <c r="A7374" s="26">
        <v>74377915</v>
      </c>
      <c r="B7374" s="30" t="s">
        <v>9602</v>
      </c>
      <c r="C7374" s="29" t="s">
        <v>23824</v>
      </c>
      <c r="D7374" s="29" t="s">
        <v>37094</v>
      </c>
      <c r="E7374" s="29" t="s">
        <v>49471</v>
      </c>
      <c r="F7374" s="36" t="s">
        <v>54401</v>
      </c>
      <c r="G7374" s="39">
        <f>666003.75+2863252+425022</f>
        <v>3954277.75</v>
      </c>
      <c r="H7374" s="42">
        <v>211</v>
      </c>
    </row>
    <row r="7375" spans="1:8" ht="15" customHeight="1">
      <c r="A7375" s="26">
        <v>74377951</v>
      </c>
      <c r="B7375" s="30" t="s">
        <v>9603</v>
      </c>
      <c r="C7375" s="26" t="s">
        <v>23825</v>
      </c>
      <c r="D7375" s="26" t="s">
        <v>37095</v>
      </c>
      <c r="E7375" s="26" t="s">
        <v>49472</v>
      </c>
      <c r="F7375" s="37" t="s">
        <v>54401</v>
      </c>
      <c r="G7375" s="39">
        <v>87210.79</v>
      </c>
      <c r="H7375" s="42">
        <v>211</v>
      </c>
    </row>
    <row r="7376" spans="1:8" ht="15" customHeight="1">
      <c r="A7376" s="26">
        <v>74377952</v>
      </c>
      <c r="B7376" s="30" t="s">
        <v>9604</v>
      </c>
      <c r="C7376" s="29" t="s">
        <v>23826</v>
      </c>
      <c r="D7376" s="29" t="s">
        <v>35671</v>
      </c>
      <c r="E7376" s="29" t="s">
        <v>48384</v>
      </c>
      <c r="F7376" s="36" t="s">
        <v>54401</v>
      </c>
      <c r="G7376" s="39">
        <v>63403.61</v>
      </c>
      <c r="H7376" s="42">
        <v>211</v>
      </c>
    </row>
    <row r="7377" spans="1:8" ht="15" customHeight="1">
      <c r="A7377" s="26">
        <v>74377954</v>
      </c>
      <c r="B7377" s="30" t="s">
        <v>9605</v>
      </c>
      <c r="C7377" s="29" t="s">
        <v>23827</v>
      </c>
      <c r="D7377" s="29" t="s">
        <v>37096</v>
      </c>
      <c r="E7377" s="29" t="s">
        <v>49473</v>
      </c>
      <c r="F7377" s="36" t="s">
        <v>54401</v>
      </c>
      <c r="G7377" s="39">
        <v>370593.95</v>
      </c>
      <c r="H7377" s="42">
        <v>211</v>
      </c>
    </row>
    <row r="7378" spans="1:8" ht="15" customHeight="1">
      <c r="A7378" s="26">
        <v>74377956</v>
      </c>
      <c r="B7378" s="30" t="s">
        <v>9606</v>
      </c>
      <c r="C7378" s="29" t="s">
        <v>23828</v>
      </c>
      <c r="D7378" s="29" t="s">
        <v>37097</v>
      </c>
      <c r="E7378" s="29" t="s">
        <v>43926</v>
      </c>
      <c r="F7378" s="36" t="s">
        <v>54401</v>
      </c>
      <c r="G7378" s="39">
        <v>1857020.1</v>
      </c>
      <c r="H7378" s="42">
        <v>211</v>
      </c>
    </row>
    <row r="7379" spans="1:8" ht="15" customHeight="1">
      <c r="A7379" s="26">
        <v>74377972</v>
      </c>
      <c r="B7379" s="30" t="s">
        <v>9607</v>
      </c>
      <c r="C7379" s="29" t="s">
        <v>23829</v>
      </c>
      <c r="D7379" s="29" t="s">
        <v>37098</v>
      </c>
      <c r="E7379" s="29" t="s">
        <v>43926</v>
      </c>
      <c r="F7379" s="36" t="s">
        <v>54401</v>
      </c>
      <c r="G7379" s="39">
        <v>11245.51</v>
      </c>
      <c r="H7379" s="42">
        <v>211</v>
      </c>
    </row>
    <row r="7380" spans="1:8" ht="15" customHeight="1">
      <c r="A7380" s="26">
        <v>74377977</v>
      </c>
      <c r="B7380" s="30" t="s">
        <v>9608</v>
      </c>
      <c r="C7380" s="26" t="s">
        <v>23830</v>
      </c>
      <c r="D7380" s="26" t="s">
        <v>37099</v>
      </c>
      <c r="E7380" s="26" t="s">
        <v>43926</v>
      </c>
      <c r="F7380" s="37" t="s">
        <v>54401</v>
      </c>
      <c r="G7380" s="39">
        <v>1089641.9099999999</v>
      </c>
      <c r="H7380" s="42">
        <v>211</v>
      </c>
    </row>
    <row r="7381" spans="1:8" ht="15" customHeight="1">
      <c r="A7381" s="26">
        <v>74378005</v>
      </c>
      <c r="B7381" s="30" t="s">
        <v>9609</v>
      </c>
      <c r="C7381" s="29" t="s">
        <v>23831</v>
      </c>
      <c r="D7381" s="29" t="s">
        <v>37100</v>
      </c>
      <c r="E7381" s="29" t="s">
        <v>49474</v>
      </c>
      <c r="F7381" s="36" t="s">
        <v>54401</v>
      </c>
      <c r="G7381" s="39">
        <v>1543907.24</v>
      </c>
      <c r="H7381" s="42">
        <v>211</v>
      </c>
    </row>
    <row r="7382" spans="1:8" ht="15" customHeight="1">
      <c r="A7382" s="26">
        <v>74378018</v>
      </c>
      <c r="B7382" s="30" t="s">
        <v>9610</v>
      </c>
      <c r="C7382" s="29" t="s">
        <v>23832</v>
      </c>
      <c r="D7382" s="29" t="s">
        <v>37101</v>
      </c>
      <c r="E7382" s="29" t="s">
        <v>43926</v>
      </c>
      <c r="F7382" s="36" t="s">
        <v>54401</v>
      </c>
      <c r="G7382" s="39">
        <v>1226087.45</v>
      </c>
      <c r="H7382" s="42">
        <v>211</v>
      </c>
    </row>
    <row r="7383" spans="1:8" ht="15" customHeight="1">
      <c r="A7383" s="26">
        <v>74378020</v>
      </c>
      <c r="B7383" s="30" t="s">
        <v>9611</v>
      </c>
      <c r="C7383" s="26" t="s">
        <v>23833</v>
      </c>
      <c r="D7383" s="26" t="s">
        <v>37102</v>
      </c>
      <c r="E7383" s="26" t="s">
        <v>49475</v>
      </c>
      <c r="F7383" s="37" t="s">
        <v>54401</v>
      </c>
      <c r="G7383" s="39">
        <f>1778225.72-23274</f>
        <v>1754951.72</v>
      </c>
      <c r="H7383" s="42">
        <v>211</v>
      </c>
    </row>
    <row r="7384" spans="1:8" ht="15" customHeight="1">
      <c r="A7384" s="26">
        <v>74378022</v>
      </c>
      <c r="B7384" s="30" t="s">
        <v>9612</v>
      </c>
      <c r="C7384" s="29" t="s">
        <v>23834</v>
      </c>
      <c r="D7384" s="29" t="s">
        <v>37103</v>
      </c>
      <c r="E7384" s="29" t="s">
        <v>46041</v>
      </c>
      <c r="F7384" s="36" t="s">
        <v>54401</v>
      </c>
      <c r="G7384" s="39">
        <v>980382.88</v>
      </c>
      <c r="H7384" s="42">
        <v>211</v>
      </c>
    </row>
    <row r="7385" spans="1:8" ht="15" customHeight="1">
      <c r="A7385" s="26">
        <v>74378030</v>
      </c>
      <c r="B7385" s="30" t="s">
        <v>9613</v>
      </c>
      <c r="C7385" s="29" t="s">
        <v>23835</v>
      </c>
      <c r="D7385" s="29" t="s">
        <v>37104</v>
      </c>
      <c r="E7385" s="29" t="s">
        <v>49476</v>
      </c>
      <c r="F7385" s="36" t="s">
        <v>54401</v>
      </c>
      <c r="G7385" s="39">
        <v>502624.22</v>
      </c>
      <c r="H7385" s="42">
        <v>211</v>
      </c>
    </row>
    <row r="7386" spans="1:8" ht="15" customHeight="1">
      <c r="A7386" s="26">
        <v>74378033</v>
      </c>
      <c r="B7386" s="30" t="s">
        <v>9614</v>
      </c>
      <c r="C7386" s="26" t="s">
        <v>17204</v>
      </c>
      <c r="D7386" s="26" t="s">
        <v>37105</v>
      </c>
      <c r="E7386" s="26" t="s">
        <v>43926</v>
      </c>
      <c r="F7386" s="37" t="s">
        <v>54401</v>
      </c>
      <c r="G7386" s="39">
        <v>926086.16</v>
      </c>
      <c r="H7386" s="42">
        <v>211</v>
      </c>
    </row>
    <row r="7387" spans="1:8" ht="15" customHeight="1">
      <c r="A7387" s="26">
        <v>74378048</v>
      </c>
      <c r="B7387" s="30" t="s">
        <v>9615</v>
      </c>
      <c r="C7387" s="29" t="s">
        <v>23836</v>
      </c>
      <c r="D7387" s="29" t="s">
        <v>37106</v>
      </c>
      <c r="E7387" s="29" t="s">
        <v>49477</v>
      </c>
      <c r="F7387" s="36" t="s">
        <v>54401</v>
      </c>
      <c r="G7387" s="39">
        <v>32156.03</v>
      </c>
      <c r="H7387" s="42">
        <v>211</v>
      </c>
    </row>
    <row r="7388" spans="1:8" ht="15" customHeight="1">
      <c r="A7388" s="26">
        <v>74378054</v>
      </c>
      <c r="B7388" s="30" t="s">
        <v>9616</v>
      </c>
      <c r="C7388" s="29" t="s">
        <v>23837</v>
      </c>
      <c r="D7388" s="29" t="s">
        <v>37107</v>
      </c>
      <c r="E7388" s="29" t="s">
        <v>49478</v>
      </c>
      <c r="F7388" s="36" t="s">
        <v>54401</v>
      </c>
      <c r="G7388" s="39">
        <v>1553248.73</v>
      </c>
      <c r="H7388" s="42">
        <v>211</v>
      </c>
    </row>
    <row r="7389" spans="1:8" ht="15" customHeight="1">
      <c r="A7389" s="26">
        <v>74378073</v>
      </c>
      <c r="B7389" s="30" t="s">
        <v>9617</v>
      </c>
      <c r="C7389" s="29" t="s">
        <v>23838</v>
      </c>
      <c r="D7389" s="29" t="s">
        <v>37108</v>
      </c>
      <c r="E7389" s="29" t="s">
        <v>49479</v>
      </c>
      <c r="F7389" s="36" t="s">
        <v>54401</v>
      </c>
      <c r="G7389" s="39">
        <f>2835313.29+378054</f>
        <v>3213367.29</v>
      </c>
      <c r="H7389" s="42">
        <v>211</v>
      </c>
    </row>
    <row r="7390" spans="1:8" ht="15" customHeight="1">
      <c r="A7390" s="26">
        <v>74378074</v>
      </c>
      <c r="B7390" s="30" t="s">
        <v>9618</v>
      </c>
      <c r="C7390" s="29" t="s">
        <v>23839</v>
      </c>
      <c r="D7390" s="29" t="s">
        <v>37109</v>
      </c>
      <c r="E7390" s="29" t="s">
        <v>44536</v>
      </c>
      <c r="F7390" s="36" t="s">
        <v>54401</v>
      </c>
      <c r="G7390" s="39">
        <v>4672180.9000000004</v>
      </c>
      <c r="H7390" s="42">
        <v>211</v>
      </c>
    </row>
    <row r="7391" spans="1:8" ht="15" customHeight="1">
      <c r="A7391" s="26">
        <v>74378090</v>
      </c>
      <c r="B7391" s="30" t="s">
        <v>9619</v>
      </c>
      <c r="C7391" s="29" t="s">
        <v>17204</v>
      </c>
      <c r="D7391" s="29" t="s">
        <v>37110</v>
      </c>
      <c r="E7391" s="29" t="s">
        <v>43926</v>
      </c>
      <c r="F7391" s="36" t="s">
        <v>54401</v>
      </c>
      <c r="G7391" s="39">
        <v>844977</v>
      </c>
      <c r="H7391" s="42">
        <v>211</v>
      </c>
    </row>
    <row r="7392" spans="1:8" ht="15" customHeight="1">
      <c r="A7392" s="26">
        <v>74378105</v>
      </c>
      <c r="B7392" s="30" t="s">
        <v>9620</v>
      </c>
      <c r="C7392" s="29" t="s">
        <v>23840</v>
      </c>
      <c r="D7392" s="29" t="s">
        <v>37111</v>
      </c>
      <c r="E7392" s="29" t="s">
        <v>47312</v>
      </c>
      <c r="F7392" s="36" t="s">
        <v>54401</v>
      </c>
      <c r="G7392" s="39">
        <f>1630014.74+193777</f>
        <v>1823791.74</v>
      </c>
      <c r="H7392" s="42">
        <v>211</v>
      </c>
    </row>
    <row r="7393" spans="1:8" ht="15" customHeight="1">
      <c r="A7393" s="26">
        <v>74378106</v>
      </c>
      <c r="B7393" s="30" t="s">
        <v>9621</v>
      </c>
      <c r="C7393" s="26" t="s">
        <v>23841</v>
      </c>
      <c r="D7393" s="26" t="s">
        <v>37112</v>
      </c>
      <c r="E7393" s="26" t="s">
        <v>43926</v>
      </c>
      <c r="F7393" s="37" t="s">
        <v>54401</v>
      </c>
      <c r="G7393" s="39">
        <v>50089.62</v>
      </c>
      <c r="H7393" s="42">
        <v>211</v>
      </c>
    </row>
    <row r="7394" spans="1:8" ht="15" customHeight="1">
      <c r="A7394" s="26">
        <v>74378108</v>
      </c>
      <c r="B7394" s="30" t="s">
        <v>9622</v>
      </c>
      <c r="C7394" s="29" t="s">
        <v>23842</v>
      </c>
      <c r="D7394" s="29" t="s">
        <v>37113</v>
      </c>
      <c r="E7394" s="29" t="s">
        <v>49480</v>
      </c>
      <c r="F7394" s="36" t="s">
        <v>54401</v>
      </c>
      <c r="G7394" s="39">
        <v>2841356.64</v>
      </c>
      <c r="H7394" s="42">
        <v>211</v>
      </c>
    </row>
    <row r="7395" spans="1:8" ht="15" customHeight="1">
      <c r="A7395" s="26">
        <v>74378165</v>
      </c>
      <c r="B7395" s="30" t="s">
        <v>9623</v>
      </c>
      <c r="C7395" s="29" t="s">
        <v>17204</v>
      </c>
      <c r="D7395" s="29" t="s">
        <v>30349</v>
      </c>
      <c r="E7395" s="29" t="s">
        <v>43926</v>
      </c>
      <c r="F7395" s="36" t="s">
        <v>54401</v>
      </c>
      <c r="G7395" s="39">
        <v>478025.79</v>
      </c>
      <c r="H7395" s="42">
        <v>211</v>
      </c>
    </row>
    <row r="7396" spans="1:8" ht="15" customHeight="1">
      <c r="A7396" s="26">
        <v>74378180</v>
      </c>
      <c r="B7396" s="30" t="s">
        <v>9624</v>
      </c>
      <c r="C7396" s="26" t="s">
        <v>17204</v>
      </c>
      <c r="D7396" s="26" t="s">
        <v>30349</v>
      </c>
      <c r="E7396" s="26" t="s">
        <v>43926</v>
      </c>
      <c r="F7396" s="37" t="s">
        <v>54401</v>
      </c>
      <c r="G7396" s="39">
        <v>633981.30000000005</v>
      </c>
      <c r="H7396" s="42">
        <v>211</v>
      </c>
    </row>
    <row r="7397" spans="1:8" ht="15" customHeight="1">
      <c r="A7397" s="26">
        <v>74378194</v>
      </c>
      <c r="B7397" s="30" t="s">
        <v>9625</v>
      </c>
      <c r="C7397" s="29" t="s">
        <v>23843</v>
      </c>
      <c r="D7397" s="29" t="s">
        <v>37114</v>
      </c>
      <c r="E7397" s="29" t="s">
        <v>45502</v>
      </c>
      <c r="F7397" s="36" t="s">
        <v>54401</v>
      </c>
      <c r="G7397" s="39">
        <v>757749.03</v>
      </c>
      <c r="H7397" s="42">
        <v>211</v>
      </c>
    </row>
    <row r="7398" spans="1:8" ht="15" customHeight="1">
      <c r="A7398" s="26">
        <v>74378207</v>
      </c>
      <c r="B7398" s="30" t="s">
        <v>9626</v>
      </c>
      <c r="C7398" s="29" t="s">
        <v>23844</v>
      </c>
      <c r="D7398" s="29" t="s">
        <v>37115</v>
      </c>
      <c r="E7398" s="29" t="s">
        <v>44327</v>
      </c>
      <c r="F7398" s="36" t="s">
        <v>54401</v>
      </c>
      <c r="G7398" s="39">
        <f>3113206.79+26510+728250+21015</f>
        <v>3888981.79</v>
      </c>
      <c r="H7398" s="42">
        <v>211</v>
      </c>
    </row>
    <row r="7399" spans="1:8" ht="15" customHeight="1">
      <c r="A7399" s="26">
        <v>74378213</v>
      </c>
      <c r="B7399" s="30" t="s">
        <v>9627</v>
      </c>
      <c r="C7399" s="29" t="s">
        <v>23845</v>
      </c>
      <c r="D7399" s="29" t="s">
        <v>37116</v>
      </c>
      <c r="E7399" s="29" t="s">
        <v>49481</v>
      </c>
      <c r="F7399" s="36" t="s">
        <v>54401</v>
      </c>
      <c r="G7399" s="39">
        <f>4405974.66-3361</f>
        <v>4402613.66</v>
      </c>
      <c r="H7399" s="42">
        <v>211</v>
      </c>
    </row>
    <row r="7400" spans="1:8" ht="15" customHeight="1">
      <c r="A7400" s="26">
        <v>74378238</v>
      </c>
      <c r="B7400" s="30" t="s">
        <v>9628</v>
      </c>
      <c r="C7400" s="29" t="s">
        <v>17204</v>
      </c>
      <c r="D7400" s="29" t="s">
        <v>37117</v>
      </c>
      <c r="E7400" s="29" t="s">
        <v>43926</v>
      </c>
      <c r="F7400" s="36" t="s">
        <v>54401</v>
      </c>
      <c r="G7400" s="39">
        <v>217424.15</v>
      </c>
      <c r="H7400" s="42">
        <v>211</v>
      </c>
    </row>
    <row r="7401" spans="1:8" ht="15" customHeight="1">
      <c r="A7401" s="26">
        <v>74378245</v>
      </c>
      <c r="B7401" s="30" t="s">
        <v>9629</v>
      </c>
      <c r="C7401" s="29" t="s">
        <v>23846</v>
      </c>
      <c r="D7401" s="29" t="s">
        <v>37118</v>
      </c>
      <c r="E7401" s="29" t="s">
        <v>49482</v>
      </c>
      <c r="F7401" s="36" t="s">
        <v>54401</v>
      </c>
      <c r="G7401" s="39">
        <f>146645.38+69681</f>
        <v>216326.38</v>
      </c>
      <c r="H7401" s="42">
        <v>211</v>
      </c>
    </row>
    <row r="7402" spans="1:8" ht="15" customHeight="1">
      <c r="A7402" s="26">
        <v>74378303</v>
      </c>
      <c r="B7402" s="30" t="s">
        <v>9630</v>
      </c>
      <c r="C7402" s="29" t="s">
        <v>23847</v>
      </c>
      <c r="D7402" s="29" t="s">
        <v>37119</v>
      </c>
      <c r="E7402" s="29" t="s">
        <v>49483</v>
      </c>
      <c r="F7402" s="36" t="s">
        <v>54401</v>
      </c>
      <c r="G7402" s="39">
        <f>1323124.25+433607</f>
        <v>1756731.25</v>
      </c>
      <c r="H7402" s="42">
        <v>211</v>
      </c>
    </row>
    <row r="7403" spans="1:8" ht="15" customHeight="1">
      <c r="A7403" s="26">
        <v>74378314</v>
      </c>
      <c r="B7403" s="30" t="s">
        <v>9631</v>
      </c>
      <c r="C7403" s="26" t="s">
        <v>23848</v>
      </c>
      <c r="D7403" s="26" t="s">
        <v>37120</v>
      </c>
      <c r="E7403" s="26" t="s">
        <v>49484</v>
      </c>
      <c r="F7403" s="37" t="s">
        <v>54401</v>
      </c>
      <c r="G7403" s="39">
        <v>20523.810000000001</v>
      </c>
      <c r="H7403" s="42">
        <v>211</v>
      </c>
    </row>
    <row r="7404" spans="1:8" ht="15" customHeight="1">
      <c r="A7404" s="26">
        <v>74378315</v>
      </c>
      <c r="B7404" s="30" t="s">
        <v>9632</v>
      </c>
      <c r="C7404" s="29" t="s">
        <v>23849</v>
      </c>
      <c r="D7404" s="29" t="s">
        <v>37121</v>
      </c>
      <c r="E7404" s="29" t="s">
        <v>45552</v>
      </c>
      <c r="F7404" s="36" t="s">
        <v>54401</v>
      </c>
      <c r="G7404" s="39">
        <f>3539411.75+78048</f>
        <v>3617459.75</v>
      </c>
      <c r="H7404" s="42">
        <v>211</v>
      </c>
    </row>
    <row r="7405" spans="1:8" ht="15" customHeight="1">
      <c r="A7405" s="26">
        <v>74378321</v>
      </c>
      <c r="B7405" s="30" t="s">
        <v>9633</v>
      </c>
      <c r="C7405" s="29" t="s">
        <v>23850</v>
      </c>
      <c r="D7405" s="29" t="s">
        <v>37122</v>
      </c>
      <c r="E7405" s="29" t="s">
        <v>49485</v>
      </c>
      <c r="F7405" s="36" t="s">
        <v>54401</v>
      </c>
      <c r="G7405" s="39">
        <f>3293990.24+399367</f>
        <v>3693357.24</v>
      </c>
      <c r="H7405" s="42">
        <v>211</v>
      </c>
    </row>
    <row r="7406" spans="1:8" ht="15" customHeight="1">
      <c r="A7406" s="26">
        <v>74378336</v>
      </c>
      <c r="B7406" s="30" t="s">
        <v>9634</v>
      </c>
      <c r="C7406" s="29" t="s">
        <v>23851</v>
      </c>
      <c r="D7406" s="29" t="s">
        <v>37123</v>
      </c>
      <c r="E7406" s="29" t="s">
        <v>43926</v>
      </c>
      <c r="F7406" s="36" t="s">
        <v>54401</v>
      </c>
      <c r="G7406" s="39">
        <v>426454.17</v>
      </c>
      <c r="H7406" s="42">
        <v>211</v>
      </c>
    </row>
    <row r="7407" spans="1:8" ht="15" customHeight="1">
      <c r="A7407" s="26">
        <v>74378339</v>
      </c>
      <c r="B7407" s="30" t="s">
        <v>9635</v>
      </c>
      <c r="C7407" s="29" t="s">
        <v>23852</v>
      </c>
      <c r="D7407" s="29" t="s">
        <v>37124</v>
      </c>
      <c r="E7407" s="29" t="s">
        <v>43926</v>
      </c>
      <c r="F7407" s="36" t="s">
        <v>54401</v>
      </c>
      <c r="G7407" s="39">
        <v>369256.59</v>
      </c>
      <c r="H7407" s="42">
        <v>211</v>
      </c>
    </row>
    <row r="7408" spans="1:8" ht="15" customHeight="1">
      <c r="A7408" s="26">
        <v>74378351</v>
      </c>
      <c r="B7408" s="30" t="s">
        <v>9636</v>
      </c>
      <c r="C7408" s="29" t="s">
        <v>23853</v>
      </c>
      <c r="D7408" s="29" t="s">
        <v>30376</v>
      </c>
      <c r="E7408" s="29" t="s">
        <v>49486</v>
      </c>
      <c r="F7408" s="36" t="s">
        <v>54401</v>
      </c>
      <c r="G7408" s="39">
        <v>506718.37</v>
      </c>
      <c r="H7408" s="42">
        <v>211</v>
      </c>
    </row>
    <row r="7409" spans="1:8" ht="15" customHeight="1">
      <c r="A7409" s="26">
        <v>74378360</v>
      </c>
      <c r="B7409" s="30" t="s">
        <v>9637</v>
      </c>
      <c r="C7409" s="26" t="s">
        <v>17204</v>
      </c>
      <c r="D7409" s="26" t="s">
        <v>37125</v>
      </c>
      <c r="E7409" s="26" t="s">
        <v>43926</v>
      </c>
      <c r="F7409" s="37" t="s">
        <v>54401</v>
      </c>
      <c r="G7409" s="39">
        <v>87007.72</v>
      </c>
      <c r="H7409" s="42">
        <v>211</v>
      </c>
    </row>
    <row r="7410" spans="1:8" ht="15" customHeight="1">
      <c r="A7410" s="26">
        <v>74378387</v>
      </c>
      <c r="B7410" s="30" t="s">
        <v>9638</v>
      </c>
      <c r="C7410" s="29" t="s">
        <v>23854</v>
      </c>
      <c r="D7410" s="29" t="s">
        <v>37126</v>
      </c>
      <c r="E7410" s="29" t="s">
        <v>49487</v>
      </c>
      <c r="F7410" s="36" t="s">
        <v>54401</v>
      </c>
      <c r="G7410" s="39">
        <v>1456431.94</v>
      </c>
      <c r="H7410" s="42">
        <v>211</v>
      </c>
    </row>
    <row r="7411" spans="1:8" ht="15" customHeight="1">
      <c r="A7411" s="26">
        <v>74378420</v>
      </c>
      <c r="B7411" s="30" t="s">
        <v>9639</v>
      </c>
      <c r="C7411" s="29" t="s">
        <v>23855</v>
      </c>
      <c r="D7411" s="29" t="s">
        <v>37127</v>
      </c>
      <c r="E7411" s="29" t="s">
        <v>47690</v>
      </c>
      <c r="F7411" s="36" t="s">
        <v>54401</v>
      </c>
      <c r="G7411" s="39">
        <v>303074.78000000003</v>
      </c>
      <c r="H7411" s="42">
        <v>211</v>
      </c>
    </row>
    <row r="7412" spans="1:8" ht="15" customHeight="1">
      <c r="A7412" s="26">
        <v>74378433</v>
      </c>
      <c r="B7412" s="30" t="s">
        <v>9640</v>
      </c>
      <c r="C7412" s="29" t="s">
        <v>23856</v>
      </c>
      <c r="D7412" s="29" t="s">
        <v>37128</v>
      </c>
      <c r="E7412" s="29" t="s">
        <v>49488</v>
      </c>
      <c r="F7412" s="36" t="s">
        <v>54401</v>
      </c>
      <c r="G7412" s="39">
        <f>4006311.74+399109</f>
        <v>4405420.74</v>
      </c>
      <c r="H7412" s="42">
        <v>211</v>
      </c>
    </row>
    <row r="7413" spans="1:8" ht="15" customHeight="1">
      <c r="A7413" s="26">
        <v>74378436</v>
      </c>
      <c r="B7413" s="30" t="s">
        <v>9641</v>
      </c>
      <c r="C7413" s="29" t="s">
        <v>23857</v>
      </c>
      <c r="D7413" s="29" t="s">
        <v>37129</v>
      </c>
      <c r="E7413" s="29" t="s">
        <v>49489</v>
      </c>
      <c r="F7413" s="36" t="s">
        <v>54414</v>
      </c>
      <c r="G7413" s="39">
        <v>2030970.71</v>
      </c>
      <c r="H7413" s="42">
        <v>211</v>
      </c>
    </row>
    <row r="7414" spans="1:8" ht="15" customHeight="1">
      <c r="A7414" s="26">
        <v>74378444</v>
      </c>
      <c r="B7414" s="30" t="s">
        <v>9642</v>
      </c>
      <c r="C7414" s="29" t="s">
        <v>23858</v>
      </c>
      <c r="D7414" s="29" t="s">
        <v>37130</v>
      </c>
      <c r="E7414" s="29" t="s">
        <v>44973</v>
      </c>
      <c r="F7414" s="36" t="s">
        <v>54401</v>
      </c>
      <c r="G7414" s="39">
        <v>3106783.83</v>
      </c>
      <c r="H7414" s="42">
        <v>211</v>
      </c>
    </row>
    <row r="7415" spans="1:8" ht="15" customHeight="1">
      <c r="A7415" s="26">
        <v>74378445</v>
      </c>
      <c r="B7415" s="30" t="s">
        <v>9643</v>
      </c>
      <c r="C7415" s="29" t="s">
        <v>23859</v>
      </c>
      <c r="D7415" s="29" t="s">
        <v>37131</v>
      </c>
      <c r="E7415" s="29" t="s">
        <v>49490</v>
      </c>
      <c r="F7415" s="36" t="s">
        <v>54401</v>
      </c>
      <c r="G7415" s="39">
        <v>3256552.86</v>
      </c>
      <c r="H7415" s="42">
        <v>211</v>
      </c>
    </row>
    <row r="7416" spans="1:8" ht="15" customHeight="1">
      <c r="A7416" s="26">
        <v>74378462</v>
      </c>
      <c r="B7416" s="30" t="s">
        <v>9644</v>
      </c>
      <c r="C7416" s="29" t="s">
        <v>23860</v>
      </c>
      <c r="D7416" s="29" t="s">
        <v>37132</v>
      </c>
      <c r="E7416" s="29" t="s">
        <v>44355</v>
      </c>
      <c r="F7416" s="36" t="s">
        <v>54401</v>
      </c>
      <c r="G7416" s="39">
        <v>216996.42</v>
      </c>
      <c r="H7416" s="42">
        <v>211</v>
      </c>
    </row>
    <row r="7417" spans="1:8" ht="15" customHeight="1">
      <c r="A7417" s="26">
        <v>74378463</v>
      </c>
      <c r="B7417" s="30" t="s">
        <v>9645</v>
      </c>
      <c r="C7417" s="29" t="s">
        <v>23861</v>
      </c>
      <c r="D7417" s="29" t="s">
        <v>37133</v>
      </c>
      <c r="E7417" s="29" t="s">
        <v>47430</v>
      </c>
      <c r="F7417" s="36" t="s">
        <v>54401</v>
      </c>
      <c r="G7417" s="39">
        <v>1051875.21</v>
      </c>
      <c r="H7417" s="42">
        <v>211</v>
      </c>
    </row>
    <row r="7418" spans="1:8" ht="15" customHeight="1">
      <c r="A7418" s="26">
        <v>74378469</v>
      </c>
      <c r="B7418" s="30" t="s">
        <v>9646</v>
      </c>
      <c r="C7418" s="29" t="s">
        <v>23862</v>
      </c>
      <c r="D7418" s="29" t="s">
        <v>37134</v>
      </c>
      <c r="E7418" s="29" t="s">
        <v>49491</v>
      </c>
      <c r="F7418" s="36" t="s">
        <v>54401</v>
      </c>
      <c r="G7418" s="39">
        <v>6303127.6200000001</v>
      </c>
      <c r="H7418" s="42">
        <v>211</v>
      </c>
    </row>
    <row r="7419" spans="1:8" ht="15" customHeight="1">
      <c r="A7419" s="26">
        <v>74378495</v>
      </c>
      <c r="B7419" s="30" t="s">
        <v>9647</v>
      </c>
      <c r="C7419" s="29" t="s">
        <v>17204</v>
      </c>
      <c r="D7419" s="29" t="s">
        <v>30349</v>
      </c>
      <c r="E7419" s="29" t="s">
        <v>43926</v>
      </c>
      <c r="F7419" s="36" t="s">
        <v>54401</v>
      </c>
      <c r="G7419" s="39">
        <v>137334.81</v>
      </c>
      <c r="H7419" s="42">
        <v>211</v>
      </c>
    </row>
    <row r="7420" spans="1:8" ht="15" customHeight="1">
      <c r="A7420" s="26">
        <v>74378503</v>
      </c>
      <c r="B7420" s="30" t="s">
        <v>9648</v>
      </c>
      <c r="C7420" s="29" t="s">
        <v>23863</v>
      </c>
      <c r="D7420" s="29" t="s">
        <v>37135</v>
      </c>
      <c r="E7420" s="29" t="s">
        <v>49492</v>
      </c>
      <c r="F7420" s="36" t="s">
        <v>54413</v>
      </c>
      <c r="G7420" s="39">
        <f>3137647.62-45866</f>
        <v>3091781.62</v>
      </c>
      <c r="H7420" s="42">
        <v>211</v>
      </c>
    </row>
    <row r="7421" spans="1:8" ht="15" customHeight="1">
      <c r="A7421" s="26">
        <v>74378510</v>
      </c>
      <c r="B7421" s="30" t="s">
        <v>9649</v>
      </c>
      <c r="C7421" s="29" t="s">
        <v>23864</v>
      </c>
      <c r="D7421" s="29" t="s">
        <v>37136</v>
      </c>
      <c r="E7421" s="29" t="s">
        <v>44023</v>
      </c>
      <c r="F7421" s="36" t="s">
        <v>54401</v>
      </c>
      <c r="G7421" s="39">
        <v>4757273.84</v>
      </c>
      <c r="H7421" s="42">
        <v>211</v>
      </c>
    </row>
    <row r="7422" spans="1:8" ht="15" customHeight="1">
      <c r="A7422" s="26">
        <v>74378530</v>
      </c>
      <c r="B7422" s="30" t="s">
        <v>9650</v>
      </c>
      <c r="C7422" s="29" t="s">
        <v>23865</v>
      </c>
      <c r="D7422" s="29" t="s">
        <v>37137</v>
      </c>
      <c r="E7422" s="29" t="s">
        <v>48279</v>
      </c>
      <c r="F7422" s="36" t="s">
        <v>54401</v>
      </c>
      <c r="G7422" s="39">
        <v>940201.65</v>
      </c>
      <c r="H7422" s="42">
        <v>211</v>
      </c>
    </row>
    <row r="7423" spans="1:8" ht="15" customHeight="1">
      <c r="A7423" s="26">
        <v>74378539</v>
      </c>
      <c r="B7423" s="30" t="s">
        <v>9651</v>
      </c>
      <c r="C7423" s="26" t="s">
        <v>23866</v>
      </c>
      <c r="D7423" s="26" t="s">
        <v>37138</v>
      </c>
      <c r="E7423" s="26" t="s">
        <v>43926</v>
      </c>
      <c r="F7423" s="37" t="s">
        <v>54401</v>
      </c>
      <c r="G7423" s="39">
        <v>1532398.94</v>
      </c>
      <c r="H7423" s="42">
        <v>211</v>
      </c>
    </row>
    <row r="7424" spans="1:8" ht="15" customHeight="1">
      <c r="A7424" s="26">
        <v>74378540</v>
      </c>
      <c r="B7424" s="30" t="s">
        <v>9652</v>
      </c>
      <c r="C7424" s="29" t="s">
        <v>23867</v>
      </c>
      <c r="D7424" s="29" t="s">
        <v>37139</v>
      </c>
      <c r="E7424" s="29" t="s">
        <v>49493</v>
      </c>
      <c r="F7424" s="36" t="s">
        <v>54401</v>
      </c>
      <c r="G7424" s="39">
        <v>5207191.03</v>
      </c>
      <c r="H7424" s="42">
        <v>211</v>
      </c>
    </row>
    <row r="7425" spans="1:8" ht="15" customHeight="1">
      <c r="A7425" s="26">
        <v>74378556</v>
      </c>
      <c r="B7425" s="30" t="s">
        <v>9653</v>
      </c>
      <c r="C7425" s="29" t="s">
        <v>23868</v>
      </c>
      <c r="D7425" s="29" t="s">
        <v>37140</v>
      </c>
      <c r="E7425" s="29" t="s">
        <v>49494</v>
      </c>
      <c r="F7425" s="36" t="s">
        <v>54401</v>
      </c>
      <c r="G7425" s="39">
        <v>824733.13</v>
      </c>
      <c r="H7425" s="42">
        <v>211</v>
      </c>
    </row>
    <row r="7426" spans="1:8" ht="15" customHeight="1">
      <c r="A7426" s="26">
        <v>74378564</v>
      </c>
      <c r="B7426" s="30" t="s">
        <v>9654</v>
      </c>
      <c r="C7426" s="29" t="s">
        <v>23869</v>
      </c>
      <c r="D7426" s="29" t="s">
        <v>37141</v>
      </c>
      <c r="E7426" s="29" t="s">
        <v>43926</v>
      </c>
      <c r="F7426" s="36" t="s">
        <v>54401</v>
      </c>
      <c r="G7426" s="39">
        <v>201205.87</v>
      </c>
      <c r="H7426" s="42">
        <v>211</v>
      </c>
    </row>
    <row r="7427" spans="1:8" ht="15" customHeight="1">
      <c r="A7427" s="26">
        <v>74378567</v>
      </c>
      <c r="B7427" s="30" t="s">
        <v>9655</v>
      </c>
      <c r="C7427" s="29" t="s">
        <v>23870</v>
      </c>
      <c r="D7427" s="29" t="s">
        <v>37142</v>
      </c>
      <c r="E7427" s="29" t="s">
        <v>49495</v>
      </c>
      <c r="F7427" s="36" t="s">
        <v>54401</v>
      </c>
      <c r="G7427" s="39">
        <f>4314889.29+2325581</f>
        <v>6640470.29</v>
      </c>
      <c r="H7427" s="42">
        <v>211</v>
      </c>
    </row>
    <row r="7428" spans="1:8" ht="15" customHeight="1">
      <c r="A7428" s="26">
        <v>74378570</v>
      </c>
      <c r="B7428" s="30" t="s">
        <v>9656</v>
      </c>
      <c r="C7428" s="29" t="s">
        <v>23871</v>
      </c>
      <c r="D7428" s="29" t="s">
        <v>37143</v>
      </c>
      <c r="E7428" s="29" t="s">
        <v>49496</v>
      </c>
      <c r="F7428" s="36" t="s">
        <v>54401</v>
      </c>
      <c r="G7428" s="39">
        <v>282772.38</v>
      </c>
      <c r="H7428" s="42">
        <v>211</v>
      </c>
    </row>
    <row r="7429" spans="1:8" ht="15" customHeight="1">
      <c r="A7429" s="26">
        <v>74378596</v>
      </c>
      <c r="B7429" s="30" t="s">
        <v>9657</v>
      </c>
      <c r="C7429" s="29" t="s">
        <v>23872</v>
      </c>
      <c r="D7429" s="29" t="s">
        <v>37144</v>
      </c>
      <c r="E7429" s="29" t="s">
        <v>45006</v>
      </c>
      <c r="F7429" s="36" t="s">
        <v>54401</v>
      </c>
      <c r="G7429" s="39">
        <v>1854369.32</v>
      </c>
      <c r="H7429" s="42">
        <v>211</v>
      </c>
    </row>
    <row r="7430" spans="1:8" ht="15" customHeight="1">
      <c r="A7430" s="26">
        <v>74378598</v>
      </c>
      <c r="B7430" s="30" t="s">
        <v>9658</v>
      </c>
      <c r="C7430" s="26" t="s">
        <v>23873</v>
      </c>
      <c r="D7430" s="26" t="s">
        <v>37145</v>
      </c>
      <c r="E7430" s="26" t="s">
        <v>49497</v>
      </c>
      <c r="F7430" s="37" t="s">
        <v>54401</v>
      </c>
      <c r="G7430" s="39">
        <f>1094730.78+3192344</f>
        <v>4287074.78</v>
      </c>
      <c r="H7430" s="42">
        <v>211</v>
      </c>
    </row>
    <row r="7431" spans="1:8" ht="15" customHeight="1">
      <c r="A7431" s="26">
        <v>74378607</v>
      </c>
      <c r="B7431" s="30" t="s">
        <v>9659</v>
      </c>
      <c r="C7431" s="29" t="s">
        <v>23874</v>
      </c>
      <c r="D7431" s="29" t="s">
        <v>37146</v>
      </c>
      <c r="E7431" s="29" t="s">
        <v>49498</v>
      </c>
      <c r="F7431" s="36" t="s">
        <v>54401</v>
      </c>
      <c r="G7431" s="39">
        <f>3421387.95+1230781-76571</f>
        <v>4575597.95</v>
      </c>
      <c r="H7431" s="42">
        <v>211</v>
      </c>
    </row>
    <row r="7432" spans="1:8" ht="15" customHeight="1">
      <c r="A7432" s="26">
        <v>74378614</v>
      </c>
      <c r="B7432" s="30" t="s">
        <v>9660</v>
      </c>
      <c r="C7432" s="29" t="s">
        <v>23875</v>
      </c>
      <c r="D7432" s="29" t="s">
        <v>37147</v>
      </c>
      <c r="E7432" s="29" t="s">
        <v>49499</v>
      </c>
      <c r="F7432" s="36" t="s">
        <v>54401</v>
      </c>
      <c r="G7432" s="39">
        <v>14099.84</v>
      </c>
      <c r="H7432" s="42">
        <v>211</v>
      </c>
    </row>
    <row r="7433" spans="1:8" ht="15" customHeight="1">
      <c r="A7433" s="26">
        <v>74378630</v>
      </c>
      <c r="B7433" s="30" t="s">
        <v>9661</v>
      </c>
      <c r="C7433" s="29" t="s">
        <v>23876</v>
      </c>
      <c r="D7433" s="29" t="s">
        <v>37148</v>
      </c>
      <c r="E7433" s="29" t="s">
        <v>49500</v>
      </c>
      <c r="F7433" s="36" t="s">
        <v>54401</v>
      </c>
      <c r="G7433" s="39">
        <v>146854.45000000001</v>
      </c>
      <c r="H7433" s="42">
        <v>211</v>
      </c>
    </row>
    <row r="7434" spans="1:8" ht="15" customHeight="1">
      <c r="A7434" s="26">
        <v>74378631</v>
      </c>
      <c r="B7434" s="30" t="s">
        <v>9662</v>
      </c>
      <c r="C7434" s="29" t="s">
        <v>23877</v>
      </c>
      <c r="D7434" s="29" t="s">
        <v>37149</v>
      </c>
      <c r="E7434" s="29" t="s">
        <v>49501</v>
      </c>
      <c r="F7434" s="36" t="s">
        <v>54401</v>
      </c>
      <c r="G7434" s="39">
        <f>1936412.9+839297</f>
        <v>2775709.9</v>
      </c>
      <c r="H7434" s="42">
        <v>211</v>
      </c>
    </row>
    <row r="7435" spans="1:8" ht="15" customHeight="1">
      <c r="A7435" s="26">
        <v>74378632</v>
      </c>
      <c r="B7435" s="30" t="s">
        <v>9663</v>
      </c>
      <c r="C7435" s="29" t="s">
        <v>23878</v>
      </c>
      <c r="D7435" s="29" t="s">
        <v>37150</v>
      </c>
      <c r="E7435" s="29" t="s">
        <v>49502</v>
      </c>
      <c r="F7435" s="36" t="s">
        <v>54401</v>
      </c>
      <c r="G7435" s="39">
        <v>84121.24</v>
      </c>
      <c r="H7435" s="42">
        <v>211</v>
      </c>
    </row>
    <row r="7436" spans="1:8" ht="15" customHeight="1">
      <c r="A7436" s="26">
        <v>74378633</v>
      </c>
      <c r="B7436" s="30" t="s">
        <v>9664</v>
      </c>
      <c r="C7436" s="29" t="s">
        <v>23879</v>
      </c>
      <c r="D7436" s="29" t="s">
        <v>37151</v>
      </c>
      <c r="E7436" s="29" t="s">
        <v>49503</v>
      </c>
      <c r="F7436" s="36" t="s">
        <v>54412</v>
      </c>
      <c r="G7436" s="39">
        <v>392010.02</v>
      </c>
      <c r="H7436" s="42">
        <v>211</v>
      </c>
    </row>
    <row r="7437" spans="1:8" ht="15" customHeight="1">
      <c r="A7437" s="26">
        <v>74378644</v>
      </c>
      <c r="B7437" s="30" t="s">
        <v>9665</v>
      </c>
      <c r="C7437" s="29" t="s">
        <v>23880</v>
      </c>
      <c r="D7437" s="29" t="s">
        <v>37152</v>
      </c>
      <c r="E7437" s="29" t="s">
        <v>44025</v>
      </c>
      <c r="F7437" s="36" t="s">
        <v>54401</v>
      </c>
      <c r="G7437" s="39">
        <v>19612.439999999999</v>
      </c>
      <c r="H7437" s="42">
        <v>211</v>
      </c>
    </row>
    <row r="7438" spans="1:8" ht="15" customHeight="1">
      <c r="A7438" s="26">
        <v>74378648</v>
      </c>
      <c r="B7438" s="30" t="s">
        <v>9666</v>
      </c>
      <c r="C7438" s="29" t="s">
        <v>23881</v>
      </c>
      <c r="D7438" s="29" t="s">
        <v>37153</v>
      </c>
      <c r="E7438" s="29" t="s">
        <v>49504</v>
      </c>
      <c r="F7438" s="36" t="s">
        <v>54401</v>
      </c>
      <c r="G7438" s="39">
        <f>1981826.94+324604</f>
        <v>2306430.94</v>
      </c>
      <c r="H7438" s="42">
        <v>211</v>
      </c>
    </row>
    <row r="7439" spans="1:8" ht="15" customHeight="1">
      <c r="A7439" s="26">
        <v>74378651</v>
      </c>
      <c r="B7439" s="30" t="s">
        <v>9667</v>
      </c>
      <c r="C7439" s="29" t="s">
        <v>23882</v>
      </c>
      <c r="D7439" s="29" t="s">
        <v>37154</v>
      </c>
      <c r="E7439" s="29" t="s">
        <v>49505</v>
      </c>
      <c r="F7439" s="36" t="s">
        <v>54401</v>
      </c>
      <c r="G7439" s="39">
        <f>1456251.49-21313</f>
        <v>1434938.49</v>
      </c>
      <c r="H7439" s="42">
        <v>211</v>
      </c>
    </row>
    <row r="7440" spans="1:8" ht="15" customHeight="1">
      <c r="A7440" s="26">
        <v>74378653</v>
      </c>
      <c r="B7440" s="30" t="s">
        <v>9668</v>
      </c>
      <c r="C7440" s="29" t="s">
        <v>23883</v>
      </c>
      <c r="D7440" s="29" t="s">
        <v>37155</v>
      </c>
      <c r="E7440" s="29" t="s">
        <v>49506</v>
      </c>
      <c r="F7440" s="36" t="s">
        <v>54401</v>
      </c>
      <c r="G7440" s="39">
        <v>3844243.98</v>
      </c>
      <c r="H7440" s="42">
        <v>211</v>
      </c>
    </row>
    <row r="7441" spans="1:8" ht="15" customHeight="1">
      <c r="A7441" s="26">
        <v>74378671</v>
      </c>
      <c r="B7441" s="30" t="s">
        <v>9669</v>
      </c>
      <c r="C7441" s="29" t="s">
        <v>23884</v>
      </c>
      <c r="D7441" s="29" t="s">
        <v>37156</v>
      </c>
      <c r="E7441" s="29" t="s">
        <v>43941</v>
      </c>
      <c r="F7441" s="36" t="s">
        <v>54401</v>
      </c>
      <c r="G7441" s="39">
        <v>746521.34</v>
      </c>
      <c r="H7441" s="42">
        <v>211</v>
      </c>
    </row>
    <row r="7442" spans="1:8" ht="15" customHeight="1">
      <c r="A7442" s="26">
        <v>74378715</v>
      </c>
      <c r="B7442" s="30" t="s">
        <v>9670</v>
      </c>
      <c r="C7442" s="26" t="s">
        <v>17204</v>
      </c>
      <c r="D7442" s="26" t="s">
        <v>30349</v>
      </c>
      <c r="E7442" s="26" t="s">
        <v>43926</v>
      </c>
      <c r="F7442" s="37" t="s">
        <v>54401</v>
      </c>
      <c r="G7442" s="39">
        <v>70493</v>
      </c>
      <c r="H7442" s="42">
        <v>211</v>
      </c>
    </row>
    <row r="7443" spans="1:8" ht="15" customHeight="1">
      <c r="A7443" s="26">
        <v>74378721</v>
      </c>
      <c r="B7443" s="30" t="s">
        <v>9671</v>
      </c>
      <c r="C7443" s="29" t="s">
        <v>23885</v>
      </c>
      <c r="D7443" s="29" t="s">
        <v>37157</v>
      </c>
      <c r="E7443" s="29" t="s">
        <v>44616</v>
      </c>
      <c r="F7443" s="36" t="s">
        <v>54401</v>
      </c>
      <c r="G7443" s="39">
        <f>3045909.54-40030</f>
        <v>3005879.54</v>
      </c>
      <c r="H7443" s="42">
        <v>211</v>
      </c>
    </row>
    <row r="7444" spans="1:8" ht="15" customHeight="1">
      <c r="A7444" s="26">
        <v>74378732</v>
      </c>
      <c r="B7444" s="30" t="s">
        <v>9672</v>
      </c>
      <c r="C7444" s="29" t="s">
        <v>23886</v>
      </c>
      <c r="D7444" s="29" t="s">
        <v>37158</v>
      </c>
      <c r="E7444" s="29" t="s">
        <v>49507</v>
      </c>
      <c r="F7444" s="36" t="s">
        <v>54401</v>
      </c>
      <c r="G7444" s="39">
        <v>207218.97</v>
      </c>
      <c r="H7444" s="42">
        <v>211</v>
      </c>
    </row>
    <row r="7445" spans="1:8" ht="15" customHeight="1">
      <c r="A7445" s="26">
        <v>74378765</v>
      </c>
      <c r="B7445" s="30" t="s">
        <v>9673</v>
      </c>
      <c r="C7445" s="29" t="s">
        <v>23887</v>
      </c>
      <c r="D7445" s="29" t="s">
        <v>37159</v>
      </c>
      <c r="E7445" s="29" t="s">
        <v>49508</v>
      </c>
      <c r="F7445" s="36" t="s">
        <v>54401</v>
      </c>
      <c r="G7445" s="39">
        <f>140895.95+155236+1845361</f>
        <v>2141492.9500000002</v>
      </c>
      <c r="H7445" s="42">
        <v>211</v>
      </c>
    </row>
    <row r="7446" spans="1:8" ht="15" customHeight="1">
      <c r="A7446" s="26">
        <v>74378770</v>
      </c>
      <c r="B7446" s="30" t="s">
        <v>9674</v>
      </c>
      <c r="C7446" s="29" t="s">
        <v>23888</v>
      </c>
      <c r="D7446" s="29" t="s">
        <v>37160</v>
      </c>
      <c r="E7446" s="29" t="s">
        <v>49509</v>
      </c>
      <c r="F7446" s="36" t="s">
        <v>54401</v>
      </c>
      <c r="G7446" s="39">
        <f>1008572.29+248904</f>
        <v>1257476.29</v>
      </c>
      <c r="H7446" s="42">
        <v>211</v>
      </c>
    </row>
    <row r="7447" spans="1:8" ht="15" customHeight="1">
      <c r="A7447" s="26">
        <v>74378771</v>
      </c>
      <c r="B7447" s="30" t="s">
        <v>9675</v>
      </c>
      <c r="C7447" s="29" t="s">
        <v>17204</v>
      </c>
      <c r="D7447" s="29" t="s">
        <v>37161</v>
      </c>
      <c r="E7447" s="29" t="s">
        <v>43926</v>
      </c>
      <c r="F7447" s="36" t="s">
        <v>54401</v>
      </c>
      <c r="G7447" s="39">
        <f>970673.62+361253</f>
        <v>1331926.6200000001</v>
      </c>
      <c r="H7447" s="42">
        <v>211</v>
      </c>
    </row>
    <row r="7448" spans="1:8" ht="15" customHeight="1">
      <c r="A7448" s="26">
        <v>74378777</v>
      </c>
      <c r="B7448" s="30" t="s">
        <v>9676</v>
      </c>
      <c r="C7448" s="29" t="s">
        <v>23889</v>
      </c>
      <c r="D7448" s="29" t="s">
        <v>37162</v>
      </c>
      <c r="E7448" s="29" t="s">
        <v>2095</v>
      </c>
      <c r="F7448" s="36" t="s">
        <v>54401</v>
      </c>
      <c r="G7448" s="39">
        <f>1010804.14+1184021</f>
        <v>2194825.14</v>
      </c>
      <c r="H7448" s="42">
        <v>211</v>
      </c>
    </row>
    <row r="7449" spans="1:8" ht="15" customHeight="1">
      <c r="A7449" s="26">
        <v>74378780</v>
      </c>
      <c r="B7449" s="30" t="s">
        <v>9677</v>
      </c>
      <c r="C7449" s="29" t="s">
        <v>23890</v>
      </c>
      <c r="D7449" s="29" t="s">
        <v>37163</v>
      </c>
      <c r="E7449" s="29" t="s">
        <v>49510</v>
      </c>
      <c r="F7449" s="36" t="s">
        <v>54401</v>
      </c>
      <c r="G7449" s="39">
        <v>643804.03</v>
      </c>
      <c r="H7449" s="42">
        <v>211</v>
      </c>
    </row>
    <row r="7450" spans="1:8" ht="15" customHeight="1">
      <c r="A7450" s="26">
        <v>74378797</v>
      </c>
      <c r="B7450" s="30" t="s">
        <v>9678</v>
      </c>
      <c r="C7450" s="29" t="s">
        <v>23891</v>
      </c>
      <c r="D7450" s="29" t="s">
        <v>37164</v>
      </c>
      <c r="E7450" s="29" t="s">
        <v>49511</v>
      </c>
      <c r="F7450" s="36" t="s">
        <v>54401</v>
      </c>
      <c r="G7450" s="39">
        <v>3317065.77</v>
      </c>
      <c r="H7450" s="42">
        <v>211</v>
      </c>
    </row>
    <row r="7451" spans="1:8" ht="15" customHeight="1">
      <c r="A7451" s="26">
        <v>74378805</v>
      </c>
      <c r="B7451" s="30" t="s">
        <v>9679</v>
      </c>
      <c r="C7451" s="29" t="s">
        <v>23892</v>
      </c>
      <c r="D7451" s="29" t="s">
        <v>37165</v>
      </c>
      <c r="E7451" s="29" t="s">
        <v>49512</v>
      </c>
      <c r="F7451" s="36" t="s">
        <v>54401</v>
      </c>
      <c r="G7451" s="39">
        <v>6448245.0700000003</v>
      </c>
      <c r="H7451" s="42">
        <v>211</v>
      </c>
    </row>
    <row r="7452" spans="1:8" ht="15" customHeight="1">
      <c r="A7452" s="26">
        <v>74378808</v>
      </c>
      <c r="B7452" s="30" t="s">
        <v>9680</v>
      </c>
      <c r="C7452" s="29" t="s">
        <v>18980</v>
      </c>
      <c r="D7452" s="29" t="s">
        <v>32144</v>
      </c>
      <c r="E7452" s="29" t="s">
        <v>49513</v>
      </c>
      <c r="F7452" s="36" t="s">
        <v>54401</v>
      </c>
      <c r="G7452" s="39">
        <v>4666923.84</v>
      </c>
      <c r="H7452" s="42">
        <v>211</v>
      </c>
    </row>
    <row r="7453" spans="1:8" ht="15" customHeight="1">
      <c r="A7453" s="26">
        <v>74378813</v>
      </c>
      <c r="B7453" s="30" t="s">
        <v>9681</v>
      </c>
      <c r="C7453" s="29" t="s">
        <v>23893</v>
      </c>
      <c r="D7453" s="29" t="s">
        <v>35337</v>
      </c>
      <c r="E7453" s="29" t="s">
        <v>49514</v>
      </c>
      <c r="F7453" s="36" t="s">
        <v>54401</v>
      </c>
      <c r="G7453" s="39">
        <v>195901.18</v>
      </c>
      <c r="H7453" s="42">
        <v>211</v>
      </c>
    </row>
    <row r="7454" spans="1:8" ht="15" customHeight="1">
      <c r="A7454" s="26">
        <v>74378817</v>
      </c>
      <c r="B7454" s="30" t="s">
        <v>9682</v>
      </c>
      <c r="C7454" s="29" t="s">
        <v>23894</v>
      </c>
      <c r="D7454" s="29" t="s">
        <v>37166</v>
      </c>
      <c r="E7454" s="29" t="s">
        <v>49515</v>
      </c>
      <c r="F7454" s="36" t="s">
        <v>54401</v>
      </c>
      <c r="G7454" s="39">
        <v>656927.44999999995</v>
      </c>
      <c r="H7454" s="42">
        <v>211</v>
      </c>
    </row>
    <row r="7455" spans="1:8" ht="15" customHeight="1">
      <c r="A7455" s="26">
        <v>74378818</v>
      </c>
      <c r="B7455" s="30" t="s">
        <v>9683</v>
      </c>
      <c r="C7455" s="29" t="s">
        <v>23895</v>
      </c>
      <c r="D7455" s="29" t="s">
        <v>37167</v>
      </c>
      <c r="E7455" s="29" t="s">
        <v>43926</v>
      </c>
      <c r="F7455" s="36" t="s">
        <v>54401</v>
      </c>
      <c r="G7455" s="39">
        <v>561394.88</v>
      </c>
      <c r="H7455" s="42">
        <v>211</v>
      </c>
    </row>
    <row r="7456" spans="1:8" ht="15" customHeight="1">
      <c r="A7456" s="26">
        <v>74378831</v>
      </c>
      <c r="B7456" s="30" t="s">
        <v>9684</v>
      </c>
      <c r="C7456" s="29" t="s">
        <v>23896</v>
      </c>
      <c r="D7456" s="29" t="s">
        <v>37168</v>
      </c>
      <c r="E7456" s="29" t="s">
        <v>49516</v>
      </c>
      <c r="F7456" s="36" t="s">
        <v>54401</v>
      </c>
      <c r="G7456" s="39">
        <v>556040.16</v>
      </c>
      <c r="H7456" s="42">
        <v>211</v>
      </c>
    </row>
    <row r="7457" spans="1:8" ht="15" customHeight="1">
      <c r="A7457" s="26">
        <v>74378834</v>
      </c>
      <c r="B7457" s="30" t="s">
        <v>9685</v>
      </c>
      <c r="C7457" s="29" t="s">
        <v>23897</v>
      </c>
      <c r="D7457" s="29" t="s">
        <v>37169</v>
      </c>
      <c r="E7457" s="29" t="s">
        <v>49517</v>
      </c>
      <c r="F7457" s="36" t="s">
        <v>54401</v>
      </c>
      <c r="G7457" s="39">
        <v>114815.13</v>
      </c>
      <c r="H7457" s="42">
        <v>211</v>
      </c>
    </row>
    <row r="7458" spans="1:8" ht="15" customHeight="1">
      <c r="A7458" s="26">
        <v>74378843</v>
      </c>
      <c r="B7458" s="30" t="s">
        <v>9686</v>
      </c>
      <c r="C7458" s="29" t="s">
        <v>23898</v>
      </c>
      <c r="D7458" s="29" t="s">
        <v>37170</v>
      </c>
      <c r="E7458" s="29" t="s">
        <v>44698</v>
      </c>
      <c r="F7458" s="36" t="s">
        <v>54401</v>
      </c>
      <c r="G7458" s="39">
        <v>55965.42</v>
      </c>
      <c r="H7458" s="42">
        <v>211</v>
      </c>
    </row>
    <row r="7459" spans="1:8" ht="15" customHeight="1">
      <c r="A7459" s="26">
        <v>74378857</v>
      </c>
      <c r="B7459" s="30" t="s">
        <v>9687</v>
      </c>
      <c r="C7459" s="29" t="s">
        <v>23899</v>
      </c>
      <c r="D7459" s="29" t="s">
        <v>37171</v>
      </c>
      <c r="E7459" s="29" t="s">
        <v>49518</v>
      </c>
      <c r="F7459" s="36" t="s">
        <v>54401</v>
      </c>
      <c r="G7459" s="39">
        <v>130243.68</v>
      </c>
      <c r="H7459" s="42">
        <v>211</v>
      </c>
    </row>
    <row r="7460" spans="1:8" ht="15" customHeight="1">
      <c r="A7460" s="26">
        <v>74378859</v>
      </c>
      <c r="B7460" s="30" t="s">
        <v>9688</v>
      </c>
      <c r="C7460" s="29" t="s">
        <v>23900</v>
      </c>
      <c r="D7460" s="29" t="s">
        <v>37172</v>
      </c>
      <c r="E7460" s="29" t="s">
        <v>49519</v>
      </c>
      <c r="F7460" s="36" t="s">
        <v>54401</v>
      </c>
      <c r="G7460" s="39">
        <v>487978.98</v>
      </c>
      <c r="H7460" s="42">
        <v>211</v>
      </c>
    </row>
    <row r="7461" spans="1:8" ht="15" customHeight="1">
      <c r="A7461" s="26">
        <v>74378860</v>
      </c>
      <c r="B7461" s="30" t="s">
        <v>9689</v>
      </c>
      <c r="C7461" s="26" t="s">
        <v>23901</v>
      </c>
      <c r="D7461" s="26" t="s">
        <v>37173</v>
      </c>
      <c r="E7461" s="26" t="s">
        <v>49520</v>
      </c>
      <c r="F7461" s="37" t="s">
        <v>54401</v>
      </c>
      <c r="G7461" s="39">
        <v>4395745.09</v>
      </c>
      <c r="H7461" s="42">
        <v>211</v>
      </c>
    </row>
    <row r="7462" spans="1:8" ht="15" customHeight="1">
      <c r="A7462" s="26">
        <v>74378862</v>
      </c>
      <c r="B7462" s="30" t="s">
        <v>9690</v>
      </c>
      <c r="C7462" s="29" t="s">
        <v>23902</v>
      </c>
      <c r="D7462" s="29" t="s">
        <v>37174</v>
      </c>
      <c r="E7462" s="29" t="s">
        <v>43926</v>
      </c>
      <c r="F7462" s="36" t="s">
        <v>54401</v>
      </c>
      <c r="G7462" s="39">
        <v>239173.04</v>
      </c>
      <c r="H7462" s="42">
        <v>211</v>
      </c>
    </row>
    <row r="7463" spans="1:8" ht="15" customHeight="1">
      <c r="A7463" s="26">
        <v>74378884</v>
      </c>
      <c r="B7463" s="30" t="s">
        <v>9691</v>
      </c>
      <c r="C7463" s="29" t="s">
        <v>23903</v>
      </c>
      <c r="D7463" s="29" t="s">
        <v>37175</v>
      </c>
      <c r="E7463" s="29" t="s">
        <v>49521</v>
      </c>
      <c r="F7463" s="36" t="s">
        <v>54401</v>
      </c>
      <c r="G7463" s="39">
        <v>316839.3</v>
      </c>
      <c r="H7463" s="42">
        <v>211</v>
      </c>
    </row>
    <row r="7464" spans="1:8" ht="15" customHeight="1">
      <c r="A7464" s="26">
        <v>74378888</v>
      </c>
      <c r="B7464" s="30" t="s">
        <v>9692</v>
      </c>
      <c r="C7464" s="29" t="s">
        <v>23904</v>
      </c>
      <c r="D7464" s="29" t="s">
        <v>37176</v>
      </c>
      <c r="E7464" s="29" t="s">
        <v>49522</v>
      </c>
      <c r="F7464" s="36" t="s">
        <v>54401</v>
      </c>
      <c r="G7464" s="39">
        <v>2685741.68</v>
      </c>
      <c r="H7464" s="42">
        <v>211</v>
      </c>
    </row>
    <row r="7465" spans="1:8" ht="15" customHeight="1">
      <c r="A7465" s="26">
        <v>74378889</v>
      </c>
      <c r="B7465" s="30" t="s">
        <v>9693</v>
      </c>
      <c r="C7465" s="29" t="s">
        <v>23905</v>
      </c>
      <c r="D7465" s="29" t="s">
        <v>37177</v>
      </c>
      <c r="E7465" s="29" t="s">
        <v>49523</v>
      </c>
      <c r="F7465" s="36" t="s">
        <v>54401</v>
      </c>
      <c r="G7465" s="39">
        <v>5035773.08</v>
      </c>
      <c r="H7465" s="42">
        <v>211</v>
      </c>
    </row>
    <row r="7466" spans="1:8" ht="15" customHeight="1">
      <c r="A7466" s="26">
        <v>74378910</v>
      </c>
      <c r="B7466" s="30" t="s">
        <v>9694</v>
      </c>
      <c r="C7466" s="29" t="s">
        <v>23906</v>
      </c>
      <c r="D7466" s="29" t="s">
        <v>37178</v>
      </c>
      <c r="E7466" s="29" t="s">
        <v>49524</v>
      </c>
      <c r="F7466" s="36" t="s">
        <v>54401</v>
      </c>
      <c r="G7466" s="39">
        <f>1301273.96+851247+417193</f>
        <v>2569713.96</v>
      </c>
      <c r="H7466" s="42">
        <v>211</v>
      </c>
    </row>
    <row r="7467" spans="1:8" ht="15" customHeight="1">
      <c r="A7467" s="26">
        <v>74378925</v>
      </c>
      <c r="B7467" s="30" t="s">
        <v>9695</v>
      </c>
      <c r="C7467" s="29" t="s">
        <v>23907</v>
      </c>
      <c r="D7467" s="29" t="s">
        <v>37179</v>
      </c>
      <c r="E7467" s="29" t="s">
        <v>49525</v>
      </c>
      <c r="F7467" s="36" t="s">
        <v>54401</v>
      </c>
      <c r="G7467" s="39">
        <v>338318.74</v>
      </c>
      <c r="H7467" s="42">
        <v>211</v>
      </c>
    </row>
    <row r="7468" spans="1:8" ht="15" customHeight="1">
      <c r="A7468" s="26">
        <v>74378944</v>
      </c>
      <c r="B7468" s="30" t="s">
        <v>9696</v>
      </c>
      <c r="C7468" s="29" t="s">
        <v>23908</v>
      </c>
      <c r="D7468" s="29" t="s">
        <v>37180</v>
      </c>
      <c r="E7468" s="29" t="s">
        <v>49526</v>
      </c>
      <c r="F7468" s="36" t="s">
        <v>54401</v>
      </c>
      <c r="G7468" s="39">
        <v>6357297.6799999997</v>
      </c>
      <c r="H7468" s="42">
        <v>211</v>
      </c>
    </row>
    <row r="7469" spans="1:8" ht="15" customHeight="1">
      <c r="A7469" s="26">
        <v>74378951</v>
      </c>
      <c r="B7469" s="30" t="s">
        <v>9697</v>
      </c>
      <c r="C7469" s="29" t="s">
        <v>23909</v>
      </c>
      <c r="D7469" s="29" t="s">
        <v>37181</v>
      </c>
      <c r="E7469" s="29" t="s">
        <v>43949</v>
      </c>
      <c r="F7469" s="36" t="s">
        <v>54401</v>
      </c>
      <c r="G7469" s="39">
        <v>33655.46</v>
      </c>
      <c r="H7469" s="42">
        <v>211</v>
      </c>
    </row>
    <row r="7470" spans="1:8" ht="15" customHeight="1">
      <c r="A7470" s="26">
        <v>74378956</v>
      </c>
      <c r="B7470" s="30" t="s">
        <v>9698</v>
      </c>
      <c r="C7470" s="29" t="s">
        <v>23910</v>
      </c>
      <c r="D7470" s="29" t="s">
        <v>37182</v>
      </c>
      <c r="E7470" s="29" t="s">
        <v>49527</v>
      </c>
      <c r="F7470" s="36" t="s">
        <v>54401</v>
      </c>
      <c r="G7470" s="39">
        <v>465060.35</v>
      </c>
      <c r="H7470" s="42">
        <v>211</v>
      </c>
    </row>
    <row r="7471" spans="1:8" ht="15" customHeight="1">
      <c r="A7471" s="26">
        <v>74378960</v>
      </c>
      <c r="B7471" s="30" t="s">
        <v>9699</v>
      </c>
      <c r="C7471" s="29" t="s">
        <v>23911</v>
      </c>
      <c r="D7471" s="29" t="s">
        <v>37183</v>
      </c>
      <c r="E7471" s="29" t="s">
        <v>49528</v>
      </c>
      <c r="F7471" s="36" t="s">
        <v>54401</v>
      </c>
      <c r="G7471" s="39">
        <v>494408.47</v>
      </c>
      <c r="H7471" s="42">
        <v>211</v>
      </c>
    </row>
    <row r="7472" spans="1:8" ht="15" customHeight="1">
      <c r="A7472" s="26">
        <v>74378966</v>
      </c>
      <c r="B7472" s="30" t="s">
        <v>9700</v>
      </c>
      <c r="C7472" s="29" t="s">
        <v>23912</v>
      </c>
      <c r="D7472" s="29" t="s">
        <v>37184</v>
      </c>
      <c r="E7472" s="29" t="s">
        <v>49529</v>
      </c>
      <c r="F7472" s="36" t="s">
        <v>54401</v>
      </c>
      <c r="G7472" s="39">
        <v>7269487.4000000004</v>
      </c>
      <c r="H7472" s="42">
        <v>211</v>
      </c>
    </row>
    <row r="7473" spans="1:8" ht="15" customHeight="1">
      <c r="A7473" s="26">
        <v>74378982</v>
      </c>
      <c r="B7473" s="30" t="s">
        <v>9701</v>
      </c>
      <c r="C7473" s="29" t="s">
        <v>23913</v>
      </c>
      <c r="D7473" s="29" t="s">
        <v>37185</v>
      </c>
      <c r="E7473" s="29" t="s">
        <v>49530</v>
      </c>
      <c r="F7473" s="36" t="s">
        <v>54401</v>
      </c>
      <c r="G7473" s="39">
        <f>7344024.59+140217</f>
        <v>7484241.5899999999</v>
      </c>
      <c r="H7473" s="42">
        <v>211</v>
      </c>
    </row>
    <row r="7474" spans="1:8" ht="15" customHeight="1">
      <c r="A7474" s="26">
        <v>74378986</v>
      </c>
      <c r="B7474" s="30" t="s">
        <v>9702</v>
      </c>
      <c r="C7474" s="29" t="s">
        <v>23914</v>
      </c>
      <c r="D7474" s="29" t="s">
        <v>37186</v>
      </c>
      <c r="E7474" s="29" t="s">
        <v>49531</v>
      </c>
      <c r="F7474" s="36" t="s">
        <v>54401</v>
      </c>
      <c r="G7474" s="39">
        <f>2550414.3+433896</f>
        <v>2984310.3</v>
      </c>
      <c r="H7474" s="42">
        <v>211</v>
      </c>
    </row>
    <row r="7475" spans="1:8" ht="15" customHeight="1">
      <c r="A7475" s="26">
        <v>74379007</v>
      </c>
      <c r="B7475" s="30" t="s">
        <v>9703</v>
      </c>
      <c r="C7475" s="29" t="s">
        <v>17204</v>
      </c>
      <c r="D7475" s="29" t="s">
        <v>37187</v>
      </c>
      <c r="E7475" s="29" t="s">
        <v>43926</v>
      </c>
      <c r="F7475" s="36" t="s">
        <v>54401</v>
      </c>
      <c r="G7475" s="39">
        <v>210403.17</v>
      </c>
      <c r="H7475" s="42">
        <v>211</v>
      </c>
    </row>
    <row r="7476" spans="1:8" ht="15" customHeight="1">
      <c r="A7476" s="26">
        <v>74379029</v>
      </c>
      <c r="B7476" s="30" t="s">
        <v>9704</v>
      </c>
      <c r="C7476" s="29" t="s">
        <v>23915</v>
      </c>
      <c r="D7476" s="29" t="s">
        <v>37188</v>
      </c>
      <c r="E7476" s="29" t="s">
        <v>49532</v>
      </c>
      <c r="F7476" s="36" t="s">
        <v>54401</v>
      </c>
      <c r="G7476" s="39">
        <f>1449952.74+431007</f>
        <v>1880959.74</v>
      </c>
      <c r="H7476" s="42">
        <v>211</v>
      </c>
    </row>
    <row r="7477" spans="1:8" ht="15" customHeight="1">
      <c r="A7477" s="26">
        <v>74379042</v>
      </c>
      <c r="B7477" s="30" t="s">
        <v>9705</v>
      </c>
      <c r="C7477" s="26" t="s">
        <v>23916</v>
      </c>
      <c r="D7477" s="26" t="s">
        <v>37189</v>
      </c>
      <c r="E7477" s="26" t="s">
        <v>49533</v>
      </c>
      <c r="F7477" s="37" t="s">
        <v>54401</v>
      </c>
      <c r="G7477" s="39">
        <v>2384581.5</v>
      </c>
      <c r="H7477" s="42">
        <v>211</v>
      </c>
    </row>
    <row r="7478" spans="1:8" ht="15" customHeight="1">
      <c r="A7478" s="26">
        <v>74379045</v>
      </c>
      <c r="B7478" s="30" t="s">
        <v>9706</v>
      </c>
      <c r="C7478" s="29" t="s">
        <v>23917</v>
      </c>
      <c r="D7478" s="29" t="s">
        <v>37190</v>
      </c>
      <c r="E7478" s="29" t="s">
        <v>49534</v>
      </c>
      <c r="F7478" s="36" t="s">
        <v>54401</v>
      </c>
      <c r="G7478" s="39">
        <f>453213.59+985048+30465</f>
        <v>1468726.59</v>
      </c>
      <c r="H7478" s="42">
        <v>211</v>
      </c>
    </row>
    <row r="7479" spans="1:8" ht="15" customHeight="1">
      <c r="A7479" s="26">
        <v>74379046</v>
      </c>
      <c r="B7479" s="30" t="s">
        <v>9707</v>
      </c>
      <c r="C7479" s="29" t="s">
        <v>23918</v>
      </c>
      <c r="D7479" s="29" t="s">
        <v>37191</v>
      </c>
      <c r="E7479" s="29" t="s">
        <v>49535</v>
      </c>
      <c r="F7479" s="36" t="s">
        <v>54401</v>
      </c>
      <c r="G7479" s="39">
        <v>219558.63</v>
      </c>
      <c r="H7479" s="42">
        <v>211</v>
      </c>
    </row>
    <row r="7480" spans="1:8" ht="15" customHeight="1">
      <c r="A7480" s="26">
        <v>74379056</v>
      </c>
      <c r="B7480" s="30" t="s">
        <v>9708</v>
      </c>
      <c r="C7480" s="29" t="s">
        <v>17204</v>
      </c>
      <c r="D7480" s="29" t="s">
        <v>30349</v>
      </c>
      <c r="E7480" s="29" t="s">
        <v>43926</v>
      </c>
      <c r="F7480" s="36" t="s">
        <v>54401</v>
      </c>
      <c r="G7480" s="39">
        <v>124142.72</v>
      </c>
      <c r="H7480" s="42">
        <v>211</v>
      </c>
    </row>
    <row r="7481" spans="1:8" ht="15" customHeight="1">
      <c r="A7481" s="26">
        <v>74379067</v>
      </c>
      <c r="B7481" s="30" t="s">
        <v>9709</v>
      </c>
      <c r="C7481" s="29" t="s">
        <v>23919</v>
      </c>
      <c r="D7481" s="29" t="s">
        <v>37192</v>
      </c>
      <c r="E7481" s="29" t="s">
        <v>49536</v>
      </c>
      <c r="F7481" s="36" t="s">
        <v>54401</v>
      </c>
      <c r="G7481" s="39">
        <v>95206.720000000001</v>
      </c>
      <c r="H7481" s="42">
        <v>211</v>
      </c>
    </row>
    <row r="7482" spans="1:8" ht="15" customHeight="1">
      <c r="A7482" s="26">
        <v>74379079</v>
      </c>
      <c r="B7482" s="30" t="s">
        <v>9710</v>
      </c>
      <c r="C7482" s="29" t="s">
        <v>23920</v>
      </c>
      <c r="D7482" s="29" t="s">
        <v>37193</v>
      </c>
      <c r="E7482" s="29" t="s">
        <v>49537</v>
      </c>
      <c r="F7482" s="36" t="s">
        <v>54401</v>
      </c>
      <c r="G7482" s="39">
        <v>1595297.75</v>
      </c>
      <c r="H7482" s="42">
        <v>211</v>
      </c>
    </row>
    <row r="7483" spans="1:8" ht="15" customHeight="1">
      <c r="A7483" s="26">
        <v>74379082</v>
      </c>
      <c r="B7483" s="30" t="s">
        <v>9711</v>
      </c>
      <c r="C7483" s="29" t="s">
        <v>23921</v>
      </c>
      <c r="D7483" s="29" t="s">
        <v>37194</v>
      </c>
      <c r="E7483" s="29" t="s">
        <v>49538</v>
      </c>
      <c r="F7483" s="36" t="s">
        <v>54401</v>
      </c>
      <c r="G7483" s="39">
        <v>1175872.19</v>
      </c>
      <c r="H7483" s="42">
        <v>211</v>
      </c>
    </row>
    <row r="7484" spans="1:8" ht="15" customHeight="1">
      <c r="A7484" s="26">
        <v>74379088</v>
      </c>
      <c r="B7484" s="30" t="s">
        <v>9712</v>
      </c>
      <c r="C7484" s="26" t="s">
        <v>23922</v>
      </c>
      <c r="D7484" s="26" t="s">
        <v>37195</v>
      </c>
      <c r="E7484" s="26" t="s">
        <v>49539</v>
      </c>
      <c r="F7484" s="37" t="s">
        <v>54409</v>
      </c>
      <c r="G7484" s="39">
        <v>89290.15</v>
      </c>
      <c r="H7484" s="42">
        <v>211</v>
      </c>
    </row>
    <row r="7485" spans="1:8" ht="15" customHeight="1">
      <c r="A7485" s="26">
        <v>74379093</v>
      </c>
      <c r="B7485" s="30" t="s">
        <v>9713</v>
      </c>
      <c r="C7485" s="29" t="s">
        <v>23923</v>
      </c>
      <c r="D7485" s="29" t="s">
        <v>37196</v>
      </c>
      <c r="E7485" s="29" t="s">
        <v>49540</v>
      </c>
      <c r="F7485" s="36" t="s">
        <v>54409</v>
      </c>
      <c r="G7485" s="39">
        <v>3067185.62</v>
      </c>
      <c r="H7485" s="42">
        <v>211</v>
      </c>
    </row>
    <row r="7486" spans="1:8" ht="15" customHeight="1">
      <c r="A7486" s="26">
        <v>74379096</v>
      </c>
      <c r="B7486" s="30" t="s">
        <v>9714</v>
      </c>
      <c r="C7486" s="29" t="s">
        <v>23924</v>
      </c>
      <c r="D7486" s="29" t="s">
        <v>37197</v>
      </c>
      <c r="E7486" s="29" t="s">
        <v>49541</v>
      </c>
      <c r="F7486" s="36" t="s">
        <v>54401</v>
      </c>
      <c r="G7486" s="39">
        <v>546662.17000000004</v>
      </c>
      <c r="H7486" s="42">
        <v>211</v>
      </c>
    </row>
    <row r="7487" spans="1:8" ht="15" customHeight="1">
      <c r="A7487" s="26">
        <v>74379098</v>
      </c>
      <c r="B7487" s="30" t="s">
        <v>9715</v>
      </c>
      <c r="C7487" s="29" t="s">
        <v>23925</v>
      </c>
      <c r="D7487" s="29" t="s">
        <v>37198</v>
      </c>
      <c r="E7487" s="29" t="s">
        <v>45603</v>
      </c>
      <c r="F7487" s="36" t="s">
        <v>54401</v>
      </c>
      <c r="G7487" s="39">
        <v>262690.84000000003</v>
      </c>
      <c r="H7487" s="42">
        <v>211</v>
      </c>
    </row>
    <row r="7488" spans="1:8" ht="15" customHeight="1">
      <c r="A7488" s="26">
        <v>74379116</v>
      </c>
      <c r="B7488" s="30" t="s">
        <v>9716</v>
      </c>
      <c r="C7488" s="29" t="s">
        <v>23926</v>
      </c>
      <c r="D7488" s="29" t="s">
        <v>37199</v>
      </c>
      <c r="E7488" s="29" t="s">
        <v>49542</v>
      </c>
      <c r="F7488" s="36" t="s">
        <v>54401</v>
      </c>
      <c r="G7488" s="39">
        <v>2834904.46</v>
      </c>
      <c r="H7488" s="42">
        <v>211</v>
      </c>
    </row>
    <row r="7489" spans="1:8" ht="15" customHeight="1">
      <c r="A7489" s="26">
        <v>74379121</v>
      </c>
      <c r="B7489" s="30" t="s">
        <v>9717</v>
      </c>
      <c r="C7489" s="29" t="s">
        <v>23927</v>
      </c>
      <c r="D7489" s="29" t="s">
        <v>37200</v>
      </c>
      <c r="E7489" s="29" t="s">
        <v>43926</v>
      </c>
      <c r="F7489" s="36" t="s">
        <v>54401</v>
      </c>
      <c r="G7489" s="39">
        <v>179438.71</v>
      </c>
      <c r="H7489" s="42">
        <v>211</v>
      </c>
    </row>
    <row r="7490" spans="1:8" ht="15" customHeight="1">
      <c r="A7490" s="26">
        <v>74379124</v>
      </c>
      <c r="B7490" s="30" t="s">
        <v>9718</v>
      </c>
      <c r="C7490" s="29" t="s">
        <v>23928</v>
      </c>
      <c r="D7490" s="29" t="s">
        <v>37201</v>
      </c>
      <c r="E7490" s="29" t="s">
        <v>49543</v>
      </c>
      <c r="F7490" s="36" t="s">
        <v>54401</v>
      </c>
      <c r="G7490" s="39">
        <f>4173468.54+200099</f>
        <v>4373567.54</v>
      </c>
      <c r="H7490" s="42">
        <v>211</v>
      </c>
    </row>
    <row r="7491" spans="1:8" ht="15" customHeight="1">
      <c r="A7491" s="26">
        <v>74379129</v>
      </c>
      <c r="B7491" s="30" t="s">
        <v>9719</v>
      </c>
      <c r="C7491" s="29" t="s">
        <v>23929</v>
      </c>
      <c r="D7491" s="29" t="s">
        <v>37202</v>
      </c>
      <c r="E7491" s="29" t="s">
        <v>49544</v>
      </c>
      <c r="F7491" s="36" t="s">
        <v>54401</v>
      </c>
      <c r="G7491" s="39">
        <v>523729.75</v>
      </c>
      <c r="H7491" s="42">
        <v>211</v>
      </c>
    </row>
    <row r="7492" spans="1:8" ht="15" customHeight="1">
      <c r="A7492" s="26">
        <v>74379161</v>
      </c>
      <c r="B7492" s="30" t="s">
        <v>9720</v>
      </c>
      <c r="C7492" s="29" t="s">
        <v>23930</v>
      </c>
      <c r="D7492" s="29" t="s">
        <v>37203</v>
      </c>
      <c r="E7492" s="29" t="s">
        <v>49545</v>
      </c>
      <c r="F7492" s="36" t="s">
        <v>54401</v>
      </c>
      <c r="G7492" s="39">
        <f>166804.55+62721</f>
        <v>229525.55</v>
      </c>
      <c r="H7492" s="42">
        <v>211</v>
      </c>
    </row>
    <row r="7493" spans="1:8" ht="15" customHeight="1">
      <c r="A7493" s="26">
        <v>74379172</v>
      </c>
      <c r="B7493" s="30" t="s">
        <v>9721</v>
      </c>
      <c r="C7493" s="29" t="s">
        <v>23931</v>
      </c>
      <c r="D7493" s="29" t="s">
        <v>37204</v>
      </c>
      <c r="E7493" s="29" t="s">
        <v>43926</v>
      </c>
      <c r="F7493" s="36" t="s">
        <v>54401</v>
      </c>
      <c r="G7493" s="39">
        <v>1465061.81</v>
      </c>
      <c r="H7493" s="42">
        <v>211</v>
      </c>
    </row>
    <row r="7494" spans="1:8" ht="15" customHeight="1">
      <c r="A7494" s="26">
        <v>74379180</v>
      </c>
      <c r="B7494" s="30" t="s">
        <v>9722</v>
      </c>
      <c r="C7494" s="29" t="s">
        <v>23932</v>
      </c>
      <c r="D7494" s="29" t="s">
        <v>37205</v>
      </c>
      <c r="E7494" s="29" t="s">
        <v>49546</v>
      </c>
      <c r="F7494" s="36" t="s">
        <v>54401</v>
      </c>
      <c r="G7494" s="39">
        <v>443794.93</v>
      </c>
      <c r="H7494" s="42">
        <v>211</v>
      </c>
    </row>
    <row r="7495" spans="1:8" ht="15" customHeight="1">
      <c r="A7495" s="26">
        <v>74379191</v>
      </c>
      <c r="B7495" s="30" t="s">
        <v>9723</v>
      </c>
      <c r="C7495" s="29" t="s">
        <v>23933</v>
      </c>
      <c r="D7495" s="29" t="s">
        <v>37206</v>
      </c>
      <c r="E7495" s="29" t="s">
        <v>49547</v>
      </c>
      <c r="F7495" s="36" t="s">
        <v>54401</v>
      </c>
      <c r="G7495" s="39">
        <v>5047284.3499999996</v>
      </c>
      <c r="H7495" s="42">
        <v>211</v>
      </c>
    </row>
    <row r="7496" spans="1:8" ht="15" customHeight="1">
      <c r="A7496" s="26">
        <v>74379206</v>
      </c>
      <c r="B7496" s="30" t="s">
        <v>9724</v>
      </c>
      <c r="C7496" s="29" t="s">
        <v>23934</v>
      </c>
      <c r="D7496" s="29" t="s">
        <v>37207</v>
      </c>
      <c r="E7496" s="29" t="s">
        <v>49548</v>
      </c>
      <c r="F7496" s="36" t="s">
        <v>54401</v>
      </c>
      <c r="G7496" s="39">
        <v>950699.33</v>
      </c>
      <c r="H7496" s="42">
        <v>211</v>
      </c>
    </row>
    <row r="7497" spans="1:8" ht="15" customHeight="1">
      <c r="A7497" s="26">
        <v>74379209</v>
      </c>
      <c r="B7497" s="30" t="s">
        <v>9725</v>
      </c>
      <c r="C7497" s="29" t="s">
        <v>23935</v>
      </c>
      <c r="D7497" s="29" t="s">
        <v>37208</v>
      </c>
      <c r="E7497" s="29" t="s">
        <v>49549</v>
      </c>
      <c r="F7497" s="36" t="s">
        <v>54401</v>
      </c>
      <c r="G7497" s="39">
        <v>1049946.6599999999</v>
      </c>
      <c r="H7497" s="42">
        <v>211</v>
      </c>
    </row>
    <row r="7498" spans="1:8" ht="15" customHeight="1">
      <c r="A7498" s="26">
        <v>74379228</v>
      </c>
      <c r="B7498" s="30" t="s">
        <v>9726</v>
      </c>
      <c r="C7498" s="26" t="s">
        <v>23936</v>
      </c>
      <c r="D7498" s="26" t="s">
        <v>37209</v>
      </c>
      <c r="E7498" s="26" t="s">
        <v>49550</v>
      </c>
      <c r="F7498" s="37" t="s">
        <v>54401</v>
      </c>
      <c r="G7498" s="39">
        <f>3988953.06-9369</f>
        <v>3979584.06</v>
      </c>
      <c r="H7498" s="42">
        <v>211</v>
      </c>
    </row>
    <row r="7499" spans="1:8" ht="15" customHeight="1">
      <c r="A7499" s="26">
        <v>74379243</v>
      </c>
      <c r="B7499" s="30" t="s">
        <v>9727</v>
      </c>
      <c r="C7499" s="29" t="s">
        <v>23937</v>
      </c>
      <c r="D7499" s="29" t="s">
        <v>37210</v>
      </c>
      <c r="E7499" s="29" t="s">
        <v>44874</v>
      </c>
      <c r="F7499" s="36" t="s">
        <v>54401</v>
      </c>
      <c r="G7499" s="39">
        <v>6186190.5700000003</v>
      </c>
      <c r="H7499" s="42">
        <v>211</v>
      </c>
    </row>
    <row r="7500" spans="1:8" ht="15" customHeight="1">
      <c r="A7500" s="26">
        <v>74379247</v>
      </c>
      <c r="B7500" s="30" t="s">
        <v>9728</v>
      </c>
      <c r="C7500" s="29" t="s">
        <v>21365</v>
      </c>
      <c r="D7500" s="29" t="s">
        <v>37211</v>
      </c>
      <c r="E7500" s="29" t="s">
        <v>49551</v>
      </c>
      <c r="F7500" s="36" t="s">
        <v>54401</v>
      </c>
      <c r="G7500" s="39">
        <v>752173.06</v>
      </c>
      <c r="H7500" s="42">
        <v>211</v>
      </c>
    </row>
    <row r="7501" spans="1:8" ht="15" customHeight="1">
      <c r="A7501" s="26">
        <v>74379250</v>
      </c>
      <c r="B7501" s="30" t="s">
        <v>9729</v>
      </c>
      <c r="C7501" s="29" t="s">
        <v>23938</v>
      </c>
      <c r="D7501" s="29" t="s">
        <v>37212</v>
      </c>
      <c r="E7501" s="29" t="s">
        <v>43926</v>
      </c>
      <c r="F7501" s="36" t="s">
        <v>54401</v>
      </c>
      <c r="G7501" s="39">
        <v>10345.049999999999</v>
      </c>
      <c r="H7501" s="42">
        <v>211</v>
      </c>
    </row>
    <row r="7502" spans="1:8" ht="15" customHeight="1">
      <c r="A7502" s="26">
        <v>74379253</v>
      </c>
      <c r="B7502" s="30" t="s">
        <v>9730</v>
      </c>
      <c r="C7502" s="29" t="s">
        <v>17204</v>
      </c>
      <c r="D7502" s="29" t="s">
        <v>32637</v>
      </c>
      <c r="E7502" s="29" t="s">
        <v>43926</v>
      </c>
      <c r="F7502" s="36" t="s">
        <v>54401</v>
      </c>
      <c r="G7502" s="39">
        <v>2603969.81</v>
      </c>
      <c r="H7502" s="42">
        <v>211</v>
      </c>
    </row>
    <row r="7503" spans="1:8" ht="15" customHeight="1">
      <c r="A7503" s="26">
        <v>74379256</v>
      </c>
      <c r="B7503" s="30" t="s">
        <v>9731</v>
      </c>
      <c r="C7503" s="29" t="s">
        <v>23939</v>
      </c>
      <c r="D7503" s="29" t="s">
        <v>37213</v>
      </c>
      <c r="E7503" s="29" t="s">
        <v>49552</v>
      </c>
      <c r="F7503" s="36" t="s">
        <v>54401</v>
      </c>
      <c r="G7503" s="39">
        <v>156098.03</v>
      </c>
      <c r="H7503" s="42">
        <v>211</v>
      </c>
    </row>
    <row r="7504" spans="1:8" ht="15" customHeight="1">
      <c r="A7504" s="26">
        <v>74379258</v>
      </c>
      <c r="B7504" s="30" t="s">
        <v>9732</v>
      </c>
      <c r="C7504" s="29" t="s">
        <v>23940</v>
      </c>
      <c r="D7504" s="29" t="s">
        <v>37214</v>
      </c>
      <c r="E7504" s="29" t="s">
        <v>49553</v>
      </c>
      <c r="F7504" s="36" t="s">
        <v>54401</v>
      </c>
      <c r="G7504" s="39">
        <v>4004429.67</v>
      </c>
      <c r="H7504" s="42">
        <v>211</v>
      </c>
    </row>
    <row r="7505" spans="1:8" ht="15" customHeight="1">
      <c r="A7505" s="26">
        <v>74379263</v>
      </c>
      <c r="B7505" s="30" t="s">
        <v>9733</v>
      </c>
      <c r="C7505" s="26" t="s">
        <v>23941</v>
      </c>
      <c r="D7505" s="26" t="s">
        <v>37215</v>
      </c>
      <c r="E7505" s="26" t="s">
        <v>49554</v>
      </c>
      <c r="F7505" s="37" t="s">
        <v>54401</v>
      </c>
      <c r="G7505" s="39">
        <v>31523.06</v>
      </c>
      <c r="H7505" s="42">
        <v>211</v>
      </c>
    </row>
    <row r="7506" spans="1:8" ht="15" customHeight="1">
      <c r="A7506" s="26">
        <v>74379267</v>
      </c>
      <c r="B7506" s="30" t="s">
        <v>9734</v>
      </c>
      <c r="C7506" s="29" t="s">
        <v>23942</v>
      </c>
      <c r="D7506" s="29" t="s">
        <v>37216</v>
      </c>
      <c r="E7506" s="29" t="s">
        <v>49555</v>
      </c>
      <c r="F7506" s="36" t="s">
        <v>54401</v>
      </c>
      <c r="G7506" s="39">
        <v>2830030.15</v>
      </c>
      <c r="H7506" s="42">
        <v>211</v>
      </c>
    </row>
    <row r="7507" spans="1:8" ht="15" customHeight="1">
      <c r="A7507" s="26">
        <v>74379283</v>
      </c>
      <c r="B7507" s="30" t="s">
        <v>9735</v>
      </c>
      <c r="C7507" s="29" t="s">
        <v>17204</v>
      </c>
      <c r="D7507" s="29" t="s">
        <v>30349</v>
      </c>
      <c r="E7507" s="29" t="s">
        <v>43926</v>
      </c>
      <c r="F7507" s="36" t="s">
        <v>54401</v>
      </c>
      <c r="G7507" s="39">
        <v>78042.81</v>
      </c>
      <c r="H7507" s="42">
        <v>211</v>
      </c>
    </row>
    <row r="7508" spans="1:8" ht="15" customHeight="1">
      <c r="A7508" s="26">
        <v>74379297</v>
      </c>
      <c r="B7508" s="30" t="s">
        <v>9736</v>
      </c>
      <c r="C7508" s="29" t="s">
        <v>23943</v>
      </c>
      <c r="D7508" s="29" t="s">
        <v>37217</v>
      </c>
      <c r="E7508" s="29" t="s">
        <v>49556</v>
      </c>
      <c r="F7508" s="36" t="s">
        <v>54401</v>
      </c>
      <c r="G7508" s="39">
        <v>2126097.0499999998</v>
      </c>
      <c r="H7508" s="42">
        <v>211</v>
      </c>
    </row>
    <row r="7509" spans="1:8" ht="15" customHeight="1">
      <c r="A7509" s="26">
        <v>74379298</v>
      </c>
      <c r="B7509" s="30" t="s">
        <v>9737</v>
      </c>
      <c r="C7509" s="29" t="s">
        <v>23944</v>
      </c>
      <c r="D7509" s="29" t="s">
        <v>37218</v>
      </c>
      <c r="E7509" s="29" t="s">
        <v>44524</v>
      </c>
      <c r="F7509" s="36" t="s">
        <v>54401</v>
      </c>
      <c r="G7509" s="39">
        <v>433342.36</v>
      </c>
      <c r="H7509" s="42">
        <v>211</v>
      </c>
    </row>
    <row r="7510" spans="1:8" ht="15" customHeight="1">
      <c r="A7510" s="26">
        <v>74379317</v>
      </c>
      <c r="B7510" s="30" t="s">
        <v>9738</v>
      </c>
      <c r="C7510" s="29" t="s">
        <v>23945</v>
      </c>
      <c r="D7510" s="29" t="s">
        <v>37219</v>
      </c>
      <c r="E7510" s="29" t="s">
        <v>49557</v>
      </c>
      <c r="F7510" s="36" t="s">
        <v>54401</v>
      </c>
      <c r="G7510" s="39">
        <v>1154918.02</v>
      </c>
      <c r="H7510" s="42">
        <v>211</v>
      </c>
    </row>
    <row r="7511" spans="1:8" ht="15" customHeight="1">
      <c r="A7511" s="26">
        <v>74379355</v>
      </c>
      <c r="B7511" s="30" t="s">
        <v>9739</v>
      </c>
      <c r="C7511" s="29" t="s">
        <v>23946</v>
      </c>
      <c r="D7511" s="29" t="s">
        <v>37220</v>
      </c>
      <c r="E7511" s="29" t="s">
        <v>49558</v>
      </c>
      <c r="F7511" s="36" t="s">
        <v>54401</v>
      </c>
      <c r="G7511" s="39">
        <v>1278772.3700000001</v>
      </c>
      <c r="H7511" s="42">
        <v>211</v>
      </c>
    </row>
    <row r="7512" spans="1:8" ht="15" customHeight="1">
      <c r="A7512" s="26">
        <v>74379358</v>
      </c>
      <c r="B7512" s="30" t="s">
        <v>9740</v>
      </c>
      <c r="C7512" s="29" t="s">
        <v>23947</v>
      </c>
      <c r="D7512" s="29" t="s">
        <v>37221</v>
      </c>
      <c r="E7512" s="29" t="s">
        <v>49559</v>
      </c>
      <c r="F7512" s="36" t="s">
        <v>54401</v>
      </c>
      <c r="G7512" s="39">
        <v>551913</v>
      </c>
      <c r="H7512" s="42">
        <v>211</v>
      </c>
    </row>
    <row r="7513" spans="1:8" ht="15" customHeight="1">
      <c r="A7513" s="26">
        <v>74379404</v>
      </c>
      <c r="B7513" s="30" t="s">
        <v>9741</v>
      </c>
      <c r="C7513" s="29" t="s">
        <v>23948</v>
      </c>
      <c r="D7513" s="29" t="s">
        <v>37222</v>
      </c>
      <c r="E7513" s="29" t="s">
        <v>49560</v>
      </c>
      <c r="F7513" s="36" t="s">
        <v>54401</v>
      </c>
      <c r="G7513" s="39">
        <v>679942.17</v>
      </c>
      <c r="H7513" s="42">
        <v>211</v>
      </c>
    </row>
    <row r="7514" spans="1:8" ht="15" customHeight="1">
      <c r="A7514" s="26">
        <v>74379405</v>
      </c>
      <c r="B7514" s="30" t="s">
        <v>9742</v>
      </c>
      <c r="C7514" s="29" t="s">
        <v>23949</v>
      </c>
      <c r="D7514" s="29" t="s">
        <v>37223</v>
      </c>
      <c r="E7514" s="29" t="s">
        <v>49561</v>
      </c>
      <c r="F7514" s="36" t="s">
        <v>54401</v>
      </c>
      <c r="G7514" s="39">
        <v>900861.98</v>
      </c>
      <c r="H7514" s="42">
        <v>211</v>
      </c>
    </row>
    <row r="7515" spans="1:8" ht="15" customHeight="1">
      <c r="A7515" s="26">
        <v>74379425</v>
      </c>
      <c r="B7515" s="30" t="s">
        <v>9743</v>
      </c>
      <c r="C7515" s="29" t="s">
        <v>23950</v>
      </c>
      <c r="D7515" s="29" t="s">
        <v>37224</v>
      </c>
      <c r="E7515" s="29" t="s">
        <v>49562</v>
      </c>
      <c r="F7515" s="36" t="s">
        <v>54401</v>
      </c>
      <c r="G7515" s="39">
        <v>177105.61</v>
      </c>
      <c r="H7515" s="42">
        <v>211</v>
      </c>
    </row>
    <row r="7516" spans="1:8" ht="15" customHeight="1">
      <c r="A7516" s="26">
        <v>74379426</v>
      </c>
      <c r="B7516" s="30" t="s">
        <v>9744</v>
      </c>
      <c r="C7516" s="29" t="s">
        <v>23951</v>
      </c>
      <c r="D7516" s="29" t="s">
        <v>37225</v>
      </c>
      <c r="E7516" s="29" t="s">
        <v>49563</v>
      </c>
      <c r="F7516" s="36" t="s">
        <v>54401</v>
      </c>
      <c r="G7516" s="39">
        <v>2222255.52</v>
      </c>
      <c r="H7516" s="42">
        <v>211</v>
      </c>
    </row>
    <row r="7517" spans="1:8" ht="15" customHeight="1">
      <c r="A7517" s="26">
        <v>74379427</v>
      </c>
      <c r="B7517" s="30" t="s">
        <v>9745</v>
      </c>
      <c r="C7517" s="29" t="s">
        <v>23952</v>
      </c>
      <c r="D7517" s="29" t="s">
        <v>37226</v>
      </c>
      <c r="E7517" s="29" t="s">
        <v>49564</v>
      </c>
      <c r="F7517" s="36" t="s">
        <v>54401</v>
      </c>
      <c r="G7517" s="39">
        <f>243599.17+1777391</f>
        <v>2020990.17</v>
      </c>
      <c r="H7517" s="42">
        <v>211</v>
      </c>
    </row>
    <row r="7518" spans="1:8" ht="15" customHeight="1">
      <c r="A7518" s="26">
        <v>74379431</v>
      </c>
      <c r="B7518" s="30" t="s">
        <v>9746</v>
      </c>
      <c r="C7518" s="29" t="s">
        <v>23953</v>
      </c>
      <c r="D7518" s="29" t="s">
        <v>37227</v>
      </c>
      <c r="E7518" s="29" t="s">
        <v>49565</v>
      </c>
      <c r="F7518" s="36" t="s">
        <v>54401</v>
      </c>
      <c r="G7518" s="39">
        <f>6305359.17+68840</f>
        <v>6374199.1699999999</v>
      </c>
      <c r="H7518" s="42">
        <v>211</v>
      </c>
    </row>
    <row r="7519" spans="1:8" ht="15" customHeight="1">
      <c r="A7519" s="26">
        <v>74379441</v>
      </c>
      <c r="B7519" s="30" t="s">
        <v>9747</v>
      </c>
      <c r="C7519" s="26" t="s">
        <v>23954</v>
      </c>
      <c r="D7519" s="26" t="s">
        <v>37228</v>
      </c>
      <c r="E7519" s="26" t="s">
        <v>49566</v>
      </c>
      <c r="F7519" s="37" t="s">
        <v>54401</v>
      </c>
      <c r="G7519" s="39">
        <v>413568.72</v>
      </c>
      <c r="H7519" s="42">
        <v>211</v>
      </c>
    </row>
    <row r="7520" spans="1:8" ht="15" customHeight="1">
      <c r="A7520" s="26">
        <v>74379457</v>
      </c>
      <c r="B7520" s="30" t="s">
        <v>9748</v>
      </c>
      <c r="C7520" s="29" t="s">
        <v>23955</v>
      </c>
      <c r="D7520" s="29" t="s">
        <v>37229</v>
      </c>
      <c r="E7520" s="29" t="s">
        <v>49567</v>
      </c>
      <c r="F7520" s="36" t="s">
        <v>54401</v>
      </c>
      <c r="G7520" s="39">
        <v>2050370.82</v>
      </c>
      <c r="H7520" s="42">
        <v>211</v>
      </c>
    </row>
    <row r="7521" spans="1:8" ht="15" customHeight="1">
      <c r="A7521" s="26">
        <v>74379475</v>
      </c>
      <c r="B7521" s="30" t="s">
        <v>9749</v>
      </c>
      <c r="C7521" s="29" t="s">
        <v>23956</v>
      </c>
      <c r="D7521" s="29" t="s">
        <v>37230</v>
      </c>
      <c r="E7521" s="29" t="s">
        <v>49568</v>
      </c>
      <c r="F7521" s="36" t="s">
        <v>54401</v>
      </c>
      <c r="G7521" s="39">
        <f>1083615.62+1286857</f>
        <v>2370472.62</v>
      </c>
      <c r="H7521" s="42">
        <v>211</v>
      </c>
    </row>
    <row r="7522" spans="1:8" ht="15" customHeight="1">
      <c r="A7522" s="26">
        <v>74379496</v>
      </c>
      <c r="B7522" s="30" t="s">
        <v>9750</v>
      </c>
      <c r="C7522" s="29" t="s">
        <v>23957</v>
      </c>
      <c r="D7522" s="29" t="s">
        <v>37231</v>
      </c>
      <c r="E7522" s="29" t="s">
        <v>49569</v>
      </c>
      <c r="F7522" s="36" t="s">
        <v>54401</v>
      </c>
      <c r="G7522" s="39">
        <v>1550934.17</v>
      </c>
      <c r="H7522" s="42">
        <v>211</v>
      </c>
    </row>
    <row r="7523" spans="1:8" ht="15" customHeight="1">
      <c r="A7523" s="26">
        <v>74379502</v>
      </c>
      <c r="B7523" s="30" t="s">
        <v>9751</v>
      </c>
      <c r="C7523" s="29" t="s">
        <v>17337</v>
      </c>
      <c r="D7523" s="29" t="s">
        <v>37232</v>
      </c>
      <c r="E7523" s="29" t="s">
        <v>43926</v>
      </c>
      <c r="F7523" s="36" t="s">
        <v>54401</v>
      </c>
      <c r="G7523" s="39">
        <v>463715.49</v>
      </c>
      <c r="H7523" s="42">
        <v>211</v>
      </c>
    </row>
    <row r="7524" spans="1:8" ht="15" customHeight="1">
      <c r="A7524" s="26">
        <v>74379526</v>
      </c>
      <c r="B7524" s="30" t="s">
        <v>9752</v>
      </c>
      <c r="C7524" s="29" t="s">
        <v>23958</v>
      </c>
      <c r="D7524" s="29" t="s">
        <v>37233</v>
      </c>
      <c r="E7524" s="29" t="s">
        <v>44942</v>
      </c>
      <c r="F7524" s="36" t="s">
        <v>54401</v>
      </c>
      <c r="G7524" s="39">
        <f>2128380.85-7336+105651+31644</f>
        <v>2258339.85</v>
      </c>
      <c r="H7524" s="42">
        <v>211</v>
      </c>
    </row>
    <row r="7525" spans="1:8" ht="15" customHeight="1">
      <c r="A7525" s="26">
        <v>74379536</v>
      </c>
      <c r="B7525" s="30" t="s">
        <v>9753</v>
      </c>
      <c r="C7525" s="29" t="s">
        <v>23959</v>
      </c>
      <c r="D7525" s="29" t="s">
        <v>37234</v>
      </c>
      <c r="E7525" s="29" t="s">
        <v>49570</v>
      </c>
      <c r="F7525" s="36" t="s">
        <v>54401</v>
      </c>
      <c r="G7525" s="39">
        <v>243039.68</v>
      </c>
      <c r="H7525" s="42">
        <v>211</v>
      </c>
    </row>
    <row r="7526" spans="1:8" ht="15" customHeight="1">
      <c r="A7526" s="26">
        <v>74379549</v>
      </c>
      <c r="B7526" s="30" t="s">
        <v>9754</v>
      </c>
      <c r="C7526" s="29" t="s">
        <v>23960</v>
      </c>
      <c r="D7526" s="29" t="s">
        <v>37235</v>
      </c>
      <c r="E7526" s="29" t="s">
        <v>731</v>
      </c>
      <c r="F7526" s="36" t="s">
        <v>54401</v>
      </c>
      <c r="G7526" s="39">
        <v>783176.64</v>
      </c>
      <c r="H7526" s="42">
        <v>211</v>
      </c>
    </row>
    <row r="7527" spans="1:8" ht="15" customHeight="1">
      <c r="A7527" s="26">
        <v>74379556</v>
      </c>
      <c r="B7527" s="30" t="s">
        <v>9755</v>
      </c>
      <c r="C7527" s="29" t="s">
        <v>23961</v>
      </c>
      <c r="D7527" s="29" t="s">
        <v>37236</v>
      </c>
      <c r="E7527" s="29" t="s">
        <v>49571</v>
      </c>
      <c r="F7527" s="36" t="s">
        <v>54401</v>
      </c>
      <c r="G7527" s="39">
        <v>97980.84</v>
      </c>
      <c r="H7527" s="42">
        <v>211</v>
      </c>
    </row>
    <row r="7528" spans="1:8" ht="15" customHeight="1">
      <c r="A7528" s="26">
        <v>74379564</v>
      </c>
      <c r="B7528" s="30" t="s">
        <v>9756</v>
      </c>
      <c r="C7528" s="29" t="s">
        <v>23962</v>
      </c>
      <c r="D7528" s="29" t="s">
        <v>37237</v>
      </c>
      <c r="E7528" s="29" t="s">
        <v>44882</v>
      </c>
      <c r="F7528" s="36" t="s">
        <v>54401</v>
      </c>
      <c r="G7528" s="39">
        <f>4193513.44+78433</f>
        <v>4271946.4399999995</v>
      </c>
      <c r="H7528" s="42">
        <v>211</v>
      </c>
    </row>
    <row r="7529" spans="1:8" ht="15" customHeight="1">
      <c r="A7529" s="26">
        <v>74379567</v>
      </c>
      <c r="B7529" s="30" t="s">
        <v>9757</v>
      </c>
      <c r="C7529" s="29" t="s">
        <v>23963</v>
      </c>
      <c r="D7529" s="29" t="s">
        <v>37238</v>
      </c>
      <c r="E7529" s="29" t="s">
        <v>45254</v>
      </c>
      <c r="F7529" s="36" t="s">
        <v>54401</v>
      </c>
      <c r="G7529" s="39">
        <v>8878572.6400000006</v>
      </c>
      <c r="H7529" s="42">
        <v>211</v>
      </c>
    </row>
    <row r="7530" spans="1:8" ht="15" customHeight="1">
      <c r="A7530" s="26">
        <v>74379580</v>
      </c>
      <c r="B7530" s="30" t="s">
        <v>9758</v>
      </c>
      <c r="C7530" s="29" t="s">
        <v>23964</v>
      </c>
      <c r="D7530" s="29" t="s">
        <v>37239</v>
      </c>
      <c r="E7530" s="29" t="s">
        <v>49572</v>
      </c>
      <c r="F7530" s="36" t="s">
        <v>54401</v>
      </c>
      <c r="G7530" s="39">
        <v>1742288.38</v>
      </c>
      <c r="H7530" s="42">
        <v>211</v>
      </c>
    </row>
    <row r="7531" spans="1:8" ht="15" customHeight="1">
      <c r="A7531" s="26">
        <v>74379589</v>
      </c>
      <c r="B7531" s="30" t="s">
        <v>9759</v>
      </c>
      <c r="C7531" s="26" t="s">
        <v>17204</v>
      </c>
      <c r="D7531" s="26" t="s">
        <v>30349</v>
      </c>
      <c r="E7531" s="26" t="s">
        <v>43926</v>
      </c>
      <c r="F7531" s="37" t="s">
        <v>54401</v>
      </c>
      <c r="G7531" s="39">
        <v>723331.33</v>
      </c>
      <c r="H7531" s="42">
        <v>211</v>
      </c>
    </row>
    <row r="7532" spans="1:8" ht="15" customHeight="1">
      <c r="A7532" s="26">
        <v>74379608</v>
      </c>
      <c r="B7532" s="30" t="s">
        <v>9760</v>
      </c>
      <c r="C7532" s="29" t="s">
        <v>23965</v>
      </c>
      <c r="D7532" s="29" t="s">
        <v>37240</v>
      </c>
      <c r="E7532" s="29" t="s">
        <v>49573</v>
      </c>
      <c r="F7532" s="36" t="s">
        <v>54406</v>
      </c>
      <c r="G7532" s="39">
        <f>4814746.41+433625+33517</f>
        <v>5281888.41</v>
      </c>
      <c r="H7532" s="42">
        <v>211</v>
      </c>
    </row>
    <row r="7533" spans="1:8" ht="15" customHeight="1">
      <c r="A7533" s="26">
        <v>74379626</v>
      </c>
      <c r="B7533" s="30" t="s">
        <v>9761</v>
      </c>
      <c r="C7533" s="29" t="s">
        <v>23966</v>
      </c>
      <c r="D7533" s="29" t="s">
        <v>37241</v>
      </c>
      <c r="E7533" s="29" t="s">
        <v>49574</v>
      </c>
      <c r="F7533" s="36" t="s">
        <v>54401</v>
      </c>
      <c r="G7533" s="39">
        <f>2089512.22+1994592</f>
        <v>4084104.2199999997</v>
      </c>
      <c r="H7533" s="42">
        <v>211</v>
      </c>
    </row>
    <row r="7534" spans="1:8" ht="15" customHeight="1">
      <c r="A7534" s="26">
        <v>74379634</v>
      </c>
      <c r="B7534" s="30" t="s">
        <v>9762</v>
      </c>
      <c r="C7534" s="29" t="s">
        <v>23967</v>
      </c>
      <c r="D7534" s="29" t="s">
        <v>37242</v>
      </c>
      <c r="E7534" s="29" t="s">
        <v>49575</v>
      </c>
      <c r="F7534" s="36" t="s">
        <v>54401</v>
      </c>
      <c r="G7534" s="39">
        <v>1521210.7</v>
      </c>
      <c r="H7534" s="42">
        <v>211</v>
      </c>
    </row>
    <row r="7535" spans="1:8" ht="15" customHeight="1">
      <c r="A7535" s="26">
        <v>74379641</v>
      </c>
      <c r="B7535" s="30" t="s">
        <v>9763</v>
      </c>
      <c r="C7535" s="29" t="s">
        <v>23968</v>
      </c>
      <c r="D7535" s="29" t="s">
        <v>37243</v>
      </c>
      <c r="E7535" s="29" t="s">
        <v>44874</v>
      </c>
      <c r="F7535" s="36" t="s">
        <v>54401</v>
      </c>
      <c r="G7535" s="39">
        <v>666156.49</v>
      </c>
      <c r="H7535" s="42">
        <v>211</v>
      </c>
    </row>
    <row r="7536" spans="1:8" ht="15" customHeight="1">
      <c r="A7536" s="26">
        <v>74379660</v>
      </c>
      <c r="B7536" s="30" t="s">
        <v>9764</v>
      </c>
      <c r="C7536" s="29" t="s">
        <v>23969</v>
      </c>
      <c r="D7536" s="29" t="s">
        <v>37244</v>
      </c>
      <c r="E7536" s="29" t="s">
        <v>49576</v>
      </c>
      <c r="F7536" s="36" t="s">
        <v>54401</v>
      </c>
      <c r="G7536" s="39">
        <v>581507.22</v>
      </c>
      <c r="H7536" s="42">
        <v>211</v>
      </c>
    </row>
    <row r="7537" spans="1:8" ht="15" customHeight="1">
      <c r="A7537" s="26">
        <v>74379662</v>
      </c>
      <c r="B7537" s="30" t="s">
        <v>9765</v>
      </c>
      <c r="C7537" s="29" t="s">
        <v>23970</v>
      </c>
      <c r="D7537" s="29" t="s">
        <v>37245</v>
      </c>
      <c r="E7537" s="29" t="s">
        <v>46611</v>
      </c>
      <c r="F7537" s="36" t="s">
        <v>54401</v>
      </c>
      <c r="G7537" s="39">
        <v>401307.67</v>
      </c>
      <c r="H7537" s="42">
        <v>211</v>
      </c>
    </row>
    <row r="7538" spans="1:8" ht="15" customHeight="1">
      <c r="A7538" s="26">
        <v>74379672</v>
      </c>
      <c r="B7538" s="30" t="s">
        <v>9766</v>
      </c>
      <c r="C7538" s="29" t="s">
        <v>23971</v>
      </c>
      <c r="D7538" s="29" t="s">
        <v>37246</v>
      </c>
      <c r="E7538" s="29" t="s">
        <v>49577</v>
      </c>
      <c r="F7538" s="36" t="s">
        <v>54401</v>
      </c>
      <c r="G7538" s="39">
        <f>4207052.55+45479</f>
        <v>4252531.55</v>
      </c>
      <c r="H7538" s="42">
        <v>211</v>
      </c>
    </row>
    <row r="7539" spans="1:8" ht="15" customHeight="1">
      <c r="A7539" s="26">
        <v>74379685</v>
      </c>
      <c r="B7539" s="30" t="s">
        <v>9767</v>
      </c>
      <c r="C7539" s="29" t="s">
        <v>23972</v>
      </c>
      <c r="D7539" s="29" t="s">
        <v>37247</v>
      </c>
      <c r="E7539" s="29" t="s">
        <v>49578</v>
      </c>
      <c r="F7539" s="36" t="s">
        <v>54401</v>
      </c>
      <c r="G7539" s="39">
        <f>9242005.97+119989</f>
        <v>9361994.9700000007</v>
      </c>
      <c r="H7539" s="42">
        <v>211</v>
      </c>
    </row>
    <row r="7540" spans="1:8" ht="15" customHeight="1">
      <c r="A7540" s="26">
        <v>74379690</v>
      </c>
      <c r="B7540" s="30" t="s">
        <v>9768</v>
      </c>
      <c r="C7540" s="29" t="s">
        <v>23973</v>
      </c>
      <c r="D7540" s="29" t="s">
        <v>37248</v>
      </c>
      <c r="E7540" s="29" t="s">
        <v>47572</v>
      </c>
      <c r="F7540" s="36" t="s">
        <v>54401</v>
      </c>
      <c r="G7540" s="39">
        <v>899699.41</v>
      </c>
      <c r="H7540" s="42">
        <v>211</v>
      </c>
    </row>
    <row r="7541" spans="1:8" ht="15" customHeight="1">
      <c r="A7541" s="26">
        <v>74379698</v>
      </c>
      <c r="B7541" s="30" t="s">
        <v>9769</v>
      </c>
      <c r="C7541" s="29" t="s">
        <v>23974</v>
      </c>
      <c r="D7541" s="29" t="s">
        <v>37249</v>
      </c>
      <c r="E7541" s="29" t="s">
        <v>49579</v>
      </c>
      <c r="F7541" s="36" t="s">
        <v>54401</v>
      </c>
      <c r="G7541" s="39">
        <f>6898878.21-11596</f>
        <v>6887282.21</v>
      </c>
      <c r="H7541" s="42">
        <v>211</v>
      </c>
    </row>
    <row r="7542" spans="1:8" ht="15" customHeight="1">
      <c r="A7542" s="26">
        <v>74379705</v>
      </c>
      <c r="B7542" s="30" t="s">
        <v>9770</v>
      </c>
      <c r="C7542" s="29" t="s">
        <v>23975</v>
      </c>
      <c r="D7542" s="29" t="s">
        <v>37250</v>
      </c>
      <c r="E7542" s="29" t="s">
        <v>49580</v>
      </c>
      <c r="F7542" s="36" t="s">
        <v>54401</v>
      </c>
      <c r="G7542" s="39">
        <f>3360517.04+255695</f>
        <v>3616212.04</v>
      </c>
      <c r="H7542" s="42">
        <v>211</v>
      </c>
    </row>
    <row r="7543" spans="1:8" ht="15" customHeight="1">
      <c r="A7543" s="26">
        <v>74379714</v>
      </c>
      <c r="B7543" s="30" t="s">
        <v>9771</v>
      </c>
      <c r="C7543" s="29" t="s">
        <v>23976</v>
      </c>
      <c r="D7543" s="29" t="s">
        <v>37251</v>
      </c>
      <c r="E7543" s="29" t="s">
        <v>44023</v>
      </c>
      <c r="F7543" s="36" t="s">
        <v>54401</v>
      </c>
      <c r="G7543" s="39">
        <v>1602885.62</v>
      </c>
      <c r="H7543" s="42">
        <v>211</v>
      </c>
    </row>
    <row r="7544" spans="1:8" ht="15" customHeight="1">
      <c r="A7544" s="26">
        <v>74379716</v>
      </c>
      <c r="B7544" s="30" t="s">
        <v>9772</v>
      </c>
      <c r="C7544" s="29" t="s">
        <v>23977</v>
      </c>
      <c r="D7544" s="29" t="s">
        <v>37252</v>
      </c>
      <c r="E7544" s="29" t="s">
        <v>48251</v>
      </c>
      <c r="F7544" s="36" t="s">
        <v>54401</v>
      </c>
      <c r="G7544" s="39">
        <v>4686132.66</v>
      </c>
      <c r="H7544" s="42">
        <v>211</v>
      </c>
    </row>
    <row r="7545" spans="1:8" ht="15" customHeight="1">
      <c r="A7545" s="26">
        <v>74379719</v>
      </c>
      <c r="B7545" s="30" t="s">
        <v>9773</v>
      </c>
      <c r="C7545" s="29" t="s">
        <v>23978</v>
      </c>
      <c r="D7545" s="29" t="s">
        <v>37253</v>
      </c>
      <c r="E7545" s="29" t="s">
        <v>49581</v>
      </c>
      <c r="F7545" s="36" t="s">
        <v>54401</v>
      </c>
      <c r="G7545" s="39">
        <f>4861160.68+157547</f>
        <v>5018707.68</v>
      </c>
      <c r="H7545" s="42">
        <v>211</v>
      </c>
    </row>
    <row r="7546" spans="1:8" ht="15" customHeight="1">
      <c r="A7546" s="26">
        <v>74379731</v>
      </c>
      <c r="B7546" s="30" t="s">
        <v>9774</v>
      </c>
      <c r="C7546" s="29" t="s">
        <v>23979</v>
      </c>
      <c r="D7546" s="29" t="s">
        <v>37254</v>
      </c>
      <c r="E7546" s="29" t="s">
        <v>49582</v>
      </c>
      <c r="F7546" s="36" t="s">
        <v>54401</v>
      </c>
      <c r="G7546" s="39">
        <v>17541.349999999999</v>
      </c>
      <c r="H7546" s="42">
        <v>211</v>
      </c>
    </row>
    <row r="7547" spans="1:8" ht="15" customHeight="1">
      <c r="A7547" s="26">
        <v>74379739</v>
      </c>
      <c r="B7547" s="30" t="s">
        <v>9775</v>
      </c>
      <c r="C7547" s="29" t="s">
        <v>17204</v>
      </c>
      <c r="D7547" s="29" t="s">
        <v>37255</v>
      </c>
      <c r="E7547" s="29" t="s">
        <v>43926</v>
      </c>
      <c r="F7547" s="36" t="s">
        <v>54401</v>
      </c>
      <c r="G7547" s="39">
        <v>53688.65</v>
      </c>
      <c r="H7547" s="42">
        <v>211</v>
      </c>
    </row>
    <row r="7548" spans="1:8" ht="15" customHeight="1">
      <c r="A7548" s="26">
        <v>74379742</v>
      </c>
      <c r="B7548" s="30" t="s">
        <v>9776</v>
      </c>
      <c r="C7548" s="29" t="s">
        <v>23980</v>
      </c>
      <c r="D7548" s="29" t="s">
        <v>37256</v>
      </c>
      <c r="E7548" s="29" t="s">
        <v>43926</v>
      </c>
      <c r="F7548" s="36" t="s">
        <v>54401</v>
      </c>
      <c r="G7548" s="39">
        <v>439400.26</v>
      </c>
      <c r="H7548" s="42">
        <v>211</v>
      </c>
    </row>
    <row r="7549" spans="1:8" ht="15" customHeight="1">
      <c r="A7549" s="26">
        <v>74379757</v>
      </c>
      <c r="B7549" s="30" t="s">
        <v>9777</v>
      </c>
      <c r="C7549" s="29" t="s">
        <v>23981</v>
      </c>
      <c r="D7549" s="29" t="s">
        <v>37257</v>
      </c>
      <c r="E7549" s="29" t="s">
        <v>44736</v>
      </c>
      <c r="F7549" s="36" t="s">
        <v>54401</v>
      </c>
      <c r="G7549" s="39">
        <v>107232.15</v>
      </c>
      <c r="H7549" s="42">
        <v>211</v>
      </c>
    </row>
    <row r="7550" spans="1:8" ht="15" customHeight="1">
      <c r="A7550" s="26">
        <v>74379771</v>
      </c>
      <c r="B7550" s="30" t="s">
        <v>9778</v>
      </c>
      <c r="C7550" s="29" t="s">
        <v>23982</v>
      </c>
      <c r="D7550" s="29" t="s">
        <v>37258</v>
      </c>
      <c r="E7550" s="29" t="s">
        <v>43926</v>
      </c>
      <c r="F7550" s="36" t="s">
        <v>54401</v>
      </c>
      <c r="G7550" s="39">
        <v>39487</v>
      </c>
      <c r="H7550" s="42">
        <v>211</v>
      </c>
    </row>
    <row r="7551" spans="1:8" ht="15" customHeight="1">
      <c r="A7551" s="26">
        <v>74379784</v>
      </c>
      <c r="B7551" s="30" t="s">
        <v>9779</v>
      </c>
      <c r="C7551" s="29" t="s">
        <v>23983</v>
      </c>
      <c r="D7551" s="29" t="s">
        <v>30349</v>
      </c>
      <c r="E7551" s="29" t="s">
        <v>49583</v>
      </c>
      <c r="F7551" s="36" t="s">
        <v>54401</v>
      </c>
      <c r="G7551" s="39">
        <v>301644.46000000002</v>
      </c>
      <c r="H7551" s="42">
        <v>211</v>
      </c>
    </row>
    <row r="7552" spans="1:8" ht="15" customHeight="1">
      <c r="A7552" s="26">
        <v>74379789</v>
      </c>
      <c r="B7552" s="30" t="s">
        <v>9780</v>
      </c>
      <c r="C7552" s="29" t="s">
        <v>17204</v>
      </c>
      <c r="D7552" s="29" t="s">
        <v>30349</v>
      </c>
      <c r="E7552" s="29" t="s">
        <v>43926</v>
      </c>
      <c r="F7552" s="36" t="s">
        <v>54401</v>
      </c>
      <c r="G7552" s="39">
        <f>1230793.05+1010259</f>
        <v>2241052.0499999998</v>
      </c>
      <c r="H7552" s="42">
        <v>211</v>
      </c>
    </row>
    <row r="7553" spans="1:8" ht="15" customHeight="1">
      <c r="A7553" s="26">
        <v>74379828</v>
      </c>
      <c r="B7553" s="30" t="s">
        <v>9781</v>
      </c>
      <c r="C7553" s="29" t="s">
        <v>17204</v>
      </c>
      <c r="D7553" s="29" t="s">
        <v>30349</v>
      </c>
      <c r="E7553" s="29" t="s">
        <v>43926</v>
      </c>
      <c r="F7553" s="36" t="s">
        <v>54401</v>
      </c>
      <c r="G7553" s="39">
        <v>368204.38</v>
      </c>
      <c r="H7553" s="42">
        <v>211</v>
      </c>
    </row>
    <row r="7554" spans="1:8" ht="15" customHeight="1">
      <c r="A7554" s="26">
        <v>74379866</v>
      </c>
      <c r="B7554" s="30" t="s">
        <v>9782</v>
      </c>
      <c r="C7554" s="29" t="s">
        <v>23984</v>
      </c>
      <c r="D7554" s="29" t="s">
        <v>37259</v>
      </c>
      <c r="E7554" s="29" t="s">
        <v>49584</v>
      </c>
      <c r="F7554" s="36" t="s">
        <v>54401</v>
      </c>
      <c r="G7554" s="39">
        <v>6100969.0800000001</v>
      </c>
      <c r="H7554" s="42">
        <v>211</v>
      </c>
    </row>
    <row r="7555" spans="1:8" ht="15" customHeight="1">
      <c r="A7555" s="26">
        <v>74379879</v>
      </c>
      <c r="B7555" s="30" t="s">
        <v>9783</v>
      </c>
      <c r="C7555" s="29" t="s">
        <v>23985</v>
      </c>
      <c r="D7555" s="29" t="s">
        <v>37260</v>
      </c>
      <c r="E7555" s="29" t="s">
        <v>49585</v>
      </c>
      <c r="F7555" s="36" t="s">
        <v>54401</v>
      </c>
      <c r="G7555" s="39">
        <v>33017.230000000003</v>
      </c>
      <c r="H7555" s="42">
        <v>211</v>
      </c>
    </row>
    <row r="7556" spans="1:8" ht="15" customHeight="1">
      <c r="A7556" s="26">
        <v>74379883</v>
      </c>
      <c r="B7556" s="30" t="s">
        <v>9784</v>
      </c>
      <c r="C7556" s="29" t="s">
        <v>23986</v>
      </c>
      <c r="D7556" s="29" t="s">
        <v>35523</v>
      </c>
      <c r="E7556" s="29" t="s">
        <v>48279</v>
      </c>
      <c r="F7556" s="36" t="s">
        <v>54401</v>
      </c>
      <c r="G7556" s="39">
        <v>6867895.25</v>
      </c>
      <c r="H7556" s="42">
        <v>211</v>
      </c>
    </row>
    <row r="7557" spans="1:8" ht="15" customHeight="1">
      <c r="A7557" s="26">
        <v>74379898</v>
      </c>
      <c r="B7557" s="30" t="s">
        <v>9785</v>
      </c>
      <c r="C7557" s="29" t="s">
        <v>23987</v>
      </c>
      <c r="D7557" s="29" t="s">
        <v>37261</v>
      </c>
      <c r="E7557" s="29" t="s">
        <v>44963</v>
      </c>
      <c r="F7557" s="36" t="s">
        <v>54401</v>
      </c>
      <c r="G7557" s="39">
        <f>870584.45+1493210</f>
        <v>2363794.4500000002</v>
      </c>
      <c r="H7557" s="42">
        <v>211</v>
      </c>
    </row>
    <row r="7558" spans="1:8" ht="15" customHeight="1">
      <c r="A7558" s="26">
        <v>74379910</v>
      </c>
      <c r="B7558" s="30" t="s">
        <v>9786</v>
      </c>
      <c r="C7558" s="29" t="s">
        <v>23988</v>
      </c>
      <c r="D7558" s="29" t="s">
        <v>37262</v>
      </c>
      <c r="E7558" s="29" t="s">
        <v>49586</v>
      </c>
      <c r="F7558" s="36" t="s">
        <v>54401</v>
      </c>
      <c r="G7558" s="39">
        <v>1200000.82</v>
      </c>
      <c r="H7558" s="42">
        <v>211</v>
      </c>
    </row>
    <row r="7559" spans="1:8" ht="15" customHeight="1">
      <c r="A7559" s="26">
        <v>74379916</v>
      </c>
      <c r="B7559" s="30" t="s">
        <v>9787</v>
      </c>
      <c r="C7559" s="29" t="s">
        <v>17204</v>
      </c>
      <c r="D7559" s="29" t="s">
        <v>30349</v>
      </c>
      <c r="E7559" s="29" t="s">
        <v>43926</v>
      </c>
      <c r="F7559" s="36" t="s">
        <v>54401</v>
      </c>
      <c r="G7559" s="39">
        <v>718885.79</v>
      </c>
      <c r="H7559" s="42">
        <v>211</v>
      </c>
    </row>
    <row r="7560" spans="1:8" ht="15" customHeight="1">
      <c r="A7560" s="26">
        <v>74379925</v>
      </c>
      <c r="B7560" s="30" t="s">
        <v>9788</v>
      </c>
      <c r="C7560" s="29" t="s">
        <v>23989</v>
      </c>
      <c r="D7560" s="29" t="s">
        <v>37263</v>
      </c>
      <c r="E7560" s="29" t="s">
        <v>49587</v>
      </c>
      <c r="F7560" s="36" t="s">
        <v>54401</v>
      </c>
      <c r="G7560" s="39">
        <v>166088.29999999999</v>
      </c>
      <c r="H7560" s="42">
        <v>211</v>
      </c>
    </row>
    <row r="7561" spans="1:8" ht="15" customHeight="1">
      <c r="A7561" s="26">
        <v>74379939</v>
      </c>
      <c r="B7561" s="30" t="s">
        <v>9789</v>
      </c>
      <c r="C7561" s="29" t="s">
        <v>23990</v>
      </c>
      <c r="D7561" s="29" t="s">
        <v>37264</v>
      </c>
      <c r="E7561" s="29" t="s">
        <v>49588</v>
      </c>
      <c r="F7561" s="36" t="s">
        <v>54401</v>
      </c>
      <c r="G7561" s="39">
        <v>2702016.77</v>
      </c>
      <c r="H7561" s="42">
        <v>211</v>
      </c>
    </row>
    <row r="7562" spans="1:8" ht="15" customHeight="1">
      <c r="A7562" s="26">
        <v>74379948</v>
      </c>
      <c r="B7562" s="30" t="s">
        <v>9790</v>
      </c>
      <c r="C7562" s="29" t="s">
        <v>23991</v>
      </c>
      <c r="D7562" s="29" t="s">
        <v>37265</v>
      </c>
      <c r="E7562" s="29" t="s">
        <v>49589</v>
      </c>
      <c r="F7562" s="36" t="s">
        <v>54401</v>
      </c>
      <c r="G7562" s="39">
        <v>125262.83</v>
      </c>
      <c r="H7562" s="42">
        <v>211</v>
      </c>
    </row>
    <row r="7563" spans="1:8" ht="15" customHeight="1">
      <c r="A7563" s="26">
        <v>74379954</v>
      </c>
      <c r="B7563" s="30" t="s">
        <v>9791</v>
      </c>
      <c r="C7563" s="26" t="s">
        <v>23992</v>
      </c>
      <c r="D7563" s="26" t="s">
        <v>37266</v>
      </c>
      <c r="E7563" s="26" t="s">
        <v>49590</v>
      </c>
      <c r="F7563" s="37" t="s">
        <v>54401</v>
      </c>
      <c r="G7563" s="39">
        <v>2256960.2599999998</v>
      </c>
      <c r="H7563" s="42">
        <v>211</v>
      </c>
    </row>
    <row r="7564" spans="1:8" ht="15" customHeight="1">
      <c r="A7564" s="26">
        <v>74379967</v>
      </c>
      <c r="B7564" s="30" t="s">
        <v>9792</v>
      </c>
      <c r="C7564" s="29" t="s">
        <v>23993</v>
      </c>
      <c r="D7564" s="29" t="s">
        <v>37267</v>
      </c>
      <c r="E7564" s="29" t="s">
        <v>49591</v>
      </c>
      <c r="F7564" s="36" t="s">
        <v>54401</v>
      </c>
      <c r="G7564" s="39">
        <v>338005</v>
      </c>
      <c r="H7564" s="42">
        <v>211</v>
      </c>
    </row>
    <row r="7565" spans="1:8" ht="15" customHeight="1">
      <c r="A7565" s="26">
        <v>74379968</v>
      </c>
      <c r="B7565" s="30" t="s">
        <v>9793</v>
      </c>
      <c r="C7565" s="29" t="s">
        <v>23994</v>
      </c>
      <c r="D7565" s="29" t="s">
        <v>37268</v>
      </c>
      <c r="E7565" s="29" t="s">
        <v>44264</v>
      </c>
      <c r="F7565" s="36" t="s">
        <v>54409</v>
      </c>
      <c r="G7565" s="39">
        <v>3503979.45</v>
      </c>
      <c r="H7565" s="42">
        <v>211</v>
      </c>
    </row>
    <row r="7566" spans="1:8" ht="15" customHeight="1">
      <c r="A7566" s="26">
        <v>74379978</v>
      </c>
      <c r="B7566" s="30" t="s">
        <v>9794</v>
      </c>
      <c r="C7566" s="29" t="s">
        <v>23995</v>
      </c>
      <c r="D7566" s="29" t="s">
        <v>37269</v>
      </c>
      <c r="E7566" s="29" t="s">
        <v>49592</v>
      </c>
      <c r="F7566" s="36" t="s">
        <v>54401</v>
      </c>
      <c r="G7566" s="39">
        <v>3450</v>
      </c>
      <c r="H7566" s="42">
        <v>211</v>
      </c>
    </row>
    <row r="7567" spans="1:8" ht="15" customHeight="1">
      <c r="A7567" s="26">
        <v>74379981</v>
      </c>
      <c r="B7567" s="30" t="s">
        <v>9795</v>
      </c>
      <c r="C7567" s="29" t="s">
        <v>23996</v>
      </c>
      <c r="D7567" s="29" t="s">
        <v>37270</v>
      </c>
      <c r="E7567" s="29" t="s">
        <v>43926</v>
      </c>
      <c r="F7567" s="36" t="s">
        <v>54401</v>
      </c>
      <c r="G7567" s="39">
        <v>279711.08</v>
      </c>
      <c r="H7567" s="42">
        <v>211</v>
      </c>
    </row>
    <row r="7568" spans="1:8" ht="15" customHeight="1">
      <c r="A7568" s="26">
        <v>74379986</v>
      </c>
      <c r="B7568" s="30" t="s">
        <v>9796</v>
      </c>
      <c r="C7568" s="29" t="s">
        <v>23997</v>
      </c>
      <c r="D7568" s="29" t="s">
        <v>37271</v>
      </c>
      <c r="E7568" s="29" t="s">
        <v>49593</v>
      </c>
      <c r="F7568" s="36" t="s">
        <v>54401</v>
      </c>
      <c r="G7568" s="39">
        <v>1452842.51</v>
      </c>
      <c r="H7568" s="42">
        <v>211</v>
      </c>
    </row>
    <row r="7569" spans="1:8" ht="15" customHeight="1">
      <c r="A7569" s="26">
        <v>74379996</v>
      </c>
      <c r="B7569" s="30" t="s">
        <v>9797</v>
      </c>
      <c r="C7569" s="29" t="s">
        <v>17204</v>
      </c>
      <c r="D7569" s="29" t="s">
        <v>34694</v>
      </c>
      <c r="E7569" s="29" t="s">
        <v>43926</v>
      </c>
      <c r="F7569" s="36" t="s">
        <v>54401</v>
      </c>
      <c r="G7569" s="39">
        <v>1695984.94</v>
      </c>
      <c r="H7569" s="42">
        <v>211</v>
      </c>
    </row>
    <row r="7570" spans="1:8" ht="15" customHeight="1">
      <c r="A7570" s="26">
        <v>74379999</v>
      </c>
      <c r="B7570" s="30" t="s">
        <v>9798</v>
      </c>
      <c r="C7570" s="29" t="s">
        <v>23998</v>
      </c>
      <c r="D7570" s="29" t="s">
        <v>37272</v>
      </c>
      <c r="E7570" s="29" t="s">
        <v>49594</v>
      </c>
      <c r="F7570" s="36" t="s">
        <v>54401</v>
      </c>
      <c r="G7570" s="39">
        <v>1394788.39</v>
      </c>
      <c r="H7570" s="42">
        <v>211</v>
      </c>
    </row>
    <row r="7571" spans="1:8" ht="15" customHeight="1">
      <c r="A7571" s="26">
        <v>74380006</v>
      </c>
      <c r="B7571" s="30" t="s">
        <v>9799</v>
      </c>
      <c r="C7571" s="29" t="s">
        <v>23999</v>
      </c>
      <c r="D7571" s="29" t="s">
        <v>34560</v>
      </c>
      <c r="E7571" s="29" t="s">
        <v>49595</v>
      </c>
      <c r="F7571" s="36" t="s">
        <v>54401</v>
      </c>
      <c r="G7571" s="39">
        <f>3009385.35+354228</f>
        <v>3363613.35</v>
      </c>
      <c r="H7571" s="42">
        <v>211</v>
      </c>
    </row>
    <row r="7572" spans="1:8" ht="15" customHeight="1">
      <c r="A7572" s="26">
        <v>74380012</v>
      </c>
      <c r="B7572" s="30" t="s">
        <v>9800</v>
      </c>
      <c r="C7572" s="29" t="s">
        <v>24000</v>
      </c>
      <c r="D7572" s="29" t="s">
        <v>37273</v>
      </c>
      <c r="E7572" s="29" t="s">
        <v>49596</v>
      </c>
      <c r="F7572" s="36" t="s">
        <v>54401</v>
      </c>
      <c r="G7572" s="39">
        <v>619714.64</v>
      </c>
      <c r="H7572" s="42">
        <v>211</v>
      </c>
    </row>
    <row r="7573" spans="1:8" ht="15" customHeight="1">
      <c r="A7573" s="26">
        <v>74380014</v>
      </c>
      <c r="B7573" s="30" t="s">
        <v>9801</v>
      </c>
      <c r="C7573" s="29" t="s">
        <v>24001</v>
      </c>
      <c r="D7573" s="29" t="s">
        <v>37274</v>
      </c>
      <c r="E7573" s="29" t="s">
        <v>49597</v>
      </c>
      <c r="F7573" s="36" t="s">
        <v>54401</v>
      </c>
      <c r="G7573" s="39">
        <v>250922.75</v>
      </c>
      <c r="H7573" s="42">
        <v>211</v>
      </c>
    </row>
    <row r="7574" spans="1:8" ht="15" customHeight="1">
      <c r="A7574" s="26">
        <v>74380019</v>
      </c>
      <c r="B7574" s="30" t="s">
        <v>9802</v>
      </c>
      <c r="C7574" s="29" t="s">
        <v>24002</v>
      </c>
      <c r="D7574" s="29" t="s">
        <v>37275</v>
      </c>
      <c r="E7574" s="29" t="s">
        <v>49598</v>
      </c>
      <c r="F7574" s="36" t="s">
        <v>54401</v>
      </c>
      <c r="G7574" s="39">
        <f>3411090.85+189786</f>
        <v>3600876.85</v>
      </c>
      <c r="H7574" s="42">
        <v>211</v>
      </c>
    </row>
    <row r="7575" spans="1:8" ht="15" customHeight="1">
      <c r="A7575" s="26">
        <v>74380035</v>
      </c>
      <c r="B7575" s="30" t="s">
        <v>9803</v>
      </c>
      <c r="C7575" s="29" t="s">
        <v>24003</v>
      </c>
      <c r="D7575" s="29" t="s">
        <v>37276</v>
      </c>
      <c r="E7575" s="29" t="s">
        <v>49599</v>
      </c>
      <c r="F7575" s="36" t="s">
        <v>54423</v>
      </c>
      <c r="G7575" s="39">
        <v>4673122.8899999997</v>
      </c>
      <c r="H7575" s="42">
        <v>211</v>
      </c>
    </row>
    <row r="7576" spans="1:8" ht="15" customHeight="1">
      <c r="A7576" s="26">
        <v>74380062</v>
      </c>
      <c r="B7576" s="30" t="s">
        <v>9804</v>
      </c>
      <c r="C7576" s="29" t="s">
        <v>24004</v>
      </c>
      <c r="D7576" s="29" t="s">
        <v>37277</v>
      </c>
      <c r="E7576" s="29" t="s">
        <v>49600</v>
      </c>
      <c r="F7576" s="36" t="s">
        <v>54401</v>
      </c>
      <c r="G7576" s="39">
        <v>51378.15</v>
      </c>
      <c r="H7576" s="42">
        <v>211</v>
      </c>
    </row>
    <row r="7577" spans="1:8" ht="15" customHeight="1">
      <c r="A7577" s="26">
        <v>74380072</v>
      </c>
      <c r="B7577" s="30" t="s">
        <v>9805</v>
      </c>
      <c r="C7577" s="29" t="s">
        <v>24005</v>
      </c>
      <c r="D7577" s="29" t="s">
        <v>37278</v>
      </c>
      <c r="E7577" s="29" t="s">
        <v>49601</v>
      </c>
      <c r="F7577" s="36" t="s">
        <v>54423</v>
      </c>
      <c r="G7577" s="39">
        <v>1348898.17</v>
      </c>
      <c r="H7577" s="42">
        <v>211</v>
      </c>
    </row>
    <row r="7578" spans="1:8" ht="15" customHeight="1">
      <c r="A7578" s="26">
        <v>74380119</v>
      </c>
      <c r="B7578" s="30" t="s">
        <v>9806</v>
      </c>
      <c r="C7578" s="29" t="s">
        <v>24006</v>
      </c>
      <c r="D7578" s="29" t="s">
        <v>37279</v>
      </c>
      <c r="E7578" s="29" t="s">
        <v>43926</v>
      </c>
      <c r="F7578" s="36" t="s">
        <v>54401</v>
      </c>
      <c r="G7578" s="39">
        <v>312396.21999999997</v>
      </c>
      <c r="H7578" s="42">
        <v>211</v>
      </c>
    </row>
    <row r="7579" spans="1:8" ht="15" customHeight="1">
      <c r="A7579" s="26">
        <v>74380131</v>
      </c>
      <c r="B7579" s="30" t="s">
        <v>9807</v>
      </c>
      <c r="C7579" s="29" t="s">
        <v>24007</v>
      </c>
      <c r="D7579" s="29" t="s">
        <v>37280</v>
      </c>
      <c r="E7579" s="29" t="s">
        <v>49602</v>
      </c>
      <c r="F7579" s="36" t="s">
        <v>54401</v>
      </c>
      <c r="G7579" s="39">
        <v>4234701.8499999996</v>
      </c>
      <c r="H7579" s="42">
        <v>211</v>
      </c>
    </row>
    <row r="7580" spans="1:8" ht="15" customHeight="1">
      <c r="A7580" s="26">
        <v>74380139</v>
      </c>
      <c r="B7580" s="30" t="s">
        <v>9808</v>
      </c>
      <c r="C7580" s="29" t="s">
        <v>17204</v>
      </c>
      <c r="D7580" s="29" t="s">
        <v>37281</v>
      </c>
      <c r="E7580" s="29" t="s">
        <v>43926</v>
      </c>
      <c r="F7580" s="36" t="s">
        <v>54401</v>
      </c>
      <c r="G7580" s="39">
        <v>562500.56000000006</v>
      </c>
      <c r="H7580" s="42">
        <v>211</v>
      </c>
    </row>
    <row r="7581" spans="1:8" ht="15" customHeight="1">
      <c r="A7581" s="26">
        <v>74380155</v>
      </c>
      <c r="B7581" s="30" t="s">
        <v>9809</v>
      </c>
      <c r="C7581" s="29" t="s">
        <v>24008</v>
      </c>
      <c r="D7581" s="29" t="s">
        <v>37282</v>
      </c>
      <c r="E7581" s="29" t="s">
        <v>49603</v>
      </c>
      <c r="F7581" s="36" t="s">
        <v>54401</v>
      </c>
      <c r="G7581" s="39">
        <f>1608268.27+257256</f>
        <v>1865524.27</v>
      </c>
      <c r="H7581" s="42">
        <v>211</v>
      </c>
    </row>
    <row r="7582" spans="1:8" ht="15" customHeight="1">
      <c r="A7582" s="26">
        <v>74380178</v>
      </c>
      <c r="B7582" s="30" t="s">
        <v>9810</v>
      </c>
      <c r="C7582" s="29" t="s">
        <v>24009</v>
      </c>
      <c r="D7582" s="29" t="s">
        <v>37283</v>
      </c>
      <c r="E7582" s="29" t="s">
        <v>49604</v>
      </c>
      <c r="F7582" s="36" t="s">
        <v>54401</v>
      </c>
      <c r="G7582" s="39">
        <v>428101.01</v>
      </c>
      <c r="H7582" s="42">
        <v>211</v>
      </c>
    </row>
    <row r="7583" spans="1:8" ht="15" customHeight="1">
      <c r="A7583" s="26">
        <v>74380185</v>
      </c>
      <c r="B7583" s="30" t="s">
        <v>9811</v>
      </c>
      <c r="C7583" s="29" t="s">
        <v>24010</v>
      </c>
      <c r="D7583" s="29" t="s">
        <v>37284</v>
      </c>
      <c r="E7583" s="29" t="s">
        <v>44973</v>
      </c>
      <c r="F7583" s="36" t="s">
        <v>54401</v>
      </c>
      <c r="G7583" s="39">
        <v>690445.47</v>
      </c>
      <c r="H7583" s="42">
        <v>211</v>
      </c>
    </row>
    <row r="7584" spans="1:8" ht="15" customHeight="1">
      <c r="A7584" s="26">
        <v>74380205</v>
      </c>
      <c r="B7584" s="30" t="s">
        <v>9812</v>
      </c>
      <c r="C7584" s="29" t="s">
        <v>24011</v>
      </c>
      <c r="D7584" s="29" t="s">
        <v>37285</v>
      </c>
      <c r="E7584" s="29" t="s">
        <v>49605</v>
      </c>
      <c r="F7584" s="36" t="s">
        <v>54401</v>
      </c>
      <c r="G7584" s="39">
        <f>3111387.84+3179972+197480+19748</f>
        <v>6508587.8399999999</v>
      </c>
      <c r="H7584" s="42">
        <v>211</v>
      </c>
    </row>
    <row r="7585" spans="1:8" ht="15" customHeight="1">
      <c r="A7585" s="26">
        <v>74380222</v>
      </c>
      <c r="B7585" s="30" t="s">
        <v>9813</v>
      </c>
      <c r="C7585" s="29" t="s">
        <v>22810</v>
      </c>
      <c r="D7585" s="29" t="s">
        <v>36080</v>
      </c>
      <c r="E7585" s="29" t="s">
        <v>49606</v>
      </c>
      <c r="F7585" s="36" t="s">
        <v>54401</v>
      </c>
      <c r="G7585" s="39">
        <v>140221.78</v>
      </c>
      <c r="H7585" s="42">
        <v>211</v>
      </c>
    </row>
    <row r="7586" spans="1:8" ht="15" customHeight="1">
      <c r="A7586" s="26">
        <v>74380231</v>
      </c>
      <c r="B7586" s="30" t="s">
        <v>9814</v>
      </c>
      <c r="C7586" s="29" t="s">
        <v>24012</v>
      </c>
      <c r="D7586" s="29" t="s">
        <v>37286</v>
      </c>
      <c r="E7586" s="29" t="s">
        <v>49607</v>
      </c>
      <c r="F7586" s="36" t="s">
        <v>54401</v>
      </c>
      <c r="G7586" s="39">
        <f>2267828.42+634193</f>
        <v>2902021.42</v>
      </c>
      <c r="H7586" s="42">
        <v>211</v>
      </c>
    </row>
    <row r="7587" spans="1:8" ht="15" customHeight="1">
      <c r="A7587" s="26">
        <v>74380234</v>
      </c>
      <c r="B7587" s="30" t="s">
        <v>9815</v>
      </c>
      <c r="C7587" s="29" t="s">
        <v>24013</v>
      </c>
      <c r="D7587" s="29" t="s">
        <v>37287</v>
      </c>
      <c r="E7587" s="29" t="s">
        <v>49608</v>
      </c>
      <c r="F7587" s="36" t="s">
        <v>54401</v>
      </c>
      <c r="G7587" s="39">
        <f>1150757.27+143583</f>
        <v>1294340.27</v>
      </c>
      <c r="H7587" s="42">
        <v>211</v>
      </c>
    </row>
    <row r="7588" spans="1:8" ht="15" customHeight="1">
      <c r="A7588" s="26">
        <v>74380236</v>
      </c>
      <c r="B7588" s="30" t="s">
        <v>9816</v>
      </c>
      <c r="C7588" s="29" t="s">
        <v>24014</v>
      </c>
      <c r="D7588" s="29" t="s">
        <v>37288</v>
      </c>
      <c r="E7588" s="29" t="s">
        <v>49609</v>
      </c>
      <c r="F7588" s="36" t="s">
        <v>54423</v>
      </c>
      <c r="G7588" s="39">
        <v>160718.39000000001</v>
      </c>
      <c r="H7588" s="42">
        <v>211</v>
      </c>
    </row>
    <row r="7589" spans="1:8" ht="15" customHeight="1">
      <c r="A7589" s="26">
        <v>74380252</v>
      </c>
      <c r="B7589" s="30" t="s">
        <v>9817</v>
      </c>
      <c r="C7589" s="29" t="s">
        <v>24015</v>
      </c>
      <c r="D7589" s="29" t="s">
        <v>37289</v>
      </c>
      <c r="E7589" s="29" t="s">
        <v>49610</v>
      </c>
      <c r="F7589" s="36" t="s">
        <v>54401</v>
      </c>
      <c r="G7589" s="39">
        <f>1187777.39+254786</f>
        <v>1442563.39</v>
      </c>
      <c r="H7589" s="42">
        <v>211</v>
      </c>
    </row>
    <row r="7590" spans="1:8" ht="15" customHeight="1">
      <c r="A7590" s="26">
        <v>74380261</v>
      </c>
      <c r="B7590" s="30" t="s">
        <v>9818</v>
      </c>
      <c r="C7590" s="29" t="s">
        <v>24016</v>
      </c>
      <c r="D7590" s="29" t="s">
        <v>37290</v>
      </c>
      <c r="E7590" s="29" t="s">
        <v>49611</v>
      </c>
      <c r="F7590" s="36" t="s">
        <v>54401</v>
      </c>
      <c r="G7590" s="39">
        <v>42108.4</v>
      </c>
      <c r="H7590" s="42">
        <v>211</v>
      </c>
    </row>
    <row r="7591" spans="1:8" ht="15" customHeight="1">
      <c r="A7591" s="26">
        <v>74380263</v>
      </c>
      <c r="B7591" s="30" t="s">
        <v>9819</v>
      </c>
      <c r="C7591" s="29" t="s">
        <v>17204</v>
      </c>
      <c r="D7591" s="29" t="s">
        <v>30349</v>
      </c>
      <c r="E7591" s="29" t="s">
        <v>43926</v>
      </c>
      <c r="F7591" s="36" t="s">
        <v>54401</v>
      </c>
      <c r="G7591" s="39">
        <f>248449.48+2457674</f>
        <v>2706123.48</v>
      </c>
      <c r="H7591" s="42">
        <v>211</v>
      </c>
    </row>
    <row r="7592" spans="1:8" ht="15" customHeight="1">
      <c r="A7592" s="26">
        <v>74380288</v>
      </c>
      <c r="B7592" s="30" t="s">
        <v>9820</v>
      </c>
      <c r="C7592" s="29" t="s">
        <v>24017</v>
      </c>
      <c r="D7592" s="29" t="s">
        <v>37291</v>
      </c>
      <c r="E7592" s="29" t="s">
        <v>49612</v>
      </c>
      <c r="F7592" s="36" t="s">
        <v>54401</v>
      </c>
      <c r="G7592" s="39">
        <v>333238.07</v>
      </c>
      <c r="H7592" s="42">
        <v>211</v>
      </c>
    </row>
    <row r="7593" spans="1:8" ht="15" customHeight="1">
      <c r="A7593" s="26">
        <v>74380304</v>
      </c>
      <c r="B7593" s="30" t="s">
        <v>9821</v>
      </c>
      <c r="C7593" s="29" t="s">
        <v>24018</v>
      </c>
      <c r="D7593" s="29" t="s">
        <v>37292</v>
      </c>
      <c r="E7593" s="29" t="s">
        <v>49613</v>
      </c>
      <c r="F7593" s="36" t="s">
        <v>54401</v>
      </c>
      <c r="G7593" s="39">
        <f>19173800.1-19159</f>
        <v>19154641.100000001</v>
      </c>
      <c r="H7593" s="42">
        <v>211</v>
      </c>
    </row>
    <row r="7594" spans="1:8" ht="15" customHeight="1">
      <c r="A7594" s="26">
        <v>74380314</v>
      </c>
      <c r="B7594" s="30" t="s">
        <v>9822</v>
      </c>
      <c r="C7594" s="29" t="s">
        <v>24019</v>
      </c>
      <c r="D7594" s="29" t="s">
        <v>37293</v>
      </c>
      <c r="E7594" s="29" t="s">
        <v>45514</v>
      </c>
      <c r="F7594" s="36" t="s">
        <v>54401</v>
      </c>
      <c r="G7594" s="39">
        <v>490715.45</v>
      </c>
      <c r="H7594" s="42">
        <v>211</v>
      </c>
    </row>
    <row r="7595" spans="1:8" ht="15" customHeight="1">
      <c r="A7595" s="26">
        <v>74380319</v>
      </c>
      <c r="B7595" s="30" t="s">
        <v>9823</v>
      </c>
      <c r="C7595" s="29" t="s">
        <v>24020</v>
      </c>
      <c r="D7595" s="29" t="s">
        <v>37294</v>
      </c>
      <c r="E7595" s="29" t="s">
        <v>49614</v>
      </c>
      <c r="F7595" s="36" t="s">
        <v>54401</v>
      </c>
      <c r="G7595" s="39">
        <v>442213.32</v>
      </c>
      <c r="H7595" s="42">
        <v>211</v>
      </c>
    </row>
    <row r="7596" spans="1:8" ht="15" customHeight="1">
      <c r="A7596" s="26">
        <v>74380321</v>
      </c>
      <c r="B7596" s="30" t="s">
        <v>9824</v>
      </c>
      <c r="C7596" s="29" t="s">
        <v>24021</v>
      </c>
      <c r="D7596" s="29" t="s">
        <v>37295</v>
      </c>
      <c r="E7596" s="29" t="s">
        <v>43926</v>
      </c>
      <c r="F7596" s="36" t="s">
        <v>54401</v>
      </c>
      <c r="G7596" s="39">
        <v>235450.01</v>
      </c>
      <c r="H7596" s="42">
        <v>211</v>
      </c>
    </row>
    <row r="7597" spans="1:8" ht="15" customHeight="1">
      <c r="A7597" s="26">
        <v>74380336</v>
      </c>
      <c r="B7597" s="30" t="s">
        <v>9825</v>
      </c>
      <c r="C7597" s="29" t="s">
        <v>24022</v>
      </c>
      <c r="D7597" s="29" t="s">
        <v>37296</v>
      </c>
      <c r="E7597" s="29" t="s">
        <v>49615</v>
      </c>
      <c r="F7597" s="36" t="s">
        <v>54401</v>
      </c>
      <c r="G7597" s="39">
        <f>2967130.33+1277076</f>
        <v>4244206.33</v>
      </c>
      <c r="H7597" s="42">
        <v>211</v>
      </c>
    </row>
    <row r="7598" spans="1:8" ht="15" customHeight="1">
      <c r="A7598" s="26">
        <v>74380346</v>
      </c>
      <c r="B7598" s="30" t="s">
        <v>9826</v>
      </c>
      <c r="C7598" s="29" t="s">
        <v>24023</v>
      </c>
      <c r="D7598" s="29" t="s">
        <v>37297</v>
      </c>
      <c r="E7598" s="29" t="s">
        <v>47320</v>
      </c>
      <c r="F7598" s="36" t="s">
        <v>54401</v>
      </c>
      <c r="G7598" s="39">
        <v>2425334.54</v>
      </c>
      <c r="H7598" s="42">
        <v>211</v>
      </c>
    </row>
    <row r="7599" spans="1:8" ht="15" customHeight="1">
      <c r="A7599" s="26">
        <v>74380348</v>
      </c>
      <c r="B7599" s="30" t="s">
        <v>9827</v>
      </c>
      <c r="C7599" s="29" t="s">
        <v>24024</v>
      </c>
      <c r="D7599" s="29" t="s">
        <v>37298</v>
      </c>
      <c r="E7599" s="29" t="s">
        <v>49616</v>
      </c>
      <c r="F7599" s="36" t="s">
        <v>54401</v>
      </c>
      <c r="G7599" s="39">
        <f>2234241.73+139934+186873</f>
        <v>2561048.73</v>
      </c>
      <c r="H7599" s="42">
        <v>211</v>
      </c>
    </row>
    <row r="7600" spans="1:8" ht="15" customHeight="1">
      <c r="A7600" s="26">
        <v>74380360</v>
      </c>
      <c r="B7600" s="30" t="s">
        <v>9828</v>
      </c>
      <c r="C7600" s="29" t="s">
        <v>24025</v>
      </c>
      <c r="D7600" s="29" t="s">
        <v>37299</v>
      </c>
      <c r="E7600" s="29" t="s">
        <v>49617</v>
      </c>
      <c r="F7600" s="36" t="s">
        <v>54401</v>
      </c>
      <c r="G7600" s="39">
        <v>541726.57999999996</v>
      </c>
      <c r="H7600" s="42">
        <v>211</v>
      </c>
    </row>
    <row r="7601" spans="1:8" ht="15" customHeight="1">
      <c r="A7601" s="26">
        <v>74380364</v>
      </c>
      <c r="B7601" s="30" t="s">
        <v>9829</v>
      </c>
      <c r="C7601" s="29" t="s">
        <v>24026</v>
      </c>
      <c r="D7601" s="29" t="s">
        <v>37300</v>
      </c>
      <c r="E7601" s="29" t="s">
        <v>49618</v>
      </c>
      <c r="F7601" s="36" t="s">
        <v>54401</v>
      </c>
      <c r="G7601" s="39">
        <v>564490.28</v>
      </c>
      <c r="H7601" s="42">
        <v>211</v>
      </c>
    </row>
    <row r="7602" spans="1:8" ht="15" customHeight="1">
      <c r="A7602" s="26">
        <v>74380378</v>
      </c>
      <c r="B7602" s="30" t="s">
        <v>9830</v>
      </c>
      <c r="C7602" s="26" t="s">
        <v>24027</v>
      </c>
      <c r="D7602" s="26" t="s">
        <v>37301</v>
      </c>
      <c r="E7602" s="26" t="s">
        <v>49619</v>
      </c>
      <c r="F7602" s="37" t="s">
        <v>54401</v>
      </c>
      <c r="G7602" s="39">
        <v>280592.94</v>
      </c>
      <c r="H7602" s="42">
        <v>211</v>
      </c>
    </row>
    <row r="7603" spans="1:8" ht="15" customHeight="1">
      <c r="A7603" s="26">
        <v>74380390</v>
      </c>
      <c r="B7603" s="30" t="s">
        <v>9831</v>
      </c>
      <c r="C7603" s="26" t="s">
        <v>17204</v>
      </c>
      <c r="D7603" s="26" t="s">
        <v>30349</v>
      </c>
      <c r="E7603" s="26" t="s">
        <v>43926</v>
      </c>
      <c r="F7603" s="37" t="s">
        <v>54401</v>
      </c>
      <c r="G7603" s="39">
        <v>133649.98000000001</v>
      </c>
      <c r="H7603" s="42">
        <v>211</v>
      </c>
    </row>
    <row r="7604" spans="1:8" ht="15" customHeight="1">
      <c r="A7604" s="26">
        <v>74380391</v>
      </c>
      <c r="B7604" s="30" t="s">
        <v>9832</v>
      </c>
      <c r="C7604" s="29" t="s">
        <v>24028</v>
      </c>
      <c r="D7604" s="29" t="s">
        <v>34228</v>
      </c>
      <c r="E7604" s="29" t="s">
        <v>47257</v>
      </c>
      <c r="F7604" s="36" t="s">
        <v>54401</v>
      </c>
      <c r="G7604" s="39">
        <v>757997.29</v>
      </c>
      <c r="H7604" s="42">
        <v>211</v>
      </c>
    </row>
    <row r="7605" spans="1:8" ht="15" customHeight="1">
      <c r="A7605" s="26">
        <v>74380392</v>
      </c>
      <c r="B7605" s="30" t="s">
        <v>9833</v>
      </c>
      <c r="C7605" s="29" t="s">
        <v>24029</v>
      </c>
      <c r="D7605" s="29" t="s">
        <v>37302</v>
      </c>
      <c r="E7605" s="29" t="s">
        <v>44250</v>
      </c>
      <c r="F7605" s="36" t="s">
        <v>54401</v>
      </c>
      <c r="G7605" s="39">
        <v>1307591.76</v>
      </c>
      <c r="H7605" s="42">
        <v>211</v>
      </c>
    </row>
    <row r="7606" spans="1:8" ht="15" customHeight="1">
      <c r="A7606" s="26">
        <v>74380393</v>
      </c>
      <c r="B7606" s="30" t="s">
        <v>9834</v>
      </c>
      <c r="C7606" s="29" t="s">
        <v>24030</v>
      </c>
      <c r="D7606" s="29" t="s">
        <v>37303</v>
      </c>
      <c r="E7606" s="29" t="s">
        <v>49620</v>
      </c>
      <c r="F7606" s="36" t="s">
        <v>54401</v>
      </c>
      <c r="G7606" s="39">
        <v>603886.65</v>
      </c>
      <c r="H7606" s="42">
        <v>211</v>
      </c>
    </row>
    <row r="7607" spans="1:8" ht="15" customHeight="1">
      <c r="A7607" s="26">
        <v>74380414</v>
      </c>
      <c r="B7607" s="30" t="s">
        <v>9835</v>
      </c>
      <c r="C7607" s="29" t="s">
        <v>17204</v>
      </c>
      <c r="D7607" s="29" t="s">
        <v>37304</v>
      </c>
      <c r="E7607" s="29" t="s">
        <v>43926</v>
      </c>
      <c r="F7607" s="36" t="s">
        <v>54401</v>
      </c>
      <c r="G7607" s="39">
        <v>57912.08</v>
      </c>
      <c r="H7607" s="42">
        <v>211</v>
      </c>
    </row>
    <row r="7608" spans="1:8" ht="15" customHeight="1">
      <c r="A7608" s="26">
        <v>74380423</v>
      </c>
      <c r="B7608" s="30" t="s">
        <v>9836</v>
      </c>
      <c r="C7608" s="29" t="s">
        <v>24031</v>
      </c>
      <c r="D7608" s="29" t="s">
        <v>37305</v>
      </c>
      <c r="E7608" s="29" t="s">
        <v>49621</v>
      </c>
      <c r="F7608" s="36" t="s">
        <v>54420</v>
      </c>
      <c r="G7608" s="39">
        <f>10428517.12+157919</f>
        <v>10586436.119999999</v>
      </c>
      <c r="H7608" s="42">
        <v>211</v>
      </c>
    </row>
    <row r="7609" spans="1:8" ht="15" customHeight="1">
      <c r="A7609" s="26">
        <v>74380427</v>
      </c>
      <c r="B7609" s="30" t="s">
        <v>9837</v>
      </c>
      <c r="C7609" s="26" t="s">
        <v>24032</v>
      </c>
      <c r="D7609" s="26" t="s">
        <v>37306</v>
      </c>
      <c r="E7609" s="26" t="s">
        <v>49622</v>
      </c>
      <c r="F7609" s="37" t="s">
        <v>54401</v>
      </c>
      <c r="G7609" s="39">
        <v>305276.92</v>
      </c>
      <c r="H7609" s="42">
        <v>211</v>
      </c>
    </row>
    <row r="7610" spans="1:8" ht="15" customHeight="1">
      <c r="A7610" s="26">
        <v>74380440</v>
      </c>
      <c r="B7610" s="30" t="s">
        <v>9838</v>
      </c>
      <c r="C7610" s="26" t="s">
        <v>24033</v>
      </c>
      <c r="D7610" s="26" t="s">
        <v>37307</v>
      </c>
      <c r="E7610" s="26" t="s">
        <v>49623</v>
      </c>
      <c r="F7610" s="37" t="s">
        <v>54401</v>
      </c>
      <c r="G7610" s="39">
        <v>1610357.33</v>
      </c>
      <c r="H7610" s="42">
        <v>211</v>
      </c>
    </row>
    <row r="7611" spans="1:8" ht="15" customHeight="1">
      <c r="A7611" s="26">
        <v>74380441</v>
      </c>
      <c r="B7611" s="30" t="s">
        <v>9839</v>
      </c>
      <c r="C7611" s="29" t="s">
        <v>24034</v>
      </c>
      <c r="D7611" s="29" t="s">
        <v>37308</v>
      </c>
      <c r="E7611" s="29" t="s">
        <v>49624</v>
      </c>
      <c r="F7611" s="36" t="s">
        <v>54401</v>
      </c>
      <c r="G7611" s="39">
        <f>3633045.02+32899+38319</f>
        <v>3704263.02</v>
      </c>
      <c r="H7611" s="42">
        <v>211</v>
      </c>
    </row>
    <row r="7612" spans="1:8" ht="15" customHeight="1">
      <c r="A7612" s="26">
        <v>74380442</v>
      </c>
      <c r="B7612" s="30" t="s">
        <v>9840</v>
      </c>
      <c r="C7612" s="29" t="s">
        <v>24035</v>
      </c>
      <c r="D7612" s="29" t="s">
        <v>37309</v>
      </c>
      <c r="E7612" s="29" t="s">
        <v>49625</v>
      </c>
      <c r="F7612" s="36" t="s">
        <v>54401</v>
      </c>
      <c r="G7612" s="39">
        <v>1680355.89</v>
      </c>
      <c r="H7612" s="42">
        <v>211</v>
      </c>
    </row>
    <row r="7613" spans="1:8" ht="15" customHeight="1">
      <c r="A7613" s="26">
        <v>74380463</v>
      </c>
      <c r="B7613" s="30" t="s">
        <v>9841</v>
      </c>
      <c r="C7613" s="29" t="s">
        <v>24036</v>
      </c>
      <c r="D7613" s="29" t="s">
        <v>37310</v>
      </c>
      <c r="E7613" s="29" t="s">
        <v>49626</v>
      </c>
      <c r="F7613" s="36" t="s">
        <v>54401</v>
      </c>
      <c r="G7613" s="39">
        <v>687219.6</v>
      </c>
      <c r="H7613" s="42">
        <v>211</v>
      </c>
    </row>
    <row r="7614" spans="1:8" ht="15" customHeight="1">
      <c r="A7614" s="26">
        <v>74380467</v>
      </c>
      <c r="B7614" s="30" t="s">
        <v>9842</v>
      </c>
      <c r="C7614" s="29" t="s">
        <v>24037</v>
      </c>
      <c r="D7614" s="29" t="s">
        <v>37311</v>
      </c>
      <c r="E7614" s="29" t="s">
        <v>48459</v>
      </c>
      <c r="F7614" s="36" t="s">
        <v>54401</v>
      </c>
      <c r="G7614" s="39">
        <v>1175360.31</v>
      </c>
      <c r="H7614" s="42">
        <v>211</v>
      </c>
    </row>
    <row r="7615" spans="1:8" ht="15" customHeight="1">
      <c r="A7615" s="26">
        <v>74380471</v>
      </c>
      <c r="B7615" s="30" t="s">
        <v>9843</v>
      </c>
      <c r="C7615" s="29" t="s">
        <v>24038</v>
      </c>
      <c r="D7615" s="29" t="s">
        <v>37312</v>
      </c>
      <c r="E7615" s="29" t="s">
        <v>49627</v>
      </c>
      <c r="F7615" s="36" t="s">
        <v>54401</v>
      </c>
      <c r="G7615" s="39">
        <f>1751796.1+1150746</f>
        <v>2902542.1</v>
      </c>
      <c r="H7615" s="42">
        <v>211</v>
      </c>
    </row>
    <row r="7616" spans="1:8" ht="15" customHeight="1">
      <c r="A7616" s="26">
        <v>74380477</v>
      </c>
      <c r="B7616" s="30" t="s">
        <v>9844</v>
      </c>
      <c r="C7616" s="29" t="s">
        <v>24039</v>
      </c>
      <c r="D7616" s="29" t="s">
        <v>37313</v>
      </c>
      <c r="E7616" s="29" t="s">
        <v>49628</v>
      </c>
      <c r="F7616" s="36" t="s">
        <v>54401</v>
      </c>
      <c r="G7616" s="39">
        <f>2508938.67+277634+868478</f>
        <v>3655050.67</v>
      </c>
      <c r="H7616" s="42">
        <v>211</v>
      </c>
    </row>
    <row r="7617" spans="1:8" ht="15" customHeight="1">
      <c r="A7617" s="26">
        <v>74380486</v>
      </c>
      <c r="B7617" s="30" t="s">
        <v>9845</v>
      </c>
      <c r="C7617" s="29" t="s">
        <v>24040</v>
      </c>
      <c r="D7617" s="29" t="s">
        <v>37314</v>
      </c>
      <c r="E7617" s="29" t="s">
        <v>49629</v>
      </c>
      <c r="F7617" s="36" t="s">
        <v>54401</v>
      </c>
      <c r="G7617" s="39">
        <v>2289981.41</v>
      </c>
      <c r="H7617" s="42">
        <v>211</v>
      </c>
    </row>
    <row r="7618" spans="1:8" ht="15" customHeight="1">
      <c r="A7618" s="26">
        <v>74380504</v>
      </c>
      <c r="B7618" s="30" t="s">
        <v>9846</v>
      </c>
      <c r="C7618" s="29" t="s">
        <v>24041</v>
      </c>
      <c r="D7618" s="29" t="s">
        <v>37315</v>
      </c>
      <c r="E7618" s="29" t="s">
        <v>49630</v>
      </c>
      <c r="F7618" s="36" t="s">
        <v>54401</v>
      </c>
      <c r="G7618" s="39">
        <v>2001441.03</v>
      </c>
      <c r="H7618" s="42">
        <v>211</v>
      </c>
    </row>
    <row r="7619" spans="1:8" ht="15" customHeight="1">
      <c r="A7619" s="26">
        <v>74380509</v>
      </c>
      <c r="B7619" s="30" t="s">
        <v>9847</v>
      </c>
      <c r="C7619" s="29" t="s">
        <v>24042</v>
      </c>
      <c r="D7619" s="29" t="s">
        <v>37316</v>
      </c>
      <c r="E7619" s="29" t="s">
        <v>49631</v>
      </c>
      <c r="F7619" s="36" t="s">
        <v>54401</v>
      </c>
      <c r="G7619" s="39">
        <f>5879133.97+27991</f>
        <v>5907124.9699999997</v>
      </c>
      <c r="H7619" s="42">
        <v>211</v>
      </c>
    </row>
    <row r="7620" spans="1:8" ht="15" customHeight="1">
      <c r="A7620" s="26">
        <v>74380521</v>
      </c>
      <c r="B7620" s="30" t="s">
        <v>9848</v>
      </c>
      <c r="C7620" s="26" t="s">
        <v>17204</v>
      </c>
      <c r="D7620" s="26" t="s">
        <v>30349</v>
      </c>
      <c r="E7620" s="26" t="s">
        <v>43926</v>
      </c>
      <c r="F7620" s="37" t="s">
        <v>54401</v>
      </c>
      <c r="G7620" s="39">
        <v>334908.5</v>
      </c>
      <c r="H7620" s="42">
        <v>211</v>
      </c>
    </row>
    <row r="7621" spans="1:8" ht="15" customHeight="1">
      <c r="A7621" s="26">
        <v>74380527</v>
      </c>
      <c r="B7621" s="30" t="s">
        <v>4435</v>
      </c>
      <c r="C7621" s="29" t="s">
        <v>17204</v>
      </c>
      <c r="D7621" s="29" t="s">
        <v>37317</v>
      </c>
      <c r="E7621" s="29" t="s">
        <v>43926</v>
      </c>
      <c r="F7621" s="36" t="s">
        <v>54401</v>
      </c>
      <c r="G7621" s="39">
        <v>144365.04</v>
      </c>
      <c r="H7621" s="42">
        <v>211</v>
      </c>
    </row>
    <row r="7622" spans="1:8" ht="15" customHeight="1">
      <c r="A7622" s="26">
        <v>74380545</v>
      </c>
      <c r="B7622" s="30" t="s">
        <v>9849</v>
      </c>
      <c r="C7622" s="29" t="s">
        <v>24043</v>
      </c>
      <c r="D7622" s="29" t="s">
        <v>37318</v>
      </c>
      <c r="E7622" s="29" t="s">
        <v>49632</v>
      </c>
      <c r="F7622" s="36" t="s">
        <v>54401</v>
      </c>
      <c r="G7622" s="39">
        <v>1288741.51</v>
      </c>
      <c r="H7622" s="42">
        <v>211</v>
      </c>
    </row>
    <row r="7623" spans="1:8" ht="15" customHeight="1">
      <c r="A7623" s="26">
        <v>74380548</v>
      </c>
      <c r="B7623" s="30" t="s">
        <v>9850</v>
      </c>
      <c r="C7623" s="29" t="s">
        <v>24044</v>
      </c>
      <c r="D7623" s="29" t="s">
        <v>37319</v>
      </c>
      <c r="E7623" s="29" t="s">
        <v>49633</v>
      </c>
      <c r="F7623" s="36" t="s">
        <v>54401</v>
      </c>
      <c r="G7623" s="39">
        <v>2413714.37</v>
      </c>
      <c r="H7623" s="42">
        <v>211</v>
      </c>
    </row>
    <row r="7624" spans="1:8" ht="15" customHeight="1">
      <c r="A7624" s="26">
        <v>74380564</v>
      </c>
      <c r="B7624" s="30" t="s">
        <v>9851</v>
      </c>
      <c r="C7624" s="29" t="s">
        <v>24045</v>
      </c>
      <c r="D7624" s="29" t="s">
        <v>37320</v>
      </c>
      <c r="E7624" s="29" t="s">
        <v>49634</v>
      </c>
      <c r="F7624" s="36" t="s">
        <v>54402</v>
      </c>
      <c r="G7624" s="39">
        <f>1730225.95+79246</f>
        <v>1809471.95</v>
      </c>
      <c r="H7624" s="42">
        <v>211</v>
      </c>
    </row>
    <row r="7625" spans="1:8" ht="15" customHeight="1">
      <c r="A7625" s="26">
        <v>74380588</v>
      </c>
      <c r="B7625" s="30" t="s">
        <v>9852</v>
      </c>
      <c r="C7625" s="29" t="s">
        <v>17204</v>
      </c>
      <c r="D7625" s="29" t="s">
        <v>30349</v>
      </c>
      <c r="E7625" s="29" t="s">
        <v>43926</v>
      </c>
      <c r="F7625" s="36" t="s">
        <v>54401</v>
      </c>
      <c r="G7625" s="39">
        <v>481866.65</v>
      </c>
      <c r="H7625" s="42">
        <v>211</v>
      </c>
    </row>
    <row r="7626" spans="1:8" ht="15" customHeight="1">
      <c r="A7626" s="26">
        <v>74380622</v>
      </c>
      <c r="B7626" s="30" t="s">
        <v>9853</v>
      </c>
      <c r="C7626" s="26" t="s">
        <v>24046</v>
      </c>
      <c r="D7626" s="26" t="s">
        <v>37321</v>
      </c>
      <c r="E7626" s="26" t="s">
        <v>49635</v>
      </c>
      <c r="F7626" s="37" t="s">
        <v>54401</v>
      </c>
      <c r="G7626" s="39">
        <v>1459485.68</v>
      </c>
      <c r="H7626" s="42">
        <v>211</v>
      </c>
    </row>
    <row r="7627" spans="1:8" ht="15" customHeight="1">
      <c r="A7627" s="26">
        <v>74380629</v>
      </c>
      <c r="B7627" s="30" t="s">
        <v>9854</v>
      </c>
      <c r="C7627" s="29" t="s">
        <v>24047</v>
      </c>
      <c r="D7627" s="29" t="s">
        <v>37322</v>
      </c>
      <c r="E7627" s="29" t="s">
        <v>44023</v>
      </c>
      <c r="F7627" s="36" t="s">
        <v>54401</v>
      </c>
      <c r="G7627" s="39">
        <v>9842762.0199999996</v>
      </c>
      <c r="H7627" s="42">
        <v>211</v>
      </c>
    </row>
    <row r="7628" spans="1:8" ht="15" customHeight="1">
      <c r="A7628" s="26">
        <v>74380631</v>
      </c>
      <c r="B7628" s="30" t="s">
        <v>9855</v>
      </c>
      <c r="C7628" s="26" t="s">
        <v>24048</v>
      </c>
      <c r="D7628" s="26" t="s">
        <v>37323</v>
      </c>
      <c r="E7628" s="26" t="s">
        <v>49636</v>
      </c>
      <c r="F7628" s="37" t="s">
        <v>54412</v>
      </c>
      <c r="G7628" s="39">
        <v>704995.8</v>
      </c>
      <c r="H7628" s="42">
        <v>211</v>
      </c>
    </row>
    <row r="7629" spans="1:8" ht="15" customHeight="1">
      <c r="A7629" s="26">
        <v>74380632</v>
      </c>
      <c r="B7629" s="30" t="s">
        <v>9856</v>
      </c>
      <c r="C7629" s="26" t="s">
        <v>24049</v>
      </c>
      <c r="D7629" s="26" t="s">
        <v>37324</v>
      </c>
      <c r="E7629" s="26" t="s">
        <v>49637</v>
      </c>
      <c r="F7629" s="37" t="s">
        <v>54401</v>
      </c>
      <c r="G7629" s="39">
        <v>251607.22</v>
      </c>
      <c r="H7629" s="42">
        <v>211</v>
      </c>
    </row>
    <row r="7630" spans="1:8" ht="15" customHeight="1">
      <c r="A7630" s="26">
        <v>74380635</v>
      </c>
      <c r="B7630" s="30" t="s">
        <v>9857</v>
      </c>
      <c r="C7630" s="29" t="s">
        <v>24050</v>
      </c>
      <c r="D7630" s="29" t="s">
        <v>30376</v>
      </c>
      <c r="E7630" s="29" t="s">
        <v>49638</v>
      </c>
      <c r="F7630" s="36" t="s">
        <v>54401</v>
      </c>
      <c r="G7630" s="39">
        <v>272811.93</v>
      </c>
      <c r="H7630" s="42">
        <v>211</v>
      </c>
    </row>
    <row r="7631" spans="1:8" ht="15" customHeight="1">
      <c r="A7631" s="26">
        <v>74380637</v>
      </c>
      <c r="B7631" s="30" t="s">
        <v>9858</v>
      </c>
      <c r="C7631" s="29" t="s">
        <v>24051</v>
      </c>
      <c r="D7631" s="29" t="s">
        <v>37325</v>
      </c>
      <c r="E7631" s="29" t="s">
        <v>49639</v>
      </c>
      <c r="F7631" s="36" t="s">
        <v>54401</v>
      </c>
      <c r="G7631" s="39">
        <v>4062737.31</v>
      </c>
      <c r="H7631" s="42">
        <v>211</v>
      </c>
    </row>
    <row r="7632" spans="1:8" ht="15" customHeight="1">
      <c r="A7632" s="26">
        <v>74380642</v>
      </c>
      <c r="B7632" s="30" t="s">
        <v>9859</v>
      </c>
      <c r="C7632" s="29" t="s">
        <v>24052</v>
      </c>
      <c r="D7632" s="29" t="s">
        <v>37326</v>
      </c>
      <c r="E7632" s="29" t="s">
        <v>49640</v>
      </c>
      <c r="F7632" s="36" t="s">
        <v>54401</v>
      </c>
      <c r="G7632" s="39">
        <f>4380295.52+307165</f>
        <v>4687460.5199999996</v>
      </c>
      <c r="H7632" s="42">
        <v>211</v>
      </c>
    </row>
    <row r="7633" spans="1:8" ht="15" customHeight="1">
      <c r="A7633" s="26">
        <v>74380660</v>
      </c>
      <c r="B7633" s="30" t="s">
        <v>9860</v>
      </c>
      <c r="C7633" s="29" t="s">
        <v>24053</v>
      </c>
      <c r="D7633" s="29" t="s">
        <v>37327</v>
      </c>
      <c r="E7633" s="29" t="s">
        <v>49641</v>
      </c>
      <c r="F7633" s="36" t="s">
        <v>54401</v>
      </c>
      <c r="G7633" s="39">
        <v>2365519.09</v>
      </c>
      <c r="H7633" s="42">
        <v>211</v>
      </c>
    </row>
    <row r="7634" spans="1:8" ht="15" customHeight="1">
      <c r="A7634" s="26">
        <v>74380698</v>
      </c>
      <c r="B7634" s="30" t="s">
        <v>9861</v>
      </c>
      <c r="C7634" s="29" t="s">
        <v>24054</v>
      </c>
      <c r="D7634" s="29" t="s">
        <v>37328</v>
      </c>
      <c r="E7634" s="29" t="s">
        <v>49642</v>
      </c>
      <c r="F7634" s="36" t="s">
        <v>54401</v>
      </c>
      <c r="G7634" s="39">
        <v>2060577.86</v>
      </c>
      <c r="H7634" s="42">
        <v>211</v>
      </c>
    </row>
    <row r="7635" spans="1:8" ht="15" customHeight="1">
      <c r="A7635" s="26">
        <v>74380708</v>
      </c>
      <c r="B7635" s="30" t="s">
        <v>9862</v>
      </c>
      <c r="C7635" s="29" t="s">
        <v>24055</v>
      </c>
      <c r="D7635" s="29" t="s">
        <v>37329</v>
      </c>
      <c r="E7635" s="29" t="s">
        <v>49643</v>
      </c>
      <c r="F7635" s="36" t="s">
        <v>54401</v>
      </c>
      <c r="G7635" s="39">
        <v>346687.33</v>
      </c>
      <c r="H7635" s="42">
        <v>211</v>
      </c>
    </row>
    <row r="7636" spans="1:8" ht="15" customHeight="1">
      <c r="A7636" s="26">
        <v>74380718</v>
      </c>
      <c r="B7636" s="30" t="s">
        <v>9863</v>
      </c>
      <c r="C7636" s="29" t="s">
        <v>24056</v>
      </c>
      <c r="D7636" s="29" t="s">
        <v>37330</v>
      </c>
      <c r="E7636" s="29" t="s">
        <v>49644</v>
      </c>
      <c r="F7636" s="36" t="s">
        <v>54401</v>
      </c>
      <c r="G7636" s="39">
        <v>529863.9</v>
      </c>
      <c r="H7636" s="42">
        <v>211</v>
      </c>
    </row>
    <row r="7637" spans="1:8" ht="15" customHeight="1">
      <c r="A7637" s="26">
        <v>74380764</v>
      </c>
      <c r="B7637" s="30" t="s">
        <v>9864</v>
      </c>
      <c r="C7637" s="29" t="s">
        <v>24057</v>
      </c>
      <c r="D7637" s="29" t="s">
        <v>37331</v>
      </c>
      <c r="E7637" s="29" t="s">
        <v>49645</v>
      </c>
      <c r="F7637" s="36" t="s">
        <v>54401</v>
      </c>
      <c r="G7637" s="39">
        <f>812725.03+482526</f>
        <v>1295251.03</v>
      </c>
      <c r="H7637" s="42">
        <v>211</v>
      </c>
    </row>
    <row r="7638" spans="1:8" ht="15" customHeight="1">
      <c r="A7638" s="26">
        <v>74380766</v>
      </c>
      <c r="B7638" s="30" t="s">
        <v>9865</v>
      </c>
      <c r="C7638" s="29" t="s">
        <v>24058</v>
      </c>
      <c r="D7638" s="29" t="s">
        <v>37332</v>
      </c>
      <c r="E7638" s="29" t="s">
        <v>49646</v>
      </c>
      <c r="F7638" s="36" t="s">
        <v>54401</v>
      </c>
      <c r="G7638" s="39">
        <v>63641.1</v>
      </c>
      <c r="H7638" s="42">
        <v>211</v>
      </c>
    </row>
    <row r="7639" spans="1:8" ht="15" customHeight="1">
      <c r="A7639" s="26">
        <v>74380776</v>
      </c>
      <c r="B7639" s="30" t="s">
        <v>9866</v>
      </c>
      <c r="C7639" s="29" t="s">
        <v>17204</v>
      </c>
      <c r="D7639" s="29" t="s">
        <v>37333</v>
      </c>
      <c r="E7639" s="29" t="s">
        <v>43926</v>
      </c>
      <c r="F7639" s="36" t="s">
        <v>54401</v>
      </c>
      <c r="G7639" s="39">
        <v>524437.93999999994</v>
      </c>
      <c r="H7639" s="42">
        <v>211</v>
      </c>
    </row>
    <row r="7640" spans="1:8" ht="15" customHeight="1">
      <c r="A7640" s="26">
        <v>74380777</v>
      </c>
      <c r="B7640" s="30" t="s">
        <v>9867</v>
      </c>
      <c r="C7640" s="29" t="s">
        <v>17204</v>
      </c>
      <c r="D7640" s="29" t="s">
        <v>37334</v>
      </c>
      <c r="E7640" s="29" t="s">
        <v>43926</v>
      </c>
      <c r="F7640" s="36" t="s">
        <v>54401</v>
      </c>
      <c r="G7640" s="39">
        <v>197470.68</v>
      </c>
      <c r="H7640" s="42">
        <v>211</v>
      </c>
    </row>
    <row r="7641" spans="1:8" ht="15" customHeight="1">
      <c r="A7641" s="26">
        <v>74380785</v>
      </c>
      <c r="B7641" s="30" t="s">
        <v>9868</v>
      </c>
      <c r="C7641" s="29" t="s">
        <v>24059</v>
      </c>
      <c r="D7641" s="29" t="s">
        <v>37335</v>
      </c>
      <c r="E7641" s="29" t="s">
        <v>43926</v>
      </c>
      <c r="F7641" s="36" t="s">
        <v>54401</v>
      </c>
      <c r="G7641" s="39">
        <v>337052.6</v>
      </c>
      <c r="H7641" s="42">
        <v>211</v>
      </c>
    </row>
    <row r="7642" spans="1:8" ht="15" customHeight="1">
      <c r="A7642" s="26">
        <v>74380787</v>
      </c>
      <c r="B7642" s="30" t="s">
        <v>9869</v>
      </c>
      <c r="C7642" s="29" t="s">
        <v>24060</v>
      </c>
      <c r="D7642" s="29" t="s">
        <v>30349</v>
      </c>
      <c r="E7642" s="29" t="s">
        <v>49647</v>
      </c>
      <c r="F7642" s="36" t="s">
        <v>54401</v>
      </c>
      <c r="G7642" s="39">
        <f>1021360.79+1617110</f>
        <v>2638470.79</v>
      </c>
      <c r="H7642" s="42">
        <v>211</v>
      </c>
    </row>
    <row r="7643" spans="1:8" ht="15" customHeight="1">
      <c r="A7643" s="26">
        <v>74380791</v>
      </c>
      <c r="B7643" s="30" t="s">
        <v>9870</v>
      </c>
      <c r="C7643" s="29" t="s">
        <v>24061</v>
      </c>
      <c r="D7643" s="29" t="s">
        <v>30387</v>
      </c>
      <c r="E7643" s="29" t="s">
        <v>49648</v>
      </c>
      <c r="F7643" s="36" t="s">
        <v>54401</v>
      </c>
      <c r="G7643" s="39">
        <v>224999.05</v>
      </c>
      <c r="H7643" s="42">
        <v>211</v>
      </c>
    </row>
    <row r="7644" spans="1:8" ht="15" customHeight="1">
      <c r="A7644" s="26">
        <v>74380793</v>
      </c>
      <c r="B7644" s="30" t="s">
        <v>9871</v>
      </c>
      <c r="C7644" s="29" t="s">
        <v>24062</v>
      </c>
      <c r="D7644" s="29" t="s">
        <v>37336</v>
      </c>
      <c r="E7644" s="29" t="s">
        <v>44794</v>
      </c>
      <c r="F7644" s="36" t="s">
        <v>54401</v>
      </c>
      <c r="G7644" s="39">
        <v>890513.58</v>
      </c>
      <c r="H7644" s="42">
        <v>211</v>
      </c>
    </row>
    <row r="7645" spans="1:8" ht="15" customHeight="1">
      <c r="A7645" s="26">
        <v>74380794</v>
      </c>
      <c r="B7645" s="30" t="s">
        <v>9872</v>
      </c>
      <c r="C7645" s="29" t="s">
        <v>24063</v>
      </c>
      <c r="D7645" s="29" t="s">
        <v>37337</v>
      </c>
      <c r="E7645" s="29" t="s">
        <v>43926</v>
      </c>
      <c r="F7645" s="36" t="s">
        <v>54401</v>
      </c>
      <c r="G7645" s="39">
        <v>551321.68999999994</v>
      </c>
      <c r="H7645" s="42">
        <v>211</v>
      </c>
    </row>
    <row r="7646" spans="1:8" ht="15" customHeight="1">
      <c r="A7646" s="26">
        <v>74380825</v>
      </c>
      <c r="B7646" s="30" t="s">
        <v>9873</v>
      </c>
      <c r="C7646" s="29" t="s">
        <v>24064</v>
      </c>
      <c r="D7646" s="29" t="s">
        <v>37338</v>
      </c>
      <c r="E7646" s="29" t="s">
        <v>49649</v>
      </c>
      <c r="F7646" s="36" t="s">
        <v>54401</v>
      </c>
      <c r="G7646" s="39">
        <f>1028080.8+184522</f>
        <v>1212602.8</v>
      </c>
      <c r="H7646" s="42">
        <v>211</v>
      </c>
    </row>
    <row r="7647" spans="1:8" ht="15" customHeight="1">
      <c r="A7647" s="26">
        <v>74380839</v>
      </c>
      <c r="B7647" s="30" t="s">
        <v>9874</v>
      </c>
      <c r="C7647" s="29" t="s">
        <v>24065</v>
      </c>
      <c r="D7647" s="29" t="s">
        <v>37339</v>
      </c>
      <c r="E7647" s="29" t="s">
        <v>49650</v>
      </c>
      <c r="F7647" s="36" t="s">
        <v>54401</v>
      </c>
      <c r="G7647" s="39">
        <f>2107373.29+285817</f>
        <v>2393190.29</v>
      </c>
      <c r="H7647" s="42">
        <v>211</v>
      </c>
    </row>
    <row r="7648" spans="1:8" ht="15" customHeight="1">
      <c r="A7648" s="26">
        <v>74380842</v>
      </c>
      <c r="B7648" s="30" t="s">
        <v>9875</v>
      </c>
      <c r="C7648" s="29" t="s">
        <v>24066</v>
      </c>
      <c r="D7648" s="29" t="s">
        <v>37340</v>
      </c>
      <c r="E7648" s="29" t="s">
        <v>49651</v>
      </c>
      <c r="F7648" s="36" t="s">
        <v>54401</v>
      </c>
      <c r="G7648" s="39">
        <v>463542.35</v>
      </c>
      <c r="H7648" s="42">
        <v>211</v>
      </c>
    </row>
    <row r="7649" spans="1:8" ht="15" customHeight="1">
      <c r="A7649" s="26">
        <v>74380843</v>
      </c>
      <c r="B7649" s="30" t="s">
        <v>9876</v>
      </c>
      <c r="C7649" s="29" t="s">
        <v>24067</v>
      </c>
      <c r="D7649" s="29" t="s">
        <v>37341</v>
      </c>
      <c r="E7649" s="29" t="s">
        <v>49652</v>
      </c>
      <c r="F7649" s="36" t="s">
        <v>54401</v>
      </c>
      <c r="G7649" s="39">
        <f>6317549.38+20840</f>
        <v>6338389.3799999999</v>
      </c>
      <c r="H7649" s="42">
        <v>211</v>
      </c>
    </row>
    <row r="7650" spans="1:8" ht="15" customHeight="1">
      <c r="A7650" s="26">
        <v>74380845</v>
      </c>
      <c r="B7650" s="30" t="s">
        <v>9877</v>
      </c>
      <c r="C7650" s="29" t="s">
        <v>24068</v>
      </c>
      <c r="D7650" s="29" t="s">
        <v>37342</v>
      </c>
      <c r="E7650" s="29" t="s">
        <v>49653</v>
      </c>
      <c r="F7650" s="36" t="s">
        <v>54401</v>
      </c>
      <c r="G7650" s="39">
        <v>133044.81</v>
      </c>
      <c r="H7650" s="42">
        <v>211</v>
      </c>
    </row>
    <row r="7651" spans="1:8" ht="15" customHeight="1">
      <c r="A7651" s="26">
        <v>74380857</v>
      </c>
      <c r="B7651" s="30" t="s">
        <v>9878</v>
      </c>
      <c r="C7651" s="29" t="s">
        <v>24069</v>
      </c>
      <c r="D7651" s="29" t="s">
        <v>37343</v>
      </c>
      <c r="E7651" s="29" t="s">
        <v>49654</v>
      </c>
      <c r="F7651" s="36" t="s">
        <v>54401</v>
      </c>
      <c r="G7651" s="39">
        <v>769986.61</v>
      </c>
      <c r="H7651" s="42">
        <v>211</v>
      </c>
    </row>
    <row r="7652" spans="1:8" ht="15" customHeight="1">
      <c r="A7652" s="26">
        <v>74380874</v>
      </c>
      <c r="B7652" s="30" t="s">
        <v>9879</v>
      </c>
      <c r="C7652" s="29" t="s">
        <v>24070</v>
      </c>
      <c r="D7652" s="29" t="s">
        <v>37344</v>
      </c>
      <c r="E7652" s="29" t="s">
        <v>47420</v>
      </c>
      <c r="F7652" s="36" t="s">
        <v>54401</v>
      </c>
      <c r="G7652" s="39">
        <f>5172665.73+415867</f>
        <v>5588532.7300000004</v>
      </c>
      <c r="H7652" s="42">
        <v>211</v>
      </c>
    </row>
    <row r="7653" spans="1:8" ht="15" customHeight="1">
      <c r="A7653" s="26">
        <v>74380884</v>
      </c>
      <c r="B7653" s="30" t="s">
        <v>9880</v>
      </c>
      <c r="C7653" s="29" t="s">
        <v>24071</v>
      </c>
      <c r="D7653" s="29" t="s">
        <v>37345</v>
      </c>
      <c r="E7653" s="29" t="s">
        <v>43926</v>
      </c>
      <c r="F7653" s="36" t="s">
        <v>54401</v>
      </c>
      <c r="G7653" s="39">
        <v>581167.88</v>
      </c>
      <c r="H7653" s="42">
        <v>211</v>
      </c>
    </row>
    <row r="7654" spans="1:8" ht="15" customHeight="1">
      <c r="A7654" s="26">
        <v>74380891</v>
      </c>
      <c r="B7654" s="30" t="s">
        <v>9881</v>
      </c>
      <c r="C7654" s="29" t="s">
        <v>24072</v>
      </c>
      <c r="D7654" s="29" t="s">
        <v>37346</v>
      </c>
      <c r="E7654" s="29" t="s">
        <v>49655</v>
      </c>
      <c r="F7654" s="36" t="s">
        <v>54401</v>
      </c>
      <c r="G7654" s="39">
        <v>51899.16</v>
      </c>
      <c r="H7654" s="42">
        <v>211</v>
      </c>
    </row>
    <row r="7655" spans="1:8" ht="15" customHeight="1">
      <c r="A7655" s="26">
        <v>74380935</v>
      </c>
      <c r="B7655" s="30" t="s">
        <v>9882</v>
      </c>
      <c r="C7655" s="29" t="s">
        <v>24073</v>
      </c>
      <c r="D7655" s="29" t="s">
        <v>37347</v>
      </c>
      <c r="E7655" s="29" t="s">
        <v>49656</v>
      </c>
      <c r="F7655" s="36" t="s">
        <v>54401</v>
      </c>
      <c r="G7655" s="39">
        <v>2943829.86</v>
      </c>
      <c r="H7655" s="42">
        <v>211</v>
      </c>
    </row>
    <row r="7656" spans="1:8" ht="15" customHeight="1">
      <c r="A7656" s="26">
        <v>74380949</v>
      </c>
      <c r="B7656" s="30" t="s">
        <v>9883</v>
      </c>
      <c r="C7656" s="29" t="s">
        <v>24074</v>
      </c>
      <c r="D7656" s="29" t="s">
        <v>37348</v>
      </c>
      <c r="E7656" s="29" t="s">
        <v>47437</v>
      </c>
      <c r="F7656" s="36" t="s">
        <v>54401</v>
      </c>
      <c r="G7656" s="39">
        <v>2729737.61</v>
      </c>
      <c r="H7656" s="42">
        <v>211</v>
      </c>
    </row>
    <row r="7657" spans="1:8" ht="15" customHeight="1">
      <c r="A7657" s="26">
        <v>74380956</v>
      </c>
      <c r="B7657" s="30" t="s">
        <v>9884</v>
      </c>
      <c r="C7657" s="29" t="s">
        <v>24075</v>
      </c>
      <c r="D7657" s="29" t="s">
        <v>37349</v>
      </c>
      <c r="E7657" s="29" t="s">
        <v>49657</v>
      </c>
      <c r="F7657" s="36" t="s">
        <v>54401</v>
      </c>
      <c r="G7657" s="39">
        <v>419312.37</v>
      </c>
      <c r="H7657" s="42">
        <v>211</v>
      </c>
    </row>
    <row r="7658" spans="1:8" ht="15" customHeight="1">
      <c r="A7658" s="26">
        <v>74380959</v>
      </c>
      <c r="B7658" s="30" t="s">
        <v>9885</v>
      </c>
      <c r="C7658" s="29" t="s">
        <v>24076</v>
      </c>
      <c r="D7658" s="29" t="s">
        <v>37350</v>
      </c>
      <c r="E7658" s="29" t="s">
        <v>46533</v>
      </c>
      <c r="F7658" s="36" t="s">
        <v>54401</v>
      </c>
      <c r="G7658" s="39">
        <f>3646468.14+209895</f>
        <v>3856363.14</v>
      </c>
      <c r="H7658" s="42">
        <v>211</v>
      </c>
    </row>
    <row r="7659" spans="1:8" ht="15" customHeight="1">
      <c r="A7659" s="26">
        <v>74380971</v>
      </c>
      <c r="B7659" s="30" t="s">
        <v>9886</v>
      </c>
      <c r="C7659" s="29" t="s">
        <v>24077</v>
      </c>
      <c r="D7659" s="29" t="s">
        <v>37351</v>
      </c>
      <c r="E7659" s="29" t="s">
        <v>49658</v>
      </c>
      <c r="F7659" s="36" t="s">
        <v>54401</v>
      </c>
      <c r="G7659" s="39">
        <v>1401302.28</v>
      </c>
      <c r="H7659" s="42">
        <v>211</v>
      </c>
    </row>
    <row r="7660" spans="1:8" ht="15" customHeight="1">
      <c r="A7660" s="26">
        <v>74380996</v>
      </c>
      <c r="B7660" s="30" t="s">
        <v>9887</v>
      </c>
      <c r="C7660" s="29" t="s">
        <v>24078</v>
      </c>
      <c r="D7660" s="29" t="s">
        <v>37352</v>
      </c>
      <c r="E7660" s="29" t="s">
        <v>49659</v>
      </c>
      <c r="F7660" s="36" t="s">
        <v>54401</v>
      </c>
      <c r="G7660" s="39">
        <v>78997.009999999995</v>
      </c>
      <c r="H7660" s="42">
        <v>211</v>
      </c>
    </row>
    <row r="7661" spans="1:8" ht="15" customHeight="1">
      <c r="A7661" s="26">
        <v>74381003</v>
      </c>
      <c r="B7661" s="30" t="s">
        <v>9888</v>
      </c>
      <c r="C7661" s="29" t="s">
        <v>24079</v>
      </c>
      <c r="D7661" s="29" t="s">
        <v>37353</v>
      </c>
      <c r="E7661" s="29" t="s">
        <v>45308</v>
      </c>
      <c r="F7661" s="36" t="s">
        <v>54401</v>
      </c>
      <c r="G7661" s="39">
        <v>5000666.49</v>
      </c>
      <c r="H7661" s="42">
        <v>211</v>
      </c>
    </row>
    <row r="7662" spans="1:8" ht="15" customHeight="1">
      <c r="A7662" s="26">
        <v>74381012</v>
      </c>
      <c r="B7662" s="30" t="s">
        <v>9889</v>
      </c>
      <c r="C7662" s="29" t="s">
        <v>24080</v>
      </c>
      <c r="D7662" s="29" t="s">
        <v>37354</v>
      </c>
      <c r="E7662" s="29" t="s">
        <v>49660</v>
      </c>
      <c r="F7662" s="36" t="s">
        <v>54401</v>
      </c>
      <c r="G7662" s="39">
        <f>628238.54+2075720</f>
        <v>2703958.54</v>
      </c>
      <c r="H7662" s="42">
        <v>211</v>
      </c>
    </row>
    <row r="7663" spans="1:8" ht="15" customHeight="1">
      <c r="A7663" s="26">
        <v>74381015</v>
      </c>
      <c r="B7663" s="30" t="s">
        <v>9890</v>
      </c>
      <c r="C7663" s="29" t="s">
        <v>24081</v>
      </c>
      <c r="D7663" s="29" t="s">
        <v>37355</v>
      </c>
      <c r="E7663" s="29" t="s">
        <v>49661</v>
      </c>
      <c r="F7663" s="36" t="s">
        <v>54401</v>
      </c>
      <c r="G7663" s="39">
        <v>2276287.54</v>
      </c>
      <c r="H7663" s="42">
        <v>211</v>
      </c>
    </row>
    <row r="7664" spans="1:8" ht="15" customHeight="1">
      <c r="A7664" s="26">
        <v>74381016</v>
      </c>
      <c r="B7664" s="30" t="s">
        <v>9891</v>
      </c>
      <c r="C7664" s="26" t="s">
        <v>24082</v>
      </c>
      <c r="D7664" s="26" t="s">
        <v>37356</v>
      </c>
      <c r="E7664" s="26" t="s">
        <v>48648</v>
      </c>
      <c r="F7664" s="37" t="s">
        <v>54401</v>
      </c>
      <c r="G7664" s="39">
        <v>6918120.8700000001</v>
      </c>
      <c r="H7664" s="42">
        <v>211</v>
      </c>
    </row>
    <row r="7665" spans="1:8" ht="15" customHeight="1">
      <c r="A7665" s="26">
        <v>74381021</v>
      </c>
      <c r="B7665" s="30" t="s">
        <v>9892</v>
      </c>
      <c r="C7665" s="29" t="s">
        <v>24083</v>
      </c>
      <c r="D7665" s="29" t="s">
        <v>37357</v>
      </c>
      <c r="E7665" s="29" t="s">
        <v>49662</v>
      </c>
      <c r="F7665" s="36" t="s">
        <v>54401</v>
      </c>
      <c r="G7665" s="39">
        <f>6279335.49+89168</f>
        <v>6368503.4900000002</v>
      </c>
      <c r="H7665" s="42">
        <v>211</v>
      </c>
    </row>
    <row r="7666" spans="1:8" ht="15" customHeight="1">
      <c r="A7666" s="26">
        <v>74381023</v>
      </c>
      <c r="B7666" s="30" t="s">
        <v>9893</v>
      </c>
      <c r="C7666" s="29" t="s">
        <v>24084</v>
      </c>
      <c r="D7666" s="29" t="s">
        <v>37358</v>
      </c>
      <c r="E7666" s="29" t="s">
        <v>49663</v>
      </c>
      <c r="F7666" s="36" t="s">
        <v>54401</v>
      </c>
      <c r="G7666" s="39">
        <v>29831.93</v>
      </c>
      <c r="H7666" s="42">
        <v>211</v>
      </c>
    </row>
    <row r="7667" spans="1:8" ht="15" customHeight="1">
      <c r="A7667" s="26">
        <v>74381029</v>
      </c>
      <c r="B7667" s="30" t="s">
        <v>9894</v>
      </c>
      <c r="C7667" s="26" t="s">
        <v>24085</v>
      </c>
      <c r="D7667" s="26" t="s">
        <v>37359</v>
      </c>
      <c r="E7667" s="26" t="s">
        <v>49664</v>
      </c>
      <c r="F7667" s="37" t="s">
        <v>54401</v>
      </c>
      <c r="G7667" s="39">
        <v>1377463.69</v>
      </c>
      <c r="H7667" s="42">
        <v>211</v>
      </c>
    </row>
    <row r="7668" spans="1:8" ht="15" customHeight="1">
      <c r="A7668" s="26">
        <v>74381036</v>
      </c>
      <c r="B7668" s="30" t="s">
        <v>9895</v>
      </c>
      <c r="C7668" s="26" t="s">
        <v>17204</v>
      </c>
      <c r="D7668" s="26" t="s">
        <v>37360</v>
      </c>
      <c r="E7668" s="26" t="s">
        <v>43926</v>
      </c>
      <c r="F7668" s="37" t="s">
        <v>54401</v>
      </c>
      <c r="G7668" s="39">
        <v>267641.40999999997</v>
      </c>
      <c r="H7668" s="42">
        <v>211</v>
      </c>
    </row>
    <row r="7669" spans="1:8" ht="15" customHeight="1">
      <c r="A7669" s="26">
        <v>74381043</v>
      </c>
      <c r="B7669" s="30" t="s">
        <v>9896</v>
      </c>
      <c r="C7669" s="29" t="s">
        <v>24086</v>
      </c>
      <c r="D7669" s="29" t="s">
        <v>37361</v>
      </c>
      <c r="E7669" s="29" t="s">
        <v>49665</v>
      </c>
      <c r="F7669" s="36" t="s">
        <v>54401</v>
      </c>
      <c r="G7669" s="39">
        <v>1199460.8899999999</v>
      </c>
      <c r="H7669" s="42">
        <v>211</v>
      </c>
    </row>
    <row r="7670" spans="1:8" ht="15" customHeight="1">
      <c r="A7670" s="26">
        <v>74381044</v>
      </c>
      <c r="B7670" s="30" t="s">
        <v>9897</v>
      </c>
      <c r="C7670" s="29" t="s">
        <v>24087</v>
      </c>
      <c r="D7670" s="29" t="s">
        <v>37362</v>
      </c>
      <c r="E7670" s="29" t="s">
        <v>49666</v>
      </c>
      <c r="F7670" s="36" t="s">
        <v>54401</v>
      </c>
      <c r="G7670" s="39">
        <v>4778042.68</v>
      </c>
      <c r="H7670" s="42">
        <v>211</v>
      </c>
    </row>
    <row r="7671" spans="1:8" ht="15" customHeight="1">
      <c r="A7671" s="26">
        <v>74381054</v>
      </c>
      <c r="B7671" s="30" t="s">
        <v>9898</v>
      </c>
      <c r="C7671" s="29" t="s">
        <v>24088</v>
      </c>
      <c r="D7671" s="29" t="s">
        <v>37363</v>
      </c>
      <c r="E7671" s="29" t="s">
        <v>48254</v>
      </c>
      <c r="F7671" s="36" t="s">
        <v>54401</v>
      </c>
      <c r="G7671" s="39">
        <v>298163.93</v>
      </c>
      <c r="H7671" s="42">
        <v>211</v>
      </c>
    </row>
    <row r="7672" spans="1:8" ht="15" customHeight="1">
      <c r="A7672" s="26">
        <v>74381055</v>
      </c>
      <c r="B7672" s="30" t="s">
        <v>9899</v>
      </c>
      <c r="C7672" s="29" t="s">
        <v>24089</v>
      </c>
      <c r="D7672" s="29" t="s">
        <v>37364</v>
      </c>
      <c r="E7672" s="29" t="s">
        <v>49667</v>
      </c>
      <c r="F7672" s="36" t="s">
        <v>54401</v>
      </c>
      <c r="G7672" s="39">
        <f>1342183.69+309785</f>
        <v>1651968.69</v>
      </c>
      <c r="H7672" s="42">
        <v>211</v>
      </c>
    </row>
    <row r="7673" spans="1:8" ht="15" customHeight="1">
      <c r="A7673" s="26">
        <v>74381082</v>
      </c>
      <c r="B7673" s="30" t="s">
        <v>9900</v>
      </c>
      <c r="C7673" s="29" t="s">
        <v>17204</v>
      </c>
      <c r="D7673" s="29" t="s">
        <v>37365</v>
      </c>
      <c r="E7673" s="29" t="s">
        <v>43926</v>
      </c>
      <c r="F7673" s="36" t="s">
        <v>54401</v>
      </c>
      <c r="G7673" s="39">
        <v>428682.2</v>
      </c>
      <c r="H7673" s="42">
        <v>211</v>
      </c>
    </row>
    <row r="7674" spans="1:8" ht="15" customHeight="1">
      <c r="A7674" s="26">
        <v>74381095</v>
      </c>
      <c r="B7674" s="30" t="s">
        <v>9901</v>
      </c>
      <c r="C7674" s="26" t="s">
        <v>24090</v>
      </c>
      <c r="D7674" s="26" t="s">
        <v>37366</v>
      </c>
      <c r="E7674" s="26" t="s">
        <v>49668</v>
      </c>
      <c r="F7674" s="37" t="s">
        <v>54402</v>
      </c>
      <c r="G7674" s="39">
        <v>267087.23</v>
      </c>
      <c r="H7674" s="42">
        <v>211</v>
      </c>
    </row>
    <row r="7675" spans="1:8" ht="15" customHeight="1">
      <c r="A7675" s="26">
        <v>74381099</v>
      </c>
      <c r="B7675" s="30" t="s">
        <v>9902</v>
      </c>
      <c r="C7675" s="29" t="s">
        <v>24091</v>
      </c>
      <c r="D7675" s="29" t="s">
        <v>37367</v>
      </c>
      <c r="E7675" s="29" t="s">
        <v>49669</v>
      </c>
      <c r="F7675" s="36" t="s">
        <v>54401</v>
      </c>
      <c r="G7675" s="39">
        <v>952566.75</v>
      </c>
      <c r="H7675" s="42">
        <v>211</v>
      </c>
    </row>
    <row r="7676" spans="1:8" ht="15" customHeight="1">
      <c r="A7676" s="26">
        <v>74381104</v>
      </c>
      <c r="B7676" s="30" t="s">
        <v>9903</v>
      </c>
      <c r="C7676" s="26" t="s">
        <v>24092</v>
      </c>
      <c r="D7676" s="26" t="s">
        <v>37368</v>
      </c>
      <c r="E7676" s="26" t="s">
        <v>43926</v>
      </c>
      <c r="F7676" s="37" t="s">
        <v>54401</v>
      </c>
      <c r="G7676" s="39">
        <v>259533.71</v>
      </c>
      <c r="H7676" s="42">
        <v>211</v>
      </c>
    </row>
    <row r="7677" spans="1:8" ht="15" customHeight="1">
      <c r="A7677" s="26">
        <v>74381120</v>
      </c>
      <c r="B7677" s="30" t="s">
        <v>9904</v>
      </c>
      <c r="C7677" s="29" t="s">
        <v>24093</v>
      </c>
      <c r="D7677" s="29" t="s">
        <v>37369</v>
      </c>
      <c r="E7677" s="29" t="s">
        <v>49670</v>
      </c>
      <c r="F7677" s="36" t="s">
        <v>54401</v>
      </c>
      <c r="G7677" s="39">
        <v>754000.43</v>
      </c>
      <c r="H7677" s="42">
        <v>211</v>
      </c>
    </row>
    <row r="7678" spans="1:8" ht="15" customHeight="1">
      <c r="A7678" s="26">
        <v>74381185</v>
      </c>
      <c r="B7678" s="30" t="s">
        <v>9905</v>
      </c>
      <c r="C7678" s="29" t="s">
        <v>24094</v>
      </c>
      <c r="D7678" s="29" t="s">
        <v>30376</v>
      </c>
      <c r="E7678" s="29" t="s">
        <v>49671</v>
      </c>
      <c r="F7678" s="36" t="s">
        <v>54401</v>
      </c>
      <c r="G7678" s="39">
        <v>2273482.2599999998</v>
      </c>
      <c r="H7678" s="42">
        <v>211</v>
      </c>
    </row>
    <row r="7679" spans="1:8" ht="15" customHeight="1">
      <c r="A7679" s="26">
        <v>74381186</v>
      </c>
      <c r="B7679" s="30" t="s">
        <v>9906</v>
      </c>
      <c r="C7679" s="29" t="s">
        <v>24095</v>
      </c>
      <c r="D7679" s="29" t="s">
        <v>37370</v>
      </c>
      <c r="E7679" s="29" t="s">
        <v>49672</v>
      </c>
      <c r="F7679" s="36" t="s">
        <v>54401</v>
      </c>
      <c r="G7679" s="39">
        <v>350286.54</v>
      </c>
      <c r="H7679" s="42">
        <v>211</v>
      </c>
    </row>
    <row r="7680" spans="1:8" ht="15" customHeight="1">
      <c r="A7680" s="26">
        <v>74381188</v>
      </c>
      <c r="B7680" s="30" t="s">
        <v>9907</v>
      </c>
      <c r="C7680" s="29" t="s">
        <v>17204</v>
      </c>
      <c r="D7680" s="29" t="s">
        <v>30349</v>
      </c>
      <c r="E7680" s="29" t="s">
        <v>43926</v>
      </c>
      <c r="F7680" s="36" t="s">
        <v>54401</v>
      </c>
      <c r="G7680" s="39">
        <v>211173.59</v>
      </c>
      <c r="H7680" s="42">
        <v>211</v>
      </c>
    </row>
    <row r="7681" spans="1:8" ht="15" customHeight="1">
      <c r="A7681" s="26">
        <v>74381197</v>
      </c>
      <c r="B7681" s="30" t="s">
        <v>9908</v>
      </c>
      <c r="C7681" s="29" t="s">
        <v>24096</v>
      </c>
      <c r="D7681" s="29" t="s">
        <v>37371</v>
      </c>
      <c r="E7681" s="29" t="s">
        <v>49673</v>
      </c>
      <c r="F7681" s="36" t="s">
        <v>54401</v>
      </c>
      <c r="G7681" s="39">
        <v>105445.6</v>
      </c>
      <c r="H7681" s="42">
        <v>211</v>
      </c>
    </row>
    <row r="7682" spans="1:8" ht="15" customHeight="1">
      <c r="A7682" s="26">
        <v>74381212</v>
      </c>
      <c r="B7682" s="30" t="s">
        <v>9909</v>
      </c>
      <c r="C7682" s="29" t="s">
        <v>24097</v>
      </c>
      <c r="D7682" s="29" t="s">
        <v>37372</v>
      </c>
      <c r="E7682" s="29" t="s">
        <v>46207</v>
      </c>
      <c r="F7682" s="36" t="s">
        <v>54401</v>
      </c>
      <c r="G7682" s="39">
        <v>12919146.27</v>
      </c>
      <c r="H7682" s="42">
        <v>211</v>
      </c>
    </row>
    <row r="7683" spans="1:8" ht="15" customHeight="1">
      <c r="A7683" s="26">
        <v>74381216</v>
      </c>
      <c r="B7683" s="30" t="s">
        <v>9910</v>
      </c>
      <c r="C7683" s="26" t="s">
        <v>17204</v>
      </c>
      <c r="D7683" s="26" t="s">
        <v>30349</v>
      </c>
      <c r="E7683" s="26" t="s">
        <v>43926</v>
      </c>
      <c r="F7683" s="37" t="s">
        <v>54401</v>
      </c>
      <c r="G7683" s="39">
        <f>2326817.57+378179</f>
        <v>2704996.57</v>
      </c>
      <c r="H7683" s="42">
        <v>211</v>
      </c>
    </row>
    <row r="7684" spans="1:8" ht="15" customHeight="1">
      <c r="A7684" s="26">
        <v>74381221</v>
      </c>
      <c r="B7684" s="30" t="s">
        <v>9911</v>
      </c>
      <c r="C7684" s="29" t="s">
        <v>24098</v>
      </c>
      <c r="D7684" s="29" t="s">
        <v>37373</v>
      </c>
      <c r="E7684" s="29" t="s">
        <v>49674</v>
      </c>
      <c r="F7684" s="36" t="s">
        <v>54401</v>
      </c>
      <c r="G7684" s="39">
        <v>3583053.82</v>
      </c>
      <c r="H7684" s="42">
        <v>211</v>
      </c>
    </row>
    <row r="7685" spans="1:8" ht="15" customHeight="1">
      <c r="A7685" s="26">
        <v>74381222</v>
      </c>
      <c r="B7685" s="30" t="s">
        <v>9912</v>
      </c>
      <c r="C7685" s="29" t="s">
        <v>24099</v>
      </c>
      <c r="D7685" s="29" t="s">
        <v>30376</v>
      </c>
      <c r="E7685" s="29" t="s">
        <v>49675</v>
      </c>
      <c r="F7685" s="36" t="s">
        <v>54401</v>
      </c>
      <c r="G7685" s="39">
        <v>1078669.74</v>
      </c>
      <c r="H7685" s="42">
        <v>211</v>
      </c>
    </row>
    <row r="7686" spans="1:8" ht="15" customHeight="1">
      <c r="A7686" s="26">
        <v>74381232</v>
      </c>
      <c r="B7686" s="30" t="s">
        <v>9913</v>
      </c>
      <c r="C7686" s="29" t="s">
        <v>24100</v>
      </c>
      <c r="D7686" s="29" t="s">
        <v>37374</v>
      </c>
      <c r="E7686" s="29" t="s">
        <v>49676</v>
      </c>
      <c r="F7686" s="36" t="s">
        <v>54401</v>
      </c>
      <c r="G7686" s="39">
        <v>341553.39</v>
      </c>
      <c r="H7686" s="42">
        <v>211</v>
      </c>
    </row>
    <row r="7687" spans="1:8" ht="15" customHeight="1">
      <c r="A7687" s="26">
        <v>74381253</v>
      </c>
      <c r="B7687" s="30" t="s">
        <v>9914</v>
      </c>
      <c r="C7687" s="29" t="s">
        <v>24101</v>
      </c>
      <c r="D7687" s="29" t="s">
        <v>37375</v>
      </c>
      <c r="E7687" s="29" t="s">
        <v>49677</v>
      </c>
      <c r="F7687" s="36" t="s">
        <v>54401</v>
      </c>
      <c r="G7687" s="39">
        <f>867115.43+390722</f>
        <v>1257837.4300000002</v>
      </c>
      <c r="H7687" s="42">
        <v>211</v>
      </c>
    </row>
    <row r="7688" spans="1:8" ht="15" customHeight="1">
      <c r="A7688" s="26">
        <v>74381257</v>
      </c>
      <c r="B7688" s="30" t="s">
        <v>9915</v>
      </c>
      <c r="C7688" s="29" t="s">
        <v>24102</v>
      </c>
      <c r="D7688" s="29" t="s">
        <v>37376</v>
      </c>
      <c r="E7688" s="29" t="s">
        <v>49678</v>
      </c>
      <c r="F7688" s="36" t="s">
        <v>54401</v>
      </c>
      <c r="G7688" s="39">
        <v>4443946.38</v>
      </c>
      <c r="H7688" s="42">
        <v>211</v>
      </c>
    </row>
    <row r="7689" spans="1:8" ht="15" customHeight="1">
      <c r="A7689" s="26">
        <v>74381264</v>
      </c>
      <c r="B7689" s="30" t="s">
        <v>9916</v>
      </c>
      <c r="C7689" s="29" t="s">
        <v>24103</v>
      </c>
      <c r="D7689" s="29" t="s">
        <v>37377</v>
      </c>
      <c r="E7689" s="29" t="s">
        <v>49679</v>
      </c>
      <c r="F7689" s="36" t="s">
        <v>54401</v>
      </c>
      <c r="G7689" s="39">
        <v>497564.01</v>
      </c>
      <c r="H7689" s="42">
        <v>211</v>
      </c>
    </row>
    <row r="7690" spans="1:8" ht="15" customHeight="1">
      <c r="A7690" s="26">
        <v>74381267</v>
      </c>
      <c r="B7690" s="30" t="s">
        <v>9917</v>
      </c>
      <c r="C7690" s="29" t="s">
        <v>24104</v>
      </c>
      <c r="D7690" s="29" t="s">
        <v>37378</v>
      </c>
      <c r="E7690" s="29" t="s">
        <v>49680</v>
      </c>
      <c r="F7690" s="36" t="s">
        <v>54401</v>
      </c>
      <c r="G7690" s="39">
        <v>231353.13</v>
      </c>
      <c r="H7690" s="42">
        <v>211</v>
      </c>
    </row>
    <row r="7691" spans="1:8" ht="15" customHeight="1">
      <c r="A7691" s="26">
        <v>74381284</v>
      </c>
      <c r="B7691" s="30" t="s">
        <v>9918</v>
      </c>
      <c r="C7691" s="29" t="s">
        <v>24105</v>
      </c>
      <c r="D7691" s="29" t="s">
        <v>37379</v>
      </c>
      <c r="E7691" s="29" t="s">
        <v>49681</v>
      </c>
      <c r="F7691" s="36" t="s">
        <v>54401</v>
      </c>
      <c r="G7691" s="39">
        <v>518049.49</v>
      </c>
      <c r="H7691" s="42">
        <v>211</v>
      </c>
    </row>
    <row r="7692" spans="1:8" ht="15" customHeight="1">
      <c r="A7692" s="26">
        <v>74381289</v>
      </c>
      <c r="B7692" s="30" t="s">
        <v>9919</v>
      </c>
      <c r="C7692" s="29" t="s">
        <v>24106</v>
      </c>
      <c r="D7692" s="29" t="s">
        <v>37380</v>
      </c>
      <c r="E7692" s="29" t="s">
        <v>43926</v>
      </c>
      <c r="F7692" s="36" t="s">
        <v>54401</v>
      </c>
      <c r="G7692" s="39">
        <v>2895637.33</v>
      </c>
      <c r="H7692" s="42">
        <v>211</v>
      </c>
    </row>
    <row r="7693" spans="1:8" ht="15" customHeight="1">
      <c r="A7693" s="26">
        <v>74381296</v>
      </c>
      <c r="B7693" s="30" t="s">
        <v>9920</v>
      </c>
      <c r="C7693" s="29" t="s">
        <v>24107</v>
      </c>
      <c r="D7693" s="29" t="s">
        <v>37381</v>
      </c>
      <c r="E7693" s="29" t="s">
        <v>47545</v>
      </c>
      <c r="F7693" s="36" t="s">
        <v>54401</v>
      </c>
      <c r="G7693" s="39">
        <v>955482.13</v>
      </c>
      <c r="H7693" s="42">
        <v>211</v>
      </c>
    </row>
    <row r="7694" spans="1:8" ht="15" customHeight="1">
      <c r="A7694" s="26">
        <v>74381298</v>
      </c>
      <c r="B7694" s="30" t="s">
        <v>9921</v>
      </c>
      <c r="C7694" s="29" t="s">
        <v>24108</v>
      </c>
      <c r="D7694" s="29" t="s">
        <v>37382</v>
      </c>
      <c r="E7694" s="29" t="s">
        <v>49682</v>
      </c>
      <c r="F7694" s="36" t="s">
        <v>54401</v>
      </c>
      <c r="G7694" s="39">
        <f>543044.14+266639</f>
        <v>809683.14</v>
      </c>
      <c r="H7694" s="42">
        <v>211</v>
      </c>
    </row>
    <row r="7695" spans="1:8" ht="15" customHeight="1">
      <c r="A7695" s="26">
        <v>74381374</v>
      </c>
      <c r="B7695" s="30" t="s">
        <v>9922</v>
      </c>
      <c r="C7695" s="29" t="s">
        <v>24109</v>
      </c>
      <c r="D7695" s="29" t="s">
        <v>37383</v>
      </c>
      <c r="E7695" s="29" t="s">
        <v>49683</v>
      </c>
      <c r="F7695" s="36" t="s">
        <v>54401</v>
      </c>
      <c r="G7695" s="39">
        <f>1060335.14+553449+3864191</f>
        <v>5477975.1399999997</v>
      </c>
      <c r="H7695" s="42">
        <v>211</v>
      </c>
    </row>
    <row r="7696" spans="1:8" ht="15" customHeight="1">
      <c r="A7696" s="26">
        <v>74381375</v>
      </c>
      <c r="B7696" s="30" t="s">
        <v>9923</v>
      </c>
      <c r="C7696" s="29" t="s">
        <v>17204</v>
      </c>
      <c r="D7696" s="29" t="s">
        <v>37384</v>
      </c>
      <c r="E7696" s="29" t="s">
        <v>43926</v>
      </c>
      <c r="F7696" s="36" t="s">
        <v>54401</v>
      </c>
      <c r="G7696" s="39">
        <v>264359.78999999998</v>
      </c>
      <c r="H7696" s="42">
        <v>211</v>
      </c>
    </row>
    <row r="7697" spans="1:8" ht="15" customHeight="1">
      <c r="A7697" s="26">
        <v>74381379</v>
      </c>
      <c r="B7697" s="30" t="s">
        <v>9924</v>
      </c>
      <c r="C7697" s="29" t="s">
        <v>24110</v>
      </c>
      <c r="D7697" s="29" t="s">
        <v>37385</v>
      </c>
      <c r="E7697" s="29" t="s">
        <v>44345</v>
      </c>
      <c r="F7697" s="36" t="s">
        <v>54401</v>
      </c>
      <c r="G7697" s="39">
        <v>136351.21</v>
      </c>
      <c r="H7697" s="42">
        <v>211</v>
      </c>
    </row>
    <row r="7698" spans="1:8" ht="15" customHeight="1">
      <c r="A7698" s="26">
        <v>74381380</v>
      </c>
      <c r="B7698" s="30" t="s">
        <v>9925</v>
      </c>
      <c r="C7698" s="29" t="s">
        <v>24111</v>
      </c>
      <c r="D7698" s="29" t="s">
        <v>37386</v>
      </c>
      <c r="E7698" s="29" t="s">
        <v>49684</v>
      </c>
      <c r="F7698" s="36" t="s">
        <v>54401</v>
      </c>
      <c r="G7698" s="39">
        <v>34285.480000000003</v>
      </c>
      <c r="H7698" s="42">
        <v>211</v>
      </c>
    </row>
    <row r="7699" spans="1:8" ht="15" customHeight="1">
      <c r="A7699" s="26">
        <v>74381390</v>
      </c>
      <c r="B7699" s="30" t="s">
        <v>9926</v>
      </c>
      <c r="C7699" s="29" t="s">
        <v>24112</v>
      </c>
      <c r="D7699" s="29" t="s">
        <v>37387</v>
      </c>
      <c r="E7699" s="29" t="s">
        <v>49685</v>
      </c>
      <c r="F7699" s="36" t="s">
        <v>54401</v>
      </c>
      <c r="G7699" s="39">
        <v>1186889.83</v>
      </c>
      <c r="H7699" s="42">
        <v>211</v>
      </c>
    </row>
    <row r="7700" spans="1:8" ht="15" customHeight="1">
      <c r="A7700" s="26">
        <v>74381394</v>
      </c>
      <c r="B7700" s="30" t="s">
        <v>9927</v>
      </c>
      <c r="C7700" s="29" t="s">
        <v>24113</v>
      </c>
      <c r="D7700" s="29" t="s">
        <v>37388</v>
      </c>
      <c r="E7700" s="29" t="s">
        <v>45006</v>
      </c>
      <c r="F7700" s="36" t="s">
        <v>54401</v>
      </c>
      <c r="G7700" s="39">
        <v>1680290.11</v>
      </c>
      <c r="H7700" s="42">
        <v>211</v>
      </c>
    </row>
    <row r="7701" spans="1:8" ht="15" customHeight="1">
      <c r="A7701" s="26">
        <v>74381398</v>
      </c>
      <c r="B7701" s="30" t="s">
        <v>9928</v>
      </c>
      <c r="C7701" s="29" t="s">
        <v>24114</v>
      </c>
      <c r="D7701" s="29" t="s">
        <v>37389</v>
      </c>
      <c r="E7701" s="29" t="s">
        <v>49686</v>
      </c>
      <c r="F7701" s="36" t="s">
        <v>54401</v>
      </c>
      <c r="G7701" s="39">
        <f>676860.42+284042</f>
        <v>960902.42</v>
      </c>
      <c r="H7701" s="42">
        <v>211</v>
      </c>
    </row>
    <row r="7702" spans="1:8" ht="15" customHeight="1">
      <c r="A7702" s="26">
        <v>74381408</v>
      </c>
      <c r="B7702" s="30" t="s">
        <v>9929</v>
      </c>
      <c r="C7702" s="29" t="s">
        <v>24115</v>
      </c>
      <c r="D7702" s="29" t="s">
        <v>37390</v>
      </c>
      <c r="E7702" s="29" t="s">
        <v>49687</v>
      </c>
      <c r="F7702" s="36" t="s">
        <v>54401</v>
      </c>
      <c r="G7702" s="39">
        <v>2678299.69</v>
      </c>
      <c r="H7702" s="42">
        <v>211</v>
      </c>
    </row>
    <row r="7703" spans="1:8" ht="15" customHeight="1">
      <c r="A7703" s="26">
        <v>74381413</v>
      </c>
      <c r="B7703" s="30" t="s">
        <v>9930</v>
      </c>
      <c r="C7703" s="29" t="s">
        <v>24116</v>
      </c>
      <c r="D7703" s="29" t="s">
        <v>37391</v>
      </c>
      <c r="E7703" s="29" t="s">
        <v>49688</v>
      </c>
      <c r="F7703" s="36" t="s">
        <v>54401</v>
      </c>
      <c r="G7703" s="39">
        <f>2791534.49+5197127</f>
        <v>7988661.4900000002</v>
      </c>
      <c r="H7703" s="42">
        <v>211</v>
      </c>
    </row>
    <row r="7704" spans="1:8" ht="15" customHeight="1">
      <c r="A7704" s="26">
        <v>74381420</v>
      </c>
      <c r="B7704" s="30" t="s">
        <v>9931</v>
      </c>
      <c r="C7704" s="29" t="s">
        <v>24117</v>
      </c>
      <c r="D7704" s="29" t="s">
        <v>37392</v>
      </c>
      <c r="E7704" s="29" t="s">
        <v>49689</v>
      </c>
      <c r="F7704" s="36" t="s">
        <v>54401</v>
      </c>
      <c r="G7704" s="39">
        <f>15586140.72+613301</f>
        <v>16199441.720000001</v>
      </c>
      <c r="H7704" s="42">
        <v>211</v>
      </c>
    </row>
    <row r="7705" spans="1:8" ht="15" customHeight="1">
      <c r="A7705" s="26">
        <v>74381426</v>
      </c>
      <c r="B7705" s="30" t="s">
        <v>9932</v>
      </c>
      <c r="C7705" s="29" t="s">
        <v>24118</v>
      </c>
      <c r="D7705" s="29" t="s">
        <v>37393</v>
      </c>
      <c r="E7705" s="29" t="s">
        <v>49690</v>
      </c>
      <c r="F7705" s="36" t="s">
        <v>54401</v>
      </c>
      <c r="G7705" s="39">
        <v>3812919.15</v>
      </c>
      <c r="H7705" s="42">
        <v>211</v>
      </c>
    </row>
    <row r="7706" spans="1:8" ht="15" customHeight="1">
      <c r="A7706" s="26">
        <v>74381434</v>
      </c>
      <c r="B7706" s="30" t="s">
        <v>9933</v>
      </c>
      <c r="C7706" s="29" t="s">
        <v>24119</v>
      </c>
      <c r="D7706" s="29" t="s">
        <v>37394</v>
      </c>
      <c r="E7706" s="29" t="s">
        <v>43926</v>
      </c>
      <c r="F7706" s="36" t="s">
        <v>54401</v>
      </c>
      <c r="G7706" s="39">
        <v>56470.41</v>
      </c>
      <c r="H7706" s="42">
        <v>211</v>
      </c>
    </row>
    <row r="7707" spans="1:8" ht="15" customHeight="1">
      <c r="A7707" s="26">
        <v>74381461</v>
      </c>
      <c r="B7707" s="30" t="s">
        <v>9934</v>
      </c>
      <c r="C7707" s="29" t="s">
        <v>24120</v>
      </c>
      <c r="D7707" s="29" t="s">
        <v>37395</v>
      </c>
      <c r="E7707" s="29" t="s">
        <v>49691</v>
      </c>
      <c r="F7707" s="36" t="s">
        <v>54401</v>
      </c>
      <c r="G7707" s="39">
        <v>1079041.03</v>
      </c>
      <c r="H7707" s="42">
        <v>211</v>
      </c>
    </row>
    <row r="7708" spans="1:8" ht="15" customHeight="1">
      <c r="A7708" s="26">
        <v>74381462</v>
      </c>
      <c r="B7708" s="30" t="s">
        <v>9935</v>
      </c>
      <c r="C7708" s="29" t="s">
        <v>24121</v>
      </c>
      <c r="D7708" s="29" t="s">
        <v>37396</v>
      </c>
      <c r="E7708" s="29" t="s">
        <v>49692</v>
      </c>
      <c r="F7708" s="36" t="s">
        <v>54401</v>
      </c>
      <c r="G7708" s="39">
        <v>115065.93</v>
      </c>
      <c r="H7708" s="42">
        <v>211</v>
      </c>
    </row>
    <row r="7709" spans="1:8" ht="15" customHeight="1">
      <c r="A7709" s="26">
        <v>74381469</v>
      </c>
      <c r="B7709" s="30" t="s">
        <v>9936</v>
      </c>
      <c r="C7709" s="29" t="s">
        <v>24122</v>
      </c>
      <c r="D7709" s="29" t="s">
        <v>37397</v>
      </c>
      <c r="E7709" s="29" t="s">
        <v>49693</v>
      </c>
      <c r="F7709" s="36" t="s">
        <v>54401</v>
      </c>
      <c r="G7709" s="39">
        <v>4926704.22</v>
      </c>
      <c r="H7709" s="42">
        <v>211</v>
      </c>
    </row>
    <row r="7710" spans="1:8" ht="15" customHeight="1">
      <c r="A7710" s="26">
        <v>74381477</v>
      </c>
      <c r="B7710" s="30" t="s">
        <v>9937</v>
      </c>
      <c r="C7710" s="29" t="s">
        <v>24123</v>
      </c>
      <c r="D7710" s="29" t="s">
        <v>37398</v>
      </c>
      <c r="E7710" s="29" t="s">
        <v>49694</v>
      </c>
      <c r="F7710" s="36" t="s">
        <v>54401</v>
      </c>
      <c r="G7710" s="39">
        <v>2665322.85</v>
      </c>
      <c r="H7710" s="42">
        <v>211</v>
      </c>
    </row>
    <row r="7711" spans="1:8" ht="15" customHeight="1">
      <c r="A7711" s="26">
        <v>74381508</v>
      </c>
      <c r="B7711" s="30" t="s">
        <v>9938</v>
      </c>
      <c r="C7711" s="26" t="s">
        <v>24124</v>
      </c>
      <c r="D7711" s="26" t="s">
        <v>37399</v>
      </c>
      <c r="E7711" s="26" t="s">
        <v>43926</v>
      </c>
      <c r="F7711" s="37" t="s">
        <v>54401</v>
      </c>
      <c r="G7711" s="39">
        <v>104933.89</v>
      </c>
      <c r="H7711" s="42">
        <v>211</v>
      </c>
    </row>
    <row r="7712" spans="1:8" ht="15" customHeight="1">
      <c r="A7712" s="26">
        <v>74381528</v>
      </c>
      <c r="B7712" s="30" t="s">
        <v>9939</v>
      </c>
      <c r="C7712" s="29" t="s">
        <v>24125</v>
      </c>
      <c r="D7712" s="29" t="s">
        <v>37400</v>
      </c>
      <c r="E7712" s="29" t="s">
        <v>45077</v>
      </c>
      <c r="F7712" s="36" t="s">
        <v>54401</v>
      </c>
      <c r="G7712" s="39">
        <f>1279869.35+2902667+19705</f>
        <v>4202241.3499999996</v>
      </c>
      <c r="H7712" s="42">
        <v>211</v>
      </c>
    </row>
    <row r="7713" spans="1:8" ht="15" customHeight="1">
      <c r="A7713" s="26">
        <v>74381541</v>
      </c>
      <c r="B7713" s="30" t="s">
        <v>9940</v>
      </c>
      <c r="C7713" s="29" t="s">
        <v>24126</v>
      </c>
      <c r="D7713" s="29" t="s">
        <v>37401</v>
      </c>
      <c r="E7713" s="29" t="s">
        <v>49695</v>
      </c>
      <c r="F7713" s="36" t="s">
        <v>54401</v>
      </c>
      <c r="G7713" s="39">
        <v>150954.43</v>
      </c>
      <c r="H7713" s="42">
        <v>211</v>
      </c>
    </row>
    <row r="7714" spans="1:8" ht="15" customHeight="1">
      <c r="A7714" s="26">
        <v>74381542</v>
      </c>
      <c r="B7714" s="30" t="s">
        <v>9941</v>
      </c>
      <c r="C7714" s="29" t="s">
        <v>24127</v>
      </c>
      <c r="D7714" s="29" t="s">
        <v>37402</v>
      </c>
      <c r="E7714" s="29" t="s">
        <v>49696</v>
      </c>
      <c r="F7714" s="36" t="s">
        <v>54401</v>
      </c>
      <c r="G7714" s="39">
        <v>292205.68</v>
      </c>
      <c r="H7714" s="42">
        <v>211</v>
      </c>
    </row>
    <row r="7715" spans="1:8" ht="15" customHeight="1">
      <c r="A7715" s="26">
        <v>74381546</v>
      </c>
      <c r="B7715" s="30" t="s">
        <v>9942</v>
      </c>
      <c r="C7715" s="29" t="s">
        <v>24128</v>
      </c>
      <c r="D7715" s="29" t="s">
        <v>37403</v>
      </c>
      <c r="E7715" s="29" t="s">
        <v>49697</v>
      </c>
      <c r="F7715" s="36" t="s">
        <v>54401</v>
      </c>
      <c r="G7715" s="39">
        <v>3896869.13</v>
      </c>
      <c r="H7715" s="42">
        <v>211</v>
      </c>
    </row>
    <row r="7716" spans="1:8" ht="15" customHeight="1">
      <c r="A7716" s="26">
        <v>74381558</v>
      </c>
      <c r="B7716" s="30" t="s">
        <v>9943</v>
      </c>
      <c r="C7716" s="29" t="s">
        <v>24129</v>
      </c>
      <c r="D7716" s="29" t="s">
        <v>37404</v>
      </c>
      <c r="E7716" s="29" t="s">
        <v>49698</v>
      </c>
      <c r="F7716" s="36" t="s">
        <v>54401</v>
      </c>
      <c r="G7716" s="39">
        <v>557549.77</v>
      </c>
      <c r="H7716" s="42">
        <v>211</v>
      </c>
    </row>
    <row r="7717" spans="1:8" ht="15" customHeight="1">
      <c r="A7717" s="26">
        <v>74381570</v>
      </c>
      <c r="B7717" s="30" t="s">
        <v>9944</v>
      </c>
      <c r="C7717" s="26" t="s">
        <v>24130</v>
      </c>
      <c r="D7717" s="26" t="s">
        <v>37405</v>
      </c>
      <c r="E7717" s="26" t="s">
        <v>43926</v>
      </c>
      <c r="F7717" s="37" t="s">
        <v>54401</v>
      </c>
      <c r="G7717" s="39">
        <v>764852.69</v>
      </c>
      <c r="H7717" s="42">
        <v>211</v>
      </c>
    </row>
    <row r="7718" spans="1:8" ht="15" customHeight="1">
      <c r="A7718" s="26">
        <v>74381579</v>
      </c>
      <c r="B7718" s="30" t="s">
        <v>9945</v>
      </c>
      <c r="C7718" s="29" t="s">
        <v>17204</v>
      </c>
      <c r="D7718" s="29" t="s">
        <v>37406</v>
      </c>
      <c r="E7718" s="29" t="s">
        <v>43926</v>
      </c>
      <c r="F7718" s="36" t="s">
        <v>54401</v>
      </c>
      <c r="G7718" s="39">
        <v>642938.13</v>
      </c>
      <c r="H7718" s="42">
        <v>211</v>
      </c>
    </row>
    <row r="7719" spans="1:8" ht="15" customHeight="1">
      <c r="A7719" s="26">
        <v>74381584</v>
      </c>
      <c r="B7719" s="30" t="s">
        <v>9946</v>
      </c>
      <c r="C7719" s="29" t="s">
        <v>24131</v>
      </c>
      <c r="D7719" s="29" t="s">
        <v>37407</v>
      </c>
      <c r="E7719" s="29" t="s">
        <v>49699</v>
      </c>
      <c r="F7719" s="36" t="s">
        <v>54401</v>
      </c>
      <c r="G7719" s="39">
        <f>829879.14+391980</f>
        <v>1221859.1400000001</v>
      </c>
      <c r="H7719" s="42">
        <v>211</v>
      </c>
    </row>
    <row r="7720" spans="1:8" ht="15" customHeight="1">
      <c r="A7720" s="26">
        <v>74381586</v>
      </c>
      <c r="B7720" s="30" t="s">
        <v>9947</v>
      </c>
      <c r="C7720" s="29" t="s">
        <v>24132</v>
      </c>
      <c r="D7720" s="29" t="s">
        <v>31403</v>
      </c>
      <c r="E7720" s="29" t="s">
        <v>43926</v>
      </c>
      <c r="F7720" s="36" t="s">
        <v>54401</v>
      </c>
      <c r="G7720" s="39">
        <v>338667.81</v>
      </c>
      <c r="H7720" s="42">
        <v>211</v>
      </c>
    </row>
    <row r="7721" spans="1:8" ht="15" customHeight="1">
      <c r="A7721" s="26">
        <v>74381588</v>
      </c>
      <c r="B7721" s="30" t="s">
        <v>9948</v>
      </c>
      <c r="C7721" s="29" t="s">
        <v>24133</v>
      </c>
      <c r="D7721" s="29" t="s">
        <v>37408</v>
      </c>
      <c r="E7721" s="29" t="s">
        <v>49700</v>
      </c>
      <c r="F7721" s="36" t="s">
        <v>54401</v>
      </c>
      <c r="G7721" s="39">
        <f>6581444.78+787513</f>
        <v>7368957.7800000003</v>
      </c>
      <c r="H7721" s="42">
        <v>211</v>
      </c>
    </row>
    <row r="7722" spans="1:8" ht="15" customHeight="1">
      <c r="A7722" s="26">
        <v>74381605</v>
      </c>
      <c r="B7722" s="30" t="s">
        <v>9949</v>
      </c>
      <c r="C7722" s="26" t="s">
        <v>17204</v>
      </c>
      <c r="D7722" s="26" t="s">
        <v>30714</v>
      </c>
      <c r="E7722" s="26" t="s">
        <v>43926</v>
      </c>
      <c r="F7722" s="37" t="s">
        <v>54401</v>
      </c>
      <c r="G7722" s="39">
        <v>63037.9</v>
      </c>
      <c r="H7722" s="42">
        <v>211</v>
      </c>
    </row>
    <row r="7723" spans="1:8" ht="15" customHeight="1">
      <c r="A7723" s="26">
        <v>74381610</v>
      </c>
      <c r="B7723" s="30" t="s">
        <v>9950</v>
      </c>
      <c r="C7723" s="29" t="s">
        <v>24134</v>
      </c>
      <c r="D7723" s="29" t="s">
        <v>37409</v>
      </c>
      <c r="E7723" s="29" t="s">
        <v>49701</v>
      </c>
      <c r="F7723" s="36" t="s">
        <v>54401</v>
      </c>
      <c r="G7723" s="39">
        <v>502657.88</v>
      </c>
      <c r="H7723" s="42">
        <v>211</v>
      </c>
    </row>
    <row r="7724" spans="1:8" ht="15" customHeight="1">
      <c r="A7724" s="26">
        <v>74381630</v>
      </c>
      <c r="B7724" s="30" t="s">
        <v>9951</v>
      </c>
      <c r="C7724" s="29" t="s">
        <v>24135</v>
      </c>
      <c r="D7724" s="29" t="s">
        <v>37410</v>
      </c>
      <c r="E7724" s="29" t="s">
        <v>49702</v>
      </c>
      <c r="F7724" s="36" t="s">
        <v>54401</v>
      </c>
      <c r="G7724" s="39">
        <v>3694745.55</v>
      </c>
      <c r="H7724" s="42">
        <v>211</v>
      </c>
    </row>
    <row r="7725" spans="1:8" ht="15" customHeight="1">
      <c r="A7725" s="26">
        <v>74381633</v>
      </c>
      <c r="B7725" s="30" t="s">
        <v>9952</v>
      </c>
      <c r="C7725" s="29" t="s">
        <v>24136</v>
      </c>
      <c r="D7725" s="29" t="s">
        <v>37411</v>
      </c>
      <c r="E7725" s="29" t="s">
        <v>49703</v>
      </c>
      <c r="F7725" s="36" t="s">
        <v>54401</v>
      </c>
      <c r="G7725" s="39">
        <f>13484321.68+411939</f>
        <v>13896260.68</v>
      </c>
      <c r="H7725" s="42">
        <v>211</v>
      </c>
    </row>
    <row r="7726" spans="1:8" ht="15" customHeight="1">
      <c r="A7726" s="26">
        <v>74381639</v>
      </c>
      <c r="B7726" s="30" t="s">
        <v>9953</v>
      </c>
      <c r="C7726" s="29" t="s">
        <v>24137</v>
      </c>
      <c r="D7726" s="29" t="s">
        <v>37412</v>
      </c>
      <c r="E7726" s="29" t="s">
        <v>44737</v>
      </c>
      <c r="F7726" s="36" t="s">
        <v>54401</v>
      </c>
      <c r="G7726" s="39">
        <v>1782435.48</v>
      </c>
      <c r="H7726" s="42">
        <v>211</v>
      </c>
    </row>
    <row r="7727" spans="1:8" ht="15" customHeight="1">
      <c r="A7727" s="26">
        <v>74381642</v>
      </c>
      <c r="B7727" s="30" t="s">
        <v>9954</v>
      </c>
      <c r="C7727" s="29" t="s">
        <v>24138</v>
      </c>
      <c r="D7727" s="29" t="s">
        <v>37413</v>
      </c>
      <c r="E7727" s="29" t="s">
        <v>49704</v>
      </c>
      <c r="F7727" s="36" t="s">
        <v>54401</v>
      </c>
      <c r="G7727" s="39">
        <f>8555797.4+291151</f>
        <v>8846948.4000000004</v>
      </c>
      <c r="H7727" s="42">
        <v>211</v>
      </c>
    </row>
    <row r="7728" spans="1:8" ht="15" customHeight="1">
      <c r="A7728" s="26">
        <v>74381643</v>
      </c>
      <c r="B7728" s="30" t="s">
        <v>9955</v>
      </c>
      <c r="C7728" s="29" t="s">
        <v>24139</v>
      </c>
      <c r="D7728" s="29" t="s">
        <v>37414</v>
      </c>
      <c r="E7728" s="29" t="s">
        <v>43926</v>
      </c>
      <c r="F7728" s="36" t="s">
        <v>54401</v>
      </c>
      <c r="G7728" s="39">
        <v>154841.26</v>
      </c>
      <c r="H7728" s="42">
        <v>211</v>
      </c>
    </row>
    <row r="7729" spans="1:8" ht="15" customHeight="1">
      <c r="A7729" s="26">
        <v>74381651</v>
      </c>
      <c r="B7729" s="30" t="s">
        <v>9956</v>
      </c>
      <c r="C7729" s="29" t="s">
        <v>24140</v>
      </c>
      <c r="D7729" s="29" t="s">
        <v>37415</v>
      </c>
      <c r="E7729" s="29" t="s">
        <v>49705</v>
      </c>
      <c r="F7729" s="36" t="s">
        <v>54401</v>
      </c>
      <c r="G7729" s="39">
        <v>3345892.75</v>
      </c>
      <c r="H7729" s="42">
        <v>211</v>
      </c>
    </row>
    <row r="7730" spans="1:8" ht="15" customHeight="1">
      <c r="A7730" s="26">
        <v>74381680</v>
      </c>
      <c r="B7730" s="30" t="s">
        <v>9957</v>
      </c>
      <c r="C7730" s="29" t="s">
        <v>17204</v>
      </c>
      <c r="D7730" s="29" t="s">
        <v>30349</v>
      </c>
      <c r="E7730" s="29" t="s">
        <v>43926</v>
      </c>
      <c r="F7730" s="36" t="s">
        <v>54401</v>
      </c>
      <c r="G7730" s="39">
        <v>181710.78</v>
      </c>
      <c r="H7730" s="42">
        <v>211</v>
      </c>
    </row>
    <row r="7731" spans="1:8" ht="15" customHeight="1">
      <c r="A7731" s="26">
        <v>74381682</v>
      </c>
      <c r="B7731" s="30" t="s">
        <v>9958</v>
      </c>
      <c r="C7731" s="29" t="s">
        <v>24141</v>
      </c>
      <c r="D7731" s="29" t="s">
        <v>37416</v>
      </c>
      <c r="E7731" s="29" t="s">
        <v>43942</v>
      </c>
      <c r="F7731" s="36" t="s">
        <v>54401</v>
      </c>
      <c r="G7731" s="39">
        <v>604420.82999999996</v>
      </c>
      <c r="H7731" s="42">
        <v>211</v>
      </c>
    </row>
    <row r="7732" spans="1:8" ht="15" customHeight="1">
      <c r="A7732" s="26">
        <v>74381724</v>
      </c>
      <c r="B7732" s="30" t="s">
        <v>9959</v>
      </c>
      <c r="C7732" s="29" t="s">
        <v>24142</v>
      </c>
      <c r="D7732" s="29" t="s">
        <v>37417</v>
      </c>
      <c r="E7732" s="29" t="s">
        <v>49706</v>
      </c>
      <c r="F7732" s="36" t="s">
        <v>54401</v>
      </c>
      <c r="G7732" s="39">
        <v>3846443.87</v>
      </c>
      <c r="H7732" s="42">
        <v>211</v>
      </c>
    </row>
    <row r="7733" spans="1:8" ht="15" customHeight="1">
      <c r="A7733" s="26">
        <v>74381729</v>
      </c>
      <c r="B7733" s="30" t="s">
        <v>9960</v>
      </c>
      <c r="C7733" s="29" t="s">
        <v>24143</v>
      </c>
      <c r="D7733" s="29" t="s">
        <v>37418</v>
      </c>
      <c r="E7733" s="29" t="s">
        <v>44941</v>
      </c>
      <c r="F7733" s="36" t="s">
        <v>54401</v>
      </c>
      <c r="G7733" s="39">
        <v>2546283.14</v>
      </c>
      <c r="H7733" s="42">
        <v>211</v>
      </c>
    </row>
    <row r="7734" spans="1:8" ht="15" customHeight="1">
      <c r="A7734" s="26">
        <v>74381742</v>
      </c>
      <c r="B7734" s="30" t="s">
        <v>9961</v>
      </c>
      <c r="C7734" s="29" t="s">
        <v>24144</v>
      </c>
      <c r="D7734" s="29" t="s">
        <v>37419</v>
      </c>
      <c r="E7734" s="29" t="s">
        <v>43926</v>
      </c>
      <c r="F7734" s="36" t="s">
        <v>54401</v>
      </c>
      <c r="G7734" s="39">
        <v>793567.81</v>
      </c>
      <c r="H7734" s="42">
        <v>211</v>
      </c>
    </row>
    <row r="7735" spans="1:8" ht="15" customHeight="1">
      <c r="A7735" s="26">
        <v>74381744</v>
      </c>
      <c r="B7735" s="30" t="s">
        <v>9962</v>
      </c>
      <c r="C7735" s="29" t="s">
        <v>24145</v>
      </c>
      <c r="D7735" s="29" t="s">
        <v>37420</v>
      </c>
      <c r="E7735" s="29" t="s">
        <v>717</v>
      </c>
      <c r="F7735" s="36" t="s">
        <v>54409</v>
      </c>
      <c r="G7735" s="39">
        <v>4883915.62</v>
      </c>
      <c r="H7735" s="42">
        <v>211</v>
      </c>
    </row>
    <row r="7736" spans="1:8" ht="15" customHeight="1">
      <c r="A7736" s="26">
        <v>74381772</v>
      </c>
      <c r="B7736" s="30" t="s">
        <v>9963</v>
      </c>
      <c r="C7736" s="29" t="s">
        <v>24146</v>
      </c>
      <c r="D7736" s="29" t="s">
        <v>37421</v>
      </c>
      <c r="E7736" s="29" t="s">
        <v>49707</v>
      </c>
      <c r="F7736" s="36" t="s">
        <v>54401</v>
      </c>
      <c r="G7736" s="39">
        <v>1743470.1</v>
      </c>
      <c r="H7736" s="42">
        <v>211</v>
      </c>
    </row>
    <row r="7737" spans="1:8" ht="15" customHeight="1">
      <c r="A7737" s="26">
        <v>74381774</v>
      </c>
      <c r="B7737" s="30" t="s">
        <v>9964</v>
      </c>
      <c r="C7737" s="29" t="s">
        <v>24147</v>
      </c>
      <c r="D7737" s="29" t="s">
        <v>37422</v>
      </c>
      <c r="E7737" s="29" t="s">
        <v>49708</v>
      </c>
      <c r="F7737" s="36" t="s">
        <v>54401</v>
      </c>
      <c r="G7737" s="39">
        <v>5434862.71</v>
      </c>
      <c r="H7737" s="42">
        <v>211</v>
      </c>
    </row>
    <row r="7738" spans="1:8" ht="15" customHeight="1">
      <c r="A7738" s="26">
        <v>74381775</v>
      </c>
      <c r="B7738" s="30" t="s">
        <v>9965</v>
      </c>
      <c r="C7738" s="29" t="s">
        <v>24148</v>
      </c>
      <c r="D7738" s="29" t="s">
        <v>37423</v>
      </c>
      <c r="E7738" s="29" t="s">
        <v>46375</v>
      </c>
      <c r="F7738" s="36" t="s">
        <v>54401</v>
      </c>
      <c r="G7738" s="39">
        <f>2110124.24+339998</f>
        <v>2450122.2400000002</v>
      </c>
      <c r="H7738" s="42">
        <v>211</v>
      </c>
    </row>
    <row r="7739" spans="1:8" ht="15" customHeight="1">
      <c r="A7739" s="26">
        <v>74381781</v>
      </c>
      <c r="B7739" s="30" t="s">
        <v>9966</v>
      </c>
      <c r="C7739" s="29" t="s">
        <v>24149</v>
      </c>
      <c r="D7739" s="29" t="s">
        <v>37424</v>
      </c>
      <c r="E7739" s="29" t="s">
        <v>49709</v>
      </c>
      <c r="F7739" s="36" t="s">
        <v>54401</v>
      </c>
      <c r="G7739" s="39">
        <v>1507796.57</v>
      </c>
      <c r="H7739" s="42">
        <v>211</v>
      </c>
    </row>
    <row r="7740" spans="1:8" ht="15" customHeight="1">
      <c r="A7740" s="26">
        <v>74381796</v>
      </c>
      <c r="B7740" s="30" t="s">
        <v>9967</v>
      </c>
      <c r="C7740" s="29" t="s">
        <v>24150</v>
      </c>
      <c r="D7740" s="29" t="s">
        <v>37037</v>
      </c>
      <c r="E7740" s="29" t="s">
        <v>49710</v>
      </c>
      <c r="F7740" s="36" t="s">
        <v>54401</v>
      </c>
      <c r="G7740" s="39">
        <v>6856936.4400000004</v>
      </c>
      <c r="H7740" s="42">
        <v>211</v>
      </c>
    </row>
    <row r="7741" spans="1:8" ht="15" customHeight="1">
      <c r="A7741" s="26">
        <v>74381803</v>
      </c>
      <c r="B7741" s="30" t="s">
        <v>9968</v>
      </c>
      <c r="C7741" s="29" t="s">
        <v>24151</v>
      </c>
      <c r="D7741" s="29" t="s">
        <v>37425</v>
      </c>
      <c r="E7741" s="29" t="s">
        <v>49711</v>
      </c>
      <c r="F7741" s="36" t="s">
        <v>54401</v>
      </c>
      <c r="G7741" s="39">
        <v>445808.22</v>
      </c>
      <c r="H7741" s="42">
        <v>211</v>
      </c>
    </row>
    <row r="7742" spans="1:8" ht="15" customHeight="1">
      <c r="A7742" s="26">
        <v>74381809</v>
      </c>
      <c r="B7742" s="30" t="s">
        <v>9969</v>
      </c>
      <c r="C7742" s="29" t="s">
        <v>24152</v>
      </c>
      <c r="D7742" s="29" t="s">
        <v>37426</v>
      </c>
      <c r="E7742" s="29" t="s">
        <v>49712</v>
      </c>
      <c r="F7742" s="36" t="s">
        <v>54401</v>
      </c>
      <c r="G7742" s="39">
        <v>1222125.96</v>
      </c>
      <c r="H7742" s="42">
        <v>211</v>
      </c>
    </row>
    <row r="7743" spans="1:8" ht="15" customHeight="1">
      <c r="A7743" s="26">
        <v>74381814</v>
      </c>
      <c r="B7743" s="30" t="s">
        <v>9970</v>
      </c>
      <c r="C7743" s="29" t="s">
        <v>24153</v>
      </c>
      <c r="D7743" s="29" t="s">
        <v>30376</v>
      </c>
      <c r="E7743" s="29" t="s">
        <v>49713</v>
      </c>
      <c r="F7743" s="36" t="s">
        <v>54423</v>
      </c>
      <c r="G7743" s="39">
        <f>2374366.77+461002</f>
        <v>2835368.77</v>
      </c>
      <c r="H7743" s="42">
        <v>211</v>
      </c>
    </row>
    <row r="7744" spans="1:8" ht="15" customHeight="1">
      <c r="A7744" s="26">
        <v>74381832</v>
      </c>
      <c r="B7744" s="30" t="s">
        <v>9971</v>
      </c>
      <c r="C7744" s="29" t="s">
        <v>24154</v>
      </c>
      <c r="D7744" s="29" t="s">
        <v>37427</v>
      </c>
      <c r="E7744" s="29" t="s">
        <v>49714</v>
      </c>
      <c r="F7744" s="36" t="s">
        <v>54401</v>
      </c>
      <c r="G7744" s="39">
        <f>4336777.7+321942</f>
        <v>4658719.7</v>
      </c>
      <c r="H7744" s="42">
        <v>211</v>
      </c>
    </row>
    <row r="7745" spans="1:8" ht="15" customHeight="1">
      <c r="A7745" s="26">
        <v>74381834</v>
      </c>
      <c r="B7745" s="30" t="s">
        <v>9972</v>
      </c>
      <c r="C7745" s="29" t="s">
        <v>24155</v>
      </c>
      <c r="D7745" s="29" t="s">
        <v>37428</v>
      </c>
      <c r="E7745" s="29" t="s">
        <v>43926</v>
      </c>
      <c r="F7745" s="36" t="s">
        <v>54401</v>
      </c>
      <c r="G7745" s="39">
        <v>352471.65</v>
      </c>
      <c r="H7745" s="42">
        <v>211</v>
      </c>
    </row>
    <row r="7746" spans="1:8" ht="15" customHeight="1">
      <c r="A7746" s="26">
        <v>74381840</v>
      </c>
      <c r="B7746" s="30" t="s">
        <v>9973</v>
      </c>
      <c r="C7746" s="29" t="s">
        <v>24156</v>
      </c>
      <c r="D7746" s="29" t="s">
        <v>37429</v>
      </c>
      <c r="E7746" s="29" t="s">
        <v>49715</v>
      </c>
      <c r="F7746" s="36" t="s">
        <v>54401</v>
      </c>
      <c r="G7746" s="39">
        <v>151240.29</v>
      </c>
      <c r="H7746" s="42">
        <v>211</v>
      </c>
    </row>
    <row r="7747" spans="1:8" ht="15" customHeight="1">
      <c r="A7747" s="26">
        <v>74381850</v>
      </c>
      <c r="B7747" s="30" t="s">
        <v>9974</v>
      </c>
      <c r="C7747" s="29" t="s">
        <v>24157</v>
      </c>
      <c r="D7747" s="29" t="s">
        <v>37430</v>
      </c>
      <c r="E7747" s="29" t="s">
        <v>49716</v>
      </c>
      <c r="F7747" s="36" t="s">
        <v>54401</v>
      </c>
      <c r="G7747" s="39">
        <v>1401316.42</v>
      </c>
      <c r="H7747" s="42">
        <v>211</v>
      </c>
    </row>
    <row r="7748" spans="1:8" ht="15" customHeight="1">
      <c r="A7748" s="26">
        <v>74381857</v>
      </c>
      <c r="B7748" s="30" t="s">
        <v>9975</v>
      </c>
      <c r="C7748" s="29" t="s">
        <v>24158</v>
      </c>
      <c r="D7748" s="29" t="s">
        <v>37431</v>
      </c>
      <c r="E7748" s="29" t="s">
        <v>44019</v>
      </c>
      <c r="F7748" s="36" t="s">
        <v>54401</v>
      </c>
      <c r="G7748" s="39">
        <v>66513</v>
      </c>
      <c r="H7748" s="42">
        <v>211</v>
      </c>
    </row>
    <row r="7749" spans="1:8" ht="15" customHeight="1">
      <c r="A7749" s="26">
        <v>74381864</v>
      </c>
      <c r="B7749" s="30" t="s">
        <v>9976</v>
      </c>
      <c r="C7749" s="29" t="s">
        <v>24159</v>
      </c>
      <c r="D7749" s="29" t="s">
        <v>37432</v>
      </c>
      <c r="E7749" s="29" t="s">
        <v>49717</v>
      </c>
      <c r="F7749" s="36" t="s">
        <v>54401</v>
      </c>
      <c r="G7749" s="39">
        <v>464417.82</v>
      </c>
      <c r="H7749" s="42">
        <v>211</v>
      </c>
    </row>
    <row r="7750" spans="1:8" ht="15" customHeight="1">
      <c r="A7750" s="26">
        <v>74381869</v>
      </c>
      <c r="B7750" s="30" t="s">
        <v>9977</v>
      </c>
      <c r="C7750" s="29" t="s">
        <v>24160</v>
      </c>
      <c r="D7750" s="29" t="s">
        <v>37433</v>
      </c>
      <c r="E7750" s="29" t="s">
        <v>253</v>
      </c>
      <c r="F7750" s="36" t="s">
        <v>54401</v>
      </c>
      <c r="G7750" s="39">
        <v>479420.32</v>
      </c>
      <c r="H7750" s="42">
        <v>211</v>
      </c>
    </row>
    <row r="7751" spans="1:8" ht="15" customHeight="1">
      <c r="A7751" s="26">
        <v>74381874</v>
      </c>
      <c r="B7751" s="30" t="s">
        <v>9978</v>
      </c>
      <c r="C7751" s="29" t="s">
        <v>24161</v>
      </c>
      <c r="D7751" s="29" t="s">
        <v>37434</v>
      </c>
      <c r="E7751" s="29" t="s">
        <v>43926</v>
      </c>
      <c r="F7751" s="36" t="s">
        <v>54401</v>
      </c>
      <c r="G7751" s="39">
        <v>248121.93</v>
      </c>
      <c r="H7751" s="42">
        <v>211</v>
      </c>
    </row>
    <row r="7752" spans="1:8" ht="15" customHeight="1">
      <c r="A7752" s="26">
        <v>74381893</v>
      </c>
      <c r="B7752" s="30" t="s">
        <v>9979</v>
      </c>
      <c r="C7752" s="29" t="s">
        <v>17204</v>
      </c>
      <c r="D7752" s="29" t="s">
        <v>30349</v>
      </c>
      <c r="E7752" s="29" t="s">
        <v>43926</v>
      </c>
      <c r="F7752" s="36" t="s">
        <v>54401</v>
      </c>
      <c r="G7752" s="39">
        <v>512771.27</v>
      </c>
      <c r="H7752" s="42">
        <v>211</v>
      </c>
    </row>
    <row r="7753" spans="1:8" ht="15" customHeight="1">
      <c r="A7753" s="26">
        <v>74381917</v>
      </c>
      <c r="B7753" s="30" t="s">
        <v>9980</v>
      </c>
      <c r="C7753" s="29" t="s">
        <v>24162</v>
      </c>
      <c r="D7753" s="29" t="s">
        <v>37435</v>
      </c>
      <c r="E7753" s="29" t="s">
        <v>49718</v>
      </c>
      <c r="F7753" s="36" t="s">
        <v>54401</v>
      </c>
      <c r="G7753" s="39">
        <f>3939028.95+30469</f>
        <v>3969497.95</v>
      </c>
      <c r="H7753" s="42">
        <v>211</v>
      </c>
    </row>
    <row r="7754" spans="1:8" ht="15" customHeight="1">
      <c r="A7754" s="26">
        <v>74381926</v>
      </c>
      <c r="B7754" s="30" t="s">
        <v>9981</v>
      </c>
      <c r="C7754" s="29" t="s">
        <v>24163</v>
      </c>
      <c r="D7754" s="29" t="s">
        <v>37436</v>
      </c>
      <c r="E7754" s="29" t="s">
        <v>49719</v>
      </c>
      <c r="F7754" s="36" t="s">
        <v>54401</v>
      </c>
      <c r="G7754" s="39">
        <f>1704913.62+56239</f>
        <v>1761152.62</v>
      </c>
      <c r="H7754" s="42">
        <v>211</v>
      </c>
    </row>
    <row r="7755" spans="1:8" ht="15" customHeight="1">
      <c r="A7755" s="26">
        <v>74381931</v>
      </c>
      <c r="B7755" s="30" t="s">
        <v>9982</v>
      </c>
      <c r="C7755" s="29" t="s">
        <v>24164</v>
      </c>
      <c r="D7755" s="29" t="s">
        <v>37437</v>
      </c>
      <c r="E7755" s="29" t="s">
        <v>49720</v>
      </c>
      <c r="F7755" s="36" t="s">
        <v>54401</v>
      </c>
      <c r="G7755" s="39">
        <v>2154549.11</v>
      </c>
      <c r="H7755" s="42">
        <v>211</v>
      </c>
    </row>
    <row r="7756" spans="1:8" ht="15" customHeight="1">
      <c r="A7756" s="26">
        <v>74381933</v>
      </c>
      <c r="B7756" s="30" t="s">
        <v>9983</v>
      </c>
      <c r="C7756" s="29" t="s">
        <v>24165</v>
      </c>
      <c r="D7756" s="29" t="s">
        <v>37438</v>
      </c>
      <c r="E7756" s="29" t="s">
        <v>49721</v>
      </c>
      <c r="F7756" s="36" t="s">
        <v>54401</v>
      </c>
      <c r="G7756" s="39">
        <v>5425255.0899999999</v>
      </c>
      <c r="H7756" s="42">
        <v>211</v>
      </c>
    </row>
    <row r="7757" spans="1:8" ht="15" customHeight="1">
      <c r="A7757" s="26">
        <v>74381934</v>
      </c>
      <c r="B7757" s="30" t="s">
        <v>9984</v>
      </c>
      <c r="C7757" s="29" t="s">
        <v>24166</v>
      </c>
      <c r="D7757" s="29" t="s">
        <v>37439</v>
      </c>
      <c r="E7757" s="29" t="s">
        <v>49722</v>
      </c>
      <c r="F7757" s="36" t="s">
        <v>54401</v>
      </c>
      <c r="G7757" s="39">
        <v>2293924.6</v>
      </c>
      <c r="H7757" s="42">
        <v>211</v>
      </c>
    </row>
    <row r="7758" spans="1:8" ht="15" customHeight="1">
      <c r="A7758" s="26">
        <v>74381948</v>
      </c>
      <c r="B7758" s="30" t="s">
        <v>9985</v>
      </c>
      <c r="C7758" s="29" t="s">
        <v>24167</v>
      </c>
      <c r="D7758" s="29" t="s">
        <v>37440</v>
      </c>
      <c r="E7758" s="29" t="s">
        <v>49723</v>
      </c>
      <c r="F7758" s="36" t="s">
        <v>54401</v>
      </c>
      <c r="G7758" s="39">
        <v>2167669.61</v>
      </c>
      <c r="H7758" s="42">
        <v>211</v>
      </c>
    </row>
    <row r="7759" spans="1:8" ht="15" customHeight="1">
      <c r="A7759" s="26">
        <v>74381963</v>
      </c>
      <c r="B7759" s="30" t="s">
        <v>9986</v>
      </c>
      <c r="C7759" s="29" t="s">
        <v>24168</v>
      </c>
      <c r="D7759" s="29" t="s">
        <v>37441</v>
      </c>
      <c r="E7759" s="29" t="s">
        <v>49724</v>
      </c>
      <c r="F7759" s="36" t="s">
        <v>54401</v>
      </c>
      <c r="G7759" s="39">
        <v>1566397.47</v>
      </c>
      <c r="H7759" s="42">
        <v>211</v>
      </c>
    </row>
    <row r="7760" spans="1:8" ht="15" customHeight="1">
      <c r="A7760" s="26">
        <v>74381970</v>
      </c>
      <c r="B7760" s="30" t="s">
        <v>9987</v>
      </c>
      <c r="C7760" s="29" t="s">
        <v>24169</v>
      </c>
      <c r="D7760" s="29" t="s">
        <v>37442</v>
      </c>
      <c r="E7760" s="29" t="s">
        <v>44215</v>
      </c>
      <c r="F7760" s="36" t="s">
        <v>54401</v>
      </c>
      <c r="G7760" s="39">
        <f>976759.07+689270-3865</f>
        <v>1662164.0699999998</v>
      </c>
      <c r="H7760" s="42">
        <v>211</v>
      </c>
    </row>
    <row r="7761" spans="1:8" ht="15" customHeight="1">
      <c r="A7761" s="26">
        <v>74381993</v>
      </c>
      <c r="B7761" s="30" t="s">
        <v>9988</v>
      </c>
      <c r="C7761" s="29" t="s">
        <v>24170</v>
      </c>
      <c r="D7761" s="29" t="s">
        <v>37443</v>
      </c>
      <c r="E7761" s="29" t="s">
        <v>43926</v>
      </c>
      <c r="F7761" s="36" t="s">
        <v>54401</v>
      </c>
      <c r="G7761" s="39">
        <v>186484.99</v>
      </c>
      <c r="H7761" s="42">
        <v>211</v>
      </c>
    </row>
    <row r="7762" spans="1:8" ht="15" customHeight="1">
      <c r="A7762" s="26">
        <v>74381998</v>
      </c>
      <c r="B7762" s="30" t="s">
        <v>9989</v>
      </c>
      <c r="C7762" s="29" t="s">
        <v>24171</v>
      </c>
      <c r="D7762" s="29" t="s">
        <v>37444</v>
      </c>
      <c r="E7762" s="29" t="s">
        <v>47561</v>
      </c>
      <c r="F7762" s="36" t="s">
        <v>54406</v>
      </c>
      <c r="G7762" s="39">
        <f>1651242.39+1843592</f>
        <v>3494834.3899999997</v>
      </c>
      <c r="H7762" s="42">
        <v>211</v>
      </c>
    </row>
    <row r="7763" spans="1:8" ht="15" customHeight="1">
      <c r="A7763" s="26">
        <v>74382008</v>
      </c>
      <c r="B7763" s="30" t="s">
        <v>9990</v>
      </c>
      <c r="C7763" s="29" t="s">
        <v>24172</v>
      </c>
      <c r="D7763" s="29" t="s">
        <v>37445</v>
      </c>
      <c r="E7763" s="29" t="s">
        <v>49725</v>
      </c>
      <c r="F7763" s="36" t="s">
        <v>54401</v>
      </c>
      <c r="G7763" s="39">
        <v>1077636.06</v>
      </c>
      <c r="H7763" s="42">
        <v>211</v>
      </c>
    </row>
    <row r="7764" spans="1:8" ht="15" customHeight="1">
      <c r="A7764" s="26">
        <v>74382015</v>
      </c>
      <c r="B7764" s="30" t="s">
        <v>9991</v>
      </c>
      <c r="C7764" s="29" t="s">
        <v>24173</v>
      </c>
      <c r="D7764" s="29" t="s">
        <v>37446</v>
      </c>
      <c r="E7764" s="29" t="s">
        <v>47257</v>
      </c>
      <c r="F7764" s="36" t="s">
        <v>54401</v>
      </c>
      <c r="G7764" s="39">
        <v>2207962.83</v>
      </c>
      <c r="H7764" s="42">
        <v>211</v>
      </c>
    </row>
    <row r="7765" spans="1:8" ht="15" customHeight="1">
      <c r="A7765" s="26">
        <v>74382032</v>
      </c>
      <c r="B7765" s="30" t="s">
        <v>9992</v>
      </c>
      <c r="C7765" s="29" t="s">
        <v>24174</v>
      </c>
      <c r="D7765" s="29" t="s">
        <v>37447</v>
      </c>
      <c r="E7765" s="29" t="s">
        <v>49726</v>
      </c>
      <c r="F7765" s="36" t="s">
        <v>54401</v>
      </c>
      <c r="G7765" s="39">
        <v>201902.07999999999</v>
      </c>
      <c r="H7765" s="42">
        <v>211</v>
      </c>
    </row>
    <row r="7766" spans="1:8" ht="15" customHeight="1">
      <c r="A7766" s="26">
        <v>74382034</v>
      </c>
      <c r="B7766" s="30" t="s">
        <v>9993</v>
      </c>
      <c r="C7766" s="29" t="s">
        <v>24175</v>
      </c>
      <c r="D7766" s="29" t="s">
        <v>37448</v>
      </c>
      <c r="E7766" s="29" t="s">
        <v>49727</v>
      </c>
      <c r="F7766" s="36" t="s">
        <v>54401</v>
      </c>
      <c r="G7766" s="39">
        <f>2102275.62+55045</f>
        <v>2157320.62</v>
      </c>
      <c r="H7766" s="42">
        <v>211</v>
      </c>
    </row>
    <row r="7767" spans="1:8" ht="15" customHeight="1">
      <c r="A7767" s="26">
        <v>74382038</v>
      </c>
      <c r="B7767" s="30" t="s">
        <v>9994</v>
      </c>
      <c r="C7767" s="29" t="s">
        <v>24176</v>
      </c>
      <c r="D7767" s="29" t="s">
        <v>37449</v>
      </c>
      <c r="E7767" s="29" t="s">
        <v>49728</v>
      </c>
      <c r="F7767" s="36" t="s">
        <v>54401</v>
      </c>
      <c r="G7767" s="39">
        <v>631690.62</v>
      </c>
      <c r="H7767" s="42">
        <v>211</v>
      </c>
    </row>
    <row r="7768" spans="1:8" ht="15" customHeight="1">
      <c r="A7768" s="26">
        <v>74382053</v>
      </c>
      <c r="B7768" s="30" t="s">
        <v>9995</v>
      </c>
      <c r="C7768" s="29" t="s">
        <v>24177</v>
      </c>
      <c r="D7768" s="29" t="s">
        <v>37450</v>
      </c>
      <c r="E7768" s="29" t="s">
        <v>49729</v>
      </c>
      <c r="F7768" s="36" t="s">
        <v>54401</v>
      </c>
      <c r="G7768" s="39">
        <v>2899442.94</v>
      </c>
      <c r="H7768" s="42">
        <v>211</v>
      </c>
    </row>
    <row r="7769" spans="1:8" ht="15" customHeight="1">
      <c r="A7769" s="26">
        <v>74382101</v>
      </c>
      <c r="B7769" s="30" t="s">
        <v>9996</v>
      </c>
      <c r="C7769" s="29" t="s">
        <v>24178</v>
      </c>
      <c r="D7769" s="29" t="s">
        <v>37451</v>
      </c>
      <c r="E7769" s="29" t="s">
        <v>49730</v>
      </c>
      <c r="F7769" s="36" t="s">
        <v>54401</v>
      </c>
      <c r="G7769" s="39">
        <v>129152.43</v>
      </c>
      <c r="H7769" s="42">
        <v>211</v>
      </c>
    </row>
    <row r="7770" spans="1:8" ht="15" customHeight="1">
      <c r="A7770" s="26">
        <v>74382107</v>
      </c>
      <c r="B7770" s="30" t="s">
        <v>9997</v>
      </c>
      <c r="C7770" s="29" t="s">
        <v>24179</v>
      </c>
      <c r="D7770" s="29" t="s">
        <v>37452</v>
      </c>
      <c r="E7770" s="29" t="s">
        <v>46258</v>
      </c>
      <c r="F7770" s="36" t="s">
        <v>54401</v>
      </c>
      <c r="G7770" s="39">
        <v>7055605.0599999996</v>
      </c>
      <c r="H7770" s="42">
        <v>211</v>
      </c>
    </row>
    <row r="7771" spans="1:8" ht="15" customHeight="1">
      <c r="A7771" s="26">
        <v>74382113</v>
      </c>
      <c r="B7771" s="30" t="s">
        <v>9998</v>
      </c>
      <c r="C7771" s="29" t="s">
        <v>24180</v>
      </c>
      <c r="D7771" s="29" t="s">
        <v>37453</v>
      </c>
      <c r="E7771" s="29" t="s">
        <v>49731</v>
      </c>
      <c r="F7771" s="36" t="s">
        <v>54401</v>
      </c>
      <c r="G7771" s="39">
        <v>323129.94</v>
      </c>
      <c r="H7771" s="42">
        <v>211</v>
      </c>
    </row>
    <row r="7772" spans="1:8" ht="15" customHeight="1">
      <c r="A7772" s="26">
        <v>74382116</v>
      </c>
      <c r="B7772" s="30" t="s">
        <v>9999</v>
      </c>
      <c r="C7772" s="29" t="s">
        <v>17204</v>
      </c>
      <c r="D7772" s="29" t="s">
        <v>37454</v>
      </c>
      <c r="E7772" s="29" t="s">
        <v>43926</v>
      </c>
      <c r="F7772" s="36" t="s">
        <v>54401</v>
      </c>
      <c r="G7772" s="39">
        <f>99522.16+818979+886947</f>
        <v>1805448.1600000001</v>
      </c>
      <c r="H7772" s="42">
        <v>211</v>
      </c>
    </row>
    <row r="7773" spans="1:8" ht="15" customHeight="1">
      <c r="A7773" s="26">
        <v>74382119</v>
      </c>
      <c r="B7773" s="30" t="s">
        <v>10000</v>
      </c>
      <c r="C7773" s="29" t="s">
        <v>24181</v>
      </c>
      <c r="D7773" s="29" t="s">
        <v>37455</v>
      </c>
      <c r="E7773" s="29" t="s">
        <v>44324</v>
      </c>
      <c r="F7773" s="36" t="s">
        <v>54401</v>
      </c>
      <c r="G7773" s="39">
        <v>334384.14</v>
      </c>
      <c r="H7773" s="42">
        <v>211</v>
      </c>
    </row>
    <row r="7774" spans="1:8" ht="15" customHeight="1">
      <c r="A7774" s="26">
        <v>74382139</v>
      </c>
      <c r="B7774" s="30" t="s">
        <v>10001</v>
      </c>
      <c r="C7774" s="29" t="s">
        <v>24182</v>
      </c>
      <c r="D7774" s="29" t="s">
        <v>37456</v>
      </c>
      <c r="E7774" s="29" t="s">
        <v>49732</v>
      </c>
      <c r="F7774" s="36" t="s">
        <v>54423</v>
      </c>
      <c r="G7774" s="39">
        <v>476303.74</v>
      </c>
      <c r="H7774" s="42">
        <v>211</v>
      </c>
    </row>
    <row r="7775" spans="1:8" ht="15" customHeight="1">
      <c r="A7775" s="26">
        <v>74382144</v>
      </c>
      <c r="B7775" s="30" t="s">
        <v>10002</v>
      </c>
      <c r="C7775" s="29" t="s">
        <v>24183</v>
      </c>
      <c r="D7775" s="29" t="s">
        <v>37457</v>
      </c>
      <c r="E7775" s="29" t="s">
        <v>49733</v>
      </c>
      <c r="F7775" s="36" t="s">
        <v>54401</v>
      </c>
      <c r="G7775" s="39">
        <v>6278076.7699999996</v>
      </c>
      <c r="H7775" s="42">
        <v>211</v>
      </c>
    </row>
    <row r="7776" spans="1:8" ht="15" customHeight="1">
      <c r="A7776" s="26">
        <v>74382152</v>
      </c>
      <c r="B7776" s="30" t="s">
        <v>10003</v>
      </c>
      <c r="C7776" s="29" t="s">
        <v>24184</v>
      </c>
      <c r="D7776" s="29" t="s">
        <v>37458</v>
      </c>
      <c r="E7776" s="29" t="s">
        <v>46635</v>
      </c>
      <c r="F7776" s="36" t="s">
        <v>54409</v>
      </c>
      <c r="G7776" s="39">
        <f>822292.26+819597</f>
        <v>1641889.26</v>
      </c>
      <c r="H7776" s="42">
        <v>211</v>
      </c>
    </row>
    <row r="7777" spans="1:8" ht="15" customHeight="1">
      <c r="A7777" s="26">
        <v>74382158</v>
      </c>
      <c r="B7777" s="30" t="s">
        <v>10004</v>
      </c>
      <c r="C7777" s="29" t="s">
        <v>24185</v>
      </c>
      <c r="D7777" s="29" t="s">
        <v>37459</v>
      </c>
      <c r="E7777" s="29" t="s">
        <v>44215</v>
      </c>
      <c r="F7777" s="36" t="s">
        <v>54401</v>
      </c>
      <c r="G7777" s="39">
        <v>1054779.76</v>
      </c>
      <c r="H7777" s="42">
        <v>211</v>
      </c>
    </row>
    <row r="7778" spans="1:8" ht="15" customHeight="1">
      <c r="A7778" s="26">
        <v>74382195</v>
      </c>
      <c r="B7778" s="30" t="s">
        <v>10005</v>
      </c>
      <c r="C7778" s="29" t="s">
        <v>24186</v>
      </c>
      <c r="D7778" s="29" t="s">
        <v>37460</v>
      </c>
      <c r="E7778" s="29" t="s">
        <v>49734</v>
      </c>
      <c r="F7778" s="36" t="s">
        <v>54401</v>
      </c>
      <c r="G7778" s="39">
        <v>404515.31</v>
      </c>
      <c r="H7778" s="42">
        <v>211</v>
      </c>
    </row>
    <row r="7779" spans="1:8" ht="15" customHeight="1">
      <c r="A7779" s="26">
        <v>74382198</v>
      </c>
      <c r="B7779" s="30" t="s">
        <v>10006</v>
      </c>
      <c r="C7779" s="29" t="s">
        <v>24187</v>
      </c>
      <c r="D7779" s="29" t="s">
        <v>37461</v>
      </c>
      <c r="E7779" s="29" t="s">
        <v>49735</v>
      </c>
      <c r="F7779" s="36" t="s">
        <v>54401</v>
      </c>
      <c r="G7779" s="39">
        <v>2683954.81</v>
      </c>
      <c r="H7779" s="42">
        <v>211</v>
      </c>
    </row>
    <row r="7780" spans="1:8" ht="15" customHeight="1">
      <c r="A7780" s="26">
        <v>74382212</v>
      </c>
      <c r="B7780" s="30" t="s">
        <v>10007</v>
      </c>
      <c r="C7780" s="29" t="s">
        <v>24188</v>
      </c>
      <c r="D7780" s="29" t="s">
        <v>37462</v>
      </c>
      <c r="E7780" s="29" t="s">
        <v>49736</v>
      </c>
      <c r="F7780" s="36" t="s">
        <v>54401</v>
      </c>
      <c r="G7780" s="39">
        <v>101130.1</v>
      </c>
      <c r="H7780" s="42">
        <v>211</v>
      </c>
    </row>
    <row r="7781" spans="1:8" ht="15" customHeight="1">
      <c r="A7781" s="26">
        <v>74382214</v>
      </c>
      <c r="B7781" s="30" t="s">
        <v>10008</v>
      </c>
      <c r="C7781" s="29" t="s">
        <v>24189</v>
      </c>
      <c r="D7781" s="29" t="s">
        <v>37463</v>
      </c>
      <c r="E7781" s="29" t="s">
        <v>49737</v>
      </c>
      <c r="F7781" s="36" t="s">
        <v>54423</v>
      </c>
      <c r="G7781" s="39">
        <v>5272284.63</v>
      </c>
      <c r="H7781" s="42">
        <v>211</v>
      </c>
    </row>
    <row r="7782" spans="1:8" ht="15" customHeight="1">
      <c r="A7782" s="26">
        <v>74382220</v>
      </c>
      <c r="B7782" s="30" t="s">
        <v>10009</v>
      </c>
      <c r="C7782" s="29" t="s">
        <v>24190</v>
      </c>
      <c r="D7782" s="29" t="s">
        <v>37464</v>
      </c>
      <c r="E7782" s="29" t="s">
        <v>49738</v>
      </c>
      <c r="F7782" s="36" t="s">
        <v>54401</v>
      </c>
      <c r="G7782" s="39">
        <v>5464217.1100000003</v>
      </c>
      <c r="H7782" s="42">
        <v>211</v>
      </c>
    </row>
    <row r="7783" spans="1:8" ht="15" customHeight="1">
      <c r="A7783" s="26">
        <v>74382240</v>
      </c>
      <c r="B7783" s="30" t="s">
        <v>10010</v>
      </c>
      <c r="C7783" s="29" t="s">
        <v>24191</v>
      </c>
      <c r="D7783" s="29" t="s">
        <v>37465</v>
      </c>
      <c r="E7783" s="29" t="s">
        <v>49739</v>
      </c>
      <c r="F7783" s="36" t="s">
        <v>54401</v>
      </c>
      <c r="G7783" s="39">
        <v>575790.94999999995</v>
      </c>
      <c r="H7783" s="42">
        <v>211</v>
      </c>
    </row>
    <row r="7784" spans="1:8" ht="15" customHeight="1">
      <c r="A7784" s="26">
        <v>74382242</v>
      </c>
      <c r="B7784" s="30" t="s">
        <v>10011</v>
      </c>
      <c r="C7784" s="29" t="s">
        <v>24192</v>
      </c>
      <c r="D7784" s="29" t="s">
        <v>37466</v>
      </c>
      <c r="E7784" s="29" t="s">
        <v>43926</v>
      </c>
      <c r="F7784" s="36" t="s">
        <v>54401</v>
      </c>
      <c r="G7784" s="39">
        <v>45367.18</v>
      </c>
      <c r="H7784" s="42">
        <v>211</v>
      </c>
    </row>
    <row r="7785" spans="1:8" ht="15" customHeight="1">
      <c r="A7785" s="26">
        <v>74382286</v>
      </c>
      <c r="B7785" s="30" t="s">
        <v>10012</v>
      </c>
      <c r="C7785" s="29" t="s">
        <v>24193</v>
      </c>
      <c r="D7785" s="29" t="s">
        <v>37467</v>
      </c>
      <c r="E7785" s="29" t="s">
        <v>49740</v>
      </c>
      <c r="F7785" s="36" t="s">
        <v>54401</v>
      </c>
      <c r="G7785" s="39">
        <v>3441684.12</v>
      </c>
      <c r="H7785" s="42">
        <v>211</v>
      </c>
    </row>
    <row r="7786" spans="1:8" ht="15" customHeight="1">
      <c r="A7786" s="26">
        <v>74382319</v>
      </c>
      <c r="B7786" s="30" t="s">
        <v>10013</v>
      </c>
      <c r="C7786" s="29" t="s">
        <v>24194</v>
      </c>
      <c r="D7786" s="29" t="s">
        <v>37468</v>
      </c>
      <c r="E7786" s="29" t="s">
        <v>49741</v>
      </c>
      <c r="F7786" s="36" t="s">
        <v>54401</v>
      </c>
      <c r="G7786" s="39">
        <f>3027356.53+381510</f>
        <v>3408866.53</v>
      </c>
      <c r="H7786" s="42">
        <v>211</v>
      </c>
    </row>
    <row r="7787" spans="1:8" ht="15" customHeight="1">
      <c r="A7787" s="26">
        <v>74382320</v>
      </c>
      <c r="B7787" s="30" t="s">
        <v>10014</v>
      </c>
      <c r="C7787" s="29" t="s">
        <v>24195</v>
      </c>
      <c r="D7787" s="29" t="s">
        <v>37469</v>
      </c>
      <c r="E7787" s="29" t="s">
        <v>49742</v>
      </c>
      <c r="F7787" s="36" t="s">
        <v>54401</v>
      </c>
      <c r="G7787" s="39">
        <v>2981608.81</v>
      </c>
      <c r="H7787" s="42">
        <v>211</v>
      </c>
    </row>
    <row r="7788" spans="1:8" ht="15" customHeight="1">
      <c r="A7788" s="26">
        <v>74382326</v>
      </c>
      <c r="B7788" s="30" t="s">
        <v>10015</v>
      </c>
      <c r="C7788" s="29" t="s">
        <v>24196</v>
      </c>
      <c r="D7788" s="29" t="s">
        <v>37470</v>
      </c>
      <c r="E7788" s="29" t="s">
        <v>49743</v>
      </c>
      <c r="F7788" s="36" t="s">
        <v>54401</v>
      </c>
      <c r="G7788" s="39">
        <v>4883512.28</v>
      </c>
      <c r="H7788" s="42">
        <v>211</v>
      </c>
    </row>
    <row r="7789" spans="1:8" ht="15" customHeight="1">
      <c r="A7789" s="26">
        <v>74389291</v>
      </c>
      <c r="B7789" s="30" t="s">
        <v>10016</v>
      </c>
      <c r="C7789" s="29" t="s">
        <v>24197</v>
      </c>
      <c r="D7789" s="29" t="s">
        <v>37471</v>
      </c>
      <c r="E7789" s="29" t="s">
        <v>49744</v>
      </c>
      <c r="F7789" s="36" t="s">
        <v>54407</v>
      </c>
      <c r="G7789" s="39">
        <v>2556692.1800000002</v>
      </c>
      <c r="H7789" s="42">
        <v>211</v>
      </c>
    </row>
    <row r="7790" spans="1:8" ht="15" customHeight="1">
      <c r="A7790" s="26">
        <v>74389359</v>
      </c>
      <c r="B7790" s="30" t="s">
        <v>10017</v>
      </c>
      <c r="C7790" s="29" t="s">
        <v>17204</v>
      </c>
      <c r="D7790" s="29" t="s">
        <v>37472</v>
      </c>
      <c r="E7790" s="29" t="s">
        <v>43926</v>
      </c>
      <c r="F7790" s="36" t="s">
        <v>54401</v>
      </c>
      <c r="G7790" s="39">
        <v>156278.59</v>
      </c>
      <c r="H7790" s="42">
        <v>211</v>
      </c>
    </row>
    <row r="7791" spans="1:8" ht="15" customHeight="1">
      <c r="A7791" s="26">
        <v>74389425</v>
      </c>
      <c r="B7791" s="30" t="s">
        <v>10018</v>
      </c>
      <c r="C7791" s="26" t="s">
        <v>24198</v>
      </c>
      <c r="D7791" s="26" t="s">
        <v>37473</v>
      </c>
      <c r="E7791" s="26" t="s">
        <v>49745</v>
      </c>
      <c r="F7791" s="37" t="s">
        <v>54401</v>
      </c>
      <c r="G7791" s="39">
        <v>4598876.29</v>
      </c>
      <c r="H7791" s="42">
        <v>211</v>
      </c>
    </row>
    <row r="7792" spans="1:8" ht="15" customHeight="1">
      <c r="A7792" s="26">
        <v>74389465</v>
      </c>
      <c r="B7792" s="30" t="s">
        <v>10019</v>
      </c>
      <c r="C7792" s="29" t="s">
        <v>24199</v>
      </c>
      <c r="D7792" s="29" t="s">
        <v>37474</v>
      </c>
      <c r="E7792" s="29" t="s">
        <v>49746</v>
      </c>
      <c r="F7792" s="36" t="s">
        <v>54401</v>
      </c>
      <c r="G7792" s="39">
        <v>504205.69</v>
      </c>
      <c r="H7792" s="42">
        <v>211</v>
      </c>
    </row>
    <row r="7793" spans="1:8" ht="15" customHeight="1">
      <c r="A7793" s="26">
        <v>74389668</v>
      </c>
      <c r="B7793" s="30" t="s">
        <v>10020</v>
      </c>
      <c r="C7793" s="29" t="s">
        <v>24200</v>
      </c>
      <c r="D7793" s="29" t="s">
        <v>37475</v>
      </c>
      <c r="E7793" s="29" t="s">
        <v>47110</v>
      </c>
      <c r="F7793" s="36" t="s">
        <v>54401</v>
      </c>
      <c r="G7793" s="39">
        <f>3545963.12+893378</f>
        <v>4439341.12</v>
      </c>
      <c r="H7793" s="42">
        <v>211</v>
      </c>
    </row>
    <row r="7794" spans="1:8" ht="15" customHeight="1">
      <c r="A7794" s="26">
        <v>74389680</v>
      </c>
      <c r="B7794" s="30" t="s">
        <v>10021</v>
      </c>
      <c r="C7794" s="29" t="s">
        <v>24201</v>
      </c>
      <c r="D7794" s="29" t="s">
        <v>37476</v>
      </c>
      <c r="E7794" s="29" t="s">
        <v>45222</v>
      </c>
      <c r="F7794" s="36" t="s">
        <v>54401</v>
      </c>
      <c r="G7794" s="39">
        <v>1032989.61</v>
      </c>
      <c r="H7794" s="42">
        <v>211</v>
      </c>
    </row>
    <row r="7795" spans="1:8" ht="15" customHeight="1">
      <c r="A7795" s="26">
        <v>74389970</v>
      </c>
      <c r="B7795" s="30" t="s">
        <v>10022</v>
      </c>
      <c r="C7795" s="29" t="s">
        <v>24202</v>
      </c>
      <c r="D7795" s="29" t="s">
        <v>37477</v>
      </c>
      <c r="E7795" s="29" t="s">
        <v>49747</v>
      </c>
      <c r="F7795" s="36" t="s">
        <v>54401</v>
      </c>
      <c r="G7795" s="39">
        <v>601180.32999999996</v>
      </c>
      <c r="H7795" s="42">
        <v>211</v>
      </c>
    </row>
    <row r="7796" spans="1:8" ht="15" customHeight="1">
      <c r="A7796" s="26">
        <v>74423308</v>
      </c>
      <c r="B7796" s="30" t="s">
        <v>10023</v>
      </c>
      <c r="C7796" s="29" t="s">
        <v>24203</v>
      </c>
      <c r="D7796" s="29" t="s">
        <v>37478</v>
      </c>
      <c r="E7796" s="29" t="s">
        <v>49748</v>
      </c>
      <c r="F7796" s="36" t="s">
        <v>54401</v>
      </c>
      <c r="G7796" s="39">
        <v>149129.85</v>
      </c>
      <c r="H7796" s="42">
        <v>211</v>
      </c>
    </row>
    <row r="7797" spans="1:8" ht="15" customHeight="1">
      <c r="A7797" s="26">
        <v>74423625</v>
      </c>
      <c r="B7797" s="30" t="s">
        <v>10024</v>
      </c>
      <c r="C7797" s="29" t="s">
        <v>24204</v>
      </c>
      <c r="D7797" s="29" t="s">
        <v>37479</v>
      </c>
      <c r="E7797" s="29" t="s">
        <v>49749</v>
      </c>
      <c r="F7797" s="36" t="s">
        <v>54401</v>
      </c>
      <c r="G7797" s="39">
        <v>3169081.56</v>
      </c>
      <c r="H7797" s="42">
        <v>211</v>
      </c>
    </row>
    <row r="7798" spans="1:8" ht="15" customHeight="1">
      <c r="A7798" s="26">
        <v>74423651</v>
      </c>
      <c r="B7798" s="30" t="s">
        <v>10025</v>
      </c>
      <c r="C7798" s="26" t="s">
        <v>24205</v>
      </c>
      <c r="D7798" s="26" t="s">
        <v>30376</v>
      </c>
      <c r="E7798" s="26" t="s">
        <v>49750</v>
      </c>
      <c r="F7798" s="37" t="s">
        <v>54401</v>
      </c>
      <c r="G7798" s="39">
        <v>1143934</v>
      </c>
      <c r="H7798" s="42">
        <v>211</v>
      </c>
    </row>
    <row r="7799" spans="1:8" ht="15" customHeight="1">
      <c r="A7799" s="26">
        <v>74433227</v>
      </c>
      <c r="B7799" s="30" t="s">
        <v>10026</v>
      </c>
      <c r="C7799" s="29" t="s">
        <v>24206</v>
      </c>
      <c r="D7799" s="29" t="s">
        <v>37480</v>
      </c>
      <c r="E7799" s="29" t="s">
        <v>49751</v>
      </c>
      <c r="F7799" s="36" t="s">
        <v>54401</v>
      </c>
      <c r="G7799" s="39">
        <v>433383.06</v>
      </c>
      <c r="H7799" s="42">
        <v>211</v>
      </c>
    </row>
    <row r="7800" spans="1:8" ht="15" customHeight="1">
      <c r="A7800" s="26">
        <v>74433264</v>
      </c>
      <c r="B7800" s="30" t="s">
        <v>10027</v>
      </c>
      <c r="C7800" s="29" t="s">
        <v>24207</v>
      </c>
      <c r="D7800" s="29" t="s">
        <v>32963</v>
      </c>
      <c r="E7800" s="29" t="s">
        <v>46209</v>
      </c>
      <c r="F7800" s="36" t="s">
        <v>54401</v>
      </c>
      <c r="G7800" s="39">
        <v>1610090.09</v>
      </c>
      <c r="H7800" s="42">
        <v>211</v>
      </c>
    </row>
    <row r="7801" spans="1:8" ht="15" customHeight="1">
      <c r="A7801" s="26">
        <v>74433310</v>
      </c>
      <c r="B7801" s="30" t="s">
        <v>10028</v>
      </c>
      <c r="C7801" s="29" t="s">
        <v>24208</v>
      </c>
      <c r="D7801" s="29" t="s">
        <v>37481</v>
      </c>
      <c r="E7801" s="29" t="s">
        <v>49752</v>
      </c>
      <c r="F7801" s="36" t="s">
        <v>54409</v>
      </c>
      <c r="G7801" s="39">
        <v>370498.64</v>
      </c>
      <c r="H7801" s="42">
        <v>211</v>
      </c>
    </row>
    <row r="7802" spans="1:8" ht="15" customHeight="1">
      <c r="A7802" s="26">
        <v>74433406</v>
      </c>
      <c r="B7802" s="30" t="s">
        <v>10029</v>
      </c>
      <c r="C7802" s="29" t="s">
        <v>24209</v>
      </c>
      <c r="D7802" s="29" t="s">
        <v>37482</v>
      </c>
      <c r="E7802" s="29" t="s">
        <v>49753</v>
      </c>
      <c r="F7802" s="36" t="s">
        <v>54401</v>
      </c>
      <c r="G7802" s="39">
        <v>1577899.09</v>
      </c>
      <c r="H7802" s="42">
        <v>211</v>
      </c>
    </row>
    <row r="7803" spans="1:8" ht="15" customHeight="1">
      <c r="A7803" s="26">
        <v>74433440</v>
      </c>
      <c r="B7803" s="30" t="s">
        <v>10030</v>
      </c>
      <c r="C7803" s="29" t="s">
        <v>24210</v>
      </c>
      <c r="D7803" s="29" t="s">
        <v>37483</v>
      </c>
      <c r="E7803" s="29" t="s">
        <v>49754</v>
      </c>
      <c r="F7803" s="36" t="s">
        <v>54401</v>
      </c>
      <c r="G7803" s="39">
        <v>1122464.5666449801</v>
      </c>
      <c r="H7803" s="42">
        <v>211</v>
      </c>
    </row>
    <row r="7804" spans="1:8" ht="15" customHeight="1">
      <c r="A7804" s="26">
        <v>74433496</v>
      </c>
      <c r="B7804" s="30" t="s">
        <v>10031</v>
      </c>
      <c r="C7804" s="29" t="s">
        <v>24211</v>
      </c>
      <c r="D7804" s="29" t="s">
        <v>37484</v>
      </c>
      <c r="E7804" s="29" t="s">
        <v>49755</v>
      </c>
      <c r="F7804" s="36" t="s">
        <v>54401</v>
      </c>
      <c r="G7804" s="39">
        <v>383363.51</v>
      </c>
      <c r="H7804" s="42">
        <v>211</v>
      </c>
    </row>
    <row r="7805" spans="1:8" ht="15" customHeight="1">
      <c r="A7805" s="26">
        <v>74433516</v>
      </c>
      <c r="B7805" s="30" t="s">
        <v>10032</v>
      </c>
      <c r="C7805" s="29" t="s">
        <v>24212</v>
      </c>
      <c r="D7805" s="29" t="s">
        <v>37485</v>
      </c>
      <c r="E7805" s="29" t="s">
        <v>49756</v>
      </c>
      <c r="F7805" s="36" t="s">
        <v>54401</v>
      </c>
      <c r="G7805" s="39">
        <v>393861.29</v>
      </c>
      <c r="H7805" s="42">
        <v>211</v>
      </c>
    </row>
    <row r="7806" spans="1:8" ht="15" customHeight="1">
      <c r="A7806" s="26">
        <v>74433578</v>
      </c>
      <c r="B7806" s="30" t="s">
        <v>10033</v>
      </c>
      <c r="C7806" s="29" t="s">
        <v>24213</v>
      </c>
      <c r="D7806" s="29" t="s">
        <v>37486</v>
      </c>
      <c r="E7806" s="29" t="s">
        <v>49757</v>
      </c>
      <c r="F7806" s="36" t="s">
        <v>54401</v>
      </c>
      <c r="G7806" s="39">
        <v>437329.47</v>
      </c>
      <c r="H7806" s="42">
        <v>211</v>
      </c>
    </row>
    <row r="7807" spans="1:8" ht="15" customHeight="1">
      <c r="A7807" s="26">
        <v>74433730</v>
      </c>
      <c r="B7807" s="30" t="s">
        <v>10034</v>
      </c>
      <c r="C7807" s="26" t="s">
        <v>24214</v>
      </c>
      <c r="D7807" s="26" t="s">
        <v>37487</v>
      </c>
      <c r="E7807" s="26" t="s">
        <v>43926</v>
      </c>
      <c r="F7807" s="37" t="s">
        <v>54401</v>
      </c>
      <c r="G7807" s="39">
        <v>469332.53</v>
      </c>
      <c r="H7807" s="42">
        <v>211</v>
      </c>
    </row>
    <row r="7808" spans="1:8" ht="15" customHeight="1">
      <c r="A7808" s="26">
        <v>74433787</v>
      </c>
      <c r="B7808" s="30" t="s">
        <v>10035</v>
      </c>
      <c r="C7808" s="29" t="s">
        <v>24215</v>
      </c>
      <c r="D7808" s="29" t="s">
        <v>37488</v>
      </c>
      <c r="E7808" s="29" t="s">
        <v>46533</v>
      </c>
      <c r="F7808" s="36" t="s">
        <v>54401</v>
      </c>
      <c r="G7808" s="39">
        <v>20585.71</v>
      </c>
      <c r="H7808" s="42">
        <v>211</v>
      </c>
    </row>
    <row r="7809" spans="1:8" ht="15" customHeight="1">
      <c r="A7809" s="26">
        <v>74433795</v>
      </c>
      <c r="B7809" s="30" t="s">
        <v>10036</v>
      </c>
      <c r="C7809" s="29" t="s">
        <v>24216</v>
      </c>
      <c r="D7809" s="29" t="s">
        <v>37489</v>
      </c>
      <c r="E7809" s="29" t="s">
        <v>49758</v>
      </c>
      <c r="F7809" s="36" t="s">
        <v>54401</v>
      </c>
      <c r="G7809" s="39">
        <v>4018303.85</v>
      </c>
      <c r="H7809" s="42">
        <v>211</v>
      </c>
    </row>
    <row r="7810" spans="1:8" ht="15" customHeight="1">
      <c r="A7810" s="26">
        <v>74434047</v>
      </c>
      <c r="B7810" s="30" t="s">
        <v>10037</v>
      </c>
      <c r="C7810" s="29" t="s">
        <v>24217</v>
      </c>
      <c r="D7810" s="29" t="s">
        <v>37490</v>
      </c>
      <c r="E7810" s="29" t="s">
        <v>43949</v>
      </c>
      <c r="F7810" s="36" t="s">
        <v>54401</v>
      </c>
      <c r="G7810" s="39">
        <f>7485675.99+185617</f>
        <v>7671292.9900000002</v>
      </c>
      <c r="H7810" s="42">
        <v>211</v>
      </c>
    </row>
    <row r="7811" spans="1:8" ht="15" customHeight="1">
      <c r="A7811" s="26">
        <v>74436269</v>
      </c>
      <c r="B7811" s="30" t="s">
        <v>10038</v>
      </c>
      <c r="C7811" s="29" t="s">
        <v>24218</v>
      </c>
      <c r="D7811" s="29" t="s">
        <v>37491</v>
      </c>
      <c r="E7811" s="29" t="s">
        <v>49759</v>
      </c>
      <c r="F7811" s="36" t="s">
        <v>54432</v>
      </c>
      <c r="G7811" s="39">
        <f>1436820.94-214932</f>
        <v>1221888.94</v>
      </c>
      <c r="H7811" s="42">
        <v>211</v>
      </c>
    </row>
    <row r="7812" spans="1:8" ht="15" customHeight="1">
      <c r="A7812" s="26">
        <v>74436458</v>
      </c>
      <c r="B7812" s="30" t="s">
        <v>10039</v>
      </c>
      <c r="C7812" s="29" t="s">
        <v>24219</v>
      </c>
      <c r="D7812" s="29" t="s">
        <v>37492</v>
      </c>
      <c r="E7812" s="29" t="s">
        <v>717</v>
      </c>
      <c r="F7812" s="36" t="s">
        <v>54409</v>
      </c>
      <c r="G7812" s="39">
        <v>258313.2</v>
      </c>
      <c r="H7812" s="42">
        <v>211</v>
      </c>
    </row>
    <row r="7813" spans="1:8" ht="15" customHeight="1">
      <c r="A7813" s="26">
        <v>74439224</v>
      </c>
      <c r="B7813" s="30" t="s">
        <v>10040</v>
      </c>
      <c r="C7813" s="29" t="s">
        <v>24220</v>
      </c>
      <c r="D7813" s="29" t="s">
        <v>30376</v>
      </c>
      <c r="E7813" s="29" t="s">
        <v>44559</v>
      </c>
      <c r="F7813" s="36" t="s">
        <v>54401</v>
      </c>
      <c r="G7813" s="39">
        <v>435401.11</v>
      </c>
      <c r="H7813" s="42">
        <v>211</v>
      </c>
    </row>
    <row r="7814" spans="1:8" ht="15" customHeight="1">
      <c r="A7814" s="26">
        <v>74448218</v>
      </c>
      <c r="B7814" s="30" t="s">
        <v>10041</v>
      </c>
      <c r="C7814" s="29" t="s">
        <v>24221</v>
      </c>
      <c r="D7814" s="29" t="s">
        <v>37493</v>
      </c>
      <c r="E7814" s="29" t="s">
        <v>49760</v>
      </c>
      <c r="F7814" s="36" t="s">
        <v>54401</v>
      </c>
      <c r="G7814" s="39">
        <v>399556.45</v>
      </c>
      <c r="H7814" s="42">
        <v>211</v>
      </c>
    </row>
    <row r="7815" spans="1:8" ht="15" customHeight="1">
      <c r="A7815" s="26">
        <v>74451716</v>
      </c>
      <c r="B7815" s="30" t="s">
        <v>10042</v>
      </c>
      <c r="C7815" s="29" t="s">
        <v>24222</v>
      </c>
      <c r="D7815" s="29" t="s">
        <v>37494</v>
      </c>
      <c r="E7815" s="29" t="s">
        <v>49761</v>
      </c>
      <c r="F7815" s="36" t="s">
        <v>54401</v>
      </c>
      <c r="G7815" s="39">
        <v>239118.65</v>
      </c>
      <c r="H7815" s="42">
        <v>211</v>
      </c>
    </row>
    <row r="7816" spans="1:8" ht="15" customHeight="1">
      <c r="A7816" s="26">
        <v>74451729</v>
      </c>
      <c r="B7816" s="30" t="s">
        <v>10043</v>
      </c>
      <c r="C7816" s="29" t="s">
        <v>24223</v>
      </c>
      <c r="D7816" s="29" t="s">
        <v>37495</v>
      </c>
      <c r="E7816" s="29" t="s">
        <v>43926</v>
      </c>
      <c r="F7816" s="36" t="s">
        <v>54401</v>
      </c>
      <c r="G7816" s="39">
        <v>356903.57</v>
      </c>
      <c r="H7816" s="42">
        <v>211</v>
      </c>
    </row>
    <row r="7817" spans="1:8" ht="15" customHeight="1">
      <c r="A7817" s="26">
        <v>74451732</v>
      </c>
      <c r="B7817" s="30" t="s">
        <v>10044</v>
      </c>
      <c r="C7817" s="29" t="s">
        <v>24224</v>
      </c>
      <c r="D7817" s="29" t="s">
        <v>37496</v>
      </c>
      <c r="E7817" s="29" t="s">
        <v>49762</v>
      </c>
      <c r="F7817" s="36" t="s">
        <v>54406</v>
      </c>
      <c r="G7817" s="39">
        <v>3392619.06</v>
      </c>
      <c r="H7817" s="42">
        <v>211</v>
      </c>
    </row>
    <row r="7818" spans="1:8" ht="15" customHeight="1">
      <c r="A7818" s="26">
        <v>74451778</v>
      </c>
      <c r="B7818" s="30" t="s">
        <v>10045</v>
      </c>
      <c r="C7818" s="29" t="s">
        <v>17204</v>
      </c>
      <c r="D7818" s="29" t="s">
        <v>37497</v>
      </c>
      <c r="E7818" s="29" t="s">
        <v>43926</v>
      </c>
      <c r="F7818" s="36" t="s">
        <v>54401</v>
      </c>
      <c r="G7818" s="39">
        <v>349707.04</v>
      </c>
      <c r="H7818" s="42">
        <v>211</v>
      </c>
    </row>
    <row r="7819" spans="1:8" ht="15" customHeight="1">
      <c r="A7819" s="26">
        <v>74451828</v>
      </c>
      <c r="B7819" s="30" t="s">
        <v>10046</v>
      </c>
      <c r="C7819" s="29" t="s">
        <v>24225</v>
      </c>
      <c r="D7819" s="29" t="s">
        <v>37498</v>
      </c>
      <c r="E7819" s="29" t="s">
        <v>49763</v>
      </c>
      <c r="F7819" s="36" t="s">
        <v>54406</v>
      </c>
      <c r="G7819" s="39">
        <v>1287770.22</v>
      </c>
      <c r="H7819" s="42">
        <v>211</v>
      </c>
    </row>
    <row r="7820" spans="1:8" ht="15" customHeight="1">
      <c r="A7820" s="26">
        <v>74451859</v>
      </c>
      <c r="B7820" s="30" t="s">
        <v>10047</v>
      </c>
      <c r="C7820" s="29" t="s">
        <v>24226</v>
      </c>
      <c r="D7820" s="29" t="s">
        <v>37499</v>
      </c>
      <c r="E7820" s="29" t="s">
        <v>45537</v>
      </c>
      <c r="F7820" s="36" t="s">
        <v>54401</v>
      </c>
      <c r="G7820" s="39">
        <f>11346947.22+9537</f>
        <v>11356484.220000001</v>
      </c>
      <c r="H7820" s="42">
        <v>211</v>
      </c>
    </row>
    <row r="7821" spans="1:8" ht="15" customHeight="1">
      <c r="A7821" s="26">
        <v>74451863</v>
      </c>
      <c r="B7821" s="30" t="s">
        <v>10048</v>
      </c>
      <c r="C7821" s="29" t="s">
        <v>24227</v>
      </c>
      <c r="D7821" s="29" t="s">
        <v>37500</v>
      </c>
      <c r="E7821" s="29" t="s">
        <v>49764</v>
      </c>
      <c r="F7821" s="36" t="s">
        <v>54401</v>
      </c>
      <c r="G7821" s="39">
        <v>253360.76</v>
      </c>
      <c r="H7821" s="42">
        <v>211</v>
      </c>
    </row>
    <row r="7822" spans="1:8" ht="15" customHeight="1">
      <c r="A7822" s="26">
        <v>74451897</v>
      </c>
      <c r="B7822" s="30" t="s">
        <v>10049</v>
      </c>
      <c r="C7822" s="29" t="s">
        <v>24228</v>
      </c>
      <c r="D7822" s="29" t="s">
        <v>37501</v>
      </c>
      <c r="E7822" s="29" t="s">
        <v>49765</v>
      </c>
      <c r="F7822" s="36" t="s">
        <v>54406</v>
      </c>
      <c r="G7822" s="39">
        <f>4788275.91-36000</f>
        <v>4752275.91</v>
      </c>
      <c r="H7822" s="42">
        <v>211</v>
      </c>
    </row>
    <row r="7823" spans="1:8" ht="15" customHeight="1">
      <c r="A7823" s="26">
        <v>74451943</v>
      </c>
      <c r="B7823" s="30" t="s">
        <v>10050</v>
      </c>
      <c r="C7823" s="29" t="s">
        <v>24229</v>
      </c>
      <c r="D7823" s="29" t="s">
        <v>37502</v>
      </c>
      <c r="E7823" s="29" t="s">
        <v>49766</v>
      </c>
      <c r="F7823" s="36" t="s">
        <v>54401</v>
      </c>
      <c r="G7823" s="39">
        <v>1827048.51</v>
      </c>
      <c r="H7823" s="42">
        <v>211</v>
      </c>
    </row>
    <row r="7824" spans="1:8" ht="15" customHeight="1">
      <c r="A7824" s="26">
        <v>74750731</v>
      </c>
      <c r="B7824" s="30" t="s">
        <v>10051</v>
      </c>
      <c r="C7824" s="29" t="s">
        <v>24230</v>
      </c>
      <c r="D7824" s="29" t="s">
        <v>37503</v>
      </c>
      <c r="E7824" s="29" t="s">
        <v>49767</v>
      </c>
      <c r="F7824" s="36" t="s">
        <v>54401</v>
      </c>
      <c r="G7824" s="39">
        <v>1256962.1200000001</v>
      </c>
      <c r="H7824" s="42">
        <v>211</v>
      </c>
    </row>
    <row r="7825" spans="1:8" ht="15" customHeight="1">
      <c r="A7825" s="26">
        <v>74754581</v>
      </c>
      <c r="B7825" s="30" t="s">
        <v>10052</v>
      </c>
      <c r="C7825" s="29" t="s">
        <v>24231</v>
      </c>
      <c r="D7825" s="29" t="s">
        <v>37504</v>
      </c>
      <c r="E7825" s="29" t="s">
        <v>49768</v>
      </c>
      <c r="F7825" s="36" t="s">
        <v>54401</v>
      </c>
      <c r="G7825" s="39">
        <v>2007093.38</v>
      </c>
      <c r="H7825" s="42">
        <v>211</v>
      </c>
    </row>
    <row r="7826" spans="1:8" ht="15" customHeight="1">
      <c r="A7826" s="26">
        <v>74770144</v>
      </c>
      <c r="B7826" s="30" t="s">
        <v>10053</v>
      </c>
      <c r="C7826" s="29" t="s">
        <v>24232</v>
      </c>
      <c r="D7826" s="29" t="s">
        <v>37505</v>
      </c>
      <c r="E7826" s="29" t="s">
        <v>46825</v>
      </c>
      <c r="F7826" s="36" t="s">
        <v>54401</v>
      </c>
      <c r="G7826" s="39">
        <v>2452684.37</v>
      </c>
      <c r="H7826" s="42">
        <v>211</v>
      </c>
    </row>
    <row r="7827" spans="1:8" ht="15" customHeight="1">
      <c r="A7827" s="26">
        <v>74811222</v>
      </c>
      <c r="B7827" s="30" t="s">
        <v>10054</v>
      </c>
      <c r="C7827" s="29" t="s">
        <v>24233</v>
      </c>
      <c r="D7827" s="29" t="s">
        <v>37506</v>
      </c>
      <c r="E7827" s="29" t="s">
        <v>49769</v>
      </c>
      <c r="F7827" s="36" t="s">
        <v>54401</v>
      </c>
      <c r="G7827" s="39">
        <f>181971.58+391040+215577+3569771</f>
        <v>4358359.58</v>
      </c>
      <c r="H7827" s="42">
        <v>211</v>
      </c>
    </row>
    <row r="7828" spans="1:8" ht="15" customHeight="1">
      <c r="A7828" s="26">
        <v>74814581</v>
      </c>
      <c r="B7828" s="30" t="s">
        <v>10055</v>
      </c>
      <c r="C7828" s="29" t="s">
        <v>24234</v>
      </c>
      <c r="D7828" s="29" t="s">
        <v>37507</v>
      </c>
      <c r="E7828" s="29" t="s">
        <v>49770</v>
      </c>
      <c r="F7828" s="36" t="s">
        <v>54401</v>
      </c>
      <c r="G7828" s="39">
        <v>25630.25</v>
      </c>
      <c r="H7828" s="42">
        <v>211</v>
      </c>
    </row>
    <row r="7829" spans="1:8" ht="15" customHeight="1">
      <c r="A7829" s="26">
        <v>74814994</v>
      </c>
      <c r="B7829" s="30" t="s">
        <v>10056</v>
      </c>
      <c r="C7829" s="29" t="s">
        <v>24235</v>
      </c>
      <c r="D7829" s="29" t="s">
        <v>37508</v>
      </c>
      <c r="E7829" s="29" t="s">
        <v>49771</v>
      </c>
      <c r="F7829" s="36" t="s">
        <v>54413</v>
      </c>
      <c r="G7829" s="39">
        <v>296632.67</v>
      </c>
      <c r="H7829" s="42">
        <v>211</v>
      </c>
    </row>
    <row r="7830" spans="1:8" ht="15" customHeight="1">
      <c r="A7830" s="26">
        <v>74852971</v>
      </c>
      <c r="B7830" s="30" t="s">
        <v>10057</v>
      </c>
      <c r="C7830" s="29" t="s">
        <v>24236</v>
      </c>
      <c r="D7830" s="29" t="s">
        <v>37509</v>
      </c>
      <c r="E7830" s="29" t="s">
        <v>47292</v>
      </c>
      <c r="F7830" s="36" t="s">
        <v>54401</v>
      </c>
      <c r="G7830" s="39">
        <v>309897.78999999998</v>
      </c>
      <c r="H7830" s="42">
        <v>211</v>
      </c>
    </row>
    <row r="7831" spans="1:8" ht="15" customHeight="1">
      <c r="A7831" s="26">
        <v>74860084</v>
      </c>
      <c r="B7831" s="30" t="s">
        <v>10058</v>
      </c>
      <c r="C7831" s="29" t="s">
        <v>24237</v>
      </c>
      <c r="D7831" s="29" t="s">
        <v>37510</v>
      </c>
      <c r="E7831" s="29" t="s">
        <v>49772</v>
      </c>
      <c r="F7831" s="36" t="s">
        <v>54406</v>
      </c>
      <c r="G7831" s="39">
        <v>519507.75</v>
      </c>
      <c r="H7831" s="42">
        <v>211</v>
      </c>
    </row>
    <row r="7832" spans="1:8" ht="15" customHeight="1">
      <c r="A7832" s="26">
        <v>74862362</v>
      </c>
      <c r="B7832" s="30" t="s">
        <v>10059</v>
      </c>
      <c r="C7832" s="29" t="s">
        <v>24238</v>
      </c>
      <c r="D7832" s="29" t="s">
        <v>37511</v>
      </c>
      <c r="E7832" s="29" t="s">
        <v>44942</v>
      </c>
      <c r="F7832" s="36" t="s">
        <v>54401</v>
      </c>
      <c r="G7832" s="39">
        <v>159351.31</v>
      </c>
      <c r="H7832" s="42">
        <v>211</v>
      </c>
    </row>
    <row r="7833" spans="1:8" ht="15" customHeight="1">
      <c r="A7833" s="26">
        <v>75056616</v>
      </c>
      <c r="B7833" s="30" t="s">
        <v>10060</v>
      </c>
      <c r="C7833" s="29" t="s">
        <v>24239</v>
      </c>
      <c r="D7833" s="29" t="s">
        <v>37512</v>
      </c>
      <c r="E7833" s="29" t="s">
        <v>49773</v>
      </c>
      <c r="F7833" s="36" t="s">
        <v>54401</v>
      </c>
      <c r="G7833" s="39">
        <f>6096167.56+378151-183588</f>
        <v>6290730.5599999996</v>
      </c>
      <c r="H7833" s="42">
        <v>211</v>
      </c>
    </row>
    <row r="7834" spans="1:8" ht="15" customHeight="1">
      <c r="A7834" s="26">
        <v>75088195</v>
      </c>
      <c r="B7834" s="30" t="s">
        <v>10061</v>
      </c>
      <c r="C7834" s="26" t="s">
        <v>24240</v>
      </c>
      <c r="D7834" s="26" t="s">
        <v>37513</v>
      </c>
      <c r="E7834" s="26" t="s">
        <v>49774</v>
      </c>
      <c r="F7834" s="37" t="s">
        <v>54401</v>
      </c>
      <c r="G7834" s="39">
        <v>85479.25</v>
      </c>
      <c r="H7834" s="42">
        <v>211</v>
      </c>
    </row>
    <row r="7835" spans="1:8" ht="15" customHeight="1">
      <c r="A7835" s="26">
        <v>75099083</v>
      </c>
      <c r="B7835" s="30" t="s">
        <v>10062</v>
      </c>
      <c r="C7835" s="26" t="s">
        <v>24241</v>
      </c>
      <c r="D7835" s="26" t="s">
        <v>37514</v>
      </c>
      <c r="E7835" s="26" t="s">
        <v>49775</v>
      </c>
      <c r="F7835" s="37" t="s">
        <v>54401</v>
      </c>
      <c r="G7835" s="39">
        <v>678533.97</v>
      </c>
      <c r="H7835" s="42">
        <v>211</v>
      </c>
    </row>
    <row r="7836" spans="1:8" ht="15" customHeight="1">
      <c r="A7836" s="26">
        <v>77038664</v>
      </c>
      <c r="B7836" s="30" t="s">
        <v>10063</v>
      </c>
      <c r="C7836" s="29" t="s">
        <v>24242</v>
      </c>
      <c r="D7836" s="29" t="s">
        <v>37515</v>
      </c>
      <c r="E7836" s="29" t="s">
        <v>49776</v>
      </c>
      <c r="F7836" s="36" t="s">
        <v>54401</v>
      </c>
      <c r="G7836" s="39">
        <v>5361591.3099999996</v>
      </c>
      <c r="H7836" s="42">
        <v>211</v>
      </c>
    </row>
    <row r="7837" spans="1:8" ht="15" customHeight="1">
      <c r="A7837" s="26">
        <v>77158078</v>
      </c>
      <c r="B7837" s="30" t="s">
        <v>10064</v>
      </c>
      <c r="C7837" s="29" t="s">
        <v>24243</v>
      </c>
      <c r="D7837" s="29" t="s">
        <v>37516</v>
      </c>
      <c r="E7837" s="29" t="s">
        <v>49777</v>
      </c>
      <c r="F7837" s="36" t="s">
        <v>54401</v>
      </c>
      <c r="G7837" s="39">
        <v>214533.37</v>
      </c>
      <c r="H7837" s="42">
        <v>211</v>
      </c>
    </row>
    <row r="7838" spans="1:8" ht="15" customHeight="1">
      <c r="A7838" s="26">
        <v>77181515</v>
      </c>
      <c r="B7838" s="30" t="s">
        <v>10065</v>
      </c>
      <c r="C7838" s="29" t="s">
        <v>24244</v>
      </c>
      <c r="D7838" s="29" t="s">
        <v>37517</v>
      </c>
      <c r="E7838" s="29" t="s">
        <v>43926</v>
      </c>
      <c r="F7838" s="36" t="s">
        <v>54401</v>
      </c>
      <c r="G7838" s="39">
        <v>632737.44999999995</v>
      </c>
      <c r="H7838" s="42">
        <v>211</v>
      </c>
    </row>
    <row r="7839" spans="1:8" ht="15" customHeight="1">
      <c r="A7839" s="26">
        <v>77182139</v>
      </c>
      <c r="B7839" s="30" t="s">
        <v>10066</v>
      </c>
      <c r="C7839" s="29" t="s">
        <v>24245</v>
      </c>
      <c r="D7839" s="29" t="s">
        <v>37518</v>
      </c>
      <c r="E7839" s="29" t="s">
        <v>46474</v>
      </c>
      <c r="F7839" s="36" t="s">
        <v>54401</v>
      </c>
      <c r="G7839" s="39">
        <f>3345420.26+267419</f>
        <v>3612839.26</v>
      </c>
      <c r="H7839" s="42">
        <v>211</v>
      </c>
    </row>
    <row r="7840" spans="1:8" ht="15" customHeight="1">
      <c r="A7840" s="26">
        <v>77190068</v>
      </c>
      <c r="B7840" s="30" t="s">
        <v>10067</v>
      </c>
      <c r="C7840" s="29" t="s">
        <v>24246</v>
      </c>
      <c r="D7840" s="29" t="s">
        <v>37519</v>
      </c>
      <c r="E7840" s="29" t="s">
        <v>49778</v>
      </c>
      <c r="F7840" s="36" t="s">
        <v>54401</v>
      </c>
      <c r="G7840" s="39">
        <f>2074021.34+845610</f>
        <v>2919631.34</v>
      </c>
      <c r="H7840" s="42">
        <v>211</v>
      </c>
    </row>
    <row r="7841" spans="1:8" ht="15" customHeight="1">
      <c r="A7841" s="26">
        <v>77224877</v>
      </c>
      <c r="B7841" s="30" t="s">
        <v>10068</v>
      </c>
      <c r="C7841" s="29" t="s">
        <v>17204</v>
      </c>
      <c r="D7841" s="29" t="s">
        <v>30349</v>
      </c>
      <c r="E7841" s="29" t="s">
        <v>43926</v>
      </c>
      <c r="F7841" s="36" t="s">
        <v>54401</v>
      </c>
      <c r="G7841" s="39">
        <v>387275.03</v>
      </c>
      <c r="H7841" s="42">
        <v>211</v>
      </c>
    </row>
    <row r="7842" spans="1:8" ht="15" customHeight="1">
      <c r="A7842" s="26">
        <v>78761075</v>
      </c>
      <c r="B7842" s="30" t="s">
        <v>10069</v>
      </c>
      <c r="C7842" s="29" t="s">
        <v>24247</v>
      </c>
      <c r="D7842" s="29" t="s">
        <v>37520</v>
      </c>
      <c r="E7842" s="29" t="s">
        <v>49779</v>
      </c>
      <c r="F7842" s="36" t="s">
        <v>54401</v>
      </c>
      <c r="G7842" s="39">
        <v>2380449.62</v>
      </c>
      <c r="H7842" s="42">
        <v>211</v>
      </c>
    </row>
    <row r="7843" spans="1:8" ht="15" customHeight="1">
      <c r="A7843" s="26">
        <v>79048733</v>
      </c>
      <c r="B7843" s="30" t="s">
        <v>10070</v>
      </c>
      <c r="C7843" s="29" t="s">
        <v>17204</v>
      </c>
      <c r="D7843" s="29" t="s">
        <v>37521</v>
      </c>
      <c r="E7843" s="29" t="s">
        <v>44205</v>
      </c>
      <c r="F7843" s="36" t="s">
        <v>54401</v>
      </c>
      <c r="G7843" s="39">
        <v>119444.28</v>
      </c>
      <c r="H7843" s="42">
        <v>211</v>
      </c>
    </row>
    <row r="7844" spans="1:8" ht="15" customHeight="1">
      <c r="A7844" s="26">
        <v>79048742</v>
      </c>
      <c r="B7844" s="30" t="s">
        <v>10071</v>
      </c>
      <c r="C7844" s="29" t="s">
        <v>17204</v>
      </c>
      <c r="D7844" s="29" t="s">
        <v>37522</v>
      </c>
      <c r="E7844" s="29" t="s">
        <v>43926</v>
      </c>
      <c r="F7844" s="36" t="s">
        <v>54401</v>
      </c>
      <c r="G7844" s="39">
        <v>348577.34</v>
      </c>
      <c r="H7844" s="42">
        <v>211</v>
      </c>
    </row>
    <row r="7845" spans="1:8" ht="15" customHeight="1">
      <c r="A7845" s="26">
        <v>79057896</v>
      </c>
      <c r="B7845" s="30" t="s">
        <v>10072</v>
      </c>
      <c r="C7845" s="29" t="s">
        <v>24248</v>
      </c>
      <c r="D7845" s="29" t="s">
        <v>37523</v>
      </c>
      <c r="E7845" s="29" t="s">
        <v>45502</v>
      </c>
      <c r="F7845" s="36" t="s">
        <v>54401</v>
      </c>
      <c r="G7845" s="39">
        <v>3105424.18</v>
      </c>
      <c r="H7845" s="42">
        <v>211</v>
      </c>
    </row>
    <row r="7846" spans="1:8" ht="15" customHeight="1">
      <c r="A7846" s="26">
        <v>79100377</v>
      </c>
      <c r="B7846" s="30" t="s">
        <v>10073</v>
      </c>
      <c r="C7846" s="29" t="s">
        <v>24249</v>
      </c>
      <c r="D7846" s="29" t="s">
        <v>37524</v>
      </c>
      <c r="E7846" s="29" t="s">
        <v>49780</v>
      </c>
      <c r="F7846" s="36" t="s">
        <v>54401</v>
      </c>
      <c r="G7846" s="39">
        <v>16438.240000000002</v>
      </c>
      <c r="H7846" s="42">
        <v>211</v>
      </c>
    </row>
    <row r="7847" spans="1:8" ht="15" customHeight="1">
      <c r="A7847" s="26">
        <v>79108375</v>
      </c>
      <c r="B7847" s="30" t="s">
        <v>10074</v>
      </c>
      <c r="C7847" s="29" t="s">
        <v>24250</v>
      </c>
      <c r="D7847" s="29" t="s">
        <v>37525</v>
      </c>
      <c r="E7847" s="29" t="s">
        <v>49781</v>
      </c>
      <c r="F7847" s="36" t="s">
        <v>54401</v>
      </c>
      <c r="G7847" s="39">
        <f>4690791.95+53715</f>
        <v>4744506.95</v>
      </c>
      <c r="H7847" s="42">
        <v>211</v>
      </c>
    </row>
    <row r="7848" spans="1:8" ht="15" customHeight="1">
      <c r="A7848" s="26">
        <v>79119004</v>
      </c>
      <c r="B7848" s="30" t="s">
        <v>10075</v>
      </c>
      <c r="C7848" s="29" t="s">
        <v>24251</v>
      </c>
      <c r="D7848" s="29" t="s">
        <v>37526</v>
      </c>
      <c r="E7848" s="29" t="s">
        <v>49782</v>
      </c>
      <c r="F7848" s="36" t="s">
        <v>54401</v>
      </c>
      <c r="G7848" s="39">
        <v>219241.9</v>
      </c>
      <c r="H7848" s="42">
        <v>211</v>
      </c>
    </row>
    <row r="7849" spans="1:8" ht="15" customHeight="1">
      <c r="A7849" s="26">
        <v>79127950</v>
      </c>
      <c r="B7849" s="30" t="s">
        <v>10076</v>
      </c>
      <c r="C7849" s="29" t="s">
        <v>24252</v>
      </c>
      <c r="D7849" s="29" t="s">
        <v>37527</v>
      </c>
      <c r="E7849" s="29" t="s">
        <v>49783</v>
      </c>
      <c r="F7849" s="36" t="s">
        <v>54401</v>
      </c>
      <c r="G7849" s="39">
        <v>354695.31</v>
      </c>
      <c r="H7849" s="42">
        <v>211</v>
      </c>
    </row>
    <row r="7850" spans="1:8" ht="15" customHeight="1">
      <c r="A7850" s="26">
        <v>79128234</v>
      </c>
      <c r="B7850" s="30" t="s">
        <v>10077</v>
      </c>
      <c r="C7850" s="29" t="s">
        <v>24253</v>
      </c>
      <c r="D7850" s="29" t="s">
        <v>37528</v>
      </c>
      <c r="E7850" s="29" t="s">
        <v>49784</v>
      </c>
      <c r="F7850" s="36" t="s">
        <v>54412</v>
      </c>
      <c r="G7850" s="39">
        <v>486490.15</v>
      </c>
      <c r="H7850" s="42">
        <v>211</v>
      </c>
    </row>
    <row r="7851" spans="1:8" ht="15" customHeight="1">
      <c r="A7851" s="26">
        <v>79129464</v>
      </c>
      <c r="B7851" s="30" t="s">
        <v>10078</v>
      </c>
      <c r="C7851" s="29" t="s">
        <v>24254</v>
      </c>
      <c r="D7851" s="29" t="s">
        <v>37529</v>
      </c>
      <c r="E7851" s="29" t="s">
        <v>49785</v>
      </c>
      <c r="F7851" s="36" t="s">
        <v>54401</v>
      </c>
      <c r="G7851" s="39">
        <v>24067.24</v>
      </c>
      <c r="H7851" s="42">
        <v>211</v>
      </c>
    </row>
    <row r="7852" spans="1:8" ht="15" customHeight="1">
      <c r="A7852" s="26">
        <v>79134189</v>
      </c>
      <c r="B7852" s="30" t="s">
        <v>10079</v>
      </c>
      <c r="C7852" s="29" t="s">
        <v>24255</v>
      </c>
      <c r="D7852" s="29" t="s">
        <v>37530</v>
      </c>
      <c r="E7852" s="29" t="s">
        <v>49786</v>
      </c>
      <c r="F7852" s="36" t="s">
        <v>54413</v>
      </c>
      <c r="G7852" s="39">
        <f>425951.26+7576942-104086</f>
        <v>7898807.2599999998</v>
      </c>
      <c r="H7852" s="42">
        <v>211</v>
      </c>
    </row>
    <row r="7853" spans="1:8" ht="15" customHeight="1">
      <c r="A7853" s="26">
        <v>79139370</v>
      </c>
      <c r="B7853" s="30" t="s">
        <v>10080</v>
      </c>
      <c r="C7853" s="26" t="s">
        <v>17204</v>
      </c>
      <c r="D7853" s="26" t="s">
        <v>30349</v>
      </c>
      <c r="E7853" s="26" t="s">
        <v>43926</v>
      </c>
      <c r="F7853" s="37" t="s">
        <v>54401</v>
      </c>
      <c r="G7853" s="39">
        <v>16080.1</v>
      </c>
      <c r="H7853" s="42">
        <v>211</v>
      </c>
    </row>
    <row r="7854" spans="1:8" ht="15" customHeight="1">
      <c r="A7854" s="26">
        <v>79140313</v>
      </c>
      <c r="B7854" s="30" t="s">
        <v>10081</v>
      </c>
      <c r="C7854" s="29" t="s">
        <v>24256</v>
      </c>
      <c r="D7854" s="29" t="s">
        <v>30376</v>
      </c>
      <c r="E7854" s="29" t="s">
        <v>49787</v>
      </c>
      <c r="F7854" s="36" t="s">
        <v>54401</v>
      </c>
      <c r="G7854" s="39">
        <v>83119.839999999997</v>
      </c>
      <c r="H7854" s="42">
        <v>211</v>
      </c>
    </row>
    <row r="7855" spans="1:8" ht="15" customHeight="1">
      <c r="A7855" s="26">
        <v>79154281</v>
      </c>
      <c r="B7855" s="30" t="s">
        <v>10082</v>
      </c>
      <c r="C7855" s="29" t="s">
        <v>24257</v>
      </c>
      <c r="D7855" s="29" t="s">
        <v>37531</v>
      </c>
      <c r="E7855" s="29" t="s">
        <v>49788</v>
      </c>
      <c r="F7855" s="36" t="s">
        <v>54412</v>
      </c>
      <c r="G7855" s="39">
        <v>404805.5</v>
      </c>
      <c r="H7855" s="42">
        <v>211</v>
      </c>
    </row>
    <row r="7856" spans="1:8" ht="15" customHeight="1">
      <c r="A7856" s="26">
        <v>79155377</v>
      </c>
      <c r="B7856" s="30" t="s">
        <v>10083</v>
      </c>
      <c r="C7856" s="29" t="s">
        <v>24258</v>
      </c>
      <c r="D7856" s="29" t="s">
        <v>37532</v>
      </c>
      <c r="E7856" s="29" t="s">
        <v>49789</v>
      </c>
      <c r="F7856" s="36" t="s">
        <v>54401</v>
      </c>
      <c r="G7856" s="39">
        <v>206490.29</v>
      </c>
      <c r="H7856" s="42">
        <v>211</v>
      </c>
    </row>
    <row r="7857" spans="1:8" ht="15" customHeight="1">
      <c r="A7857" s="26">
        <v>79155805</v>
      </c>
      <c r="B7857" s="30" t="s">
        <v>10084</v>
      </c>
      <c r="C7857" s="29" t="s">
        <v>24259</v>
      </c>
      <c r="D7857" s="29" t="s">
        <v>37533</v>
      </c>
      <c r="E7857" s="29" t="s">
        <v>49790</v>
      </c>
      <c r="F7857" s="36" t="s">
        <v>54401</v>
      </c>
      <c r="G7857" s="39">
        <v>845468.39</v>
      </c>
      <c r="H7857" s="42">
        <v>211</v>
      </c>
    </row>
    <row r="7858" spans="1:8" ht="15" customHeight="1">
      <c r="A7858" s="26">
        <v>79162141</v>
      </c>
      <c r="B7858" s="30" t="s">
        <v>10085</v>
      </c>
      <c r="C7858" s="29" t="s">
        <v>24260</v>
      </c>
      <c r="D7858" s="29" t="s">
        <v>37534</v>
      </c>
      <c r="E7858" s="29" t="s">
        <v>49791</v>
      </c>
      <c r="F7858" s="36" t="s">
        <v>54401</v>
      </c>
      <c r="G7858" s="39">
        <f>8583316.11+8747</f>
        <v>8592063.1099999994</v>
      </c>
      <c r="H7858" s="42">
        <v>211</v>
      </c>
    </row>
    <row r="7859" spans="1:8" ht="15" customHeight="1">
      <c r="A7859" s="26">
        <v>79163043</v>
      </c>
      <c r="B7859" s="30" t="s">
        <v>10086</v>
      </c>
      <c r="C7859" s="29" t="s">
        <v>24261</v>
      </c>
      <c r="D7859" s="29" t="s">
        <v>37535</v>
      </c>
      <c r="E7859" s="29" t="s">
        <v>48461</v>
      </c>
      <c r="F7859" s="36" t="s">
        <v>54401</v>
      </c>
      <c r="G7859" s="39">
        <f>1917910.31+71895+3918765</f>
        <v>5908570.3100000005</v>
      </c>
      <c r="H7859" s="42">
        <v>211</v>
      </c>
    </row>
    <row r="7860" spans="1:8" ht="15" customHeight="1">
      <c r="A7860" s="26">
        <v>79165115</v>
      </c>
      <c r="B7860" s="30" t="s">
        <v>10087</v>
      </c>
      <c r="C7860" s="29" t="s">
        <v>24262</v>
      </c>
      <c r="D7860" s="29" t="s">
        <v>37536</v>
      </c>
      <c r="E7860" s="29" t="s">
        <v>49792</v>
      </c>
      <c r="F7860" s="36" t="s">
        <v>54401</v>
      </c>
      <c r="G7860" s="39">
        <f>2116915.02+186304</f>
        <v>2303219.02</v>
      </c>
      <c r="H7860" s="42">
        <v>211</v>
      </c>
    </row>
    <row r="7861" spans="1:8" ht="15" customHeight="1">
      <c r="A7861" s="26">
        <v>79168127</v>
      </c>
      <c r="B7861" s="30" t="s">
        <v>10088</v>
      </c>
      <c r="C7861" s="29" t="s">
        <v>24263</v>
      </c>
      <c r="D7861" s="29" t="s">
        <v>37537</v>
      </c>
      <c r="E7861" s="29" t="s">
        <v>49793</v>
      </c>
      <c r="F7861" s="36" t="s">
        <v>54401</v>
      </c>
      <c r="G7861" s="39">
        <v>697384.52</v>
      </c>
      <c r="H7861" s="42">
        <v>211</v>
      </c>
    </row>
    <row r="7862" spans="1:8" ht="15" customHeight="1">
      <c r="A7862" s="26">
        <v>79170005</v>
      </c>
      <c r="B7862" s="30" t="s">
        <v>10089</v>
      </c>
      <c r="C7862" s="26" t="s">
        <v>24264</v>
      </c>
      <c r="D7862" s="26" t="s">
        <v>37538</v>
      </c>
      <c r="E7862" s="26" t="s">
        <v>748</v>
      </c>
      <c r="F7862" s="37" t="s">
        <v>54407</v>
      </c>
      <c r="G7862" s="39">
        <v>35774.79</v>
      </c>
      <c r="H7862" s="42">
        <v>211</v>
      </c>
    </row>
    <row r="7863" spans="1:8" ht="15" customHeight="1">
      <c r="A7863" s="26">
        <v>79170091</v>
      </c>
      <c r="B7863" s="30" t="s">
        <v>10090</v>
      </c>
      <c r="C7863" s="29" t="s">
        <v>24265</v>
      </c>
      <c r="D7863" s="29" t="s">
        <v>37539</v>
      </c>
      <c r="E7863" s="29" t="s">
        <v>46785</v>
      </c>
      <c r="F7863" s="36" t="s">
        <v>54401</v>
      </c>
      <c r="G7863" s="39">
        <v>83517.38</v>
      </c>
      <c r="H7863" s="42">
        <v>211</v>
      </c>
    </row>
    <row r="7864" spans="1:8" ht="15" customHeight="1">
      <c r="A7864" s="26">
        <v>79189896</v>
      </c>
      <c r="B7864" s="30" t="s">
        <v>10091</v>
      </c>
      <c r="C7864" s="29" t="s">
        <v>24266</v>
      </c>
      <c r="D7864" s="29" t="s">
        <v>37540</v>
      </c>
      <c r="E7864" s="29" t="s">
        <v>49794</v>
      </c>
      <c r="F7864" s="36" t="s">
        <v>54401</v>
      </c>
      <c r="G7864" s="39">
        <v>385878.51</v>
      </c>
      <c r="H7864" s="42">
        <v>211</v>
      </c>
    </row>
    <row r="7865" spans="1:8" ht="15" customHeight="1">
      <c r="A7865" s="26">
        <v>79203241</v>
      </c>
      <c r="B7865" s="30" t="s">
        <v>10092</v>
      </c>
      <c r="C7865" s="29" t="s">
        <v>24267</v>
      </c>
      <c r="D7865" s="29" t="s">
        <v>37541</v>
      </c>
      <c r="E7865" s="29" t="s">
        <v>49795</v>
      </c>
      <c r="F7865" s="36" t="s">
        <v>54406</v>
      </c>
      <c r="G7865" s="39">
        <v>6617939.5099999998</v>
      </c>
      <c r="H7865" s="42">
        <v>211</v>
      </c>
    </row>
    <row r="7866" spans="1:8" ht="15" customHeight="1">
      <c r="A7866" s="26">
        <v>79212883</v>
      </c>
      <c r="B7866" s="30" t="s">
        <v>10093</v>
      </c>
      <c r="C7866" s="29" t="s">
        <v>24268</v>
      </c>
      <c r="D7866" s="29" t="s">
        <v>37542</v>
      </c>
      <c r="E7866" s="29" t="s">
        <v>49796</v>
      </c>
      <c r="F7866" s="36" t="s">
        <v>54401</v>
      </c>
      <c r="G7866" s="39">
        <f>7333607.82+391837+618398</f>
        <v>8343842.8200000003</v>
      </c>
      <c r="H7866" s="42">
        <v>211</v>
      </c>
    </row>
    <row r="7867" spans="1:8" ht="15" customHeight="1">
      <c r="A7867" s="26">
        <v>79216055</v>
      </c>
      <c r="B7867" s="30" t="s">
        <v>10094</v>
      </c>
      <c r="C7867" s="26" t="s">
        <v>24269</v>
      </c>
      <c r="D7867" s="26" t="s">
        <v>37543</v>
      </c>
      <c r="E7867" s="26" t="s">
        <v>43926</v>
      </c>
      <c r="F7867" s="37" t="s">
        <v>54401</v>
      </c>
      <c r="G7867" s="39">
        <v>173820</v>
      </c>
      <c r="H7867" s="42">
        <v>211</v>
      </c>
    </row>
    <row r="7868" spans="1:8" ht="15" customHeight="1">
      <c r="A7868" s="26">
        <v>79217190</v>
      </c>
      <c r="B7868" s="30" t="s">
        <v>10095</v>
      </c>
      <c r="C7868" s="29" t="s">
        <v>17204</v>
      </c>
      <c r="D7868" s="29" t="s">
        <v>37544</v>
      </c>
      <c r="E7868" s="29" t="s">
        <v>43926</v>
      </c>
      <c r="F7868" s="36" t="s">
        <v>54401</v>
      </c>
      <c r="G7868" s="39">
        <v>148434.88</v>
      </c>
      <c r="H7868" s="42">
        <v>211</v>
      </c>
    </row>
    <row r="7869" spans="1:8" ht="15" customHeight="1">
      <c r="A7869" s="26">
        <v>79219660</v>
      </c>
      <c r="B7869" s="30" t="s">
        <v>10096</v>
      </c>
      <c r="C7869" s="29" t="s">
        <v>24270</v>
      </c>
      <c r="D7869" s="29" t="s">
        <v>37545</v>
      </c>
      <c r="E7869" s="29" t="s">
        <v>49797</v>
      </c>
      <c r="F7869" s="36" t="s">
        <v>54401</v>
      </c>
      <c r="G7869" s="39">
        <v>66684.2</v>
      </c>
      <c r="H7869" s="42">
        <v>211</v>
      </c>
    </row>
    <row r="7870" spans="1:8" ht="15" customHeight="1">
      <c r="A7870" s="26">
        <v>79235574</v>
      </c>
      <c r="B7870" s="30" t="s">
        <v>10097</v>
      </c>
      <c r="C7870" s="29" t="s">
        <v>24271</v>
      </c>
      <c r="D7870" s="29" t="s">
        <v>37546</v>
      </c>
      <c r="E7870" s="29" t="s">
        <v>49798</v>
      </c>
      <c r="F7870" s="36" t="s">
        <v>54401</v>
      </c>
      <c r="G7870" s="39">
        <v>305874.94</v>
      </c>
      <c r="H7870" s="42">
        <v>211</v>
      </c>
    </row>
    <row r="7871" spans="1:8" ht="15" customHeight="1">
      <c r="A7871" s="26">
        <v>79239425</v>
      </c>
      <c r="B7871" s="30" t="s">
        <v>10098</v>
      </c>
      <c r="C7871" s="29" t="s">
        <v>24272</v>
      </c>
      <c r="D7871" s="29" t="s">
        <v>37547</v>
      </c>
      <c r="E7871" s="29" t="s">
        <v>49799</v>
      </c>
      <c r="F7871" s="36" t="s">
        <v>54412</v>
      </c>
      <c r="G7871" s="39">
        <v>1513488.42</v>
      </c>
      <c r="H7871" s="42">
        <v>211</v>
      </c>
    </row>
    <row r="7872" spans="1:8" ht="15" customHeight="1">
      <c r="A7872" s="26">
        <v>79240043</v>
      </c>
      <c r="B7872" s="30" t="s">
        <v>10099</v>
      </c>
      <c r="C7872" s="29" t="s">
        <v>24273</v>
      </c>
      <c r="D7872" s="29" t="s">
        <v>37548</v>
      </c>
      <c r="E7872" s="29" t="s">
        <v>49800</v>
      </c>
      <c r="F7872" s="36" t="s">
        <v>54409</v>
      </c>
      <c r="G7872" s="39">
        <f>3686652.61+150578</f>
        <v>3837230.61</v>
      </c>
      <c r="H7872" s="42">
        <v>211</v>
      </c>
    </row>
    <row r="7873" spans="1:8" ht="15" customHeight="1">
      <c r="A7873" s="26">
        <v>79242448</v>
      </c>
      <c r="B7873" s="30" t="s">
        <v>10100</v>
      </c>
      <c r="C7873" s="29" t="s">
        <v>24274</v>
      </c>
      <c r="D7873" s="29" t="s">
        <v>37549</v>
      </c>
      <c r="E7873" s="29" t="s">
        <v>49801</v>
      </c>
      <c r="F7873" s="36" t="s">
        <v>54401</v>
      </c>
      <c r="G7873" s="39">
        <v>74732.67</v>
      </c>
      <c r="H7873" s="42">
        <v>211</v>
      </c>
    </row>
    <row r="7874" spans="1:8" ht="15" customHeight="1">
      <c r="A7874" s="26">
        <v>79246796</v>
      </c>
      <c r="B7874" s="30" t="s">
        <v>10101</v>
      </c>
      <c r="C7874" s="29" t="s">
        <v>24275</v>
      </c>
      <c r="D7874" s="29" t="s">
        <v>37550</v>
      </c>
      <c r="E7874" s="29" t="s">
        <v>49802</v>
      </c>
      <c r="F7874" s="36" t="s">
        <v>54401</v>
      </c>
      <c r="G7874" s="39">
        <v>514497.78</v>
      </c>
      <c r="H7874" s="42">
        <v>211</v>
      </c>
    </row>
    <row r="7875" spans="1:8" ht="15" customHeight="1">
      <c r="A7875" s="26">
        <v>79247245</v>
      </c>
      <c r="B7875" s="30" t="s">
        <v>10102</v>
      </c>
      <c r="C7875" s="29" t="s">
        <v>24276</v>
      </c>
      <c r="D7875" s="29" t="s">
        <v>30349</v>
      </c>
      <c r="E7875" s="29" t="s">
        <v>49803</v>
      </c>
      <c r="F7875" s="36" t="s">
        <v>54401</v>
      </c>
      <c r="G7875" s="39">
        <v>422266.71</v>
      </c>
      <c r="H7875" s="42">
        <v>211</v>
      </c>
    </row>
    <row r="7876" spans="1:8" ht="15" customHeight="1">
      <c r="A7876" s="26">
        <v>79261189</v>
      </c>
      <c r="B7876" s="30" t="s">
        <v>10103</v>
      </c>
      <c r="C7876" s="29" t="s">
        <v>24277</v>
      </c>
      <c r="D7876" s="29" t="s">
        <v>37551</v>
      </c>
      <c r="E7876" s="29" t="s">
        <v>44882</v>
      </c>
      <c r="F7876" s="36" t="s">
        <v>54401</v>
      </c>
      <c r="G7876" s="39">
        <v>578386.04</v>
      </c>
      <c r="H7876" s="42">
        <v>211</v>
      </c>
    </row>
    <row r="7877" spans="1:8" ht="15" customHeight="1">
      <c r="A7877" s="26">
        <v>79289203</v>
      </c>
      <c r="B7877" s="30" t="s">
        <v>10104</v>
      </c>
      <c r="C7877" s="29" t="s">
        <v>17204</v>
      </c>
      <c r="D7877" s="29" t="s">
        <v>37552</v>
      </c>
      <c r="E7877" s="29" t="s">
        <v>43926</v>
      </c>
      <c r="F7877" s="36" t="s">
        <v>54401</v>
      </c>
      <c r="G7877" s="39">
        <v>443446.89</v>
      </c>
      <c r="H7877" s="42">
        <v>211</v>
      </c>
    </row>
    <row r="7878" spans="1:8" ht="15" customHeight="1">
      <c r="A7878" s="26">
        <v>79291626</v>
      </c>
      <c r="B7878" s="30" t="s">
        <v>10105</v>
      </c>
      <c r="C7878" s="29" t="s">
        <v>24278</v>
      </c>
      <c r="D7878" s="29" t="s">
        <v>37553</v>
      </c>
      <c r="E7878" s="29" t="s">
        <v>43926</v>
      </c>
      <c r="F7878" s="36" t="s">
        <v>54401</v>
      </c>
      <c r="G7878" s="39">
        <v>858452.06</v>
      </c>
      <c r="H7878" s="42">
        <v>211</v>
      </c>
    </row>
    <row r="7879" spans="1:8" ht="15" customHeight="1">
      <c r="A7879" s="26">
        <v>79293367</v>
      </c>
      <c r="B7879" s="30" t="s">
        <v>10106</v>
      </c>
      <c r="C7879" s="29" t="s">
        <v>24279</v>
      </c>
      <c r="D7879" s="29" t="s">
        <v>37554</v>
      </c>
      <c r="E7879" s="29" t="s">
        <v>49804</v>
      </c>
      <c r="F7879" s="36" t="s">
        <v>54401</v>
      </c>
      <c r="G7879" s="39">
        <v>1255652.46</v>
      </c>
      <c r="H7879" s="42">
        <v>211</v>
      </c>
    </row>
    <row r="7880" spans="1:8" ht="15" customHeight="1">
      <c r="A7880" s="26">
        <v>79295075</v>
      </c>
      <c r="B7880" s="30" t="s">
        <v>10107</v>
      </c>
      <c r="C7880" s="29" t="s">
        <v>24280</v>
      </c>
      <c r="D7880" s="29" t="s">
        <v>37555</v>
      </c>
      <c r="E7880" s="29" t="s">
        <v>49805</v>
      </c>
      <c r="F7880" s="36" t="s">
        <v>54406</v>
      </c>
      <c r="G7880" s="39">
        <v>476584.33</v>
      </c>
      <c r="H7880" s="42">
        <v>211</v>
      </c>
    </row>
    <row r="7881" spans="1:8" ht="15" customHeight="1">
      <c r="A7881" s="26">
        <v>79298476</v>
      </c>
      <c r="B7881" s="30" t="s">
        <v>10108</v>
      </c>
      <c r="C7881" s="29" t="s">
        <v>20483</v>
      </c>
      <c r="D7881" s="29" t="s">
        <v>37556</v>
      </c>
      <c r="E7881" s="29" t="s">
        <v>49806</v>
      </c>
      <c r="F7881" s="36" t="s">
        <v>54401</v>
      </c>
      <c r="G7881" s="39">
        <v>817694.93</v>
      </c>
      <c r="H7881" s="42">
        <v>211</v>
      </c>
    </row>
    <row r="7882" spans="1:8" ht="15" customHeight="1">
      <c r="A7882" s="26">
        <v>79300256</v>
      </c>
      <c r="B7882" s="30" t="s">
        <v>10109</v>
      </c>
      <c r="C7882" s="29" t="s">
        <v>24281</v>
      </c>
      <c r="D7882" s="29" t="s">
        <v>37557</v>
      </c>
      <c r="E7882" s="29" t="s">
        <v>48756</v>
      </c>
      <c r="F7882" s="36" t="s">
        <v>54401</v>
      </c>
      <c r="G7882" s="39">
        <f>1379628.73+38823</f>
        <v>1418451.73</v>
      </c>
      <c r="H7882" s="42">
        <v>211</v>
      </c>
    </row>
    <row r="7883" spans="1:8" ht="15" customHeight="1">
      <c r="A7883" s="26">
        <v>79315141</v>
      </c>
      <c r="B7883" s="30" t="s">
        <v>10110</v>
      </c>
      <c r="C7883" s="26" t="s">
        <v>24282</v>
      </c>
      <c r="D7883" s="26" t="s">
        <v>37558</v>
      </c>
      <c r="E7883" s="26" t="s">
        <v>49807</v>
      </c>
      <c r="F7883" s="37" t="s">
        <v>54401</v>
      </c>
      <c r="G7883" s="39">
        <v>470782.04</v>
      </c>
      <c r="H7883" s="42">
        <v>211</v>
      </c>
    </row>
    <row r="7884" spans="1:8" ht="15" customHeight="1">
      <c r="A7884" s="26">
        <v>79320556</v>
      </c>
      <c r="B7884" s="30" t="s">
        <v>10111</v>
      </c>
      <c r="C7884" s="29" t="s">
        <v>24283</v>
      </c>
      <c r="D7884" s="29" t="s">
        <v>37559</v>
      </c>
      <c r="E7884" s="29" t="s">
        <v>43926</v>
      </c>
      <c r="F7884" s="36" t="s">
        <v>54401</v>
      </c>
      <c r="G7884" s="39">
        <v>827269.69</v>
      </c>
      <c r="H7884" s="42">
        <v>211</v>
      </c>
    </row>
    <row r="7885" spans="1:8" ht="15" customHeight="1">
      <c r="A7885" s="26">
        <v>79321558</v>
      </c>
      <c r="B7885" s="30" t="s">
        <v>10112</v>
      </c>
      <c r="C7885" s="29" t="s">
        <v>24284</v>
      </c>
      <c r="D7885" s="29" t="s">
        <v>37560</v>
      </c>
      <c r="E7885" s="29" t="s">
        <v>49808</v>
      </c>
      <c r="F7885" s="36" t="s">
        <v>54401</v>
      </c>
      <c r="G7885" s="39">
        <v>487478.97</v>
      </c>
      <c r="H7885" s="42">
        <v>211</v>
      </c>
    </row>
    <row r="7886" spans="1:8" ht="15" customHeight="1">
      <c r="A7886" s="26">
        <v>79323498</v>
      </c>
      <c r="B7886" s="30" t="s">
        <v>10113</v>
      </c>
      <c r="C7886" s="29" t="s">
        <v>24285</v>
      </c>
      <c r="D7886" s="29" t="s">
        <v>37561</v>
      </c>
      <c r="E7886" s="29" t="s">
        <v>49809</v>
      </c>
      <c r="F7886" s="36" t="s">
        <v>54401</v>
      </c>
      <c r="G7886" s="39">
        <v>599142.46</v>
      </c>
      <c r="H7886" s="42">
        <v>211</v>
      </c>
    </row>
    <row r="7887" spans="1:8" ht="15" customHeight="1">
      <c r="A7887" s="26">
        <v>79335256</v>
      </c>
      <c r="B7887" s="30" t="s">
        <v>10114</v>
      </c>
      <c r="C7887" s="29" t="s">
        <v>24286</v>
      </c>
      <c r="D7887" s="29" t="s">
        <v>37562</v>
      </c>
      <c r="E7887" s="29" t="s">
        <v>49810</v>
      </c>
      <c r="F7887" s="36" t="s">
        <v>54401</v>
      </c>
      <c r="G7887" s="39">
        <v>43750.94</v>
      </c>
      <c r="H7887" s="42">
        <v>211</v>
      </c>
    </row>
    <row r="7888" spans="1:8" ht="15" customHeight="1">
      <c r="A7888" s="26">
        <v>79340021</v>
      </c>
      <c r="B7888" s="30" t="s">
        <v>10115</v>
      </c>
      <c r="C7888" s="29" t="s">
        <v>24287</v>
      </c>
      <c r="D7888" s="29" t="s">
        <v>37563</v>
      </c>
      <c r="E7888" s="29" t="s">
        <v>49811</v>
      </c>
      <c r="F7888" s="36" t="s">
        <v>54401</v>
      </c>
      <c r="G7888" s="39">
        <v>73279.13</v>
      </c>
      <c r="H7888" s="42">
        <v>211</v>
      </c>
    </row>
    <row r="7889" spans="1:8" ht="15" customHeight="1">
      <c r="A7889" s="26">
        <v>79347427</v>
      </c>
      <c r="B7889" s="30" t="s">
        <v>10116</v>
      </c>
      <c r="C7889" s="29" t="s">
        <v>17204</v>
      </c>
      <c r="D7889" s="29" t="s">
        <v>37564</v>
      </c>
      <c r="E7889" s="29" t="s">
        <v>43926</v>
      </c>
      <c r="F7889" s="36" t="s">
        <v>54401</v>
      </c>
      <c r="G7889" s="39">
        <v>80916.5</v>
      </c>
      <c r="H7889" s="42">
        <v>211</v>
      </c>
    </row>
    <row r="7890" spans="1:8" ht="15" customHeight="1">
      <c r="A7890" s="26">
        <v>79366038</v>
      </c>
      <c r="B7890" s="30" t="s">
        <v>10117</v>
      </c>
      <c r="C7890" s="29" t="s">
        <v>24288</v>
      </c>
      <c r="D7890" s="29" t="s">
        <v>37565</v>
      </c>
      <c r="E7890" s="29" t="s">
        <v>49812</v>
      </c>
      <c r="F7890" s="36" t="s">
        <v>54401</v>
      </c>
      <c r="G7890" s="39">
        <f>4662327.02+199433</f>
        <v>4861760.0199999996</v>
      </c>
      <c r="H7890" s="42">
        <v>211</v>
      </c>
    </row>
    <row r="7891" spans="1:8" ht="15" customHeight="1">
      <c r="A7891" s="26">
        <v>79368503</v>
      </c>
      <c r="B7891" s="30" t="s">
        <v>10118</v>
      </c>
      <c r="C7891" s="29" t="s">
        <v>24289</v>
      </c>
      <c r="D7891" s="29" t="s">
        <v>37566</v>
      </c>
      <c r="E7891" s="29" t="s">
        <v>48370</v>
      </c>
      <c r="F7891" s="36" t="s">
        <v>54401</v>
      </c>
      <c r="G7891" s="39">
        <v>68774.94</v>
      </c>
      <c r="H7891" s="42">
        <v>211</v>
      </c>
    </row>
    <row r="7892" spans="1:8" ht="15" customHeight="1">
      <c r="A7892" s="26">
        <v>79371120</v>
      </c>
      <c r="B7892" s="30" t="s">
        <v>10119</v>
      </c>
      <c r="C7892" s="29" t="s">
        <v>24290</v>
      </c>
      <c r="D7892" s="29" t="s">
        <v>37567</v>
      </c>
      <c r="E7892" s="29" t="s">
        <v>49813</v>
      </c>
      <c r="F7892" s="36" t="s">
        <v>54401</v>
      </c>
      <c r="G7892" s="39">
        <v>480996.6</v>
      </c>
      <c r="H7892" s="42">
        <v>211</v>
      </c>
    </row>
    <row r="7893" spans="1:8" ht="15" customHeight="1">
      <c r="A7893" s="26">
        <v>79373748</v>
      </c>
      <c r="B7893" s="30" t="s">
        <v>10120</v>
      </c>
      <c r="C7893" s="29" t="s">
        <v>24291</v>
      </c>
      <c r="D7893" s="29" t="s">
        <v>37568</v>
      </c>
      <c r="E7893" s="29" t="s">
        <v>49814</v>
      </c>
      <c r="F7893" s="36" t="s">
        <v>54409</v>
      </c>
      <c r="G7893" s="39">
        <v>83392.789999999994</v>
      </c>
      <c r="H7893" s="42">
        <v>211</v>
      </c>
    </row>
    <row r="7894" spans="1:8" ht="15" customHeight="1">
      <c r="A7894" s="26">
        <v>79381014</v>
      </c>
      <c r="B7894" s="30" t="s">
        <v>10121</v>
      </c>
      <c r="C7894" s="29" t="s">
        <v>24292</v>
      </c>
      <c r="D7894" s="29" t="s">
        <v>37569</v>
      </c>
      <c r="E7894" s="29" t="s">
        <v>49815</v>
      </c>
      <c r="F7894" s="36" t="s">
        <v>54401</v>
      </c>
      <c r="G7894" s="39">
        <v>1906632.74</v>
      </c>
      <c r="H7894" s="42">
        <v>211</v>
      </c>
    </row>
    <row r="7895" spans="1:8" ht="15" customHeight="1">
      <c r="A7895" s="26">
        <v>79397647</v>
      </c>
      <c r="B7895" s="30" t="s">
        <v>10122</v>
      </c>
      <c r="C7895" s="26" t="s">
        <v>24293</v>
      </c>
      <c r="D7895" s="26" t="s">
        <v>37570</v>
      </c>
      <c r="E7895" s="26" t="s">
        <v>49816</v>
      </c>
      <c r="F7895" s="37" t="s">
        <v>54401</v>
      </c>
      <c r="G7895" s="39">
        <v>24016.51</v>
      </c>
      <c r="H7895" s="42">
        <v>211</v>
      </c>
    </row>
    <row r="7896" spans="1:8" ht="15" customHeight="1">
      <c r="A7896" s="26">
        <v>79397665</v>
      </c>
      <c r="B7896" s="30" t="s">
        <v>10123</v>
      </c>
      <c r="C7896" s="29" t="s">
        <v>24294</v>
      </c>
      <c r="D7896" s="29" t="s">
        <v>37571</v>
      </c>
      <c r="E7896" s="29" t="s">
        <v>49817</v>
      </c>
      <c r="F7896" s="36" t="s">
        <v>54401</v>
      </c>
      <c r="G7896" s="39">
        <v>193136.69</v>
      </c>
      <c r="H7896" s="42">
        <v>211</v>
      </c>
    </row>
    <row r="7897" spans="1:8" ht="15" customHeight="1">
      <c r="A7897" s="26">
        <v>79398424</v>
      </c>
      <c r="B7897" s="30" t="s">
        <v>10124</v>
      </c>
      <c r="C7897" s="29" t="s">
        <v>24295</v>
      </c>
      <c r="D7897" s="29" t="s">
        <v>37572</v>
      </c>
      <c r="E7897" s="29" t="s">
        <v>49818</v>
      </c>
      <c r="F7897" s="36" t="s">
        <v>54401</v>
      </c>
      <c r="G7897" s="39">
        <f>3959630.59-16403</f>
        <v>3943227.59</v>
      </c>
      <c r="H7897" s="42">
        <v>211</v>
      </c>
    </row>
    <row r="7898" spans="1:8" ht="15" customHeight="1">
      <c r="A7898" s="26">
        <v>79403699</v>
      </c>
      <c r="B7898" s="30" t="s">
        <v>10125</v>
      </c>
      <c r="C7898" s="29" t="s">
        <v>24296</v>
      </c>
      <c r="D7898" s="29" t="s">
        <v>37573</v>
      </c>
      <c r="E7898" s="29" t="s">
        <v>49819</v>
      </c>
      <c r="F7898" s="36" t="s">
        <v>54401</v>
      </c>
      <c r="G7898" s="39">
        <v>223019.55</v>
      </c>
      <c r="H7898" s="42">
        <v>211</v>
      </c>
    </row>
    <row r="7899" spans="1:8" ht="15" customHeight="1">
      <c r="A7899" s="26">
        <v>79404633</v>
      </c>
      <c r="B7899" s="30" t="s">
        <v>10126</v>
      </c>
      <c r="C7899" s="29" t="s">
        <v>24297</v>
      </c>
      <c r="D7899" s="29" t="s">
        <v>37574</v>
      </c>
      <c r="E7899" s="29" t="s">
        <v>49820</v>
      </c>
      <c r="F7899" s="36" t="s">
        <v>54401</v>
      </c>
      <c r="G7899" s="39">
        <v>286676.92</v>
      </c>
      <c r="H7899" s="42">
        <v>211</v>
      </c>
    </row>
    <row r="7900" spans="1:8" ht="15" customHeight="1">
      <c r="A7900" s="26">
        <v>79407277</v>
      </c>
      <c r="B7900" s="30" t="s">
        <v>10127</v>
      </c>
      <c r="C7900" s="29" t="s">
        <v>24298</v>
      </c>
      <c r="D7900" s="29" t="s">
        <v>37575</v>
      </c>
      <c r="E7900" s="29" t="s">
        <v>49821</v>
      </c>
      <c r="F7900" s="36" t="s">
        <v>54401</v>
      </c>
      <c r="G7900" s="39">
        <v>756492.53</v>
      </c>
      <c r="H7900" s="42">
        <v>211</v>
      </c>
    </row>
    <row r="7901" spans="1:8" ht="15" customHeight="1">
      <c r="A7901" s="26">
        <v>79409495</v>
      </c>
      <c r="B7901" s="30" t="s">
        <v>10128</v>
      </c>
      <c r="C7901" s="29" t="s">
        <v>24299</v>
      </c>
      <c r="D7901" s="29" t="s">
        <v>37576</v>
      </c>
      <c r="E7901" s="29" t="s">
        <v>49822</v>
      </c>
      <c r="F7901" s="36" t="s">
        <v>54412</v>
      </c>
      <c r="G7901" s="39">
        <v>215685.56</v>
      </c>
      <c r="H7901" s="42">
        <v>211</v>
      </c>
    </row>
    <row r="7902" spans="1:8" ht="15" customHeight="1">
      <c r="A7902" s="26">
        <v>79423624</v>
      </c>
      <c r="B7902" s="30" t="s">
        <v>10129</v>
      </c>
      <c r="C7902" s="29" t="s">
        <v>24300</v>
      </c>
      <c r="D7902" s="29" t="s">
        <v>37577</v>
      </c>
      <c r="E7902" s="29" t="s">
        <v>49823</v>
      </c>
      <c r="F7902" s="36" t="s">
        <v>54401</v>
      </c>
      <c r="G7902" s="39">
        <v>1384816.75</v>
      </c>
      <c r="H7902" s="42">
        <v>211</v>
      </c>
    </row>
    <row r="7903" spans="1:8" ht="15" customHeight="1">
      <c r="A7903" s="26">
        <v>79426722</v>
      </c>
      <c r="B7903" s="30" t="s">
        <v>10130</v>
      </c>
      <c r="C7903" s="29" t="s">
        <v>24301</v>
      </c>
      <c r="D7903" s="29" t="s">
        <v>37578</v>
      </c>
      <c r="E7903" s="29" t="s">
        <v>49824</v>
      </c>
      <c r="F7903" s="36" t="s">
        <v>54459</v>
      </c>
      <c r="G7903" s="39">
        <v>320192.25</v>
      </c>
      <c r="H7903" s="42">
        <v>211</v>
      </c>
    </row>
    <row r="7904" spans="1:8" ht="15" customHeight="1">
      <c r="A7904" s="26">
        <v>79430210</v>
      </c>
      <c r="B7904" s="30" t="s">
        <v>10131</v>
      </c>
      <c r="C7904" s="29" t="s">
        <v>24302</v>
      </c>
      <c r="D7904" s="29" t="s">
        <v>37579</v>
      </c>
      <c r="E7904" s="29" t="s">
        <v>49825</v>
      </c>
      <c r="F7904" s="36" t="s">
        <v>54401</v>
      </c>
      <c r="G7904" s="39">
        <v>454793.5</v>
      </c>
      <c r="H7904" s="42">
        <v>211</v>
      </c>
    </row>
    <row r="7905" spans="1:8" ht="15" customHeight="1">
      <c r="A7905" s="26">
        <v>79433915</v>
      </c>
      <c r="B7905" s="30" t="s">
        <v>10132</v>
      </c>
      <c r="C7905" s="29" t="s">
        <v>24303</v>
      </c>
      <c r="D7905" s="29" t="s">
        <v>37580</v>
      </c>
      <c r="E7905" s="29" t="s">
        <v>49826</v>
      </c>
      <c r="F7905" s="36" t="s">
        <v>54401</v>
      </c>
      <c r="G7905" s="39">
        <v>33907.56</v>
      </c>
      <c r="H7905" s="42">
        <v>211</v>
      </c>
    </row>
    <row r="7906" spans="1:8" ht="15" customHeight="1">
      <c r="A7906" s="26">
        <v>79436162</v>
      </c>
      <c r="B7906" s="30" t="s">
        <v>10133</v>
      </c>
      <c r="C7906" s="26" t="s">
        <v>24304</v>
      </c>
      <c r="D7906" s="26" t="s">
        <v>37581</v>
      </c>
      <c r="E7906" s="26" t="s">
        <v>49827</v>
      </c>
      <c r="F7906" s="37" t="s">
        <v>54401</v>
      </c>
      <c r="G7906" s="39">
        <v>3935918.6</v>
      </c>
      <c r="H7906" s="42">
        <v>211</v>
      </c>
    </row>
    <row r="7907" spans="1:8" ht="15" customHeight="1">
      <c r="A7907" s="26">
        <v>79436542</v>
      </c>
      <c r="B7907" s="30" t="s">
        <v>10134</v>
      </c>
      <c r="C7907" s="29" t="s">
        <v>24305</v>
      </c>
      <c r="D7907" s="29" t="s">
        <v>37582</v>
      </c>
      <c r="E7907" s="29" t="s">
        <v>49828</v>
      </c>
      <c r="F7907" s="36" t="s">
        <v>54401</v>
      </c>
      <c r="G7907" s="39">
        <v>380372.13</v>
      </c>
      <c r="H7907" s="42">
        <v>211</v>
      </c>
    </row>
    <row r="7908" spans="1:8" ht="15" customHeight="1">
      <c r="A7908" s="26">
        <v>79441345</v>
      </c>
      <c r="B7908" s="30" t="s">
        <v>10135</v>
      </c>
      <c r="C7908" s="29" t="s">
        <v>24306</v>
      </c>
      <c r="D7908" s="29" t="s">
        <v>37583</v>
      </c>
      <c r="E7908" s="29" t="s">
        <v>49829</v>
      </c>
      <c r="F7908" s="36" t="s">
        <v>54401</v>
      </c>
      <c r="G7908" s="39">
        <v>2047494.9</v>
      </c>
      <c r="H7908" s="42">
        <v>211</v>
      </c>
    </row>
    <row r="7909" spans="1:8" ht="15" customHeight="1">
      <c r="A7909" s="26">
        <v>79445944</v>
      </c>
      <c r="B7909" s="30" t="s">
        <v>10136</v>
      </c>
      <c r="C7909" s="29" t="s">
        <v>17204</v>
      </c>
      <c r="D7909" s="29" t="s">
        <v>30349</v>
      </c>
      <c r="E7909" s="29" t="s">
        <v>43926</v>
      </c>
      <c r="F7909" s="36" t="s">
        <v>54401</v>
      </c>
      <c r="G7909" s="39">
        <v>252241.17</v>
      </c>
      <c r="H7909" s="42">
        <v>211</v>
      </c>
    </row>
    <row r="7910" spans="1:8" ht="15" customHeight="1">
      <c r="A7910" s="26">
        <v>79446109</v>
      </c>
      <c r="B7910" s="30" t="s">
        <v>10137</v>
      </c>
      <c r="C7910" s="29" t="s">
        <v>24307</v>
      </c>
      <c r="D7910" s="29" t="s">
        <v>37584</v>
      </c>
      <c r="E7910" s="29" t="s">
        <v>49830</v>
      </c>
      <c r="F7910" s="36" t="s">
        <v>54401</v>
      </c>
      <c r="G7910" s="39">
        <v>17210.080000000002</v>
      </c>
      <c r="H7910" s="42">
        <v>211</v>
      </c>
    </row>
    <row r="7911" spans="1:8" ht="15" customHeight="1">
      <c r="A7911" s="26">
        <v>79446532</v>
      </c>
      <c r="B7911" s="30" t="s">
        <v>10138</v>
      </c>
      <c r="C7911" s="29" t="s">
        <v>24308</v>
      </c>
      <c r="D7911" s="29" t="s">
        <v>37585</v>
      </c>
      <c r="E7911" s="29" t="s">
        <v>44345</v>
      </c>
      <c r="F7911" s="36" t="s">
        <v>54401</v>
      </c>
      <c r="G7911" s="39">
        <v>188117.9</v>
      </c>
      <c r="H7911" s="42">
        <v>211</v>
      </c>
    </row>
    <row r="7912" spans="1:8" ht="15" customHeight="1">
      <c r="A7912" s="26">
        <v>79449090</v>
      </c>
      <c r="B7912" s="30" t="s">
        <v>10139</v>
      </c>
      <c r="C7912" s="29" t="s">
        <v>24309</v>
      </c>
      <c r="D7912" s="29" t="s">
        <v>37586</v>
      </c>
      <c r="E7912" s="29" t="s">
        <v>49831</v>
      </c>
      <c r="F7912" s="36" t="s">
        <v>54401</v>
      </c>
      <c r="G7912" s="39">
        <v>116265.72</v>
      </c>
      <c r="H7912" s="42">
        <v>211</v>
      </c>
    </row>
    <row r="7913" spans="1:8" ht="15" customHeight="1">
      <c r="A7913" s="26">
        <v>79455686</v>
      </c>
      <c r="B7913" s="30" t="s">
        <v>10140</v>
      </c>
      <c r="C7913" s="29" t="s">
        <v>24310</v>
      </c>
      <c r="D7913" s="29" t="s">
        <v>37587</v>
      </c>
      <c r="E7913" s="29" t="s">
        <v>49832</v>
      </c>
      <c r="F7913" s="36" t="s">
        <v>54401</v>
      </c>
      <c r="G7913" s="39">
        <v>2735661.58</v>
      </c>
      <c r="H7913" s="42">
        <v>211</v>
      </c>
    </row>
    <row r="7914" spans="1:8" ht="15" customHeight="1">
      <c r="A7914" s="26">
        <v>79455968</v>
      </c>
      <c r="B7914" s="30" t="s">
        <v>10141</v>
      </c>
      <c r="C7914" s="26" t="s">
        <v>17204</v>
      </c>
      <c r="D7914" s="26" t="s">
        <v>37588</v>
      </c>
      <c r="E7914" s="26" t="s">
        <v>49833</v>
      </c>
      <c r="F7914" s="37" t="s">
        <v>54401</v>
      </c>
      <c r="G7914" s="39">
        <v>119143.69</v>
      </c>
      <c r="H7914" s="42">
        <v>211</v>
      </c>
    </row>
    <row r="7915" spans="1:8" ht="15" customHeight="1">
      <c r="A7915" s="26">
        <v>79457699</v>
      </c>
      <c r="B7915" s="30" t="s">
        <v>10142</v>
      </c>
      <c r="C7915" s="29" t="s">
        <v>24311</v>
      </c>
      <c r="D7915" s="29" t="s">
        <v>37589</v>
      </c>
      <c r="E7915" s="29" t="s">
        <v>49834</v>
      </c>
      <c r="F7915" s="36" t="s">
        <v>54401</v>
      </c>
      <c r="G7915" s="39">
        <v>160386.56</v>
      </c>
      <c r="H7915" s="42">
        <v>211</v>
      </c>
    </row>
    <row r="7916" spans="1:8" ht="15" customHeight="1">
      <c r="A7916" s="26">
        <v>79468822</v>
      </c>
      <c r="B7916" s="30" t="s">
        <v>10143</v>
      </c>
      <c r="C7916" s="29" t="s">
        <v>24312</v>
      </c>
      <c r="D7916" s="29" t="s">
        <v>37590</v>
      </c>
      <c r="E7916" s="29" t="s">
        <v>44960</v>
      </c>
      <c r="F7916" s="36" t="s">
        <v>54401</v>
      </c>
      <c r="G7916" s="39">
        <v>1035588.06</v>
      </c>
      <c r="H7916" s="42">
        <v>211</v>
      </c>
    </row>
    <row r="7917" spans="1:8" ht="15" customHeight="1">
      <c r="A7917" s="26">
        <v>79471300</v>
      </c>
      <c r="B7917" s="30" t="s">
        <v>10144</v>
      </c>
      <c r="C7917" s="29" t="s">
        <v>24313</v>
      </c>
      <c r="D7917" s="29" t="s">
        <v>37591</v>
      </c>
      <c r="E7917" s="29" t="s">
        <v>49835</v>
      </c>
      <c r="F7917" s="36" t="s">
        <v>54401</v>
      </c>
      <c r="G7917" s="39">
        <v>145003.95000000001</v>
      </c>
      <c r="H7917" s="42">
        <v>211</v>
      </c>
    </row>
    <row r="7918" spans="1:8" ht="15" customHeight="1">
      <c r="A7918" s="26">
        <v>79472993</v>
      </c>
      <c r="B7918" s="30" t="s">
        <v>10145</v>
      </c>
      <c r="C7918" s="29" t="s">
        <v>24314</v>
      </c>
      <c r="D7918" s="29" t="s">
        <v>37592</v>
      </c>
      <c r="E7918" s="29" t="s">
        <v>45285</v>
      </c>
      <c r="F7918" s="36" t="s">
        <v>54401</v>
      </c>
      <c r="G7918" s="39">
        <f>6916422.01+291664</f>
        <v>7208086.0099999998</v>
      </c>
      <c r="H7918" s="42">
        <v>211</v>
      </c>
    </row>
    <row r="7919" spans="1:8" ht="15" customHeight="1">
      <c r="A7919" s="26">
        <v>79481220</v>
      </c>
      <c r="B7919" s="30" t="s">
        <v>10146</v>
      </c>
      <c r="C7919" s="29" t="s">
        <v>24315</v>
      </c>
      <c r="D7919" s="29" t="s">
        <v>37593</v>
      </c>
      <c r="E7919" s="29" t="s">
        <v>49836</v>
      </c>
      <c r="F7919" s="36" t="s">
        <v>54401</v>
      </c>
      <c r="G7919" s="39">
        <v>141063.70000000001</v>
      </c>
      <c r="H7919" s="42">
        <v>211</v>
      </c>
    </row>
    <row r="7920" spans="1:8" ht="15" customHeight="1">
      <c r="A7920" s="26">
        <v>79483919</v>
      </c>
      <c r="B7920" s="30" t="s">
        <v>10147</v>
      </c>
      <c r="C7920" s="29" t="s">
        <v>24316</v>
      </c>
      <c r="D7920" s="29" t="s">
        <v>37594</v>
      </c>
      <c r="E7920" s="29" t="s">
        <v>49837</v>
      </c>
      <c r="F7920" s="36" t="s">
        <v>54401</v>
      </c>
      <c r="G7920" s="39">
        <v>123878.77</v>
      </c>
      <c r="H7920" s="42">
        <v>211</v>
      </c>
    </row>
    <row r="7921" spans="1:8" ht="15" customHeight="1">
      <c r="A7921" s="26">
        <v>79486463</v>
      </c>
      <c r="B7921" s="30" t="s">
        <v>10148</v>
      </c>
      <c r="C7921" s="29" t="s">
        <v>24317</v>
      </c>
      <c r="D7921" s="29" t="s">
        <v>37595</v>
      </c>
      <c r="E7921" s="29" t="s">
        <v>49838</v>
      </c>
      <c r="F7921" s="36" t="s">
        <v>54401</v>
      </c>
      <c r="G7921" s="39">
        <v>22630.26</v>
      </c>
      <c r="H7921" s="42">
        <v>211</v>
      </c>
    </row>
    <row r="7922" spans="1:8" ht="15" customHeight="1">
      <c r="A7922" s="26">
        <v>79487830</v>
      </c>
      <c r="B7922" s="30" t="s">
        <v>10149</v>
      </c>
      <c r="C7922" s="29" t="s">
        <v>24318</v>
      </c>
      <c r="D7922" s="29" t="s">
        <v>37596</v>
      </c>
      <c r="E7922" s="29" t="s">
        <v>49839</v>
      </c>
      <c r="F7922" s="36" t="s">
        <v>54401</v>
      </c>
      <c r="G7922" s="39">
        <f>1351497.01+52786</f>
        <v>1404283.01</v>
      </c>
      <c r="H7922" s="42">
        <v>211</v>
      </c>
    </row>
    <row r="7923" spans="1:8" ht="15" customHeight="1">
      <c r="A7923" s="26">
        <v>79489651</v>
      </c>
      <c r="B7923" s="30" t="s">
        <v>10150</v>
      </c>
      <c r="C7923" s="29" t="s">
        <v>17204</v>
      </c>
      <c r="D7923" s="29" t="s">
        <v>37597</v>
      </c>
      <c r="E7923" s="29" t="s">
        <v>43926</v>
      </c>
      <c r="F7923" s="36" t="s">
        <v>54401</v>
      </c>
      <c r="G7923" s="39">
        <f>2086889.1+63611+58966</f>
        <v>2209466.1</v>
      </c>
      <c r="H7923" s="42">
        <v>211</v>
      </c>
    </row>
    <row r="7924" spans="1:8" ht="15" customHeight="1">
      <c r="A7924" s="26">
        <v>79494850</v>
      </c>
      <c r="B7924" s="30" t="s">
        <v>10151</v>
      </c>
      <c r="C7924" s="29" t="s">
        <v>24319</v>
      </c>
      <c r="D7924" s="29" t="s">
        <v>37598</v>
      </c>
      <c r="E7924" s="29" t="s">
        <v>49840</v>
      </c>
      <c r="F7924" s="36" t="s">
        <v>54401</v>
      </c>
      <c r="G7924" s="39">
        <v>2952913.84</v>
      </c>
      <c r="H7924" s="42">
        <v>211</v>
      </c>
    </row>
    <row r="7925" spans="1:8" ht="15" customHeight="1">
      <c r="A7925" s="26">
        <v>79502924</v>
      </c>
      <c r="B7925" s="30" t="s">
        <v>10152</v>
      </c>
      <c r="C7925" s="29" t="s">
        <v>24320</v>
      </c>
      <c r="D7925" s="29" t="s">
        <v>37599</v>
      </c>
      <c r="E7925" s="29" t="s">
        <v>870</v>
      </c>
      <c r="F7925" s="36" t="s">
        <v>54401</v>
      </c>
      <c r="G7925" s="39">
        <v>2281660.0699999998</v>
      </c>
      <c r="H7925" s="42">
        <v>211</v>
      </c>
    </row>
    <row r="7926" spans="1:8" ht="15" customHeight="1">
      <c r="A7926" s="26">
        <v>79509757</v>
      </c>
      <c r="B7926" s="30" t="s">
        <v>10153</v>
      </c>
      <c r="C7926" s="29" t="s">
        <v>24321</v>
      </c>
      <c r="D7926" s="29" t="s">
        <v>37600</v>
      </c>
      <c r="E7926" s="29" t="s">
        <v>49841</v>
      </c>
      <c r="F7926" s="36" t="s">
        <v>54401</v>
      </c>
      <c r="G7926" s="39">
        <v>347252.47</v>
      </c>
      <c r="H7926" s="42">
        <v>211</v>
      </c>
    </row>
    <row r="7927" spans="1:8" ht="15" customHeight="1">
      <c r="A7927" s="26">
        <v>79517102</v>
      </c>
      <c r="B7927" s="30" t="s">
        <v>10154</v>
      </c>
      <c r="C7927" s="29" t="s">
        <v>24322</v>
      </c>
      <c r="D7927" s="29" t="s">
        <v>37601</v>
      </c>
      <c r="E7927" s="29" t="s">
        <v>43926</v>
      </c>
      <c r="F7927" s="36" t="s">
        <v>54401</v>
      </c>
      <c r="G7927" s="39">
        <v>139373.51999999999</v>
      </c>
      <c r="H7927" s="42">
        <v>211</v>
      </c>
    </row>
    <row r="7928" spans="1:8" ht="15" customHeight="1">
      <c r="A7928" s="26">
        <v>79518472</v>
      </c>
      <c r="B7928" s="30" t="s">
        <v>10155</v>
      </c>
      <c r="C7928" s="29" t="s">
        <v>24323</v>
      </c>
      <c r="D7928" s="29" t="s">
        <v>37602</v>
      </c>
      <c r="E7928" s="29" t="s">
        <v>49842</v>
      </c>
      <c r="F7928" s="36" t="s">
        <v>54401</v>
      </c>
      <c r="G7928" s="39">
        <v>178052.57</v>
      </c>
      <c r="H7928" s="42">
        <v>211</v>
      </c>
    </row>
    <row r="7929" spans="1:8" ht="15" customHeight="1">
      <c r="A7929" s="26">
        <v>79519691</v>
      </c>
      <c r="B7929" s="30" t="s">
        <v>10156</v>
      </c>
      <c r="C7929" s="26" t="s">
        <v>24324</v>
      </c>
      <c r="D7929" s="26" t="s">
        <v>37603</v>
      </c>
      <c r="E7929" s="26" t="s">
        <v>49843</v>
      </c>
      <c r="F7929" s="37" t="s">
        <v>54401</v>
      </c>
      <c r="G7929" s="39">
        <v>3567125.31</v>
      </c>
      <c r="H7929" s="42">
        <v>211</v>
      </c>
    </row>
    <row r="7930" spans="1:8" ht="15" customHeight="1">
      <c r="A7930" s="26">
        <v>79519797</v>
      </c>
      <c r="B7930" s="30" t="s">
        <v>10157</v>
      </c>
      <c r="C7930" s="29" t="s">
        <v>24325</v>
      </c>
      <c r="D7930" s="29" t="s">
        <v>37604</v>
      </c>
      <c r="E7930" s="29" t="s">
        <v>49844</v>
      </c>
      <c r="F7930" s="36" t="s">
        <v>54401</v>
      </c>
      <c r="G7930" s="39">
        <v>322173.38</v>
      </c>
      <c r="H7930" s="42">
        <v>211</v>
      </c>
    </row>
    <row r="7931" spans="1:8" ht="15" customHeight="1">
      <c r="A7931" s="26">
        <v>79520546</v>
      </c>
      <c r="B7931" s="30" t="s">
        <v>10158</v>
      </c>
      <c r="C7931" s="29" t="s">
        <v>24326</v>
      </c>
      <c r="D7931" s="29" t="s">
        <v>37605</v>
      </c>
      <c r="E7931" s="29" t="s">
        <v>49845</v>
      </c>
      <c r="F7931" s="36" t="s">
        <v>54401</v>
      </c>
      <c r="G7931" s="39">
        <v>1641049.8</v>
      </c>
      <c r="H7931" s="42">
        <v>211</v>
      </c>
    </row>
    <row r="7932" spans="1:8" ht="15" customHeight="1">
      <c r="A7932" s="26">
        <v>79523293</v>
      </c>
      <c r="B7932" s="30" t="s">
        <v>10159</v>
      </c>
      <c r="C7932" s="29"/>
      <c r="D7932" s="29"/>
      <c r="E7932" s="29"/>
      <c r="F7932" s="36" t="s">
        <v>54410</v>
      </c>
      <c r="G7932" s="39">
        <v>158571.43</v>
      </c>
      <c r="H7932" s="42">
        <v>211</v>
      </c>
    </row>
    <row r="7933" spans="1:8" ht="15" customHeight="1">
      <c r="A7933" s="26">
        <v>79527633</v>
      </c>
      <c r="B7933" s="29" t="s">
        <v>10160</v>
      </c>
      <c r="C7933" s="29" t="s">
        <v>24327</v>
      </c>
      <c r="D7933" s="29" t="s">
        <v>37606</v>
      </c>
      <c r="E7933" s="29" t="s">
        <v>45697</v>
      </c>
      <c r="F7933" s="36" t="s">
        <v>54401</v>
      </c>
      <c r="G7933" s="39">
        <v>899084.76</v>
      </c>
      <c r="H7933" s="42">
        <v>211</v>
      </c>
    </row>
    <row r="7934" spans="1:8" ht="15" customHeight="1">
      <c r="A7934" s="26">
        <v>79527766</v>
      </c>
      <c r="B7934" s="29" t="s">
        <v>10161</v>
      </c>
      <c r="C7934" s="29" t="s">
        <v>24328</v>
      </c>
      <c r="D7934" s="29" t="s">
        <v>37607</v>
      </c>
      <c r="E7934" s="29" t="s">
        <v>49846</v>
      </c>
      <c r="F7934" s="36" t="s">
        <v>54444</v>
      </c>
      <c r="G7934" s="39">
        <f>14405973.55-540190</f>
        <v>13865783.550000001</v>
      </c>
      <c r="H7934" s="42">
        <v>211</v>
      </c>
    </row>
    <row r="7935" spans="1:8" ht="15" customHeight="1">
      <c r="A7935" s="26">
        <v>79529920</v>
      </c>
      <c r="B7935" s="29" t="s">
        <v>10162</v>
      </c>
      <c r="C7935" s="29" t="s">
        <v>24329</v>
      </c>
      <c r="D7935" s="29" t="s">
        <v>37608</v>
      </c>
      <c r="E7935" s="29" t="s">
        <v>44131</v>
      </c>
      <c r="F7935" s="36" t="s">
        <v>54401</v>
      </c>
      <c r="G7935" s="39">
        <f>32030.03+1239478</f>
        <v>1271508.03</v>
      </c>
      <c r="H7935" s="42">
        <v>211</v>
      </c>
    </row>
    <row r="7936" spans="1:8" ht="15" customHeight="1">
      <c r="A7936" s="26">
        <v>79541510</v>
      </c>
      <c r="B7936" s="29" t="s">
        <v>10163</v>
      </c>
      <c r="C7936" s="29" t="s">
        <v>24330</v>
      </c>
      <c r="D7936" s="29" t="s">
        <v>37609</v>
      </c>
      <c r="E7936" s="29" t="s">
        <v>49847</v>
      </c>
      <c r="F7936" s="36" t="s">
        <v>54401</v>
      </c>
      <c r="G7936" s="39">
        <v>508242.83</v>
      </c>
      <c r="H7936" s="42">
        <v>211</v>
      </c>
    </row>
    <row r="7937" spans="1:8" ht="15" customHeight="1">
      <c r="A7937" s="26">
        <v>79541576</v>
      </c>
      <c r="B7937" s="29" t="s">
        <v>10164</v>
      </c>
      <c r="C7937" s="29" t="s">
        <v>24331</v>
      </c>
      <c r="D7937" s="29" t="s">
        <v>37610</v>
      </c>
      <c r="E7937" s="29" t="s">
        <v>49848</v>
      </c>
      <c r="F7937" s="36" t="s">
        <v>54401</v>
      </c>
      <c r="G7937" s="39">
        <v>2411590.33</v>
      </c>
      <c r="H7937" s="42">
        <v>211</v>
      </c>
    </row>
    <row r="7938" spans="1:8" ht="15" customHeight="1">
      <c r="A7938" s="26">
        <v>79555440</v>
      </c>
      <c r="B7938" s="29" t="s">
        <v>10165</v>
      </c>
      <c r="C7938" s="29" t="s">
        <v>24332</v>
      </c>
      <c r="D7938" s="29" t="s">
        <v>37611</v>
      </c>
      <c r="E7938" s="29" t="s">
        <v>49849</v>
      </c>
      <c r="F7938" s="36" t="s">
        <v>54401</v>
      </c>
      <c r="G7938" s="39">
        <f>2880767.25+2676195</f>
        <v>5556962.25</v>
      </c>
      <c r="H7938" s="42">
        <v>211</v>
      </c>
    </row>
    <row r="7939" spans="1:8" ht="15" customHeight="1">
      <c r="A7939" s="26">
        <v>79556418</v>
      </c>
      <c r="B7939" s="29" t="s">
        <v>10166</v>
      </c>
      <c r="C7939" s="29" t="s">
        <v>17337</v>
      </c>
      <c r="D7939" s="29" t="s">
        <v>37612</v>
      </c>
      <c r="E7939" s="29" t="s">
        <v>43926</v>
      </c>
      <c r="F7939" s="36" t="s">
        <v>54401</v>
      </c>
      <c r="G7939" s="39">
        <v>53131.43</v>
      </c>
      <c r="H7939" s="42">
        <v>211</v>
      </c>
    </row>
    <row r="7940" spans="1:8" ht="15" customHeight="1">
      <c r="A7940" s="26">
        <v>79567948</v>
      </c>
      <c r="B7940" s="29" t="s">
        <v>10167</v>
      </c>
      <c r="C7940" s="29" t="s">
        <v>24333</v>
      </c>
      <c r="D7940" s="29" t="s">
        <v>37613</v>
      </c>
      <c r="E7940" s="29" t="s">
        <v>49850</v>
      </c>
      <c r="F7940" s="36" t="s">
        <v>54401</v>
      </c>
      <c r="G7940" s="39">
        <v>940495.85</v>
      </c>
      <c r="H7940" s="42">
        <v>211</v>
      </c>
    </row>
    <row r="7941" spans="1:8" ht="15" customHeight="1">
      <c r="A7941" s="26">
        <v>79568031</v>
      </c>
      <c r="B7941" s="29" t="s">
        <v>10168</v>
      </c>
      <c r="C7941" s="29" t="s">
        <v>24334</v>
      </c>
      <c r="D7941" s="29" t="s">
        <v>37614</v>
      </c>
      <c r="E7941" s="29" t="s">
        <v>49851</v>
      </c>
      <c r="F7941" s="36" t="s">
        <v>54401</v>
      </c>
      <c r="G7941" s="39">
        <v>93336.22</v>
      </c>
      <c r="H7941" s="42">
        <v>211</v>
      </c>
    </row>
    <row r="7942" spans="1:8" ht="15" customHeight="1">
      <c r="A7942" s="26">
        <v>79568410</v>
      </c>
      <c r="B7942" s="29" t="s">
        <v>10169</v>
      </c>
      <c r="C7942" s="29" t="s">
        <v>24335</v>
      </c>
      <c r="D7942" s="29" t="s">
        <v>37615</v>
      </c>
      <c r="E7942" s="29" t="s">
        <v>49852</v>
      </c>
      <c r="F7942" s="36" t="s">
        <v>54401</v>
      </c>
      <c r="G7942" s="39">
        <f>4198466.52+42488</f>
        <v>4240954.5199999996</v>
      </c>
      <c r="H7942" s="42">
        <v>211</v>
      </c>
    </row>
    <row r="7943" spans="1:8" ht="15" customHeight="1">
      <c r="A7943" s="26">
        <v>79572816</v>
      </c>
      <c r="B7943" s="29" t="s">
        <v>10170</v>
      </c>
      <c r="C7943" s="29" t="s">
        <v>24336</v>
      </c>
      <c r="D7943" s="29" t="s">
        <v>37616</v>
      </c>
      <c r="E7943" s="29" t="s">
        <v>49853</v>
      </c>
      <c r="F7943" s="36" t="s">
        <v>54401</v>
      </c>
      <c r="G7943" s="39">
        <v>160678.21</v>
      </c>
      <c r="H7943" s="42">
        <v>211</v>
      </c>
    </row>
    <row r="7944" spans="1:8" ht="15" customHeight="1">
      <c r="A7944" s="26">
        <v>79575169</v>
      </c>
      <c r="B7944" s="29" t="s">
        <v>10171</v>
      </c>
      <c r="C7944" s="29" t="s">
        <v>24337</v>
      </c>
      <c r="D7944" s="29" t="s">
        <v>37617</v>
      </c>
      <c r="E7944" s="29" t="s">
        <v>49854</v>
      </c>
      <c r="F7944" s="36" t="s">
        <v>54430</v>
      </c>
      <c r="G7944" s="39">
        <f>5210489.52-138577</f>
        <v>5071912.5199999996</v>
      </c>
      <c r="H7944" s="42">
        <v>211</v>
      </c>
    </row>
    <row r="7945" spans="1:8" ht="15" customHeight="1">
      <c r="A7945" s="26">
        <v>79584798</v>
      </c>
      <c r="B7945" s="29" t="s">
        <v>10172</v>
      </c>
      <c r="C7945" s="29" t="s">
        <v>24338</v>
      </c>
      <c r="D7945" s="29" t="s">
        <v>37618</v>
      </c>
      <c r="E7945" s="29" t="s">
        <v>44324</v>
      </c>
      <c r="F7945" s="36" t="s">
        <v>54401</v>
      </c>
      <c r="G7945" s="39">
        <v>167085.95000000001</v>
      </c>
      <c r="H7945" s="42">
        <v>211</v>
      </c>
    </row>
    <row r="7946" spans="1:8" ht="15" customHeight="1">
      <c r="A7946" s="26">
        <v>79586999</v>
      </c>
      <c r="B7946" s="29" t="s">
        <v>10173</v>
      </c>
      <c r="C7946" s="26" t="s">
        <v>17204</v>
      </c>
      <c r="D7946" s="26" t="s">
        <v>30349</v>
      </c>
      <c r="E7946" s="26" t="s">
        <v>43926</v>
      </c>
      <c r="F7946" s="37" t="s">
        <v>54401</v>
      </c>
      <c r="G7946" s="39">
        <v>30841.34</v>
      </c>
      <c r="H7946" s="42">
        <v>211</v>
      </c>
    </row>
    <row r="7947" spans="1:8" ht="15" customHeight="1">
      <c r="A7947" s="26">
        <v>79588621</v>
      </c>
      <c r="B7947" s="29" t="s">
        <v>10174</v>
      </c>
      <c r="C7947" s="29" t="s">
        <v>24339</v>
      </c>
      <c r="D7947" s="29" t="s">
        <v>37619</v>
      </c>
      <c r="E7947" s="29" t="s">
        <v>49855</v>
      </c>
      <c r="F7947" s="36" t="s">
        <v>54409</v>
      </c>
      <c r="G7947" s="39">
        <v>3177620.35</v>
      </c>
      <c r="H7947" s="42">
        <v>211</v>
      </c>
    </row>
    <row r="7948" spans="1:8" ht="15" customHeight="1">
      <c r="A7948" s="26">
        <v>79589898</v>
      </c>
      <c r="B7948" s="29" t="s">
        <v>10175</v>
      </c>
      <c r="C7948" s="29" t="s">
        <v>24340</v>
      </c>
      <c r="D7948" s="29" t="s">
        <v>37620</v>
      </c>
      <c r="E7948" s="29" t="s">
        <v>43926</v>
      </c>
      <c r="F7948" s="36" t="s">
        <v>54401</v>
      </c>
      <c r="G7948" s="39">
        <v>1037093.8</v>
      </c>
      <c r="H7948" s="42">
        <v>211</v>
      </c>
    </row>
    <row r="7949" spans="1:8" ht="15" customHeight="1">
      <c r="A7949" s="26">
        <v>79590731</v>
      </c>
      <c r="B7949" s="29" t="s">
        <v>10176</v>
      </c>
      <c r="C7949" s="29" t="s">
        <v>24341</v>
      </c>
      <c r="D7949" s="29" t="s">
        <v>37621</v>
      </c>
      <c r="E7949" s="29" t="s">
        <v>49856</v>
      </c>
      <c r="F7949" s="36" t="s">
        <v>54401</v>
      </c>
      <c r="G7949" s="39">
        <v>566217.88</v>
      </c>
      <c r="H7949" s="42">
        <v>211</v>
      </c>
    </row>
    <row r="7950" spans="1:8" ht="15" customHeight="1">
      <c r="A7950" s="26">
        <v>79591774</v>
      </c>
      <c r="B7950" s="29" t="s">
        <v>10177</v>
      </c>
      <c r="C7950" s="29" t="s">
        <v>24342</v>
      </c>
      <c r="D7950" s="29" t="s">
        <v>37622</v>
      </c>
      <c r="E7950" s="29" t="s">
        <v>49857</v>
      </c>
      <c r="F7950" s="36" t="s">
        <v>54441</v>
      </c>
      <c r="G7950" s="39">
        <f>3291227.56-212410</f>
        <v>3078817.56</v>
      </c>
      <c r="H7950" s="42">
        <v>211</v>
      </c>
    </row>
    <row r="7951" spans="1:8" ht="15" customHeight="1">
      <c r="A7951" s="26">
        <v>79597772</v>
      </c>
      <c r="B7951" s="29" t="s">
        <v>10178</v>
      </c>
      <c r="C7951" s="29" t="s">
        <v>24343</v>
      </c>
      <c r="D7951" s="29" t="s">
        <v>37623</v>
      </c>
      <c r="E7951" s="29" t="s">
        <v>46539</v>
      </c>
      <c r="F7951" s="36" t="s">
        <v>54401</v>
      </c>
      <c r="G7951" s="39">
        <v>71439.42</v>
      </c>
      <c r="H7951" s="42">
        <v>211</v>
      </c>
    </row>
    <row r="7952" spans="1:8" ht="15" customHeight="1">
      <c r="A7952" s="26">
        <v>79600820</v>
      </c>
      <c r="B7952" s="29" t="s">
        <v>10179</v>
      </c>
      <c r="C7952" s="29" t="s">
        <v>24344</v>
      </c>
      <c r="D7952" s="29" t="s">
        <v>37624</v>
      </c>
      <c r="E7952" s="29" t="s">
        <v>49858</v>
      </c>
      <c r="F7952" s="36" t="s">
        <v>54401</v>
      </c>
      <c r="G7952" s="39">
        <v>328382.43</v>
      </c>
      <c r="H7952" s="42">
        <v>211</v>
      </c>
    </row>
    <row r="7953" spans="1:8" ht="15" customHeight="1">
      <c r="A7953" s="26">
        <v>79601412</v>
      </c>
      <c r="B7953" s="29" t="s">
        <v>10180</v>
      </c>
      <c r="C7953" s="29" t="s">
        <v>24345</v>
      </c>
      <c r="D7953" s="29" t="s">
        <v>37625</v>
      </c>
      <c r="E7953" s="29" t="s">
        <v>49859</v>
      </c>
      <c r="F7953" s="36" t="s">
        <v>54401</v>
      </c>
      <c r="G7953" s="39">
        <v>460104</v>
      </c>
      <c r="H7953" s="42">
        <v>211</v>
      </c>
    </row>
    <row r="7954" spans="1:8" ht="15" customHeight="1">
      <c r="A7954" s="26">
        <v>79622174</v>
      </c>
      <c r="B7954" s="29" t="s">
        <v>10181</v>
      </c>
      <c r="C7954" s="29" t="s">
        <v>24346</v>
      </c>
      <c r="D7954" s="29" t="s">
        <v>37626</v>
      </c>
      <c r="E7954" s="29" t="s">
        <v>49860</v>
      </c>
      <c r="F7954" s="36" t="s">
        <v>54401</v>
      </c>
      <c r="G7954" s="39">
        <v>1367706.6</v>
      </c>
      <c r="H7954" s="42">
        <v>211</v>
      </c>
    </row>
    <row r="7955" spans="1:8" ht="15" customHeight="1">
      <c r="A7955" s="26">
        <v>79623683</v>
      </c>
      <c r="B7955" s="29" t="s">
        <v>10182</v>
      </c>
      <c r="C7955" s="29" t="s">
        <v>24347</v>
      </c>
      <c r="D7955" s="29" t="s">
        <v>37627</v>
      </c>
      <c r="E7955" s="29" t="s">
        <v>49861</v>
      </c>
      <c r="F7955" s="36" t="s">
        <v>54401</v>
      </c>
      <c r="G7955" s="39">
        <v>193485.08</v>
      </c>
      <c r="H7955" s="42">
        <v>211</v>
      </c>
    </row>
    <row r="7956" spans="1:8" ht="15" customHeight="1">
      <c r="A7956" s="26">
        <v>79632258</v>
      </c>
      <c r="B7956" s="29" t="s">
        <v>10183</v>
      </c>
      <c r="C7956" s="29" t="s">
        <v>24348</v>
      </c>
      <c r="D7956" s="29" t="s">
        <v>37628</v>
      </c>
      <c r="E7956" s="29" t="s">
        <v>49862</v>
      </c>
      <c r="F7956" s="36" t="s">
        <v>54401</v>
      </c>
      <c r="G7956" s="39">
        <f>2836974.68+235189</f>
        <v>3072163.68</v>
      </c>
      <c r="H7956" s="42">
        <v>211</v>
      </c>
    </row>
    <row r="7957" spans="1:8" ht="15" customHeight="1">
      <c r="A7957" s="26">
        <v>79638737</v>
      </c>
      <c r="B7957" s="29" t="s">
        <v>10184</v>
      </c>
      <c r="C7957" s="29" t="s">
        <v>24349</v>
      </c>
      <c r="D7957" s="29" t="s">
        <v>37629</v>
      </c>
      <c r="E7957" s="29" t="s">
        <v>49863</v>
      </c>
      <c r="F7957" s="36" t="s">
        <v>54401</v>
      </c>
      <c r="G7957" s="39">
        <v>187400.43</v>
      </c>
      <c r="H7957" s="42">
        <v>211</v>
      </c>
    </row>
    <row r="7958" spans="1:8" ht="15" customHeight="1">
      <c r="A7958" s="26">
        <v>79648323</v>
      </c>
      <c r="B7958" s="29" t="s">
        <v>10185</v>
      </c>
      <c r="C7958" s="29" t="s">
        <v>24350</v>
      </c>
      <c r="D7958" s="29" t="s">
        <v>37630</v>
      </c>
      <c r="E7958" s="29" t="s">
        <v>49864</v>
      </c>
      <c r="F7958" s="36" t="s">
        <v>54401</v>
      </c>
      <c r="G7958" s="39">
        <f>4296771.06+381594</f>
        <v>4678365.0599999996</v>
      </c>
      <c r="H7958" s="42">
        <v>211</v>
      </c>
    </row>
    <row r="7959" spans="1:8" ht="15" customHeight="1">
      <c r="A7959" s="26">
        <v>79658051</v>
      </c>
      <c r="B7959" s="29" t="s">
        <v>10186</v>
      </c>
      <c r="C7959" s="29" t="s">
        <v>24351</v>
      </c>
      <c r="D7959" s="29" t="s">
        <v>37631</v>
      </c>
      <c r="E7959" s="29" t="s">
        <v>49865</v>
      </c>
      <c r="F7959" s="36" t="s">
        <v>54401</v>
      </c>
      <c r="G7959" s="39">
        <f>4396889.37+645482</f>
        <v>5042371.37</v>
      </c>
      <c r="H7959" s="42">
        <v>211</v>
      </c>
    </row>
    <row r="7960" spans="1:8" ht="15" customHeight="1">
      <c r="A7960" s="26">
        <v>79659497</v>
      </c>
      <c r="B7960" s="29" t="s">
        <v>10187</v>
      </c>
      <c r="C7960" s="29" t="s">
        <v>24352</v>
      </c>
      <c r="D7960" s="29" t="s">
        <v>37632</v>
      </c>
      <c r="E7960" s="29" t="s">
        <v>49866</v>
      </c>
      <c r="F7960" s="36" t="s">
        <v>54412</v>
      </c>
      <c r="G7960" s="39">
        <v>68870.83</v>
      </c>
      <c r="H7960" s="42">
        <v>211</v>
      </c>
    </row>
    <row r="7961" spans="1:8" ht="15" customHeight="1">
      <c r="A7961" s="26">
        <v>79669190</v>
      </c>
      <c r="B7961" s="29" t="s">
        <v>10188</v>
      </c>
      <c r="C7961" s="29" t="s">
        <v>24353</v>
      </c>
      <c r="D7961" s="29" t="s">
        <v>37633</v>
      </c>
      <c r="E7961" s="29" t="s">
        <v>49867</v>
      </c>
      <c r="F7961" s="36" t="s">
        <v>54428</v>
      </c>
      <c r="G7961" s="39">
        <v>174634.01</v>
      </c>
      <c r="H7961" s="42">
        <v>211</v>
      </c>
    </row>
    <row r="7962" spans="1:8" ht="15" customHeight="1">
      <c r="A7962" s="26">
        <v>79689112</v>
      </c>
      <c r="B7962" s="29" t="s">
        <v>10189</v>
      </c>
      <c r="C7962" s="29" t="s">
        <v>24354</v>
      </c>
      <c r="D7962" s="29" t="s">
        <v>37634</v>
      </c>
      <c r="E7962" s="29" t="s">
        <v>49868</v>
      </c>
      <c r="F7962" s="36" t="s">
        <v>54401</v>
      </c>
      <c r="G7962" s="39">
        <f>2593133.68+112128+189775+218985+264233</f>
        <v>3378254.68</v>
      </c>
      <c r="H7962" s="42">
        <v>211</v>
      </c>
    </row>
    <row r="7963" spans="1:8" ht="15" customHeight="1">
      <c r="A7963" s="26">
        <v>79691374</v>
      </c>
      <c r="B7963" s="29" t="s">
        <v>10190</v>
      </c>
      <c r="C7963" s="29" t="s">
        <v>17204</v>
      </c>
      <c r="D7963" s="29" t="s">
        <v>30349</v>
      </c>
      <c r="E7963" s="29" t="s">
        <v>43926</v>
      </c>
      <c r="F7963" s="36" t="s">
        <v>54401</v>
      </c>
      <c r="G7963" s="39">
        <v>286716.95</v>
      </c>
      <c r="H7963" s="42">
        <v>211</v>
      </c>
    </row>
    <row r="7964" spans="1:8" ht="15" customHeight="1">
      <c r="A7964" s="26">
        <v>79693950</v>
      </c>
      <c r="B7964" s="29" t="s">
        <v>10191</v>
      </c>
      <c r="C7964" s="29" t="s">
        <v>24355</v>
      </c>
      <c r="D7964" s="29" t="s">
        <v>37635</v>
      </c>
      <c r="E7964" s="29" t="s">
        <v>44412</v>
      </c>
      <c r="F7964" s="36" t="s">
        <v>54401</v>
      </c>
      <c r="G7964" s="39">
        <v>1921825.61</v>
      </c>
      <c r="H7964" s="42">
        <v>211</v>
      </c>
    </row>
    <row r="7965" spans="1:8" ht="15" customHeight="1">
      <c r="A7965" s="26">
        <v>79694541</v>
      </c>
      <c r="B7965" s="29" t="s">
        <v>10192</v>
      </c>
      <c r="C7965" s="29" t="s">
        <v>24356</v>
      </c>
      <c r="D7965" s="29" t="s">
        <v>37636</v>
      </c>
      <c r="E7965" s="29" t="s">
        <v>49869</v>
      </c>
      <c r="F7965" s="36" t="s">
        <v>54412</v>
      </c>
      <c r="G7965" s="39">
        <v>34666.51</v>
      </c>
      <c r="H7965" s="42">
        <v>211</v>
      </c>
    </row>
    <row r="7966" spans="1:8" ht="15" customHeight="1">
      <c r="A7966" s="26">
        <v>79695280</v>
      </c>
      <c r="B7966" s="29" t="s">
        <v>10193</v>
      </c>
      <c r="C7966" s="29" t="s">
        <v>24357</v>
      </c>
      <c r="D7966" s="29" t="s">
        <v>37637</v>
      </c>
      <c r="E7966" s="29" t="s">
        <v>49870</v>
      </c>
      <c r="F7966" s="36" t="s">
        <v>54401</v>
      </c>
      <c r="G7966" s="39">
        <v>39184.870000000003</v>
      </c>
      <c r="H7966" s="42">
        <v>211</v>
      </c>
    </row>
    <row r="7967" spans="1:8" ht="15" customHeight="1">
      <c r="A7967" s="26">
        <v>79698773</v>
      </c>
      <c r="B7967" s="29" t="s">
        <v>10194</v>
      </c>
      <c r="C7967" s="29" t="s">
        <v>24358</v>
      </c>
      <c r="D7967" s="29" t="s">
        <v>37638</v>
      </c>
      <c r="E7967" s="29" t="s">
        <v>49871</v>
      </c>
      <c r="F7967" s="36" t="s">
        <v>54401</v>
      </c>
      <c r="G7967" s="39">
        <v>161215.15</v>
      </c>
      <c r="H7967" s="42">
        <v>211</v>
      </c>
    </row>
    <row r="7968" spans="1:8" ht="15" customHeight="1">
      <c r="A7968" s="26">
        <v>79700982</v>
      </c>
      <c r="B7968" s="29" t="s">
        <v>10195</v>
      </c>
      <c r="C7968" s="29" t="s">
        <v>24359</v>
      </c>
      <c r="D7968" s="29" t="s">
        <v>37639</v>
      </c>
      <c r="E7968" s="29" t="s">
        <v>45314</v>
      </c>
      <c r="F7968" s="36" t="s">
        <v>54401</v>
      </c>
      <c r="G7968" s="39">
        <v>334463.13</v>
      </c>
      <c r="H7968" s="42">
        <v>211</v>
      </c>
    </row>
    <row r="7969" spans="1:8" ht="15" customHeight="1">
      <c r="A7969" s="26">
        <v>79709304</v>
      </c>
      <c r="B7969" s="29" t="s">
        <v>10196</v>
      </c>
      <c r="C7969" s="29" t="s">
        <v>24360</v>
      </c>
      <c r="D7969" s="29" t="s">
        <v>37640</v>
      </c>
      <c r="E7969" s="29" t="s">
        <v>49872</v>
      </c>
      <c r="F7969" s="36" t="s">
        <v>54401</v>
      </c>
      <c r="G7969" s="39">
        <v>44090.54</v>
      </c>
      <c r="H7969" s="42">
        <v>211</v>
      </c>
    </row>
    <row r="7970" spans="1:8" ht="15" customHeight="1">
      <c r="A7970" s="26">
        <v>79711794</v>
      </c>
      <c r="B7970" s="29" t="s">
        <v>10197</v>
      </c>
      <c r="C7970" s="29" t="s">
        <v>17204</v>
      </c>
      <c r="D7970" s="29" t="s">
        <v>30349</v>
      </c>
      <c r="E7970" s="29" t="s">
        <v>43926</v>
      </c>
      <c r="F7970" s="36" t="s">
        <v>54401</v>
      </c>
      <c r="G7970" s="39">
        <v>68584.039999999994</v>
      </c>
      <c r="H7970" s="42">
        <v>211</v>
      </c>
    </row>
    <row r="7971" spans="1:8" ht="15" customHeight="1">
      <c r="A7971" s="26">
        <v>79711887</v>
      </c>
      <c r="B7971" s="29" t="s">
        <v>10198</v>
      </c>
      <c r="C7971" s="29" t="s">
        <v>24361</v>
      </c>
      <c r="D7971" s="29" t="s">
        <v>37641</v>
      </c>
      <c r="E7971" s="29" t="s">
        <v>49873</v>
      </c>
      <c r="F7971" s="36" t="s">
        <v>54420</v>
      </c>
      <c r="G7971" s="39">
        <f>85562.35+2424542+124041</f>
        <v>2634145.35</v>
      </c>
      <c r="H7971" s="42">
        <v>211</v>
      </c>
    </row>
    <row r="7972" spans="1:8" ht="15" customHeight="1">
      <c r="A7972" s="26">
        <v>79714639</v>
      </c>
      <c r="B7972" s="29" t="s">
        <v>10199</v>
      </c>
      <c r="C7972" s="29" t="s">
        <v>24362</v>
      </c>
      <c r="D7972" s="29" t="s">
        <v>37642</v>
      </c>
      <c r="E7972" s="29" t="s">
        <v>49874</v>
      </c>
      <c r="F7972" s="36" t="s">
        <v>54401</v>
      </c>
      <c r="G7972" s="39">
        <v>15848.74</v>
      </c>
      <c r="H7972" s="42">
        <v>211</v>
      </c>
    </row>
    <row r="7973" spans="1:8" ht="15" customHeight="1">
      <c r="A7973" s="26">
        <v>79715802</v>
      </c>
      <c r="B7973" s="29" t="s">
        <v>10200</v>
      </c>
      <c r="C7973" s="26" t="s">
        <v>24363</v>
      </c>
      <c r="D7973" s="26" t="s">
        <v>37643</v>
      </c>
      <c r="E7973" s="26" t="s">
        <v>49875</v>
      </c>
      <c r="F7973" s="37" t="s">
        <v>54401</v>
      </c>
      <c r="G7973" s="39">
        <v>108142.49</v>
      </c>
      <c r="H7973" s="42">
        <v>211</v>
      </c>
    </row>
    <row r="7974" spans="1:8" ht="15" customHeight="1">
      <c r="A7974" s="26">
        <v>79719254</v>
      </c>
      <c r="B7974" s="29" t="s">
        <v>10201</v>
      </c>
      <c r="C7974" s="29" t="s">
        <v>24364</v>
      </c>
      <c r="D7974" s="29" t="s">
        <v>37644</v>
      </c>
      <c r="E7974" s="29" t="s">
        <v>49876</v>
      </c>
      <c r="F7974" s="36" t="s">
        <v>54401</v>
      </c>
      <c r="G7974" s="39">
        <f>3081272.92+108348</f>
        <v>3189620.92</v>
      </c>
      <c r="H7974" s="42">
        <v>211</v>
      </c>
    </row>
    <row r="7975" spans="1:8" ht="15" customHeight="1">
      <c r="A7975" s="26">
        <v>79723190</v>
      </c>
      <c r="B7975" s="29" t="s">
        <v>10202</v>
      </c>
      <c r="C7975" s="29" t="s">
        <v>24365</v>
      </c>
      <c r="D7975" s="29" t="s">
        <v>37645</v>
      </c>
      <c r="E7975" s="29" t="s">
        <v>49877</v>
      </c>
      <c r="F7975" s="36" t="s">
        <v>54401</v>
      </c>
      <c r="G7975" s="39">
        <v>137821.48000000001</v>
      </c>
      <c r="H7975" s="42">
        <v>211</v>
      </c>
    </row>
    <row r="7976" spans="1:8" ht="15" customHeight="1">
      <c r="A7976" s="26">
        <v>79723776</v>
      </c>
      <c r="B7976" s="29" t="s">
        <v>10203</v>
      </c>
      <c r="C7976" s="29" t="s">
        <v>24366</v>
      </c>
      <c r="D7976" s="29" t="s">
        <v>37646</v>
      </c>
      <c r="E7976" s="29" t="s">
        <v>49878</v>
      </c>
      <c r="F7976" s="36" t="s">
        <v>54412</v>
      </c>
      <c r="G7976" s="39">
        <v>100136.85</v>
      </c>
      <c r="H7976" s="42">
        <v>211</v>
      </c>
    </row>
    <row r="7977" spans="1:8" ht="15" customHeight="1">
      <c r="A7977" s="26">
        <v>79732856</v>
      </c>
      <c r="B7977" s="29" t="s">
        <v>10204</v>
      </c>
      <c r="C7977" s="29" t="s">
        <v>24367</v>
      </c>
      <c r="D7977" s="29" t="s">
        <v>37647</v>
      </c>
      <c r="E7977" s="29" t="s">
        <v>49223</v>
      </c>
      <c r="F7977" s="36" t="s">
        <v>54401</v>
      </c>
      <c r="G7977" s="39">
        <v>802428.19</v>
      </c>
      <c r="H7977" s="42">
        <v>211</v>
      </c>
    </row>
    <row r="7978" spans="1:8" ht="15" customHeight="1">
      <c r="A7978" s="26">
        <v>79739933</v>
      </c>
      <c r="B7978" s="29" t="s">
        <v>10205</v>
      </c>
      <c r="C7978" s="29" t="s">
        <v>24368</v>
      </c>
      <c r="D7978" s="29" t="s">
        <v>37648</v>
      </c>
      <c r="E7978" s="29" t="s">
        <v>49879</v>
      </c>
      <c r="F7978" s="36" t="s">
        <v>54401</v>
      </c>
      <c r="G7978" s="39">
        <v>388608.14</v>
      </c>
      <c r="H7978" s="42">
        <v>211</v>
      </c>
    </row>
    <row r="7979" spans="1:8" ht="15" customHeight="1">
      <c r="A7979" s="26">
        <v>79745807</v>
      </c>
      <c r="B7979" s="29" t="s">
        <v>10206</v>
      </c>
      <c r="C7979" s="29" t="s">
        <v>24369</v>
      </c>
      <c r="D7979" s="29" t="s">
        <v>37649</v>
      </c>
      <c r="E7979" s="29" t="s">
        <v>49880</v>
      </c>
      <c r="F7979" s="36" t="s">
        <v>54401</v>
      </c>
      <c r="G7979" s="39">
        <v>44518.41</v>
      </c>
      <c r="H7979" s="42">
        <v>211</v>
      </c>
    </row>
    <row r="7980" spans="1:8" ht="15" customHeight="1">
      <c r="A7980" s="26">
        <v>79750809</v>
      </c>
      <c r="B7980" s="29" t="s">
        <v>10207</v>
      </c>
      <c r="C7980" s="29" t="s">
        <v>24370</v>
      </c>
      <c r="D7980" s="29" t="s">
        <v>37650</v>
      </c>
      <c r="E7980" s="29" t="s">
        <v>49881</v>
      </c>
      <c r="F7980" s="36" t="s">
        <v>54401</v>
      </c>
      <c r="G7980" s="39">
        <v>150778.06</v>
      </c>
      <c r="H7980" s="42">
        <v>211</v>
      </c>
    </row>
    <row r="7981" spans="1:8" ht="15" customHeight="1">
      <c r="A7981" s="26">
        <v>79754464</v>
      </c>
      <c r="B7981" s="29" t="s">
        <v>10208</v>
      </c>
      <c r="C7981" s="29" t="s">
        <v>24371</v>
      </c>
      <c r="D7981" s="29" t="s">
        <v>37651</v>
      </c>
      <c r="E7981" s="29" t="s">
        <v>49882</v>
      </c>
      <c r="F7981" s="36" t="s">
        <v>54401</v>
      </c>
      <c r="G7981" s="39">
        <v>312485.89</v>
      </c>
      <c r="H7981" s="42">
        <v>211</v>
      </c>
    </row>
    <row r="7982" spans="1:8" ht="15" customHeight="1">
      <c r="A7982" s="26">
        <v>79754572</v>
      </c>
      <c r="B7982" s="29" t="s">
        <v>10209</v>
      </c>
      <c r="C7982" s="29" t="s">
        <v>24372</v>
      </c>
      <c r="D7982" s="29" t="s">
        <v>37652</v>
      </c>
      <c r="E7982" s="29" t="s">
        <v>49883</v>
      </c>
      <c r="F7982" s="36" t="s">
        <v>54401</v>
      </c>
      <c r="G7982" s="39">
        <v>6775359.2999999998</v>
      </c>
      <c r="H7982" s="42">
        <v>211</v>
      </c>
    </row>
    <row r="7983" spans="1:8" ht="15" customHeight="1">
      <c r="A7983" s="26">
        <v>79758468</v>
      </c>
      <c r="B7983" s="29" t="s">
        <v>10210</v>
      </c>
      <c r="C7983" s="29" t="s">
        <v>24373</v>
      </c>
      <c r="D7983" s="29" t="s">
        <v>37653</v>
      </c>
      <c r="E7983" s="29" t="s">
        <v>46576</v>
      </c>
      <c r="F7983" s="36" t="s">
        <v>54401</v>
      </c>
      <c r="G7983" s="39">
        <f>5328578.13-64900</f>
        <v>5263678.13</v>
      </c>
      <c r="H7983" s="42">
        <v>211</v>
      </c>
    </row>
    <row r="7984" spans="1:8" ht="15" customHeight="1">
      <c r="A7984" s="26">
        <v>79759801</v>
      </c>
      <c r="B7984" s="29" t="s">
        <v>10211</v>
      </c>
      <c r="C7984" s="26" t="s">
        <v>24374</v>
      </c>
      <c r="D7984" s="26" t="s">
        <v>37654</v>
      </c>
      <c r="E7984" s="26" t="s">
        <v>49884</v>
      </c>
      <c r="F7984" s="37" t="s">
        <v>54401</v>
      </c>
      <c r="G7984" s="39">
        <v>88988.57</v>
      </c>
      <c r="H7984" s="42">
        <v>211</v>
      </c>
    </row>
    <row r="7985" spans="1:8" ht="15" customHeight="1">
      <c r="A7985" s="26">
        <v>79761797</v>
      </c>
      <c r="B7985" s="29" t="s">
        <v>10212</v>
      </c>
      <c r="C7985" s="29" t="s">
        <v>24375</v>
      </c>
      <c r="D7985" s="29" t="s">
        <v>37655</v>
      </c>
      <c r="E7985" s="29" t="s">
        <v>43926</v>
      </c>
      <c r="F7985" s="36" t="s">
        <v>54401</v>
      </c>
      <c r="G7985" s="39">
        <v>2480494.04</v>
      </c>
      <c r="H7985" s="42">
        <v>211</v>
      </c>
    </row>
    <row r="7986" spans="1:8" ht="15" customHeight="1">
      <c r="A7986" s="26">
        <v>79766976</v>
      </c>
      <c r="B7986" s="29" t="s">
        <v>10213</v>
      </c>
      <c r="C7986" s="29" t="s">
        <v>24376</v>
      </c>
      <c r="D7986" s="29" t="s">
        <v>37656</v>
      </c>
      <c r="E7986" s="29" t="s">
        <v>49885</v>
      </c>
      <c r="F7986" s="36" t="s">
        <v>54401</v>
      </c>
      <c r="G7986" s="39">
        <v>332923.46999999997</v>
      </c>
      <c r="H7986" s="42">
        <v>211</v>
      </c>
    </row>
    <row r="7987" spans="1:8" ht="15" customHeight="1">
      <c r="A7987" s="26">
        <v>79771374</v>
      </c>
      <c r="B7987" s="29" t="s">
        <v>10214</v>
      </c>
      <c r="C7987" s="29" t="s">
        <v>24377</v>
      </c>
      <c r="D7987" s="29" t="s">
        <v>37657</v>
      </c>
      <c r="E7987" s="29" t="s">
        <v>43926</v>
      </c>
      <c r="F7987" s="36" t="s">
        <v>54401</v>
      </c>
      <c r="G7987" s="39">
        <v>555154.39</v>
      </c>
      <c r="H7987" s="42">
        <v>211</v>
      </c>
    </row>
    <row r="7988" spans="1:8" ht="15" customHeight="1">
      <c r="A7988" s="26">
        <v>79788434</v>
      </c>
      <c r="B7988" s="29" t="s">
        <v>10215</v>
      </c>
      <c r="C7988" s="29" t="s">
        <v>24378</v>
      </c>
      <c r="D7988" s="29" t="s">
        <v>37658</v>
      </c>
      <c r="E7988" s="29" t="s">
        <v>49886</v>
      </c>
      <c r="F7988" s="36" t="s">
        <v>54414</v>
      </c>
      <c r="G7988" s="39">
        <v>683193.93</v>
      </c>
      <c r="H7988" s="42">
        <v>211</v>
      </c>
    </row>
    <row r="7989" spans="1:8" ht="15" customHeight="1">
      <c r="A7989" s="26">
        <v>79789682</v>
      </c>
      <c r="B7989" s="29" t="s">
        <v>10216</v>
      </c>
      <c r="C7989" s="29" t="s">
        <v>24379</v>
      </c>
      <c r="D7989" s="29" t="s">
        <v>37659</v>
      </c>
      <c r="E7989" s="29" t="s">
        <v>49887</v>
      </c>
      <c r="F7989" s="36" t="s">
        <v>54401</v>
      </c>
      <c r="G7989" s="39">
        <f>2289194.58+2257616</f>
        <v>4546810.58</v>
      </c>
      <c r="H7989" s="42">
        <v>211</v>
      </c>
    </row>
    <row r="7990" spans="1:8" ht="15" customHeight="1">
      <c r="A7990" s="26">
        <v>79790868</v>
      </c>
      <c r="B7990" s="29" t="s">
        <v>10217</v>
      </c>
      <c r="C7990" s="29" t="s">
        <v>24380</v>
      </c>
      <c r="D7990" s="29" t="s">
        <v>37660</v>
      </c>
      <c r="E7990" s="29" t="s">
        <v>45603</v>
      </c>
      <c r="F7990" s="36" t="s">
        <v>54401</v>
      </c>
      <c r="G7990" s="39">
        <v>84856.37</v>
      </c>
      <c r="H7990" s="42">
        <v>211</v>
      </c>
    </row>
    <row r="7991" spans="1:8" ht="15" customHeight="1">
      <c r="A7991" s="26">
        <v>79791065</v>
      </c>
      <c r="B7991" s="29" t="s">
        <v>10218</v>
      </c>
      <c r="C7991" s="29" t="s">
        <v>24381</v>
      </c>
      <c r="D7991" s="29" t="s">
        <v>37661</v>
      </c>
      <c r="E7991" s="29" t="s">
        <v>49888</v>
      </c>
      <c r="F7991" s="36" t="s">
        <v>54401</v>
      </c>
      <c r="G7991" s="39">
        <v>190117.93</v>
      </c>
      <c r="H7991" s="42">
        <v>211</v>
      </c>
    </row>
    <row r="7992" spans="1:8" ht="15" customHeight="1">
      <c r="A7992" s="26">
        <v>79792658</v>
      </c>
      <c r="B7992" s="29" t="s">
        <v>10219</v>
      </c>
      <c r="C7992" s="29" t="s">
        <v>24382</v>
      </c>
      <c r="D7992" s="29" t="s">
        <v>37662</v>
      </c>
      <c r="E7992" s="29" t="s">
        <v>49889</v>
      </c>
      <c r="F7992" s="36" t="s">
        <v>54401</v>
      </c>
      <c r="G7992" s="39">
        <v>290573.14</v>
      </c>
      <c r="H7992" s="42">
        <v>211</v>
      </c>
    </row>
    <row r="7993" spans="1:8" ht="15" customHeight="1">
      <c r="A7993" s="26">
        <v>79792720</v>
      </c>
      <c r="B7993" s="29" t="s">
        <v>10220</v>
      </c>
      <c r="C7993" s="29" t="s">
        <v>24383</v>
      </c>
      <c r="D7993" s="29" t="s">
        <v>37663</v>
      </c>
      <c r="E7993" s="29" t="s">
        <v>49256</v>
      </c>
      <c r="F7993" s="36" t="s">
        <v>54401</v>
      </c>
      <c r="G7993" s="39">
        <v>33287.15</v>
      </c>
      <c r="H7993" s="42">
        <v>211</v>
      </c>
    </row>
    <row r="7994" spans="1:8" ht="15" customHeight="1">
      <c r="A7994" s="26">
        <v>79793154</v>
      </c>
      <c r="B7994" s="29" t="s">
        <v>10221</v>
      </c>
      <c r="C7994" s="29" t="s">
        <v>24384</v>
      </c>
      <c r="D7994" s="29" t="s">
        <v>37664</v>
      </c>
      <c r="E7994" s="29" t="s">
        <v>49890</v>
      </c>
      <c r="F7994" s="36" t="s">
        <v>54401</v>
      </c>
      <c r="G7994" s="39">
        <v>437884.64</v>
      </c>
      <c r="H7994" s="42">
        <v>211</v>
      </c>
    </row>
    <row r="7995" spans="1:8" ht="15" customHeight="1">
      <c r="A7995" s="26">
        <v>79797285</v>
      </c>
      <c r="B7995" s="29" t="s">
        <v>10222</v>
      </c>
      <c r="C7995" s="29" t="s">
        <v>24385</v>
      </c>
      <c r="D7995" s="29" t="s">
        <v>37665</v>
      </c>
      <c r="E7995" s="29" t="s">
        <v>49891</v>
      </c>
      <c r="F7995" s="36" t="s">
        <v>54401</v>
      </c>
      <c r="G7995" s="39">
        <v>3790749.22</v>
      </c>
      <c r="H7995" s="42">
        <v>211</v>
      </c>
    </row>
    <row r="7996" spans="1:8" ht="15" customHeight="1">
      <c r="A7996" s="26">
        <v>79800741</v>
      </c>
      <c r="B7996" s="29" t="s">
        <v>10223</v>
      </c>
      <c r="C7996" s="29" t="s">
        <v>24386</v>
      </c>
      <c r="D7996" s="29" t="s">
        <v>37666</v>
      </c>
      <c r="E7996" s="29" t="s">
        <v>43926</v>
      </c>
      <c r="F7996" s="36" t="s">
        <v>54401</v>
      </c>
      <c r="G7996" s="39">
        <v>122850.04</v>
      </c>
      <c r="H7996" s="42">
        <v>211</v>
      </c>
    </row>
    <row r="7997" spans="1:8" ht="15" customHeight="1">
      <c r="A7997" s="26">
        <v>79802409</v>
      </c>
      <c r="B7997" s="29" t="s">
        <v>10224</v>
      </c>
      <c r="C7997" s="29" t="s">
        <v>24387</v>
      </c>
      <c r="D7997" s="29" t="s">
        <v>37667</v>
      </c>
      <c r="E7997" s="29" t="s">
        <v>48403</v>
      </c>
      <c r="F7997" s="36" t="s">
        <v>54401</v>
      </c>
      <c r="G7997" s="39">
        <v>2048517.79</v>
      </c>
      <c r="H7997" s="42">
        <v>211</v>
      </c>
    </row>
    <row r="7998" spans="1:8" ht="15" customHeight="1">
      <c r="A7998" s="26">
        <v>79806569</v>
      </c>
      <c r="B7998" s="29" t="s">
        <v>10225</v>
      </c>
      <c r="C7998" s="29" t="s">
        <v>24388</v>
      </c>
      <c r="D7998" s="29" t="s">
        <v>37668</v>
      </c>
      <c r="E7998" s="29" t="s">
        <v>49892</v>
      </c>
      <c r="F7998" s="36" t="s">
        <v>54402</v>
      </c>
      <c r="G7998" s="39">
        <v>322957.17</v>
      </c>
      <c r="H7998" s="42">
        <v>211</v>
      </c>
    </row>
    <row r="7999" spans="1:8" ht="15" customHeight="1">
      <c r="A7999" s="26">
        <v>79828134</v>
      </c>
      <c r="B7999" s="29" t="s">
        <v>10226</v>
      </c>
      <c r="C7999" s="26" t="s">
        <v>24389</v>
      </c>
      <c r="D7999" s="26" t="s">
        <v>37669</v>
      </c>
      <c r="E7999" s="26" t="s">
        <v>49893</v>
      </c>
      <c r="F7999" s="37" t="s">
        <v>54401</v>
      </c>
      <c r="G7999" s="39">
        <f>2717921.91+385111</f>
        <v>3103032.91</v>
      </c>
      <c r="H7999" s="42">
        <v>211</v>
      </c>
    </row>
    <row r="8000" spans="1:8" ht="15" customHeight="1">
      <c r="A8000" s="26">
        <v>79829949</v>
      </c>
      <c r="B8000" s="29" t="s">
        <v>10227</v>
      </c>
      <c r="C8000" s="29" t="s">
        <v>24390</v>
      </c>
      <c r="D8000" s="29" t="s">
        <v>37670</v>
      </c>
      <c r="E8000" s="29" t="s">
        <v>49593</v>
      </c>
      <c r="F8000" s="36" t="s">
        <v>54401</v>
      </c>
      <c r="G8000" s="39">
        <v>44087.48</v>
      </c>
      <c r="H8000" s="42">
        <v>211</v>
      </c>
    </row>
    <row r="8001" spans="1:8" ht="15" customHeight="1">
      <c r="A8001" s="26">
        <v>79832652</v>
      </c>
      <c r="B8001" s="29" t="s">
        <v>10228</v>
      </c>
      <c r="C8001" s="29" t="s">
        <v>24391</v>
      </c>
      <c r="D8001" s="29" t="s">
        <v>37671</v>
      </c>
      <c r="E8001" s="29" t="s">
        <v>43926</v>
      </c>
      <c r="F8001" s="36" t="s">
        <v>54401</v>
      </c>
      <c r="G8001" s="39">
        <v>129801.67</v>
      </c>
      <c r="H8001" s="42">
        <v>211</v>
      </c>
    </row>
    <row r="8002" spans="1:8" ht="15" customHeight="1">
      <c r="A8002" s="26">
        <v>79832708</v>
      </c>
      <c r="B8002" s="29" t="s">
        <v>10229</v>
      </c>
      <c r="C8002" s="29" t="s">
        <v>24392</v>
      </c>
      <c r="D8002" s="29" t="s">
        <v>37672</v>
      </c>
      <c r="E8002" s="29" t="s">
        <v>49511</v>
      </c>
      <c r="F8002" s="36" t="s">
        <v>54401</v>
      </c>
      <c r="G8002" s="39">
        <v>2459032.2400000002</v>
      </c>
      <c r="H8002" s="42">
        <v>211</v>
      </c>
    </row>
    <row r="8003" spans="1:8" ht="15" customHeight="1">
      <c r="A8003" s="26">
        <v>79836772</v>
      </c>
      <c r="B8003" s="29" t="s">
        <v>10230</v>
      </c>
      <c r="C8003" s="29" t="s">
        <v>24393</v>
      </c>
      <c r="D8003" s="29" t="s">
        <v>37673</v>
      </c>
      <c r="E8003" s="29" t="s">
        <v>49894</v>
      </c>
      <c r="F8003" s="36" t="s">
        <v>54401</v>
      </c>
      <c r="G8003" s="39">
        <v>19890.759999999998</v>
      </c>
      <c r="H8003" s="42">
        <v>211</v>
      </c>
    </row>
    <row r="8004" spans="1:8" ht="15" customHeight="1">
      <c r="A8004" s="26">
        <v>79838051</v>
      </c>
      <c r="B8004" s="29" t="s">
        <v>10231</v>
      </c>
      <c r="C8004" s="29" t="s">
        <v>24394</v>
      </c>
      <c r="D8004" s="29" t="s">
        <v>37674</v>
      </c>
      <c r="E8004" s="29" t="s">
        <v>43926</v>
      </c>
      <c r="F8004" s="36" t="s">
        <v>54401</v>
      </c>
      <c r="G8004" s="39">
        <v>434087.66</v>
      </c>
      <c r="H8004" s="42">
        <v>211</v>
      </c>
    </row>
    <row r="8005" spans="1:8" ht="15" customHeight="1">
      <c r="A8005" s="26">
        <v>79843127</v>
      </c>
      <c r="B8005" s="29" t="s">
        <v>10232</v>
      </c>
      <c r="C8005" s="29" t="s">
        <v>24395</v>
      </c>
      <c r="D8005" s="29" t="s">
        <v>37675</v>
      </c>
      <c r="E8005" s="29" t="s">
        <v>49895</v>
      </c>
      <c r="F8005" s="36" t="s">
        <v>54401</v>
      </c>
      <c r="G8005" s="39">
        <v>670033.75</v>
      </c>
      <c r="H8005" s="42">
        <v>211</v>
      </c>
    </row>
    <row r="8006" spans="1:8" ht="15" customHeight="1">
      <c r="A8006" s="26">
        <v>79852835</v>
      </c>
      <c r="B8006" s="29" t="s">
        <v>10233</v>
      </c>
      <c r="C8006" s="29" t="s">
        <v>24396</v>
      </c>
      <c r="D8006" s="29" t="s">
        <v>37676</v>
      </c>
      <c r="E8006" s="29" t="s">
        <v>43926</v>
      </c>
      <c r="F8006" s="36" t="s">
        <v>54401</v>
      </c>
      <c r="G8006" s="39">
        <v>2088190.52</v>
      </c>
      <c r="H8006" s="42">
        <v>211</v>
      </c>
    </row>
    <row r="8007" spans="1:8" ht="15" customHeight="1">
      <c r="A8007" s="26">
        <v>79853063</v>
      </c>
      <c r="B8007" s="29" t="s">
        <v>10234</v>
      </c>
      <c r="C8007" s="29" t="s">
        <v>24397</v>
      </c>
      <c r="D8007" s="29" t="s">
        <v>37677</v>
      </c>
      <c r="E8007" s="29" t="s">
        <v>49896</v>
      </c>
      <c r="F8007" s="36" t="s">
        <v>54401</v>
      </c>
      <c r="G8007" s="39">
        <v>1570845.52</v>
      </c>
      <c r="H8007" s="42">
        <v>211</v>
      </c>
    </row>
    <row r="8008" spans="1:8" ht="15" customHeight="1">
      <c r="A8008" s="26">
        <v>79854271</v>
      </c>
      <c r="B8008" s="29" t="s">
        <v>10235</v>
      </c>
      <c r="C8008" s="29" t="s">
        <v>24398</v>
      </c>
      <c r="D8008" s="29" t="s">
        <v>37678</v>
      </c>
      <c r="E8008" s="29" t="s">
        <v>49897</v>
      </c>
      <c r="F8008" s="36" t="s">
        <v>54460</v>
      </c>
      <c r="G8008" s="39">
        <v>192355.99</v>
      </c>
      <c r="H8008" s="42">
        <v>211</v>
      </c>
    </row>
    <row r="8009" spans="1:8" ht="15" customHeight="1">
      <c r="A8009" s="26">
        <v>79860352</v>
      </c>
      <c r="B8009" s="29" t="s">
        <v>10236</v>
      </c>
      <c r="C8009" s="29" t="s">
        <v>24399</v>
      </c>
      <c r="D8009" s="29" t="s">
        <v>37679</v>
      </c>
      <c r="E8009" s="29" t="s">
        <v>49898</v>
      </c>
      <c r="F8009" s="36" t="s">
        <v>54401</v>
      </c>
      <c r="G8009" s="39">
        <f>1044724.13+553990</f>
        <v>1598714.13</v>
      </c>
      <c r="H8009" s="42">
        <v>211</v>
      </c>
    </row>
    <row r="8010" spans="1:8" ht="15" customHeight="1">
      <c r="A8010" s="26">
        <v>79862727</v>
      </c>
      <c r="B8010" s="29" t="s">
        <v>10237</v>
      </c>
      <c r="C8010" s="29" t="s">
        <v>24400</v>
      </c>
      <c r="D8010" s="29" t="s">
        <v>37680</v>
      </c>
      <c r="E8010" s="29" t="s">
        <v>49899</v>
      </c>
      <c r="F8010" s="36" t="s">
        <v>54401</v>
      </c>
      <c r="G8010" s="39">
        <f>3105602.59+81806</f>
        <v>3187408.59</v>
      </c>
      <c r="H8010" s="42">
        <v>211</v>
      </c>
    </row>
    <row r="8011" spans="1:8" ht="15" customHeight="1">
      <c r="A8011" s="26">
        <v>79863220</v>
      </c>
      <c r="B8011" s="29" t="s">
        <v>10238</v>
      </c>
      <c r="C8011" s="29" t="s">
        <v>24401</v>
      </c>
      <c r="D8011" s="29" t="s">
        <v>37681</v>
      </c>
      <c r="E8011" s="29" t="s">
        <v>49900</v>
      </c>
      <c r="F8011" s="36" t="s">
        <v>54401</v>
      </c>
      <c r="G8011" s="39">
        <f>1882509.13+819664</f>
        <v>2702173.13</v>
      </c>
      <c r="H8011" s="42">
        <v>211</v>
      </c>
    </row>
    <row r="8012" spans="1:8" ht="15" customHeight="1">
      <c r="A8012" s="26">
        <v>79865363</v>
      </c>
      <c r="B8012" s="29" t="s">
        <v>10239</v>
      </c>
      <c r="C8012" s="29" t="s">
        <v>24402</v>
      </c>
      <c r="D8012" s="29" t="s">
        <v>37682</v>
      </c>
      <c r="E8012" s="29" t="s">
        <v>49901</v>
      </c>
      <c r="F8012" s="36" t="s">
        <v>54401</v>
      </c>
      <c r="G8012" s="39">
        <v>446304.39</v>
      </c>
      <c r="H8012" s="42">
        <v>211</v>
      </c>
    </row>
    <row r="8013" spans="1:8" ht="15" customHeight="1">
      <c r="A8013" s="26">
        <v>79871242</v>
      </c>
      <c r="B8013" s="29" t="s">
        <v>10240</v>
      </c>
      <c r="C8013" s="29" t="s">
        <v>24403</v>
      </c>
      <c r="D8013" s="29" t="s">
        <v>37683</v>
      </c>
      <c r="E8013" s="29" t="s">
        <v>49902</v>
      </c>
      <c r="F8013" s="36" t="s">
        <v>54401</v>
      </c>
      <c r="G8013" s="39">
        <v>22689.06</v>
      </c>
      <c r="H8013" s="42">
        <v>211</v>
      </c>
    </row>
    <row r="8014" spans="1:8" ht="15" customHeight="1">
      <c r="A8014" s="26">
        <v>79874199</v>
      </c>
      <c r="B8014" s="29" t="s">
        <v>10241</v>
      </c>
      <c r="C8014" s="29" t="s">
        <v>24404</v>
      </c>
      <c r="D8014" s="29" t="s">
        <v>37684</v>
      </c>
      <c r="E8014" s="29" t="s">
        <v>49903</v>
      </c>
      <c r="F8014" s="36" t="s">
        <v>54401</v>
      </c>
      <c r="G8014" s="39">
        <v>242444.72</v>
      </c>
      <c r="H8014" s="42">
        <v>211</v>
      </c>
    </row>
    <row r="8015" spans="1:8" ht="15" customHeight="1">
      <c r="A8015" s="26">
        <v>79874577</v>
      </c>
      <c r="B8015" s="29" t="s">
        <v>10242</v>
      </c>
      <c r="C8015" s="29" t="s">
        <v>17204</v>
      </c>
      <c r="D8015" s="29" t="s">
        <v>37685</v>
      </c>
      <c r="E8015" s="29" t="s">
        <v>43926</v>
      </c>
      <c r="F8015" s="36" t="s">
        <v>54401</v>
      </c>
      <c r="G8015" s="39">
        <v>2018042.29</v>
      </c>
      <c r="H8015" s="42">
        <v>211</v>
      </c>
    </row>
    <row r="8016" spans="1:8" ht="15" customHeight="1">
      <c r="A8016" s="26">
        <v>79885777</v>
      </c>
      <c r="B8016" s="29" t="s">
        <v>10243</v>
      </c>
      <c r="C8016" s="29" t="s">
        <v>24405</v>
      </c>
      <c r="D8016" s="29" t="s">
        <v>37686</v>
      </c>
      <c r="E8016" s="29" t="s">
        <v>43926</v>
      </c>
      <c r="F8016" s="36" t="s">
        <v>54401</v>
      </c>
      <c r="G8016" s="39">
        <f>998277.66+173888+597512</f>
        <v>1769677.6600000001</v>
      </c>
      <c r="H8016" s="42">
        <v>211</v>
      </c>
    </row>
    <row r="8017" spans="1:8" ht="15" customHeight="1">
      <c r="A8017" s="26">
        <v>79887565</v>
      </c>
      <c r="B8017" s="29" t="s">
        <v>10244</v>
      </c>
      <c r="C8017" s="29" t="s">
        <v>24406</v>
      </c>
      <c r="D8017" s="29" t="s">
        <v>37687</v>
      </c>
      <c r="E8017" s="29" t="s">
        <v>45430</v>
      </c>
      <c r="F8017" s="36" t="s">
        <v>54401</v>
      </c>
      <c r="G8017" s="39">
        <v>162710.32</v>
      </c>
      <c r="H8017" s="42">
        <v>211</v>
      </c>
    </row>
    <row r="8018" spans="1:8" ht="15" customHeight="1">
      <c r="A8018" s="26">
        <v>79888331</v>
      </c>
      <c r="B8018" s="29" t="s">
        <v>10245</v>
      </c>
      <c r="C8018" s="29" t="s">
        <v>24407</v>
      </c>
      <c r="D8018" s="29" t="s">
        <v>37688</v>
      </c>
      <c r="E8018" s="29" t="s">
        <v>49904</v>
      </c>
      <c r="F8018" s="36" t="s">
        <v>54401</v>
      </c>
      <c r="G8018" s="39">
        <v>1225582.47</v>
      </c>
      <c r="H8018" s="42">
        <v>211</v>
      </c>
    </row>
    <row r="8019" spans="1:8" ht="15" customHeight="1">
      <c r="A8019" s="26">
        <v>79893514</v>
      </c>
      <c r="B8019" s="29" t="s">
        <v>10246</v>
      </c>
      <c r="C8019" s="29" t="s">
        <v>24408</v>
      </c>
      <c r="D8019" s="29" t="s">
        <v>37689</v>
      </c>
      <c r="E8019" s="29" t="s">
        <v>49905</v>
      </c>
      <c r="F8019" s="36" t="s">
        <v>54401</v>
      </c>
      <c r="G8019" s="39">
        <v>2028641.48</v>
      </c>
      <c r="H8019" s="42">
        <v>211</v>
      </c>
    </row>
    <row r="8020" spans="1:8" ht="15" customHeight="1">
      <c r="A8020" s="26">
        <v>79894287</v>
      </c>
      <c r="B8020" s="29" t="s">
        <v>10247</v>
      </c>
      <c r="C8020" s="29" t="s">
        <v>24409</v>
      </c>
      <c r="D8020" s="29" t="s">
        <v>37690</v>
      </c>
      <c r="E8020" s="29" t="s">
        <v>49906</v>
      </c>
      <c r="F8020" s="36" t="s">
        <v>54401</v>
      </c>
      <c r="G8020" s="39">
        <v>19818.759999999998</v>
      </c>
      <c r="H8020" s="42">
        <v>211</v>
      </c>
    </row>
    <row r="8021" spans="1:8" ht="15" customHeight="1">
      <c r="A8021" s="26">
        <v>79894631</v>
      </c>
      <c r="B8021" s="29" t="s">
        <v>10248</v>
      </c>
      <c r="C8021" s="29" t="s">
        <v>24410</v>
      </c>
      <c r="D8021" s="29" t="s">
        <v>37691</v>
      </c>
      <c r="E8021" s="29" t="s">
        <v>49907</v>
      </c>
      <c r="F8021" s="36" t="s">
        <v>54401</v>
      </c>
      <c r="G8021" s="39">
        <v>17452.650000000001</v>
      </c>
      <c r="H8021" s="42">
        <v>211</v>
      </c>
    </row>
    <row r="8022" spans="1:8" ht="15" customHeight="1">
      <c r="A8022" s="26">
        <v>79898875</v>
      </c>
      <c r="B8022" s="29" t="s">
        <v>10249</v>
      </c>
      <c r="C8022" s="29" t="s">
        <v>24411</v>
      </c>
      <c r="D8022" s="29" t="s">
        <v>37692</v>
      </c>
      <c r="E8022" s="29" t="s">
        <v>49908</v>
      </c>
      <c r="F8022" s="36" t="s">
        <v>54401</v>
      </c>
      <c r="G8022" s="39">
        <v>67609.52</v>
      </c>
      <c r="H8022" s="42">
        <v>211</v>
      </c>
    </row>
    <row r="8023" spans="1:8" ht="15" customHeight="1">
      <c r="A8023" s="26">
        <v>79903319</v>
      </c>
      <c r="B8023" s="29" t="s">
        <v>10250</v>
      </c>
      <c r="C8023" s="29" t="s">
        <v>24412</v>
      </c>
      <c r="D8023" s="29" t="s">
        <v>37693</v>
      </c>
      <c r="E8023" s="29" t="s">
        <v>49909</v>
      </c>
      <c r="F8023" s="36" t="s">
        <v>54401</v>
      </c>
      <c r="G8023" s="39">
        <f>5190783.39-182962</f>
        <v>5007821.3899999997</v>
      </c>
      <c r="H8023" s="42">
        <v>211</v>
      </c>
    </row>
    <row r="8024" spans="1:8" ht="15" customHeight="1">
      <c r="A8024" s="26">
        <v>79905220</v>
      </c>
      <c r="B8024" s="29" t="s">
        <v>10251</v>
      </c>
      <c r="C8024" s="29" t="s">
        <v>24413</v>
      </c>
      <c r="D8024" s="29" t="s">
        <v>37694</v>
      </c>
      <c r="E8024" s="29" t="s">
        <v>47110</v>
      </c>
      <c r="F8024" s="36" t="s">
        <v>54401</v>
      </c>
      <c r="G8024" s="39">
        <f>4939739.71-11386</f>
        <v>4928353.71</v>
      </c>
      <c r="H8024" s="42">
        <v>211</v>
      </c>
    </row>
    <row r="8025" spans="1:8" ht="15" customHeight="1">
      <c r="A8025" s="26">
        <v>79913500</v>
      </c>
      <c r="B8025" s="29" t="s">
        <v>10252</v>
      </c>
      <c r="C8025" s="29" t="s">
        <v>24414</v>
      </c>
      <c r="D8025" s="29" t="s">
        <v>37695</v>
      </c>
      <c r="E8025" s="29" t="s">
        <v>49910</v>
      </c>
      <c r="F8025" s="36" t="s">
        <v>54412</v>
      </c>
      <c r="G8025" s="39">
        <v>506197.75</v>
      </c>
      <c r="H8025" s="42">
        <v>211</v>
      </c>
    </row>
    <row r="8026" spans="1:8" ht="15" customHeight="1">
      <c r="A8026" s="26">
        <v>79913754</v>
      </c>
      <c r="B8026" s="29" t="s">
        <v>10253</v>
      </c>
      <c r="C8026" s="29" t="s">
        <v>24415</v>
      </c>
      <c r="D8026" s="29" t="s">
        <v>37696</v>
      </c>
      <c r="E8026" s="29" t="s">
        <v>49911</v>
      </c>
      <c r="F8026" s="36" t="s">
        <v>54401</v>
      </c>
      <c r="G8026" s="39">
        <f>5552166.92+170780</f>
        <v>5722946.9199999999</v>
      </c>
      <c r="H8026" s="42">
        <v>211</v>
      </c>
    </row>
    <row r="8027" spans="1:8" ht="15" customHeight="1">
      <c r="A8027" s="26">
        <v>79917910</v>
      </c>
      <c r="B8027" s="29" t="s">
        <v>10254</v>
      </c>
      <c r="C8027" s="29" t="s">
        <v>24416</v>
      </c>
      <c r="D8027" s="29" t="s">
        <v>37697</v>
      </c>
      <c r="E8027" s="29" t="s">
        <v>49912</v>
      </c>
      <c r="F8027" s="36" t="s">
        <v>54401</v>
      </c>
      <c r="G8027" s="39">
        <v>1789657.98</v>
      </c>
      <c r="H8027" s="42">
        <v>211</v>
      </c>
    </row>
    <row r="8028" spans="1:8" ht="15" customHeight="1">
      <c r="A8028" s="26">
        <v>79919795</v>
      </c>
      <c r="B8028" s="29" t="s">
        <v>10255</v>
      </c>
      <c r="C8028" s="29" t="s">
        <v>17204</v>
      </c>
      <c r="D8028" s="29" t="s">
        <v>37698</v>
      </c>
      <c r="E8028" s="29" t="s">
        <v>43926</v>
      </c>
      <c r="F8028" s="36" t="s">
        <v>54401</v>
      </c>
      <c r="G8028" s="39">
        <v>35691.599999999999</v>
      </c>
      <c r="H8028" s="42">
        <v>211</v>
      </c>
    </row>
    <row r="8029" spans="1:8" ht="15" customHeight="1">
      <c r="A8029" s="26">
        <v>79940342</v>
      </c>
      <c r="B8029" s="29" t="s">
        <v>10256</v>
      </c>
      <c r="C8029" s="29" t="s">
        <v>24417</v>
      </c>
      <c r="D8029" s="29" t="s">
        <v>37699</v>
      </c>
      <c r="E8029" s="29" t="s">
        <v>731</v>
      </c>
      <c r="F8029" s="36" t="s">
        <v>54401</v>
      </c>
      <c r="G8029" s="39">
        <v>56578.49</v>
      </c>
      <c r="H8029" s="42">
        <v>211</v>
      </c>
    </row>
    <row r="8030" spans="1:8" ht="15" customHeight="1">
      <c r="A8030" s="26">
        <v>79940454</v>
      </c>
      <c r="B8030" s="29" t="s">
        <v>10257</v>
      </c>
      <c r="C8030" s="29" t="s">
        <v>24418</v>
      </c>
      <c r="D8030" s="29" t="s">
        <v>37700</v>
      </c>
      <c r="E8030" s="29" t="s">
        <v>46588</v>
      </c>
      <c r="F8030" s="36" t="s">
        <v>54401</v>
      </c>
      <c r="G8030" s="39">
        <f>1495720.95+1846829+76389</f>
        <v>3418938.95</v>
      </c>
      <c r="H8030" s="42">
        <v>211</v>
      </c>
    </row>
    <row r="8031" spans="1:8" ht="15" customHeight="1">
      <c r="A8031" s="26">
        <v>79946592</v>
      </c>
      <c r="B8031" s="29" t="s">
        <v>10258</v>
      </c>
      <c r="C8031" s="29" t="s">
        <v>24419</v>
      </c>
      <c r="D8031" s="29" t="s">
        <v>37701</v>
      </c>
      <c r="E8031" s="29" t="s">
        <v>49913</v>
      </c>
      <c r="F8031" s="36" t="s">
        <v>54401</v>
      </c>
      <c r="G8031" s="39">
        <v>583891.97</v>
      </c>
      <c r="H8031" s="42">
        <v>211</v>
      </c>
    </row>
    <row r="8032" spans="1:8" ht="15" customHeight="1">
      <c r="A8032" s="26">
        <v>79949827</v>
      </c>
      <c r="B8032" s="29" t="s">
        <v>10259</v>
      </c>
      <c r="C8032" s="29" t="s">
        <v>24420</v>
      </c>
      <c r="D8032" s="29" t="s">
        <v>37702</v>
      </c>
      <c r="E8032" s="29" t="s">
        <v>49914</v>
      </c>
      <c r="F8032" s="36" t="s">
        <v>54401</v>
      </c>
      <c r="G8032" s="39">
        <v>287914.75</v>
      </c>
      <c r="H8032" s="42">
        <v>211</v>
      </c>
    </row>
    <row r="8033" spans="1:8" ht="15" customHeight="1">
      <c r="A8033" s="26">
        <v>79951360</v>
      </c>
      <c r="B8033" s="29" t="s">
        <v>10260</v>
      </c>
      <c r="C8033" s="29" t="s">
        <v>24421</v>
      </c>
      <c r="D8033" s="29" t="s">
        <v>37703</v>
      </c>
      <c r="E8033" s="29" t="s">
        <v>49915</v>
      </c>
      <c r="F8033" s="36" t="s">
        <v>54401</v>
      </c>
      <c r="G8033" s="39">
        <v>4372981.38</v>
      </c>
      <c r="H8033" s="42">
        <v>211</v>
      </c>
    </row>
    <row r="8034" spans="1:8" ht="15" customHeight="1">
      <c r="A8034" s="26">
        <v>79951978</v>
      </c>
      <c r="B8034" s="29" t="s">
        <v>10261</v>
      </c>
      <c r="C8034" s="29" t="s">
        <v>24422</v>
      </c>
      <c r="D8034" s="29" t="s">
        <v>37704</v>
      </c>
      <c r="E8034" s="29" t="s">
        <v>49916</v>
      </c>
      <c r="F8034" s="36" t="s">
        <v>54401</v>
      </c>
      <c r="G8034" s="39">
        <v>798664.8</v>
      </c>
      <c r="H8034" s="42">
        <v>211</v>
      </c>
    </row>
    <row r="8035" spans="1:8" ht="15" customHeight="1">
      <c r="A8035" s="26">
        <v>79953067</v>
      </c>
      <c r="B8035" s="29" t="s">
        <v>10262</v>
      </c>
      <c r="C8035" s="29" t="s">
        <v>24423</v>
      </c>
      <c r="D8035" s="29" t="s">
        <v>33284</v>
      </c>
      <c r="E8035" s="29" t="s">
        <v>49917</v>
      </c>
      <c r="F8035" s="36" t="s">
        <v>54423</v>
      </c>
      <c r="G8035" s="39">
        <v>2053748.39</v>
      </c>
      <c r="H8035" s="42">
        <v>211</v>
      </c>
    </row>
    <row r="8036" spans="1:8" ht="15" customHeight="1">
      <c r="A8036" s="26">
        <v>79956637</v>
      </c>
      <c r="B8036" s="29" t="s">
        <v>10263</v>
      </c>
      <c r="C8036" s="29" t="s">
        <v>24424</v>
      </c>
      <c r="D8036" s="29" t="s">
        <v>37705</v>
      </c>
      <c r="E8036" s="29" t="s">
        <v>49918</v>
      </c>
      <c r="F8036" s="36" t="s">
        <v>54412</v>
      </c>
      <c r="G8036" s="39">
        <v>106530.22</v>
      </c>
      <c r="H8036" s="42">
        <v>211</v>
      </c>
    </row>
    <row r="8037" spans="1:8" ht="15" customHeight="1">
      <c r="A8037" s="26">
        <v>79957552</v>
      </c>
      <c r="B8037" s="29" t="s">
        <v>10264</v>
      </c>
      <c r="C8037" s="29" t="s">
        <v>17204</v>
      </c>
      <c r="D8037" s="29" t="s">
        <v>30349</v>
      </c>
      <c r="E8037" s="29" t="s">
        <v>43926</v>
      </c>
      <c r="F8037" s="36" t="s">
        <v>54401</v>
      </c>
      <c r="G8037" s="39">
        <v>7624.37</v>
      </c>
      <c r="H8037" s="42">
        <v>211</v>
      </c>
    </row>
    <row r="8038" spans="1:8" ht="15" customHeight="1">
      <c r="A8038" s="26">
        <v>79958334</v>
      </c>
      <c r="B8038" s="29" t="s">
        <v>10265</v>
      </c>
      <c r="C8038" s="29" t="s">
        <v>24425</v>
      </c>
      <c r="D8038" s="29" t="s">
        <v>37706</v>
      </c>
      <c r="E8038" s="29" t="s">
        <v>49919</v>
      </c>
      <c r="F8038" s="36" t="s">
        <v>54412</v>
      </c>
      <c r="G8038" s="39">
        <v>285136.56</v>
      </c>
      <c r="H8038" s="42">
        <v>211</v>
      </c>
    </row>
    <row r="8039" spans="1:8" ht="15" customHeight="1">
      <c r="A8039" s="26">
        <v>79958556</v>
      </c>
      <c r="B8039" s="29" t="s">
        <v>10266</v>
      </c>
      <c r="C8039" s="29" t="s">
        <v>24426</v>
      </c>
      <c r="D8039" s="29" t="s">
        <v>37707</v>
      </c>
      <c r="E8039" s="29" t="s">
        <v>49920</v>
      </c>
      <c r="F8039" s="36" t="s">
        <v>54401</v>
      </c>
      <c r="G8039" s="39">
        <v>1370571.09</v>
      </c>
      <c r="H8039" s="42">
        <v>211</v>
      </c>
    </row>
    <row r="8040" spans="1:8" ht="15" customHeight="1">
      <c r="A8040" s="26">
        <v>79964602</v>
      </c>
      <c r="B8040" s="29" t="s">
        <v>10267</v>
      </c>
      <c r="C8040" s="29" t="s">
        <v>24427</v>
      </c>
      <c r="D8040" s="29" t="s">
        <v>37708</v>
      </c>
      <c r="E8040" s="29" t="s">
        <v>45254</v>
      </c>
      <c r="F8040" s="36" t="s">
        <v>54401</v>
      </c>
      <c r="G8040" s="39">
        <v>4087528.29</v>
      </c>
      <c r="H8040" s="42">
        <v>211</v>
      </c>
    </row>
    <row r="8041" spans="1:8" ht="15" customHeight="1">
      <c r="A8041" s="26">
        <v>79964643</v>
      </c>
      <c r="B8041" s="29" t="s">
        <v>10268</v>
      </c>
      <c r="C8041" s="29" t="s">
        <v>24428</v>
      </c>
      <c r="D8041" s="29" t="s">
        <v>37709</v>
      </c>
      <c r="E8041" s="29" t="s">
        <v>49921</v>
      </c>
      <c r="F8041" s="36" t="s">
        <v>54401</v>
      </c>
      <c r="G8041" s="39">
        <v>2040968.35</v>
      </c>
      <c r="H8041" s="42">
        <v>211</v>
      </c>
    </row>
    <row r="8042" spans="1:8" ht="15" customHeight="1">
      <c r="A8042" s="26">
        <v>79967072</v>
      </c>
      <c r="B8042" s="29" t="s">
        <v>10269</v>
      </c>
      <c r="C8042" s="29" t="s">
        <v>24429</v>
      </c>
      <c r="D8042" s="29" t="s">
        <v>37710</v>
      </c>
      <c r="E8042" s="29" t="s">
        <v>49922</v>
      </c>
      <c r="F8042" s="36" t="s">
        <v>54401</v>
      </c>
      <c r="G8042" s="39">
        <f>4212131.04-26764</f>
        <v>4185367.04</v>
      </c>
      <c r="H8042" s="42">
        <v>211</v>
      </c>
    </row>
    <row r="8043" spans="1:8" ht="15" customHeight="1">
      <c r="A8043" s="26">
        <v>79973613</v>
      </c>
      <c r="B8043" s="29" t="s">
        <v>10270</v>
      </c>
      <c r="C8043" s="29" t="s">
        <v>24430</v>
      </c>
      <c r="D8043" s="29" t="s">
        <v>37711</v>
      </c>
      <c r="E8043" s="29" t="s">
        <v>49923</v>
      </c>
      <c r="F8043" s="36" t="s">
        <v>54401</v>
      </c>
      <c r="G8043" s="39">
        <v>1108557.8700000001</v>
      </c>
      <c r="H8043" s="42">
        <v>211</v>
      </c>
    </row>
    <row r="8044" spans="1:8" ht="15" customHeight="1">
      <c r="A8044" s="26">
        <v>79989707</v>
      </c>
      <c r="B8044" s="29" t="s">
        <v>10271</v>
      </c>
      <c r="C8044" s="29" t="s">
        <v>17204</v>
      </c>
      <c r="D8044" s="29" t="s">
        <v>30349</v>
      </c>
      <c r="E8044" s="29" t="s">
        <v>43926</v>
      </c>
      <c r="F8044" s="36" t="s">
        <v>54401</v>
      </c>
      <c r="G8044" s="39">
        <v>59750</v>
      </c>
      <c r="H8044" s="42">
        <v>211</v>
      </c>
    </row>
    <row r="8045" spans="1:8" ht="15" customHeight="1">
      <c r="A8045" s="26">
        <v>79993462</v>
      </c>
      <c r="B8045" s="29" t="s">
        <v>10272</v>
      </c>
      <c r="C8045" s="29" t="s">
        <v>24431</v>
      </c>
      <c r="D8045" s="29" t="s">
        <v>37712</v>
      </c>
      <c r="E8045" s="29" t="s">
        <v>49924</v>
      </c>
      <c r="F8045" s="36" t="s">
        <v>54401</v>
      </c>
      <c r="G8045" s="39">
        <v>284336.15000000002</v>
      </c>
      <c r="H8045" s="42">
        <v>211</v>
      </c>
    </row>
    <row r="8046" spans="1:8" ht="15" customHeight="1">
      <c r="A8046" s="26">
        <v>79995265</v>
      </c>
      <c r="B8046" s="29" t="s">
        <v>10273</v>
      </c>
      <c r="C8046" s="29" t="s">
        <v>24432</v>
      </c>
      <c r="D8046" s="29" t="s">
        <v>37713</v>
      </c>
      <c r="E8046" s="29" t="s">
        <v>49925</v>
      </c>
      <c r="F8046" s="36" t="s">
        <v>54409</v>
      </c>
      <c r="G8046" s="39">
        <f>2590780.5+1527947</f>
        <v>4118727.5</v>
      </c>
      <c r="H8046" s="42">
        <v>211</v>
      </c>
    </row>
    <row r="8047" spans="1:8" ht="15" customHeight="1">
      <c r="A8047" s="26">
        <v>80003833</v>
      </c>
      <c r="B8047" s="29" t="s">
        <v>10274</v>
      </c>
      <c r="C8047" s="29" t="s">
        <v>24433</v>
      </c>
      <c r="D8047" s="29" t="s">
        <v>37714</v>
      </c>
      <c r="E8047" s="29" t="s">
        <v>49926</v>
      </c>
      <c r="F8047" s="36" t="s">
        <v>54417</v>
      </c>
      <c r="G8047" s="39">
        <f>14722857.1-544452</f>
        <v>14178405.1</v>
      </c>
      <c r="H8047" s="42">
        <v>211</v>
      </c>
    </row>
    <row r="8048" spans="1:8" ht="15" customHeight="1">
      <c r="A8048" s="26">
        <v>80007231</v>
      </c>
      <c r="B8048" s="30" t="s">
        <v>10275</v>
      </c>
      <c r="C8048" s="29" t="s">
        <v>24434</v>
      </c>
      <c r="D8048" s="29" t="s">
        <v>37715</v>
      </c>
      <c r="E8048" s="29" t="s">
        <v>49927</v>
      </c>
      <c r="F8048" s="36" t="s">
        <v>54401</v>
      </c>
      <c r="G8048" s="39">
        <f>1023607.34+877211</f>
        <v>1900818.3399999999</v>
      </c>
      <c r="H8048" s="42">
        <v>211</v>
      </c>
    </row>
    <row r="8049" spans="1:8" ht="15" customHeight="1">
      <c r="A8049" s="26">
        <v>80010733</v>
      </c>
      <c r="B8049" s="30" t="s">
        <v>10276</v>
      </c>
      <c r="C8049" s="29" t="s">
        <v>24435</v>
      </c>
      <c r="D8049" s="29" t="s">
        <v>37716</v>
      </c>
      <c r="E8049" s="29" t="s">
        <v>49928</v>
      </c>
      <c r="F8049" s="36" t="s">
        <v>54409</v>
      </c>
      <c r="G8049" s="39">
        <f>3971419.65+249693</f>
        <v>4221112.6500000004</v>
      </c>
      <c r="H8049" s="42">
        <v>211</v>
      </c>
    </row>
    <row r="8050" spans="1:8" ht="15" customHeight="1">
      <c r="A8050" s="26">
        <v>80013546</v>
      </c>
      <c r="B8050" s="30" t="s">
        <v>10277</v>
      </c>
      <c r="C8050" s="29" t="s">
        <v>24436</v>
      </c>
      <c r="D8050" s="29" t="s">
        <v>37717</v>
      </c>
      <c r="E8050" s="29" t="s">
        <v>717</v>
      </c>
      <c r="F8050" s="36" t="s">
        <v>54409</v>
      </c>
      <c r="G8050" s="39">
        <v>3422236.35</v>
      </c>
      <c r="H8050" s="42">
        <v>211</v>
      </c>
    </row>
    <row r="8051" spans="1:8" ht="15" customHeight="1">
      <c r="A8051" s="26">
        <v>80014011</v>
      </c>
      <c r="B8051" s="30" t="s">
        <v>10278</v>
      </c>
      <c r="C8051" s="29" t="s">
        <v>24437</v>
      </c>
      <c r="D8051" s="29" t="s">
        <v>37718</v>
      </c>
      <c r="E8051" s="29" t="s">
        <v>49929</v>
      </c>
      <c r="F8051" s="36" t="s">
        <v>54401</v>
      </c>
      <c r="G8051" s="39">
        <f>8689744.43+360458</f>
        <v>9050202.4299999997</v>
      </c>
      <c r="H8051" s="42">
        <v>211</v>
      </c>
    </row>
    <row r="8052" spans="1:8" ht="15" customHeight="1">
      <c r="A8052" s="26">
        <v>80014913</v>
      </c>
      <c r="B8052" s="30" t="s">
        <v>10279</v>
      </c>
      <c r="C8052" s="29" t="s">
        <v>24438</v>
      </c>
      <c r="D8052" s="29" t="s">
        <v>37719</v>
      </c>
      <c r="E8052" s="29" t="s">
        <v>49930</v>
      </c>
      <c r="F8052" s="36" t="s">
        <v>54401</v>
      </c>
      <c r="G8052" s="39">
        <v>137012.03</v>
      </c>
      <c r="H8052" s="42">
        <v>211</v>
      </c>
    </row>
    <row r="8053" spans="1:8" ht="15" customHeight="1">
      <c r="A8053" s="26">
        <v>80018797</v>
      </c>
      <c r="B8053" s="30" t="s">
        <v>10280</v>
      </c>
      <c r="C8053" s="29" t="s">
        <v>24439</v>
      </c>
      <c r="D8053" s="29" t="s">
        <v>37720</v>
      </c>
      <c r="E8053" s="29" t="s">
        <v>49931</v>
      </c>
      <c r="F8053" s="36" t="s">
        <v>54401</v>
      </c>
      <c r="G8053" s="39">
        <f>3827194.66+13974</f>
        <v>3841168.66</v>
      </c>
      <c r="H8053" s="42">
        <v>211</v>
      </c>
    </row>
    <row r="8054" spans="1:8" ht="15" customHeight="1">
      <c r="A8054" s="26">
        <v>80019282</v>
      </c>
      <c r="B8054" s="30" t="s">
        <v>10281</v>
      </c>
      <c r="C8054" s="29" t="s">
        <v>24440</v>
      </c>
      <c r="D8054" s="29" t="s">
        <v>37721</v>
      </c>
      <c r="E8054" s="29" t="s">
        <v>46681</v>
      </c>
      <c r="F8054" s="36" t="s">
        <v>54406</v>
      </c>
      <c r="G8054" s="39">
        <v>1298355.3600000001</v>
      </c>
      <c r="H8054" s="42">
        <v>211</v>
      </c>
    </row>
    <row r="8055" spans="1:8" ht="15" customHeight="1">
      <c r="A8055" s="26">
        <v>80022672</v>
      </c>
      <c r="B8055" s="30" t="s">
        <v>10282</v>
      </c>
      <c r="C8055" s="29" t="s">
        <v>24441</v>
      </c>
      <c r="D8055" s="29" t="s">
        <v>37722</v>
      </c>
      <c r="E8055" s="29" t="s">
        <v>48459</v>
      </c>
      <c r="F8055" s="36" t="s">
        <v>54401</v>
      </c>
      <c r="G8055" s="39">
        <f>1596245.31-26160+145694</f>
        <v>1715779.31</v>
      </c>
      <c r="H8055" s="42">
        <v>211</v>
      </c>
    </row>
    <row r="8056" spans="1:8" ht="15" customHeight="1">
      <c r="A8056" s="26">
        <v>80028039</v>
      </c>
      <c r="B8056" s="30" t="s">
        <v>10283</v>
      </c>
      <c r="C8056" s="29" t="s">
        <v>17204</v>
      </c>
      <c r="D8056" s="29" t="s">
        <v>37723</v>
      </c>
      <c r="E8056" s="29" t="s">
        <v>43926</v>
      </c>
      <c r="F8056" s="36" t="s">
        <v>54401</v>
      </c>
      <c r="G8056" s="39">
        <v>740114.4</v>
      </c>
      <c r="H8056" s="42">
        <v>211</v>
      </c>
    </row>
    <row r="8057" spans="1:8" ht="15" customHeight="1">
      <c r="A8057" s="26">
        <v>80032229</v>
      </c>
      <c r="B8057" s="30" t="s">
        <v>10284</v>
      </c>
      <c r="C8057" s="29" t="s">
        <v>24442</v>
      </c>
      <c r="D8057" s="29" t="s">
        <v>37724</v>
      </c>
      <c r="E8057" s="29" t="s">
        <v>49932</v>
      </c>
      <c r="F8057" s="36" t="s">
        <v>54401</v>
      </c>
      <c r="G8057" s="39">
        <v>557030.77</v>
      </c>
      <c r="H8057" s="42">
        <v>211</v>
      </c>
    </row>
    <row r="8058" spans="1:8" ht="15" customHeight="1">
      <c r="A8058" s="26">
        <v>80034919</v>
      </c>
      <c r="B8058" s="30" t="s">
        <v>10285</v>
      </c>
      <c r="C8058" s="29" t="s">
        <v>24443</v>
      </c>
      <c r="D8058" s="29" t="s">
        <v>37725</v>
      </c>
      <c r="E8058" s="29" t="s">
        <v>49933</v>
      </c>
      <c r="F8058" s="36" t="s">
        <v>54401</v>
      </c>
      <c r="G8058" s="39">
        <v>52978.49</v>
      </c>
      <c r="H8058" s="42">
        <v>211</v>
      </c>
    </row>
    <row r="8059" spans="1:8" ht="15" customHeight="1">
      <c r="A8059" s="26">
        <v>80034948</v>
      </c>
      <c r="B8059" s="30" t="s">
        <v>10286</v>
      </c>
      <c r="C8059" s="29" t="s">
        <v>17204</v>
      </c>
      <c r="D8059" s="29" t="s">
        <v>37726</v>
      </c>
      <c r="E8059" s="29" t="s">
        <v>45430</v>
      </c>
      <c r="F8059" s="36" t="s">
        <v>54401</v>
      </c>
      <c r="G8059" s="39">
        <v>85321.16</v>
      </c>
      <c r="H8059" s="42">
        <v>211</v>
      </c>
    </row>
    <row r="8060" spans="1:8" ht="15" customHeight="1">
      <c r="A8060" s="26">
        <v>80035766</v>
      </c>
      <c r="B8060" s="30" t="s">
        <v>10287</v>
      </c>
      <c r="C8060" s="29" t="s">
        <v>24444</v>
      </c>
      <c r="D8060" s="29" t="s">
        <v>37727</v>
      </c>
      <c r="E8060" s="29" t="s">
        <v>49934</v>
      </c>
      <c r="F8060" s="36" t="s">
        <v>54401</v>
      </c>
      <c r="G8060" s="39">
        <v>63878.99</v>
      </c>
      <c r="H8060" s="42">
        <v>211</v>
      </c>
    </row>
    <row r="8061" spans="1:8" ht="15" customHeight="1">
      <c r="A8061" s="26">
        <v>80039175</v>
      </c>
      <c r="B8061" s="30" t="s">
        <v>10288</v>
      </c>
      <c r="C8061" s="29" t="s">
        <v>24445</v>
      </c>
      <c r="D8061" s="29" t="s">
        <v>37728</v>
      </c>
      <c r="E8061" s="29" t="s">
        <v>46622</v>
      </c>
      <c r="F8061" s="36" t="s">
        <v>54401</v>
      </c>
      <c r="G8061" s="39">
        <f>2317624.54+223456</f>
        <v>2541080.54</v>
      </c>
      <c r="H8061" s="42">
        <v>211</v>
      </c>
    </row>
    <row r="8062" spans="1:8" ht="15" customHeight="1">
      <c r="A8062" s="26">
        <v>80040326</v>
      </c>
      <c r="B8062" s="30" t="s">
        <v>10289</v>
      </c>
      <c r="C8062" s="29" t="s">
        <v>24446</v>
      </c>
      <c r="D8062" s="29" t="s">
        <v>37729</v>
      </c>
      <c r="E8062" s="29" t="s">
        <v>49935</v>
      </c>
      <c r="F8062" s="36" t="s">
        <v>54409</v>
      </c>
      <c r="G8062" s="39">
        <v>493656.44</v>
      </c>
      <c r="H8062" s="42">
        <v>211</v>
      </c>
    </row>
    <row r="8063" spans="1:8" ht="15" customHeight="1">
      <c r="A8063" s="26">
        <v>80062834</v>
      </c>
      <c r="B8063" s="30" t="s">
        <v>10290</v>
      </c>
      <c r="C8063" s="29" t="s">
        <v>24447</v>
      </c>
      <c r="D8063" s="29" t="s">
        <v>37730</v>
      </c>
      <c r="E8063" s="29" t="s">
        <v>49936</v>
      </c>
      <c r="F8063" s="36" t="s">
        <v>54401</v>
      </c>
      <c r="G8063" s="39">
        <v>2540985.4</v>
      </c>
      <c r="H8063" s="42">
        <v>211</v>
      </c>
    </row>
    <row r="8064" spans="1:8" ht="15" customHeight="1">
      <c r="A8064" s="26">
        <v>80066466</v>
      </c>
      <c r="B8064" s="30" t="s">
        <v>10291</v>
      </c>
      <c r="C8064" s="29" t="s">
        <v>24448</v>
      </c>
      <c r="D8064" s="29" t="s">
        <v>37731</v>
      </c>
      <c r="E8064" s="29" t="s">
        <v>49937</v>
      </c>
      <c r="F8064" s="36" t="s">
        <v>54401</v>
      </c>
      <c r="G8064" s="39">
        <v>145695.1</v>
      </c>
      <c r="H8064" s="42">
        <v>211</v>
      </c>
    </row>
    <row r="8065" spans="1:8" ht="15" customHeight="1">
      <c r="A8065" s="26">
        <v>80069732</v>
      </c>
      <c r="B8065" s="30" t="s">
        <v>10292</v>
      </c>
      <c r="C8065" s="29" t="s">
        <v>24449</v>
      </c>
      <c r="D8065" s="29" t="s">
        <v>37732</v>
      </c>
      <c r="E8065" s="29" t="s">
        <v>49938</v>
      </c>
      <c r="F8065" s="36" t="s">
        <v>54413</v>
      </c>
      <c r="G8065" s="39">
        <v>153051.75</v>
      </c>
      <c r="H8065" s="42">
        <v>211</v>
      </c>
    </row>
    <row r="8066" spans="1:8" ht="15" customHeight="1">
      <c r="A8066" s="26">
        <v>80085808</v>
      </c>
      <c r="B8066" s="30" t="s">
        <v>10293</v>
      </c>
      <c r="C8066" s="29" t="s">
        <v>24450</v>
      </c>
      <c r="D8066" s="29" t="s">
        <v>37733</v>
      </c>
      <c r="E8066" s="29" t="s">
        <v>49939</v>
      </c>
      <c r="F8066" s="36" t="s">
        <v>54401</v>
      </c>
      <c r="G8066" s="39">
        <v>579362.82999999996</v>
      </c>
      <c r="H8066" s="42">
        <v>211</v>
      </c>
    </row>
    <row r="8067" spans="1:8" ht="15" customHeight="1">
      <c r="A8067" s="26">
        <v>80093070</v>
      </c>
      <c r="B8067" s="30" t="s">
        <v>10294</v>
      </c>
      <c r="C8067" s="29" t="s">
        <v>24451</v>
      </c>
      <c r="D8067" s="29" t="s">
        <v>37734</v>
      </c>
      <c r="E8067" s="29" t="s">
        <v>49940</v>
      </c>
      <c r="F8067" s="36" t="s">
        <v>54401</v>
      </c>
      <c r="G8067" s="39">
        <v>257319.14</v>
      </c>
      <c r="H8067" s="42">
        <v>211</v>
      </c>
    </row>
    <row r="8068" spans="1:8" ht="15" customHeight="1">
      <c r="A8068" s="26">
        <v>80094659</v>
      </c>
      <c r="B8068" s="30" t="s">
        <v>10295</v>
      </c>
      <c r="C8068" s="29" t="s">
        <v>24452</v>
      </c>
      <c r="D8068" s="29" t="s">
        <v>37735</v>
      </c>
      <c r="E8068" s="29" t="s">
        <v>49941</v>
      </c>
      <c r="F8068" s="36" t="s">
        <v>54401</v>
      </c>
      <c r="G8068" s="39">
        <f>2990355.55+1342810+66593</f>
        <v>4399758.55</v>
      </c>
      <c r="H8068" s="42">
        <v>211</v>
      </c>
    </row>
    <row r="8069" spans="1:8" ht="15" customHeight="1">
      <c r="A8069" s="26">
        <v>80098708</v>
      </c>
      <c r="B8069" s="30" t="s">
        <v>10296</v>
      </c>
      <c r="C8069" s="29" t="s">
        <v>24453</v>
      </c>
      <c r="D8069" s="29" t="s">
        <v>37736</v>
      </c>
      <c r="E8069" s="29" t="s">
        <v>46753</v>
      </c>
      <c r="F8069" s="36" t="s">
        <v>54401</v>
      </c>
      <c r="G8069" s="39">
        <v>74189.75</v>
      </c>
      <c r="H8069" s="42">
        <v>211</v>
      </c>
    </row>
    <row r="8070" spans="1:8" ht="15" customHeight="1">
      <c r="A8070" s="26">
        <v>80100479</v>
      </c>
      <c r="B8070" s="30" t="s">
        <v>10297</v>
      </c>
      <c r="C8070" s="29" t="s">
        <v>24454</v>
      </c>
      <c r="D8070" s="29" t="s">
        <v>37737</v>
      </c>
      <c r="E8070" s="29" t="s">
        <v>49942</v>
      </c>
      <c r="F8070" s="36" t="s">
        <v>54401</v>
      </c>
      <c r="G8070" s="39">
        <v>44453.8</v>
      </c>
      <c r="H8070" s="42">
        <v>211</v>
      </c>
    </row>
    <row r="8071" spans="1:8" ht="15" customHeight="1">
      <c r="A8071" s="26">
        <v>80114305</v>
      </c>
      <c r="B8071" s="30" t="s">
        <v>10298</v>
      </c>
      <c r="C8071" s="29" t="s">
        <v>24455</v>
      </c>
      <c r="D8071" s="29" t="s">
        <v>37738</v>
      </c>
      <c r="E8071" s="29" t="s">
        <v>49943</v>
      </c>
      <c r="F8071" s="36" t="s">
        <v>54401</v>
      </c>
      <c r="G8071" s="39">
        <v>731851.82</v>
      </c>
      <c r="H8071" s="42">
        <v>211</v>
      </c>
    </row>
    <row r="8072" spans="1:8" ht="15" customHeight="1">
      <c r="A8072" s="26">
        <v>80115431</v>
      </c>
      <c r="B8072" s="30" t="s">
        <v>10299</v>
      </c>
      <c r="C8072" s="29" t="s">
        <v>24456</v>
      </c>
      <c r="D8072" s="29" t="s">
        <v>37739</v>
      </c>
      <c r="E8072" s="29" t="s">
        <v>49944</v>
      </c>
      <c r="F8072" s="36" t="s">
        <v>54401</v>
      </c>
      <c r="G8072" s="39">
        <v>3938398.04</v>
      </c>
      <c r="H8072" s="42">
        <v>211</v>
      </c>
    </row>
    <row r="8073" spans="1:8" ht="15" customHeight="1">
      <c r="A8073" s="26">
        <v>80124020</v>
      </c>
      <c r="B8073" s="30" t="s">
        <v>10300</v>
      </c>
      <c r="C8073" s="26" t="s">
        <v>24457</v>
      </c>
      <c r="D8073" s="26" t="s">
        <v>37740</v>
      </c>
      <c r="E8073" s="26" t="s">
        <v>44324</v>
      </c>
      <c r="F8073" s="37" t="s">
        <v>54401</v>
      </c>
      <c r="G8073" s="39">
        <f>1604632.4+432197</f>
        <v>2036829.4</v>
      </c>
      <c r="H8073" s="42">
        <v>211</v>
      </c>
    </row>
    <row r="8074" spans="1:8" ht="15" customHeight="1">
      <c r="A8074" s="26">
        <v>80131210</v>
      </c>
      <c r="B8074" s="30" t="s">
        <v>10301</v>
      </c>
      <c r="C8074" s="29" t="s">
        <v>24458</v>
      </c>
      <c r="D8074" s="29" t="s">
        <v>37741</v>
      </c>
      <c r="E8074" s="29" t="s">
        <v>49945</v>
      </c>
      <c r="F8074" s="36" t="s">
        <v>54401</v>
      </c>
      <c r="G8074" s="39">
        <v>23707</v>
      </c>
      <c r="H8074" s="42">
        <v>211</v>
      </c>
    </row>
    <row r="8075" spans="1:8" ht="15" customHeight="1">
      <c r="A8075" s="26">
        <v>80133818</v>
      </c>
      <c r="B8075" s="30" t="s">
        <v>10302</v>
      </c>
      <c r="C8075" s="29" t="s">
        <v>24459</v>
      </c>
      <c r="D8075" s="29" t="s">
        <v>37742</v>
      </c>
      <c r="E8075" s="29" t="s">
        <v>49946</v>
      </c>
      <c r="F8075" s="36" t="s">
        <v>54412</v>
      </c>
      <c r="G8075" s="39">
        <v>361035.07</v>
      </c>
      <c r="H8075" s="42">
        <v>211</v>
      </c>
    </row>
    <row r="8076" spans="1:8" ht="15" customHeight="1">
      <c r="A8076" s="26">
        <v>80138192</v>
      </c>
      <c r="B8076" s="30" t="s">
        <v>10303</v>
      </c>
      <c r="C8076" s="29" t="s">
        <v>24460</v>
      </c>
      <c r="D8076" s="29" t="s">
        <v>37743</v>
      </c>
      <c r="E8076" s="29" t="s">
        <v>43926</v>
      </c>
      <c r="F8076" s="36" t="s">
        <v>54401</v>
      </c>
      <c r="G8076" s="39">
        <v>286137.13</v>
      </c>
      <c r="H8076" s="42">
        <v>211</v>
      </c>
    </row>
    <row r="8077" spans="1:8" ht="15" customHeight="1">
      <c r="A8077" s="26">
        <v>80139754</v>
      </c>
      <c r="B8077" s="30" t="s">
        <v>10304</v>
      </c>
      <c r="C8077" s="29" t="s">
        <v>24461</v>
      </c>
      <c r="D8077" s="29" t="s">
        <v>37744</v>
      </c>
      <c r="E8077" s="29" t="s">
        <v>49947</v>
      </c>
      <c r="F8077" s="36" t="s">
        <v>54401</v>
      </c>
      <c r="G8077" s="39">
        <v>2802981.98</v>
      </c>
      <c r="H8077" s="42">
        <v>211</v>
      </c>
    </row>
    <row r="8078" spans="1:8" ht="15" customHeight="1">
      <c r="A8078" s="26">
        <v>80140364</v>
      </c>
      <c r="B8078" s="30" t="s">
        <v>10305</v>
      </c>
      <c r="C8078" s="29" t="s">
        <v>24462</v>
      </c>
      <c r="D8078" s="29" t="s">
        <v>37745</v>
      </c>
      <c r="E8078" s="29" t="s">
        <v>49948</v>
      </c>
      <c r="F8078" s="36" t="s">
        <v>54401</v>
      </c>
      <c r="G8078" s="39">
        <v>382533.63</v>
      </c>
      <c r="H8078" s="42">
        <v>211</v>
      </c>
    </row>
    <row r="8079" spans="1:8" ht="15" customHeight="1">
      <c r="A8079" s="26">
        <v>80151046</v>
      </c>
      <c r="B8079" s="30" t="s">
        <v>10306</v>
      </c>
      <c r="C8079" s="29" t="s">
        <v>24463</v>
      </c>
      <c r="D8079" s="29" t="s">
        <v>37746</v>
      </c>
      <c r="E8079" s="29" t="s">
        <v>49949</v>
      </c>
      <c r="F8079" s="36" t="s">
        <v>54401</v>
      </c>
      <c r="G8079" s="39">
        <v>360616.78</v>
      </c>
      <c r="H8079" s="42">
        <v>211</v>
      </c>
    </row>
    <row r="8080" spans="1:8" ht="15" customHeight="1">
      <c r="A8080" s="26">
        <v>80156686</v>
      </c>
      <c r="B8080" s="30" t="s">
        <v>10307</v>
      </c>
      <c r="C8080" s="29" t="s">
        <v>17204</v>
      </c>
      <c r="D8080" s="29" t="s">
        <v>37747</v>
      </c>
      <c r="E8080" s="29" t="s">
        <v>43926</v>
      </c>
      <c r="F8080" s="36" t="s">
        <v>54401</v>
      </c>
      <c r="G8080" s="39">
        <v>49513.39</v>
      </c>
      <c r="H8080" s="42">
        <v>211</v>
      </c>
    </row>
    <row r="8081" spans="1:8" ht="15" customHeight="1">
      <c r="A8081" s="26">
        <v>80165992</v>
      </c>
      <c r="B8081" s="30" t="s">
        <v>10308</v>
      </c>
      <c r="C8081" s="29" t="s">
        <v>24464</v>
      </c>
      <c r="D8081" s="29" t="s">
        <v>37748</v>
      </c>
      <c r="E8081" s="29" t="s">
        <v>49950</v>
      </c>
      <c r="F8081" s="36" t="s">
        <v>54401</v>
      </c>
      <c r="G8081" s="39">
        <v>198116.91</v>
      </c>
      <c r="H8081" s="42">
        <v>211</v>
      </c>
    </row>
    <row r="8082" spans="1:8" ht="15" customHeight="1">
      <c r="A8082" s="26">
        <v>80166298</v>
      </c>
      <c r="B8082" s="30" t="s">
        <v>10309</v>
      </c>
      <c r="C8082" s="29" t="s">
        <v>24465</v>
      </c>
      <c r="D8082" s="29" t="s">
        <v>37749</v>
      </c>
      <c r="E8082" s="29" t="s">
        <v>45183</v>
      </c>
      <c r="F8082" s="36" t="s">
        <v>54401</v>
      </c>
      <c r="G8082" s="39">
        <v>5241468.6399999997</v>
      </c>
      <c r="H8082" s="42">
        <v>211</v>
      </c>
    </row>
    <row r="8083" spans="1:8" ht="15" customHeight="1">
      <c r="A8083" s="26">
        <v>80177896</v>
      </c>
      <c r="B8083" s="30" t="s">
        <v>10310</v>
      </c>
      <c r="C8083" s="29" t="s">
        <v>24466</v>
      </c>
      <c r="D8083" s="29" t="s">
        <v>37750</v>
      </c>
      <c r="E8083" s="29" t="s">
        <v>49951</v>
      </c>
      <c r="F8083" s="36" t="s">
        <v>54401</v>
      </c>
      <c r="G8083" s="39">
        <f>1551860.04-12504</f>
        <v>1539356.04</v>
      </c>
      <c r="H8083" s="42">
        <v>211</v>
      </c>
    </row>
    <row r="8084" spans="1:8" ht="15" customHeight="1">
      <c r="A8084" s="26">
        <v>80178549</v>
      </c>
      <c r="B8084" s="30" t="s">
        <v>10311</v>
      </c>
      <c r="C8084" s="29" t="s">
        <v>17204</v>
      </c>
      <c r="D8084" s="29" t="s">
        <v>37751</v>
      </c>
      <c r="E8084" s="29" t="s">
        <v>49952</v>
      </c>
      <c r="F8084" s="36" t="s">
        <v>54401</v>
      </c>
      <c r="G8084" s="39">
        <v>243181.63</v>
      </c>
      <c r="H8084" s="42">
        <v>211</v>
      </c>
    </row>
    <row r="8085" spans="1:8" ht="15" customHeight="1">
      <c r="A8085" s="26">
        <v>80178962</v>
      </c>
      <c r="B8085" s="30" t="s">
        <v>10312</v>
      </c>
      <c r="C8085" s="29" t="s">
        <v>24467</v>
      </c>
      <c r="D8085" s="29" t="s">
        <v>37752</v>
      </c>
      <c r="E8085" s="29" t="s">
        <v>49953</v>
      </c>
      <c r="F8085" s="36" t="s">
        <v>54401</v>
      </c>
      <c r="G8085" s="39">
        <f>1372337.01+153730</f>
        <v>1526067.01</v>
      </c>
      <c r="H8085" s="42">
        <v>211</v>
      </c>
    </row>
    <row r="8086" spans="1:8" ht="15" customHeight="1">
      <c r="A8086" s="26">
        <v>80179438</v>
      </c>
      <c r="B8086" s="30" t="s">
        <v>10313</v>
      </c>
      <c r="C8086" s="29" t="s">
        <v>24468</v>
      </c>
      <c r="D8086" s="29" t="s">
        <v>37753</v>
      </c>
      <c r="E8086" s="29" t="s">
        <v>49954</v>
      </c>
      <c r="F8086" s="36" t="s">
        <v>54401</v>
      </c>
      <c r="G8086" s="39">
        <v>884004.37</v>
      </c>
      <c r="H8086" s="42">
        <v>211</v>
      </c>
    </row>
    <row r="8087" spans="1:8" ht="15" customHeight="1">
      <c r="A8087" s="26">
        <v>80183718</v>
      </c>
      <c r="B8087" s="30" t="s">
        <v>10314</v>
      </c>
      <c r="C8087" s="29" t="s">
        <v>24469</v>
      </c>
      <c r="D8087" s="29" t="s">
        <v>37754</v>
      </c>
      <c r="E8087" s="29" t="s">
        <v>49955</v>
      </c>
      <c r="F8087" s="36" t="s">
        <v>54401</v>
      </c>
      <c r="G8087" s="39">
        <v>1956802.32</v>
      </c>
      <c r="H8087" s="42">
        <v>211</v>
      </c>
    </row>
    <row r="8088" spans="1:8" ht="15" customHeight="1">
      <c r="A8088" s="26">
        <v>80195701</v>
      </c>
      <c r="B8088" s="30" t="s">
        <v>10315</v>
      </c>
      <c r="C8088" s="29" t="s">
        <v>24470</v>
      </c>
      <c r="D8088" s="29" t="s">
        <v>37755</v>
      </c>
      <c r="E8088" s="29" t="s">
        <v>49956</v>
      </c>
      <c r="F8088" s="36" t="s">
        <v>54401</v>
      </c>
      <c r="G8088" s="39">
        <v>153668.9</v>
      </c>
      <c r="H8088" s="42">
        <v>211</v>
      </c>
    </row>
    <row r="8089" spans="1:8" ht="15" customHeight="1">
      <c r="A8089" s="26">
        <v>80201350</v>
      </c>
      <c r="B8089" s="30" t="s">
        <v>10316</v>
      </c>
      <c r="C8089" s="29" t="s">
        <v>24471</v>
      </c>
      <c r="D8089" s="29" t="s">
        <v>37756</v>
      </c>
      <c r="E8089" s="29" t="s">
        <v>49957</v>
      </c>
      <c r="F8089" s="36" t="s">
        <v>54402</v>
      </c>
      <c r="G8089" s="39">
        <v>273110.5</v>
      </c>
      <c r="H8089" s="42">
        <v>211</v>
      </c>
    </row>
    <row r="8090" spans="1:8" ht="15" customHeight="1">
      <c r="A8090" s="26">
        <v>80205450</v>
      </c>
      <c r="B8090" s="30" t="s">
        <v>10317</v>
      </c>
      <c r="C8090" s="29" t="s">
        <v>24472</v>
      </c>
      <c r="D8090" s="29" t="s">
        <v>37757</v>
      </c>
      <c r="E8090" s="29" t="s">
        <v>44023</v>
      </c>
      <c r="F8090" s="36" t="s">
        <v>54401</v>
      </c>
      <c r="G8090" s="39">
        <v>1227574.56</v>
      </c>
      <c r="H8090" s="42">
        <v>211</v>
      </c>
    </row>
    <row r="8091" spans="1:8" ht="15" customHeight="1">
      <c r="A8091" s="26">
        <v>80206541</v>
      </c>
      <c r="B8091" s="30" t="s">
        <v>10318</v>
      </c>
      <c r="C8091" s="26" t="s">
        <v>24473</v>
      </c>
      <c r="D8091" s="26" t="s">
        <v>37758</v>
      </c>
      <c r="E8091" s="26" t="s">
        <v>717</v>
      </c>
      <c r="F8091" s="37" t="s">
        <v>54409</v>
      </c>
      <c r="G8091" s="39">
        <v>128498.83</v>
      </c>
      <c r="H8091" s="42">
        <v>211</v>
      </c>
    </row>
    <row r="8092" spans="1:8" ht="15" customHeight="1">
      <c r="A8092" s="26">
        <v>80206976</v>
      </c>
      <c r="B8092" s="30" t="s">
        <v>10319</v>
      </c>
      <c r="C8092" s="29" t="s">
        <v>24474</v>
      </c>
      <c r="D8092" s="29" t="s">
        <v>37759</v>
      </c>
      <c r="E8092" s="29" t="s">
        <v>49958</v>
      </c>
      <c r="F8092" s="36" t="s">
        <v>54401</v>
      </c>
      <c r="G8092" s="39">
        <v>724198</v>
      </c>
      <c r="H8092" s="42">
        <v>211</v>
      </c>
    </row>
    <row r="8093" spans="1:8" ht="15" customHeight="1">
      <c r="A8093" s="26">
        <v>80208403</v>
      </c>
      <c r="B8093" s="30" t="s">
        <v>10320</v>
      </c>
      <c r="C8093" s="29" t="s">
        <v>17204</v>
      </c>
      <c r="D8093" s="29" t="s">
        <v>30349</v>
      </c>
      <c r="E8093" s="29" t="s">
        <v>43926</v>
      </c>
      <c r="F8093" s="36" t="s">
        <v>54401</v>
      </c>
      <c r="G8093" s="39">
        <v>23589.919999999998</v>
      </c>
      <c r="H8093" s="42">
        <v>211</v>
      </c>
    </row>
    <row r="8094" spans="1:8" ht="15" customHeight="1">
      <c r="A8094" s="26">
        <v>80213917</v>
      </c>
      <c r="B8094" s="30" t="s">
        <v>10321</v>
      </c>
      <c r="C8094" s="29" t="s">
        <v>24475</v>
      </c>
      <c r="D8094" s="29" t="s">
        <v>37760</v>
      </c>
      <c r="E8094" s="29" t="s">
        <v>49959</v>
      </c>
      <c r="F8094" s="36" t="s">
        <v>54401</v>
      </c>
      <c r="G8094" s="39">
        <v>116876.8</v>
      </c>
      <c r="H8094" s="42">
        <v>211</v>
      </c>
    </row>
    <row r="8095" spans="1:8" ht="15" customHeight="1">
      <c r="A8095" s="26">
        <v>80217339</v>
      </c>
      <c r="B8095" s="30" t="s">
        <v>10322</v>
      </c>
      <c r="C8095" s="29" t="s">
        <v>24476</v>
      </c>
      <c r="D8095" s="29" t="s">
        <v>37761</v>
      </c>
      <c r="E8095" s="29" t="s">
        <v>257</v>
      </c>
      <c r="F8095" s="36" t="s">
        <v>54401</v>
      </c>
      <c r="G8095" s="39">
        <v>1181075.45</v>
      </c>
      <c r="H8095" s="42">
        <v>211</v>
      </c>
    </row>
    <row r="8096" spans="1:8" ht="15" customHeight="1">
      <c r="A8096" s="26">
        <v>80217540</v>
      </c>
      <c r="B8096" s="30" t="s">
        <v>10323</v>
      </c>
      <c r="C8096" s="29" t="s">
        <v>24477</v>
      </c>
      <c r="D8096" s="29" t="s">
        <v>37762</v>
      </c>
      <c r="E8096" s="29" t="s">
        <v>49960</v>
      </c>
      <c r="F8096" s="36" t="s">
        <v>54401</v>
      </c>
      <c r="G8096" s="39">
        <v>1438060.96</v>
      </c>
      <c r="H8096" s="42">
        <v>211</v>
      </c>
    </row>
    <row r="8097" spans="1:8" ht="15" customHeight="1">
      <c r="A8097" s="26">
        <v>80219404</v>
      </c>
      <c r="B8097" s="30" t="s">
        <v>10324</v>
      </c>
      <c r="C8097" s="29" t="s">
        <v>24478</v>
      </c>
      <c r="D8097" s="29" t="s">
        <v>37763</v>
      </c>
      <c r="E8097" s="29" t="s">
        <v>49961</v>
      </c>
      <c r="F8097" s="36" t="s">
        <v>54401</v>
      </c>
      <c r="G8097" s="39">
        <v>83868.33</v>
      </c>
      <c r="H8097" s="42">
        <v>211</v>
      </c>
    </row>
    <row r="8098" spans="1:8" ht="15" customHeight="1">
      <c r="A8098" s="26">
        <v>80226087</v>
      </c>
      <c r="B8098" s="30" t="s">
        <v>10325</v>
      </c>
      <c r="C8098" s="29" t="s">
        <v>24479</v>
      </c>
      <c r="D8098" s="29" t="s">
        <v>37764</v>
      </c>
      <c r="E8098" s="29" t="s">
        <v>44178</v>
      </c>
      <c r="F8098" s="36" t="s">
        <v>54409</v>
      </c>
      <c r="G8098" s="39">
        <v>387299.52</v>
      </c>
      <c r="H8098" s="42">
        <v>211</v>
      </c>
    </row>
    <row r="8099" spans="1:8" ht="15" customHeight="1">
      <c r="A8099" s="26">
        <v>80235190</v>
      </c>
      <c r="B8099" s="30" t="s">
        <v>10326</v>
      </c>
      <c r="C8099" s="29" t="s">
        <v>24480</v>
      </c>
      <c r="D8099" s="29" t="s">
        <v>37765</v>
      </c>
      <c r="E8099" s="29" t="s">
        <v>49962</v>
      </c>
      <c r="F8099" s="36" t="s">
        <v>54401</v>
      </c>
      <c r="G8099" s="39">
        <v>299387.94</v>
      </c>
      <c r="H8099" s="42">
        <v>211</v>
      </c>
    </row>
    <row r="8100" spans="1:8" ht="15" customHeight="1">
      <c r="A8100" s="26">
        <v>80236619</v>
      </c>
      <c r="B8100" s="30" t="s">
        <v>10327</v>
      </c>
      <c r="C8100" s="29" t="s">
        <v>24481</v>
      </c>
      <c r="D8100" s="29" t="s">
        <v>37766</v>
      </c>
      <c r="E8100" s="29" t="s">
        <v>49963</v>
      </c>
      <c r="F8100" s="36" t="s">
        <v>54401</v>
      </c>
      <c r="G8100" s="39">
        <v>5177693.2300000004</v>
      </c>
      <c r="H8100" s="42">
        <v>211</v>
      </c>
    </row>
    <row r="8101" spans="1:8" ht="15" customHeight="1">
      <c r="A8101" s="26">
        <v>80236908</v>
      </c>
      <c r="B8101" s="30" t="s">
        <v>10328</v>
      </c>
      <c r="C8101" s="29" t="s">
        <v>24482</v>
      </c>
      <c r="D8101" s="29" t="s">
        <v>37767</v>
      </c>
      <c r="E8101" s="29" t="s">
        <v>49964</v>
      </c>
      <c r="F8101" s="36" t="s">
        <v>54401</v>
      </c>
      <c r="G8101" s="39">
        <v>37536.65</v>
      </c>
      <c r="H8101" s="42">
        <v>211</v>
      </c>
    </row>
    <row r="8102" spans="1:8" ht="15" customHeight="1">
      <c r="A8102" s="26">
        <v>80240683</v>
      </c>
      <c r="B8102" s="30" t="s">
        <v>10329</v>
      </c>
      <c r="C8102" s="29" t="s">
        <v>17204</v>
      </c>
      <c r="D8102" s="29" t="s">
        <v>30349</v>
      </c>
      <c r="E8102" s="29" t="s">
        <v>43926</v>
      </c>
      <c r="F8102" s="36" t="s">
        <v>54401</v>
      </c>
      <c r="G8102" s="39">
        <v>29104.05</v>
      </c>
      <c r="H8102" s="42">
        <v>211</v>
      </c>
    </row>
    <row r="8103" spans="1:8" ht="15" customHeight="1">
      <c r="A8103" s="26">
        <v>80263989</v>
      </c>
      <c r="B8103" s="30" t="s">
        <v>10330</v>
      </c>
      <c r="C8103" s="29" t="s">
        <v>24483</v>
      </c>
      <c r="D8103" s="29" t="s">
        <v>37768</v>
      </c>
      <c r="E8103" s="29" t="s">
        <v>49965</v>
      </c>
      <c r="F8103" s="36" t="s">
        <v>54423</v>
      </c>
      <c r="G8103" s="39">
        <v>514647.24</v>
      </c>
      <c r="H8103" s="42">
        <v>211</v>
      </c>
    </row>
    <row r="8104" spans="1:8" ht="15" customHeight="1">
      <c r="A8104" s="26">
        <v>80274148</v>
      </c>
      <c r="B8104" s="30" t="s">
        <v>10331</v>
      </c>
      <c r="C8104" s="29" t="s">
        <v>24484</v>
      </c>
      <c r="D8104" s="29" t="s">
        <v>37769</v>
      </c>
      <c r="E8104" s="29" t="s">
        <v>49966</v>
      </c>
      <c r="F8104" s="36" t="s">
        <v>54401</v>
      </c>
      <c r="G8104" s="39">
        <v>310893.71999999997</v>
      </c>
      <c r="H8104" s="42">
        <v>211</v>
      </c>
    </row>
    <row r="8105" spans="1:8" ht="15" customHeight="1">
      <c r="A8105" s="26">
        <v>80281339</v>
      </c>
      <c r="B8105" s="30" t="s">
        <v>10332</v>
      </c>
      <c r="C8105" s="29" t="s">
        <v>24485</v>
      </c>
      <c r="D8105" s="29" t="s">
        <v>37770</v>
      </c>
      <c r="E8105" s="29" t="s">
        <v>48659</v>
      </c>
      <c r="F8105" s="36" t="s">
        <v>54401</v>
      </c>
      <c r="G8105" s="39">
        <v>20186.64</v>
      </c>
      <c r="H8105" s="42">
        <v>211</v>
      </c>
    </row>
    <row r="8106" spans="1:8" ht="15" customHeight="1">
      <c r="A8106" s="26">
        <v>80351318</v>
      </c>
      <c r="B8106" s="30" t="s">
        <v>10333</v>
      </c>
      <c r="C8106" s="29" t="s">
        <v>17337</v>
      </c>
      <c r="D8106" s="29" t="s">
        <v>37771</v>
      </c>
      <c r="E8106" s="29" t="s">
        <v>49967</v>
      </c>
      <c r="F8106" s="36" t="s">
        <v>54401</v>
      </c>
      <c r="G8106" s="39">
        <v>183114.28</v>
      </c>
      <c r="H8106" s="42">
        <v>211</v>
      </c>
    </row>
    <row r="8107" spans="1:8" ht="15" customHeight="1">
      <c r="A8107" s="26">
        <v>80352222</v>
      </c>
      <c r="B8107" s="30" t="s">
        <v>10334</v>
      </c>
      <c r="C8107" s="29" t="s">
        <v>24486</v>
      </c>
      <c r="D8107" s="29" t="s">
        <v>37772</v>
      </c>
      <c r="E8107" s="29" t="s">
        <v>44780</v>
      </c>
      <c r="F8107" s="36" t="s">
        <v>54401</v>
      </c>
      <c r="G8107" s="39">
        <v>78790.009999999995</v>
      </c>
      <c r="H8107" s="42">
        <v>211</v>
      </c>
    </row>
    <row r="8108" spans="1:8" ht="15" customHeight="1">
      <c r="A8108" s="26">
        <v>80367353</v>
      </c>
      <c r="B8108" s="30" t="s">
        <v>10335</v>
      </c>
      <c r="C8108" s="29" t="s">
        <v>24487</v>
      </c>
      <c r="D8108" s="29" t="s">
        <v>37773</v>
      </c>
      <c r="E8108" s="29" t="s">
        <v>49968</v>
      </c>
      <c r="F8108" s="36" t="s">
        <v>54412</v>
      </c>
      <c r="G8108" s="39">
        <f>1435715.26+251173</f>
        <v>1686888.26</v>
      </c>
      <c r="H8108" s="42">
        <v>211</v>
      </c>
    </row>
    <row r="8109" spans="1:8" ht="15" customHeight="1">
      <c r="A8109" s="26">
        <v>80367660</v>
      </c>
      <c r="B8109" s="30" t="s">
        <v>10336</v>
      </c>
      <c r="C8109" s="26" t="s">
        <v>24488</v>
      </c>
      <c r="D8109" s="26" t="s">
        <v>37774</v>
      </c>
      <c r="E8109" s="26" t="s">
        <v>49969</v>
      </c>
      <c r="F8109" s="37" t="s">
        <v>54401</v>
      </c>
      <c r="G8109" s="39">
        <v>156914.14000000001</v>
      </c>
      <c r="H8109" s="42">
        <v>211</v>
      </c>
    </row>
    <row r="8110" spans="1:8" ht="15" customHeight="1">
      <c r="A8110" s="26">
        <v>80390464</v>
      </c>
      <c r="B8110" s="30" t="s">
        <v>10337</v>
      </c>
      <c r="C8110" s="29" t="s">
        <v>24489</v>
      </c>
      <c r="D8110" s="29" t="s">
        <v>37775</v>
      </c>
      <c r="E8110" s="29" t="s">
        <v>49970</v>
      </c>
      <c r="F8110" s="36" t="s">
        <v>54401</v>
      </c>
      <c r="G8110" s="39">
        <v>208127.08</v>
      </c>
      <c r="H8110" s="42">
        <v>211</v>
      </c>
    </row>
    <row r="8111" spans="1:8" ht="15" customHeight="1">
      <c r="A8111" s="26">
        <v>80390987</v>
      </c>
      <c r="B8111" s="30" t="s">
        <v>10338</v>
      </c>
      <c r="C8111" s="29" t="s">
        <v>24490</v>
      </c>
      <c r="D8111" s="29" t="s">
        <v>37776</v>
      </c>
      <c r="E8111" s="29" t="s">
        <v>49971</v>
      </c>
      <c r="F8111" s="36" t="s">
        <v>54409</v>
      </c>
      <c r="G8111" s="39">
        <v>185270.7</v>
      </c>
      <c r="H8111" s="42">
        <v>211</v>
      </c>
    </row>
    <row r="8112" spans="1:8" ht="15" customHeight="1">
      <c r="A8112" s="26">
        <v>80391563</v>
      </c>
      <c r="B8112" s="30" t="s">
        <v>10339</v>
      </c>
      <c r="C8112" s="29" t="s">
        <v>24491</v>
      </c>
      <c r="D8112" s="29" t="s">
        <v>37777</v>
      </c>
      <c r="E8112" s="29" t="s">
        <v>49972</v>
      </c>
      <c r="F8112" s="36" t="s">
        <v>54401</v>
      </c>
      <c r="G8112" s="39">
        <v>794649.59</v>
      </c>
      <c r="H8112" s="42">
        <v>211</v>
      </c>
    </row>
    <row r="8113" spans="1:8" ht="15" customHeight="1">
      <c r="A8113" s="26">
        <v>80392053</v>
      </c>
      <c r="B8113" s="30" t="s">
        <v>10340</v>
      </c>
      <c r="C8113" s="29" t="s">
        <v>24492</v>
      </c>
      <c r="D8113" s="29" t="s">
        <v>37778</v>
      </c>
      <c r="E8113" s="29" t="s">
        <v>49973</v>
      </c>
      <c r="F8113" s="36" t="s">
        <v>54401</v>
      </c>
      <c r="G8113" s="39">
        <v>1335890.56</v>
      </c>
      <c r="H8113" s="42">
        <v>211</v>
      </c>
    </row>
    <row r="8114" spans="1:8" ht="15" customHeight="1">
      <c r="A8114" s="26">
        <v>80392122</v>
      </c>
      <c r="B8114" s="30" t="s">
        <v>10341</v>
      </c>
      <c r="C8114" s="29" t="s">
        <v>24493</v>
      </c>
      <c r="D8114" s="29" t="s">
        <v>37779</v>
      </c>
      <c r="E8114" s="29" t="s">
        <v>49974</v>
      </c>
      <c r="F8114" s="36" t="s">
        <v>54401</v>
      </c>
      <c r="G8114" s="39">
        <f>5303472.63+16504</f>
        <v>5319976.63</v>
      </c>
      <c r="H8114" s="42">
        <v>211</v>
      </c>
    </row>
    <row r="8115" spans="1:8" ht="15" customHeight="1">
      <c r="A8115" s="26">
        <v>80393165</v>
      </c>
      <c r="B8115" s="30" t="s">
        <v>10342</v>
      </c>
      <c r="C8115" s="29" t="s">
        <v>17204</v>
      </c>
      <c r="D8115" s="29" t="s">
        <v>30349</v>
      </c>
      <c r="E8115" s="29" t="s">
        <v>43926</v>
      </c>
      <c r="F8115" s="36" t="s">
        <v>54401</v>
      </c>
      <c r="G8115" s="39">
        <v>1017583.6</v>
      </c>
      <c r="H8115" s="42">
        <v>211</v>
      </c>
    </row>
    <row r="8116" spans="1:8" ht="15" customHeight="1">
      <c r="A8116" s="26">
        <v>80393408</v>
      </c>
      <c r="B8116" s="30" t="s">
        <v>10343</v>
      </c>
      <c r="C8116" s="29" t="s">
        <v>24494</v>
      </c>
      <c r="D8116" s="29" t="s">
        <v>37780</v>
      </c>
      <c r="E8116" s="29" t="s">
        <v>46971</v>
      </c>
      <c r="F8116" s="36" t="s">
        <v>54401</v>
      </c>
      <c r="G8116" s="39">
        <v>5213132.1500000004</v>
      </c>
      <c r="H8116" s="42">
        <v>211</v>
      </c>
    </row>
    <row r="8117" spans="1:8" ht="15" customHeight="1">
      <c r="A8117" s="26">
        <v>80396474</v>
      </c>
      <c r="B8117" s="30" t="s">
        <v>10344</v>
      </c>
      <c r="C8117" s="26" t="s">
        <v>24495</v>
      </c>
      <c r="D8117" s="26" t="s">
        <v>37781</v>
      </c>
      <c r="E8117" s="26" t="s">
        <v>49975</v>
      </c>
      <c r="F8117" s="37" t="s">
        <v>54401</v>
      </c>
      <c r="G8117" s="39">
        <v>985940.1</v>
      </c>
      <c r="H8117" s="42">
        <v>211</v>
      </c>
    </row>
    <row r="8118" spans="1:8" ht="15" customHeight="1">
      <c r="A8118" s="26">
        <v>80400564</v>
      </c>
      <c r="B8118" s="30" t="s">
        <v>10345</v>
      </c>
      <c r="C8118" s="29" t="s">
        <v>18989</v>
      </c>
      <c r="D8118" s="29" t="s">
        <v>37782</v>
      </c>
      <c r="E8118" s="29" t="s">
        <v>612</v>
      </c>
      <c r="F8118" s="36" t="s">
        <v>54461</v>
      </c>
      <c r="G8118" s="39">
        <v>323545.89</v>
      </c>
      <c r="H8118" s="42">
        <v>211</v>
      </c>
    </row>
    <row r="8119" spans="1:8" ht="15" customHeight="1">
      <c r="A8119" s="26">
        <v>80408400</v>
      </c>
      <c r="B8119" s="30" t="s">
        <v>10346</v>
      </c>
      <c r="C8119" s="29" t="s">
        <v>21699</v>
      </c>
      <c r="D8119" s="29" t="s">
        <v>34924</v>
      </c>
      <c r="E8119" s="29" t="s">
        <v>49976</v>
      </c>
      <c r="F8119" s="36" t="s">
        <v>54401</v>
      </c>
      <c r="G8119" s="39">
        <v>449766.59</v>
      </c>
      <c r="H8119" s="42">
        <v>211</v>
      </c>
    </row>
    <row r="8120" spans="1:8" ht="15" customHeight="1">
      <c r="A8120" s="26">
        <v>80409527</v>
      </c>
      <c r="B8120" s="30" t="s">
        <v>10347</v>
      </c>
      <c r="C8120" s="29" t="s">
        <v>24496</v>
      </c>
      <c r="D8120" s="29" t="s">
        <v>37783</v>
      </c>
      <c r="E8120" s="29" t="s">
        <v>46861</v>
      </c>
      <c r="F8120" s="36" t="s">
        <v>54406</v>
      </c>
      <c r="G8120" s="39">
        <f>3900942.13+93421</f>
        <v>3994363.13</v>
      </c>
      <c r="H8120" s="42">
        <v>211</v>
      </c>
    </row>
    <row r="8121" spans="1:8" ht="15" customHeight="1">
      <c r="A8121" s="26">
        <v>80413623</v>
      </c>
      <c r="B8121" s="30" t="s">
        <v>10348</v>
      </c>
      <c r="C8121" s="29" t="s">
        <v>24497</v>
      </c>
      <c r="D8121" s="29" t="s">
        <v>37784</v>
      </c>
      <c r="E8121" s="29" t="s">
        <v>44324</v>
      </c>
      <c r="F8121" s="36" t="s">
        <v>54401</v>
      </c>
      <c r="G8121" s="39">
        <v>550352.89</v>
      </c>
      <c r="H8121" s="42">
        <v>211</v>
      </c>
    </row>
    <row r="8122" spans="1:8" ht="15" customHeight="1">
      <c r="A8122" s="26">
        <v>80415808</v>
      </c>
      <c r="B8122" s="30" t="s">
        <v>10349</v>
      </c>
      <c r="C8122" s="29" t="s">
        <v>17204</v>
      </c>
      <c r="D8122" s="29" t="s">
        <v>30349</v>
      </c>
      <c r="E8122" s="29" t="s">
        <v>43926</v>
      </c>
      <c r="F8122" s="36" t="s">
        <v>54401</v>
      </c>
      <c r="G8122" s="39">
        <v>77814.52</v>
      </c>
      <c r="H8122" s="42">
        <v>211</v>
      </c>
    </row>
    <row r="8123" spans="1:8" ht="15" customHeight="1">
      <c r="A8123" s="26">
        <v>80423925</v>
      </c>
      <c r="B8123" s="30" t="s">
        <v>10350</v>
      </c>
      <c r="C8123" s="26" t="s">
        <v>24498</v>
      </c>
      <c r="D8123" s="26" t="s">
        <v>37785</v>
      </c>
      <c r="E8123" s="26" t="s">
        <v>49977</v>
      </c>
      <c r="F8123" s="37" t="s">
        <v>54401</v>
      </c>
      <c r="G8123" s="39">
        <v>700456.03</v>
      </c>
      <c r="H8123" s="42">
        <v>211</v>
      </c>
    </row>
    <row r="8124" spans="1:8" ht="15" customHeight="1">
      <c r="A8124" s="26">
        <v>80424048</v>
      </c>
      <c r="B8124" s="30" t="s">
        <v>10351</v>
      </c>
      <c r="C8124" s="29" t="s">
        <v>24499</v>
      </c>
      <c r="D8124" s="29" t="s">
        <v>37786</v>
      </c>
      <c r="E8124" s="29" t="s">
        <v>49978</v>
      </c>
      <c r="F8124" s="36" t="s">
        <v>54401</v>
      </c>
      <c r="G8124" s="39">
        <f>801437.79+780093</f>
        <v>1581530.79</v>
      </c>
      <c r="H8124" s="42">
        <v>211</v>
      </c>
    </row>
    <row r="8125" spans="1:8" ht="15" customHeight="1">
      <c r="A8125" s="26">
        <v>80429729</v>
      </c>
      <c r="B8125" s="30" t="s">
        <v>10352</v>
      </c>
      <c r="C8125" s="29" t="s">
        <v>24500</v>
      </c>
      <c r="D8125" s="29" t="s">
        <v>37787</v>
      </c>
      <c r="E8125" s="29" t="s">
        <v>49979</v>
      </c>
      <c r="F8125" s="36" t="s">
        <v>54413</v>
      </c>
      <c r="G8125" s="39">
        <f>1656593.37+938957</f>
        <v>2595550.37</v>
      </c>
      <c r="H8125" s="42">
        <v>211</v>
      </c>
    </row>
    <row r="8126" spans="1:8" ht="15" customHeight="1">
      <c r="A8126" s="26">
        <v>80430599</v>
      </c>
      <c r="B8126" s="30" t="s">
        <v>10353</v>
      </c>
      <c r="C8126" s="29" t="s">
        <v>24501</v>
      </c>
      <c r="D8126" s="29" t="s">
        <v>37788</v>
      </c>
      <c r="E8126" s="29" t="s">
        <v>49980</v>
      </c>
      <c r="F8126" s="36" t="s">
        <v>54401</v>
      </c>
      <c r="G8126" s="39">
        <v>128767.06</v>
      </c>
      <c r="H8126" s="42">
        <v>211</v>
      </c>
    </row>
    <row r="8127" spans="1:8" ht="15" customHeight="1">
      <c r="A8127" s="26">
        <v>80431552</v>
      </c>
      <c r="B8127" s="30" t="s">
        <v>10354</v>
      </c>
      <c r="C8127" s="29" t="s">
        <v>24502</v>
      </c>
      <c r="D8127" s="29" t="s">
        <v>37789</v>
      </c>
      <c r="E8127" s="29" t="s">
        <v>49981</v>
      </c>
      <c r="F8127" s="36" t="s">
        <v>54407</v>
      </c>
      <c r="G8127" s="39">
        <v>23750</v>
      </c>
      <c r="H8127" s="42">
        <v>211</v>
      </c>
    </row>
    <row r="8128" spans="1:8" ht="15" customHeight="1">
      <c r="A8128" s="26">
        <v>80435698</v>
      </c>
      <c r="B8128" s="30" t="s">
        <v>10355</v>
      </c>
      <c r="C8128" s="29" t="s">
        <v>24503</v>
      </c>
      <c r="D8128" s="29" t="s">
        <v>37790</v>
      </c>
      <c r="E8128" s="29" t="s">
        <v>49982</v>
      </c>
      <c r="F8128" s="36" t="s">
        <v>54401</v>
      </c>
      <c r="G8128" s="39">
        <v>825361.99</v>
      </c>
      <c r="H8128" s="42">
        <v>211</v>
      </c>
    </row>
    <row r="8129" spans="1:8" ht="15" customHeight="1">
      <c r="A8129" s="26">
        <v>80440044</v>
      </c>
      <c r="B8129" s="30" t="s">
        <v>10356</v>
      </c>
      <c r="C8129" s="29" t="s">
        <v>24504</v>
      </c>
      <c r="D8129" s="29" t="s">
        <v>37791</v>
      </c>
      <c r="E8129" s="29" t="s">
        <v>49983</v>
      </c>
      <c r="F8129" s="36" t="s">
        <v>54401</v>
      </c>
      <c r="G8129" s="39">
        <v>425488.7</v>
      </c>
      <c r="H8129" s="42">
        <v>211</v>
      </c>
    </row>
    <row r="8130" spans="1:8" ht="15" customHeight="1">
      <c r="A8130" s="26">
        <v>80449707</v>
      </c>
      <c r="B8130" s="26" t="s">
        <v>10357</v>
      </c>
      <c r="C8130" s="32"/>
      <c r="D8130" s="32"/>
      <c r="E8130" s="26" t="s">
        <v>49984</v>
      </c>
      <c r="F8130" s="26" t="s">
        <v>54402</v>
      </c>
      <c r="G8130" s="41">
        <v>7720712.2400000002</v>
      </c>
      <c r="H8130" s="26">
        <v>4729</v>
      </c>
    </row>
    <row r="8131" spans="1:8" ht="15" customHeight="1">
      <c r="A8131" s="26">
        <v>80470652</v>
      </c>
      <c r="B8131" s="30" t="s">
        <v>10358</v>
      </c>
      <c r="C8131" s="29" t="s">
        <v>24505</v>
      </c>
      <c r="D8131" s="29" t="s">
        <v>37792</v>
      </c>
      <c r="E8131" s="29" t="s">
        <v>49985</v>
      </c>
      <c r="F8131" s="36" t="s">
        <v>54401</v>
      </c>
      <c r="G8131" s="39">
        <v>62853.8</v>
      </c>
      <c r="H8131" s="42">
        <v>211</v>
      </c>
    </row>
    <row r="8132" spans="1:8" ht="15" customHeight="1">
      <c r="A8132" s="26">
        <v>80473264</v>
      </c>
      <c r="B8132" s="30" t="s">
        <v>10359</v>
      </c>
      <c r="C8132" s="29" t="s">
        <v>24506</v>
      </c>
      <c r="D8132" s="29" t="s">
        <v>37793</v>
      </c>
      <c r="E8132" s="29" t="s">
        <v>49986</v>
      </c>
      <c r="F8132" s="36" t="s">
        <v>54401</v>
      </c>
      <c r="G8132" s="39">
        <v>767632.36</v>
      </c>
      <c r="H8132" s="42">
        <v>211</v>
      </c>
    </row>
    <row r="8133" spans="1:8" ht="15" customHeight="1">
      <c r="A8133" s="26">
        <v>80490011</v>
      </c>
      <c r="B8133" s="30" t="s">
        <v>10360</v>
      </c>
      <c r="C8133" s="29" t="s">
        <v>24507</v>
      </c>
      <c r="D8133" s="29" t="s">
        <v>37794</v>
      </c>
      <c r="E8133" s="29" t="s">
        <v>49987</v>
      </c>
      <c r="F8133" s="36" t="s">
        <v>54401</v>
      </c>
      <c r="G8133" s="39">
        <v>469745.51</v>
      </c>
      <c r="H8133" s="42">
        <v>211</v>
      </c>
    </row>
    <row r="8134" spans="1:8" ht="15" customHeight="1">
      <c r="A8134" s="26">
        <v>80491663</v>
      </c>
      <c r="B8134" s="30" t="s">
        <v>10361</v>
      </c>
      <c r="C8134" s="29" t="s">
        <v>24508</v>
      </c>
      <c r="D8134" s="29" t="s">
        <v>37795</v>
      </c>
      <c r="E8134" s="29" t="s">
        <v>49988</v>
      </c>
      <c r="F8134" s="36" t="s">
        <v>54401</v>
      </c>
      <c r="G8134" s="39">
        <v>64840.34</v>
      </c>
      <c r="H8134" s="42">
        <v>211</v>
      </c>
    </row>
    <row r="8135" spans="1:8" ht="15" customHeight="1">
      <c r="A8135" s="26">
        <v>80500110</v>
      </c>
      <c r="B8135" s="30" t="s">
        <v>10362</v>
      </c>
      <c r="C8135" s="29" t="s">
        <v>17204</v>
      </c>
      <c r="D8135" s="29" t="s">
        <v>37796</v>
      </c>
      <c r="E8135" s="29" t="s">
        <v>43926</v>
      </c>
      <c r="F8135" s="36" t="s">
        <v>54401</v>
      </c>
      <c r="G8135" s="39">
        <v>264004.94</v>
      </c>
      <c r="H8135" s="42">
        <v>211</v>
      </c>
    </row>
    <row r="8136" spans="1:8" ht="15" customHeight="1">
      <c r="A8136" s="26">
        <v>80503669</v>
      </c>
      <c r="B8136" s="30" t="s">
        <v>10363</v>
      </c>
      <c r="C8136" s="29" t="s">
        <v>24509</v>
      </c>
      <c r="D8136" s="29" t="s">
        <v>37797</v>
      </c>
      <c r="E8136" s="29" t="s">
        <v>49989</v>
      </c>
      <c r="F8136" s="36" t="s">
        <v>54401</v>
      </c>
      <c r="G8136" s="39">
        <f>1666459.74+1000247</f>
        <v>2666706.7400000002</v>
      </c>
      <c r="H8136" s="42">
        <v>211</v>
      </c>
    </row>
    <row r="8137" spans="1:8" ht="15" customHeight="1">
      <c r="A8137" s="26">
        <v>80538400</v>
      </c>
      <c r="B8137" s="30" t="s">
        <v>10364</v>
      </c>
      <c r="C8137" s="29" t="s">
        <v>24510</v>
      </c>
      <c r="D8137" s="29" t="s">
        <v>37798</v>
      </c>
      <c r="E8137" s="29" t="s">
        <v>49990</v>
      </c>
      <c r="F8137" s="36" t="s">
        <v>54401</v>
      </c>
      <c r="G8137" s="39">
        <v>5564336.7599999998</v>
      </c>
      <c r="H8137" s="42">
        <v>211</v>
      </c>
    </row>
    <row r="8138" spans="1:8" ht="15" customHeight="1">
      <c r="A8138" s="26">
        <v>80543165</v>
      </c>
      <c r="B8138" s="30" t="s">
        <v>10365</v>
      </c>
      <c r="C8138" s="29" t="s">
        <v>24511</v>
      </c>
      <c r="D8138" s="29" t="s">
        <v>37799</v>
      </c>
      <c r="E8138" s="29" t="s">
        <v>49991</v>
      </c>
      <c r="F8138" s="36" t="s">
        <v>54401</v>
      </c>
      <c r="G8138" s="39">
        <f>1014589.3+124751</f>
        <v>1139340.3</v>
      </c>
      <c r="H8138" s="42">
        <v>211</v>
      </c>
    </row>
    <row r="8139" spans="1:8" ht="15" customHeight="1">
      <c r="A8139" s="26">
        <v>80546307</v>
      </c>
      <c r="B8139" s="30" t="s">
        <v>10366</v>
      </c>
      <c r="C8139" s="29" t="s">
        <v>24512</v>
      </c>
      <c r="D8139" s="29" t="s">
        <v>37800</v>
      </c>
      <c r="E8139" s="29" t="s">
        <v>49992</v>
      </c>
      <c r="F8139" s="36" t="s">
        <v>54401</v>
      </c>
      <c r="G8139" s="39">
        <v>262117.22</v>
      </c>
      <c r="H8139" s="42">
        <v>211</v>
      </c>
    </row>
    <row r="8140" spans="1:8" ht="15" customHeight="1">
      <c r="A8140" s="26">
        <v>80577900</v>
      </c>
      <c r="B8140" s="30" t="s">
        <v>10367</v>
      </c>
      <c r="C8140" s="29" t="s">
        <v>24513</v>
      </c>
      <c r="D8140" s="29" t="s">
        <v>37801</v>
      </c>
      <c r="E8140" s="29" t="s">
        <v>49993</v>
      </c>
      <c r="F8140" s="36" t="s">
        <v>54401</v>
      </c>
      <c r="G8140" s="39">
        <v>2054444.35</v>
      </c>
      <c r="H8140" s="42">
        <v>211</v>
      </c>
    </row>
    <row r="8141" spans="1:8" ht="15" customHeight="1">
      <c r="A8141" s="26">
        <v>80654233</v>
      </c>
      <c r="B8141" s="30" t="s">
        <v>10368</v>
      </c>
      <c r="C8141" s="29" t="s">
        <v>24514</v>
      </c>
      <c r="D8141" s="29" t="s">
        <v>37802</v>
      </c>
      <c r="E8141" s="29" t="s">
        <v>49994</v>
      </c>
      <c r="F8141" s="36" t="s">
        <v>54435</v>
      </c>
      <c r="G8141" s="39">
        <v>413288.22</v>
      </c>
      <c r="H8141" s="42">
        <v>211</v>
      </c>
    </row>
    <row r="8142" spans="1:8" ht="15" customHeight="1">
      <c r="A8142" s="26">
        <v>80664602</v>
      </c>
      <c r="B8142" s="30" t="s">
        <v>10369</v>
      </c>
      <c r="C8142" s="29" t="s">
        <v>24515</v>
      </c>
      <c r="D8142" s="29" t="s">
        <v>37803</v>
      </c>
      <c r="E8142" s="29" t="s">
        <v>49995</v>
      </c>
      <c r="F8142" s="36" t="s">
        <v>54401</v>
      </c>
      <c r="G8142" s="39">
        <f>314154.69+2226110-164912</f>
        <v>2375352.69</v>
      </c>
      <c r="H8142" s="42">
        <v>211</v>
      </c>
    </row>
    <row r="8143" spans="1:8" ht="15" customHeight="1">
      <c r="A8143" s="26">
        <v>80725589</v>
      </c>
      <c r="B8143" s="30" t="s">
        <v>10370</v>
      </c>
      <c r="C8143" s="29" t="s">
        <v>24516</v>
      </c>
      <c r="D8143" s="29" t="s">
        <v>37804</v>
      </c>
      <c r="E8143" s="29" t="s">
        <v>49996</v>
      </c>
      <c r="F8143" s="36" t="s">
        <v>54401</v>
      </c>
      <c r="G8143" s="39">
        <f>1169184.65+210136</f>
        <v>1379320.65</v>
      </c>
      <c r="H8143" s="42">
        <v>211</v>
      </c>
    </row>
    <row r="8144" spans="1:8" ht="15" customHeight="1">
      <c r="A8144" s="26">
        <v>80726721</v>
      </c>
      <c r="B8144" s="30" t="s">
        <v>10371</v>
      </c>
      <c r="C8144" s="29" t="s">
        <v>24517</v>
      </c>
      <c r="D8144" s="29" t="s">
        <v>37805</v>
      </c>
      <c r="E8144" s="29" t="s">
        <v>43926</v>
      </c>
      <c r="F8144" s="36" t="s">
        <v>54401</v>
      </c>
      <c r="G8144" s="39">
        <v>428262.18</v>
      </c>
      <c r="H8144" s="42">
        <v>211</v>
      </c>
    </row>
    <row r="8145" spans="1:8" ht="15" customHeight="1">
      <c r="A8145" s="26">
        <v>80732500</v>
      </c>
      <c r="B8145" s="30" t="s">
        <v>10372</v>
      </c>
      <c r="C8145" s="29" t="s">
        <v>24518</v>
      </c>
      <c r="D8145" s="29" t="s">
        <v>37806</v>
      </c>
      <c r="E8145" s="29" t="s">
        <v>49997</v>
      </c>
      <c r="F8145" s="36" t="s">
        <v>54401</v>
      </c>
      <c r="G8145" s="39">
        <v>45310.94</v>
      </c>
      <c r="H8145" s="42">
        <v>211</v>
      </c>
    </row>
    <row r="8146" spans="1:8" ht="15" customHeight="1">
      <c r="A8146" s="26">
        <v>80734642</v>
      </c>
      <c r="B8146" s="30" t="s">
        <v>10373</v>
      </c>
      <c r="C8146" s="29" t="s">
        <v>17204</v>
      </c>
      <c r="D8146" s="29" t="s">
        <v>37807</v>
      </c>
      <c r="E8146" s="29" t="s">
        <v>43926</v>
      </c>
      <c r="F8146" s="36" t="s">
        <v>54401</v>
      </c>
      <c r="G8146" s="39">
        <v>714682.95</v>
      </c>
      <c r="H8146" s="42">
        <v>211</v>
      </c>
    </row>
    <row r="8147" spans="1:8" ht="15" customHeight="1">
      <c r="A8147" s="26">
        <v>80735177</v>
      </c>
      <c r="B8147" s="30" t="s">
        <v>10374</v>
      </c>
      <c r="C8147" s="29" t="s">
        <v>24519</v>
      </c>
      <c r="D8147" s="29" t="s">
        <v>37808</v>
      </c>
      <c r="E8147" s="29" t="s">
        <v>49998</v>
      </c>
      <c r="F8147" s="36" t="s">
        <v>54402</v>
      </c>
      <c r="G8147" s="39">
        <v>1047466.86</v>
      </c>
      <c r="H8147" s="42">
        <v>211</v>
      </c>
    </row>
    <row r="8148" spans="1:8" ht="15" customHeight="1">
      <c r="A8148" s="26">
        <v>80748233</v>
      </c>
      <c r="B8148" s="30" t="s">
        <v>10375</v>
      </c>
      <c r="C8148" s="29" t="s">
        <v>24520</v>
      </c>
      <c r="D8148" s="29" t="s">
        <v>37809</v>
      </c>
      <c r="E8148" s="29" t="s">
        <v>49999</v>
      </c>
      <c r="F8148" s="36" t="s">
        <v>54401</v>
      </c>
      <c r="G8148" s="39">
        <v>315915.27</v>
      </c>
      <c r="H8148" s="42">
        <v>211</v>
      </c>
    </row>
    <row r="8149" spans="1:8" ht="15" customHeight="1">
      <c r="A8149" s="26">
        <v>80748430</v>
      </c>
      <c r="B8149" s="30" t="s">
        <v>10376</v>
      </c>
      <c r="C8149" s="29" t="s">
        <v>24521</v>
      </c>
      <c r="D8149" s="29" t="s">
        <v>37810</v>
      </c>
      <c r="E8149" s="29" t="s">
        <v>50000</v>
      </c>
      <c r="F8149" s="36" t="s">
        <v>54401</v>
      </c>
      <c r="G8149" s="39">
        <v>359338.03</v>
      </c>
      <c r="H8149" s="42">
        <v>211</v>
      </c>
    </row>
    <row r="8150" spans="1:8" ht="15" customHeight="1">
      <c r="A8150" s="26">
        <v>80749130</v>
      </c>
      <c r="B8150" s="30" t="s">
        <v>10377</v>
      </c>
      <c r="C8150" s="29" t="s">
        <v>24522</v>
      </c>
      <c r="D8150" s="29" t="s">
        <v>37811</v>
      </c>
      <c r="E8150" s="29" t="s">
        <v>50001</v>
      </c>
      <c r="F8150" s="36" t="s">
        <v>54412</v>
      </c>
      <c r="G8150" s="39">
        <v>5027618.88</v>
      </c>
      <c r="H8150" s="42">
        <v>211</v>
      </c>
    </row>
    <row r="8151" spans="1:8" ht="15" customHeight="1">
      <c r="A8151" s="26">
        <v>80758293</v>
      </c>
      <c r="B8151" s="30" t="s">
        <v>10378</v>
      </c>
      <c r="C8151" s="29" t="s">
        <v>24523</v>
      </c>
      <c r="D8151" s="29" t="s">
        <v>37812</v>
      </c>
      <c r="E8151" s="29" t="s">
        <v>50002</v>
      </c>
      <c r="F8151" s="36" t="s">
        <v>54401</v>
      </c>
      <c r="G8151" s="39">
        <v>4815868.9000000004</v>
      </c>
      <c r="H8151" s="42">
        <v>211</v>
      </c>
    </row>
    <row r="8152" spans="1:8" ht="15" customHeight="1">
      <c r="A8152" s="26">
        <v>80763698</v>
      </c>
      <c r="B8152" s="30" t="s">
        <v>10379</v>
      </c>
      <c r="C8152" s="29" t="s">
        <v>24524</v>
      </c>
      <c r="D8152" s="29" t="s">
        <v>37813</v>
      </c>
      <c r="E8152" s="29" t="s">
        <v>50003</v>
      </c>
      <c r="F8152" s="36" t="s">
        <v>54401</v>
      </c>
      <c r="G8152" s="39">
        <f>2243855.64+1191597</f>
        <v>3435452.64</v>
      </c>
      <c r="H8152" s="42">
        <v>211</v>
      </c>
    </row>
    <row r="8153" spans="1:8" ht="15" customHeight="1">
      <c r="A8153" s="26">
        <v>80794490</v>
      </c>
      <c r="B8153" s="30" t="s">
        <v>10380</v>
      </c>
      <c r="C8153" s="29" t="s">
        <v>24525</v>
      </c>
      <c r="D8153" s="29" t="s">
        <v>37814</v>
      </c>
      <c r="E8153" s="29" t="s">
        <v>50004</v>
      </c>
      <c r="F8153" s="36" t="s">
        <v>54401</v>
      </c>
      <c r="G8153" s="39">
        <v>543357.99</v>
      </c>
      <c r="H8153" s="42">
        <v>211</v>
      </c>
    </row>
    <row r="8154" spans="1:8" ht="15" customHeight="1">
      <c r="A8154" s="26">
        <v>80796014</v>
      </c>
      <c r="B8154" s="30" t="s">
        <v>10381</v>
      </c>
      <c r="C8154" s="26" t="s">
        <v>24526</v>
      </c>
      <c r="D8154" s="26" t="s">
        <v>37815</v>
      </c>
      <c r="E8154" s="26" t="s">
        <v>43926</v>
      </c>
      <c r="F8154" s="37" t="s">
        <v>54401</v>
      </c>
      <c r="G8154" s="39">
        <v>150269.85</v>
      </c>
      <c r="H8154" s="42">
        <v>211</v>
      </c>
    </row>
    <row r="8155" spans="1:8" ht="15" customHeight="1">
      <c r="A8155" s="26">
        <v>80796023</v>
      </c>
      <c r="B8155" s="30" t="s">
        <v>10382</v>
      </c>
      <c r="C8155" s="29" t="s">
        <v>24527</v>
      </c>
      <c r="D8155" s="29" t="s">
        <v>37816</v>
      </c>
      <c r="E8155" s="29" t="s">
        <v>45325</v>
      </c>
      <c r="F8155" s="36" t="s">
        <v>54401</v>
      </c>
      <c r="G8155" s="39">
        <f>1028635.09+441580+102528</f>
        <v>1572743.0899999999</v>
      </c>
      <c r="H8155" s="42">
        <v>211</v>
      </c>
    </row>
    <row r="8156" spans="1:8" ht="15" customHeight="1">
      <c r="A8156" s="26">
        <v>80803188</v>
      </c>
      <c r="B8156" s="30" t="s">
        <v>10383</v>
      </c>
      <c r="C8156" s="26" t="s">
        <v>24528</v>
      </c>
      <c r="D8156" s="26" t="s">
        <v>37817</v>
      </c>
      <c r="E8156" s="26" t="s">
        <v>43926</v>
      </c>
      <c r="F8156" s="37" t="s">
        <v>54401</v>
      </c>
      <c r="G8156" s="39">
        <v>156535.13</v>
      </c>
      <c r="H8156" s="42">
        <v>211</v>
      </c>
    </row>
    <row r="8157" spans="1:8" ht="15" customHeight="1">
      <c r="A8157" s="26">
        <v>80819116</v>
      </c>
      <c r="B8157" s="30" t="s">
        <v>10384</v>
      </c>
      <c r="C8157" s="29" t="s">
        <v>24529</v>
      </c>
      <c r="D8157" s="29" t="s">
        <v>37818</v>
      </c>
      <c r="E8157" s="29" t="s">
        <v>50005</v>
      </c>
      <c r="F8157" s="36" t="s">
        <v>54401</v>
      </c>
      <c r="G8157" s="39">
        <v>558513.65</v>
      </c>
      <c r="H8157" s="42">
        <v>211</v>
      </c>
    </row>
    <row r="8158" spans="1:8" ht="15" customHeight="1">
      <c r="A8158" s="26">
        <v>80819342</v>
      </c>
      <c r="B8158" s="30" t="s">
        <v>10385</v>
      </c>
      <c r="C8158" s="29" t="s">
        <v>24530</v>
      </c>
      <c r="D8158" s="29" t="s">
        <v>37819</v>
      </c>
      <c r="E8158" s="29" t="s">
        <v>50006</v>
      </c>
      <c r="F8158" s="36" t="s">
        <v>54427</v>
      </c>
      <c r="G8158" s="39">
        <v>109865.97</v>
      </c>
      <c r="H8158" s="42">
        <v>211</v>
      </c>
    </row>
    <row r="8159" spans="1:8" ht="15" customHeight="1">
      <c r="A8159" s="26">
        <v>80826000</v>
      </c>
      <c r="B8159" s="30" t="s">
        <v>10386</v>
      </c>
      <c r="C8159" s="29" t="s">
        <v>24531</v>
      </c>
      <c r="D8159" s="29" t="s">
        <v>37820</v>
      </c>
      <c r="E8159" s="29" t="s">
        <v>50007</v>
      </c>
      <c r="F8159" s="36" t="s">
        <v>54401</v>
      </c>
      <c r="G8159" s="39">
        <v>884020.31</v>
      </c>
      <c r="H8159" s="42">
        <v>211</v>
      </c>
    </row>
    <row r="8160" spans="1:8" ht="15" customHeight="1">
      <c r="A8160" s="26">
        <v>80843658</v>
      </c>
      <c r="B8160" s="30" t="s">
        <v>10387</v>
      </c>
      <c r="C8160" s="29" t="s">
        <v>24532</v>
      </c>
      <c r="D8160" s="29" t="s">
        <v>37821</v>
      </c>
      <c r="E8160" s="29" t="s">
        <v>50008</v>
      </c>
      <c r="F8160" s="36" t="s">
        <v>54401</v>
      </c>
      <c r="G8160" s="39">
        <v>1192380.94</v>
      </c>
      <c r="H8160" s="42">
        <v>211</v>
      </c>
    </row>
    <row r="8161" spans="1:8" ht="15" customHeight="1">
      <c r="A8161" s="26">
        <v>80857483</v>
      </c>
      <c r="B8161" s="30" t="s">
        <v>10388</v>
      </c>
      <c r="C8161" s="29" t="s">
        <v>24533</v>
      </c>
      <c r="D8161" s="29" t="s">
        <v>37822</v>
      </c>
      <c r="E8161" s="29" t="s">
        <v>50009</v>
      </c>
      <c r="F8161" s="36" t="s">
        <v>54401</v>
      </c>
      <c r="G8161" s="39">
        <v>1808502.21</v>
      </c>
      <c r="H8161" s="42">
        <v>211</v>
      </c>
    </row>
    <row r="8162" spans="1:8" ht="15" customHeight="1">
      <c r="A8162" s="26">
        <v>80863654</v>
      </c>
      <c r="B8162" s="30" t="s">
        <v>10389</v>
      </c>
      <c r="C8162" s="29" t="s">
        <v>24534</v>
      </c>
      <c r="D8162" s="29" t="s">
        <v>37823</v>
      </c>
      <c r="E8162" s="29" t="s">
        <v>50010</v>
      </c>
      <c r="F8162" s="36" t="s">
        <v>54401</v>
      </c>
      <c r="G8162" s="39">
        <v>168471.27</v>
      </c>
      <c r="H8162" s="42">
        <v>211</v>
      </c>
    </row>
    <row r="8163" spans="1:8" ht="15" customHeight="1">
      <c r="A8163" s="26">
        <v>80872779</v>
      </c>
      <c r="B8163" s="30" t="s">
        <v>10390</v>
      </c>
      <c r="C8163" s="29" t="s">
        <v>24535</v>
      </c>
      <c r="D8163" s="29" t="s">
        <v>37824</v>
      </c>
      <c r="E8163" s="29" t="s">
        <v>50011</v>
      </c>
      <c r="F8163" s="36" t="s">
        <v>54401</v>
      </c>
      <c r="G8163" s="39">
        <v>1624675.08</v>
      </c>
      <c r="H8163" s="42">
        <v>211</v>
      </c>
    </row>
    <row r="8164" spans="1:8" ht="15" customHeight="1">
      <c r="A8164" s="26">
        <v>80876642</v>
      </c>
      <c r="B8164" s="30" t="s">
        <v>10391</v>
      </c>
      <c r="C8164" s="29" t="s">
        <v>24536</v>
      </c>
      <c r="D8164" s="29" t="s">
        <v>37825</v>
      </c>
      <c r="E8164" s="29" t="s">
        <v>50012</v>
      </c>
      <c r="F8164" s="36" t="s">
        <v>54412</v>
      </c>
      <c r="G8164" s="39">
        <v>791835.81</v>
      </c>
      <c r="H8164" s="42">
        <v>211</v>
      </c>
    </row>
    <row r="8165" spans="1:8" ht="15" customHeight="1">
      <c r="A8165" s="26">
        <v>80876679</v>
      </c>
      <c r="B8165" s="30" t="s">
        <v>10392</v>
      </c>
      <c r="C8165" s="29" t="s">
        <v>24537</v>
      </c>
      <c r="D8165" s="29" t="s">
        <v>37826</v>
      </c>
      <c r="E8165" s="29" t="s">
        <v>50013</v>
      </c>
      <c r="F8165" s="36" t="s">
        <v>54401</v>
      </c>
      <c r="G8165" s="39">
        <f>2155540.31+70773</f>
        <v>2226313.31</v>
      </c>
      <c r="H8165" s="42">
        <v>211</v>
      </c>
    </row>
    <row r="8166" spans="1:8" ht="15" customHeight="1">
      <c r="A8166" s="26">
        <v>80880637</v>
      </c>
      <c r="B8166" s="30" t="s">
        <v>10393</v>
      </c>
      <c r="C8166" s="29" t="s">
        <v>24538</v>
      </c>
      <c r="D8166" s="29" t="s">
        <v>37827</v>
      </c>
      <c r="E8166" s="29" t="s">
        <v>50014</v>
      </c>
      <c r="F8166" s="36" t="s">
        <v>54401</v>
      </c>
      <c r="G8166" s="39">
        <v>95833.88</v>
      </c>
      <c r="H8166" s="42">
        <v>211</v>
      </c>
    </row>
    <row r="8167" spans="1:8" ht="15" customHeight="1">
      <c r="A8167" s="26">
        <v>80880737</v>
      </c>
      <c r="B8167" s="30" t="s">
        <v>10394</v>
      </c>
      <c r="C8167" s="29" t="s">
        <v>24539</v>
      </c>
      <c r="D8167" s="29" t="s">
        <v>37828</v>
      </c>
      <c r="E8167" s="29" t="s">
        <v>50015</v>
      </c>
      <c r="F8167" s="36" t="s">
        <v>54401</v>
      </c>
      <c r="G8167" s="39">
        <v>403450.4</v>
      </c>
      <c r="H8167" s="42">
        <v>211</v>
      </c>
    </row>
    <row r="8168" spans="1:8" ht="15" customHeight="1">
      <c r="A8168" s="26">
        <v>80894843</v>
      </c>
      <c r="B8168" s="30" t="s">
        <v>10395</v>
      </c>
      <c r="C8168" s="29" t="s">
        <v>24540</v>
      </c>
      <c r="D8168" s="29" t="s">
        <v>30376</v>
      </c>
      <c r="E8168" s="29" t="s">
        <v>50016</v>
      </c>
      <c r="F8168" s="36" t="s">
        <v>54401</v>
      </c>
      <c r="G8168" s="39">
        <v>1231004.55</v>
      </c>
      <c r="H8168" s="42">
        <v>211</v>
      </c>
    </row>
    <row r="8169" spans="1:8" ht="15" customHeight="1">
      <c r="A8169" s="26">
        <v>80911928</v>
      </c>
      <c r="B8169" s="30" t="s">
        <v>10396</v>
      </c>
      <c r="C8169" s="29" t="s">
        <v>24541</v>
      </c>
      <c r="D8169" s="29" t="s">
        <v>37829</v>
      </c>
      <c r="E8169" s="29" t="s">
        <v>46499</v>
      </c>
      <c r="F8169" s="36" t="s">
        <v>54401</v>
      </c>
      <c r="G8169" s="39">
        <v>73495.3</v>
      </c>
      <c r="H8169" s="42">
        <v>211</v>
      </c>
    </row>
    <row r="8170" spans="1:8" ht="15" customHeight="1">
      <c r="A8170" s="26">
        <v>80919148</v>
      </c>
      <c r="B8170" s="30" t="s">
        <v>10397</v>
      </c>
      <c r="C8170" s="29" t="s">
        <v>24542</v>
      </c>
      <c r="D8170" s="29" t="s">
        <v>37830</v>
      </c>
      <c r="E8170" s="29" t="s">
        <v>50017</v>
      </c>
      <c r="F8170" s="36" t="s">
        <v>54401</v>
      </c>
      <c r="G8170" s="39">
        <v>134889</v>
      </c>
      <c r="H8170" s="42">
        <v>211</v>
      </c>
    </row>
    <row r="8171" spans="1:8" ht="15" customHeight="1">
      <c r="A8171" s="26">
        <v>80920471</v>
      </c>
      <c r="B8171" s="30" t="s">
        <v>10398</v>
      </c>
      <c r="C8171" s="29" t="s">
        <v>17204</v>
      </c>
      <c r="D8171" s="29" t="s">
        <v>30349</v>
      </c>
      <c r="E8171" s="29" t="s">
        <v>43926</v>
      </c>
      <c r="F8171" s="36" t="s">
        <v>54401</v>
      </c>
      <c r="G8171" s="39">
        <v>437815.8</v>
      </c>
      <c r="H8171" s="42">
        <v>211</v>
      </c>
    </row>
    <row r="8172" spans="1:8" ht="15" customHeight="1">
      <c r="A8172" s="26">
        <v>80927993</v>
      </c>
      <c r="B8172" s="30" t="s">
        <v>10399</v>
      </c>
      <c r="C8172" s="26" t="s">
        <v>24543</v>
      </c>
      <c r="D8172" s="26" t="s">
        <v>37831</v>
      </c>
      <c r="E8172" s="26" t="s">
        <v>50018</v>
      </c>
      <c r="F8172" s="37" t="s">
        <v>54401</v>
      </c>
      <c r="G8172" s="39">
        <v>125076.22</v>
      </c>
      <c r="H8172" s="42">
        <v>211</v>
      </c>
    </row>
    <row r="8173" spans="1:8" ht="15" customHeight="1">
      <c r="A8173" s="26">
        <v>82392071</v>
      </c>
      <c r="B8173" s="30" t="s">
        <v>10400</v>
      </c>
      <c r="C8173" s="29" t="s">
        <v>24544</v>
      </c>
      <c r="D8173" s="29" t="s">
        <v>37832</v>
      </c>
      <c r="E8173" s="29" t="s">
        <v>50019</v>
      </c>
      <c r="F8173" s="36" t="s">
        <v>54401</v>
      </c>
      <c r="G8173" s="39">
        <v>4542261.1500000004</v>
      </c>
      <c r="H8173" s="42">
        <v>211</v>
      </c>
    </row>
    <row r="8174" spans="1:8" ht="15" customHeight="1">
      <c r="A8174" s="26">
        <v>82392272</v>
      </c>
      <c r="B8174" s="30" t="s">
        <v>10401</v>
      </c>
      <c r="C8174" s="26" t="s">
        <v>24545</v>
      </c>
      <c r="D8174" s="26" t="s">
        <v>37833</v>
      </c>
      <c r="E8174" s="26" t="s">
        <v>44559</v>
      </c>
      <c r="F8174" s="37" t="s">
        <v>54401</v>
      </c>
      <c r="G8174" s="39">
        <v>4898058.8</v>
      </c>
      <c r="H8174" s="42">
        <v>211</v>
      </c>
    </row>
    <row r="8175" spans="1:8" ht="15" customHeight="1">
      <c r="A8175" s="26">
        <v>83248914</v>
      </c>
      <c r="B8175" s="30" t="s">
        <v>10402</v>
      </c>
      <c r="C8175" s="29" t="s">
        <v>24546</v>
      </c>
      <c r="D8175" s="29" t="s">
        <v>37834</v>
      </c>
      <c r="E8175" s="29" t="s">
        <v>43926</v>
      </c>
      <c r="F8175" s="36" t="s">
        <v>54401</v>
      </c>
      <c r="G8175" s="39">
        <v>207531.55</v>
      </c>
      <c r="H8175" s="42">
        <v>211</v>
      </c>
    </row>
    <row r="8176" spans="1:8" ht="15" customHeight="1">
      <c r="A8176" s="26">
        <v>86041512</v>
      </c>
      <c r="B8176" s="30" t="s">
        <v>4197</v>
      </c>
      <c r="C8176" s="29" t="s">
        <v>24547</v>
      </c>
      <c r="D8176" s="29" t="s">
        <v>37835</v>
      </c>
      <c r="E8176" s="29" t="s">
        <v>50020</v>
      </c>
      <c r="F8176" s="36" t="s">
        <v>54412</v>
      </c>
      <c r="G8176" s="39">
        <v>158760.91</v>
      </c>
      <c r="H8176" s="42">
        <v>211</v>
      </c>
    </row>
    <row r="8177" spans="1:8" ht="15" customHeight="1">
      <c r="A8177" s="26">
        <v>86062496</v>
      </c>
      <c r="B8177" s="30" t="s">
        <v>10403</v>
      </c>
      <c r="C8177" s="29" t="s">
        <v>24548</v>
      </c>
      <c r="D8177" s="29" t="s">
        <v>37836</v>
      </c>
      <c r="E8177" s="29" t="s">
        <v>50021</v>
      </c>
      <c r="F8177" s="36" t="s">
        <v>54401</v>
      </c>
      <c r="G8177" s="39">
        <v>283492.86</v>
      </c>
      <c r="H8177" s="42">
        <v>211</v>
      </c>
    </row>
    <row r="8178" spans="1:8" ht="15" customHeight="1">
      <c r="A8178" s="26">
        <v>86073376</v>
      </c>
      <c r="B8178" s="30" t="s">
        <v>10404</v>
      </c>
      <c r="C8178" s="29" t="s">
        <v>17204</v>
      </c>
      <c r="D8178" s="29" t="s">
        <v>37837</v>
      </c>
      <c r="E8178" s="29" t="s">
        <v>43926</v>
      </c>
      <c r="F8178" s="36" t="s">
        <v>54401</v>
      </c>
      <c r="G8178" s="39">
        <v>3969476.73</v>
      </c>
      <c r="H8178" s="42">
        <v>211</v>
      </c>
    </row>
    <row r="8179" spans="1:8" ht="15" customHeight="1">
      <c r="A8179" s="26">
        <v>86086212</v>
      </c>
      <c r="B8179" s="30" t="s">
        <v>10405</v>
      </c>
      <c r="C8179" s="29" t="s">
        <v>24549</v>
      </c>
      <c r="D8179" s="29" t="s">
        <v>37838</v>
      </c>
      <c r="E8179" s="29" t="s">
        <v>50022</v>
      </c>
      <c r="F8179" s="36" t="s">
        <v>54401</v>
      </c>
      <c r="G8179" s="39">
        <v>1259746.3999999999</v>
      </c>
      <c r="H8179" s="42">
        <v>211</v>
      </c>
    </row>
    <row r="8180" spans="1:8" ht="15" customHeight="1">
      <c r="A8180" s="26">
        <v>87104662</v>
      </c>
      <c r="B8180" s="30" t="s">
        <v>10406</v>
      </c>
      <c r="C8180" s="29" t="s">
        <v>24550</v>
      </c>
      <c r="D8180" s="29" t="s">
        <v>37839</v>
      </c>
      <c r="E8180" s="29" t="s">
        <v>45897</v>
      </c>
      <c r="F8180" s="36" t="s">
        <v>54401</v>
      </c>
      <c r="G8180" s="39">
        <v>1240446.0900000001</v>
      </c>
      <c r="H8180" s="42">
        <v>211</v>
      </c>
    </row>
    <row r="8181" spans="1:8" ht="15" customHeight="1">
      <c r="A8181" s="26">
        <v>87532875</v>
      </c>
      <c r="B8181" s="30" t="s">
        <v>10407</v>
      </c>
      <c r="C8181" s="29" t="s">
        <v>24551</v>
      </c>
      <c r="D8181" s="29" t="s">
        <v>37840</v>
      </c>
      <c r="E8181" s="29" t="s">
        <v>50023</v>
      </c>
      <c r="F8181" s="36" t="s">
        <v>54401</v>
      </c>
      <c r="G8181" s="39">
        <v>150750</v>
      </c>
      <c r="H8181" s="42">
        <v>211</v>
      </c>
    </row>
    <row r="8182" spans="1:8" ht="15" customHeight="1">
      <c r="A8182" s="26">
        <v>88002006</v>
      </c>
      <c r="B8182" s="30" t="s">
        <v>10408</v>
      </c>
      <c r="C8182" s="29" t="s">
        <v>24552</v>
      </c>
      <c r="D8182" s="29" t="s">
        <v>37841</v>
      </c>
      <c r="E8182" s="29" t="s">
        <v>50024</v>
      </c>
      <c r="F8182" s="36" t="s">
        <v>54401</v>
      </c>
      <c r="G8182" s="39">
        <v>998548.22</v>
      </c>
      <c r="H8182" s="42">
        <v>211</v>
      </c>
    </row>
    <row r="8183" spans="1:8" ht="15" customHeight="1">
      <c r="A8183" s="26">
        <v>88033177</v>
      </c>
      <c r="B8183" s="30" t="s">
        <v>10409</v>
      </c>
      <c r="C8183" s="29" t="s">
        <v>24553</v>
      </c>
      <c r="D8183" s="29" t="s">
        <v>37842</v>
      </c>
      <c r="E8183" s="29" t="s">
        <v>50025</v>
      </c>
      <c r="F8183" s="36" t="s">
        <v>54401</v>
      </c>
      <c r="G8183" s="39">
        <v>294722.71999999997</v>
      </c>
      <c r="H8183" s="42">
        <v>211</v>
      </c>
    </row>
    <row r="8184" spans="1:8" ht="15" customHeight="1">
      <c r="A8184" s="26">
        <v>88150107</v>
      </c>
      <c r="B8184" s="30" t="s">
        <v>10410</v>
      </c>
      <c r="C8184" s="26" t="s">
        <v>24554</v>
      </c>
      <c r="D8184" s="26" t="s">
        <v>37843</v>
      </c>
      <c r="E8184" s="26" t="s">
        <v>44131</v>
      </c>
      <c r="F8184" s="37" t="s">
        <v>54401</v>
      </c>
      <c r="G8184" s="39">
        <v>662343.6</v>
      </c>
      <c r="H8184" s="42">
        <v>211</v>
      </c>
    </row>
    <row r="8185" spans="1:8" ht="15" customHeight="1">
      <c r="A8185" s="26">
        <v>88154842</v>
      </c>
      <c r="B8185" s="30" t="s">
        <v>10411</v>
      </c>
      <c r="C8185" s="29" t="s">
        <v>17204</v>
      </c>
      <c r="D8185" s="29" t="s">
        <v>30349</v>
      </c>
      <c r="E8185" s="29" t="s">
        <v>43926</v>
      </c>
      <c r="F8185" s="36" t="s">
        <v>54401</v>
      </c>
      <c r="G8185" s="39">
        <v>695307.74</v>
      </c>
      <c r="H8185" s="42">
        <v>211</v>
      </c>
    </row>
    <row r="8186" spans="1:8" ht="15" customHeight="1">
      <c r="A8186" s="26">
        <v>88159229</v>
      </c>
      <c r="B8186" s="30" t="s">
        <v>10412</v>
      </c>
      <c r="C8186" s="29" t="s">
        <v>24555</v>
      </c>
      <c r="D8186" s="29" t="s">
        <v>37844</v>
      </c>
      <c r="E8186" s="29" t="s">
        <v>50026</v>
      </c>
      <c r="F8186" s="36" t="s">
        <v>54401</v>
      </c>
      <c r="G8186" s="39">
        <f>3837205.89-2100</f>
        <v>3835105.89</v>
      </c>
      <c r="H8186" s="42">
        <v>211</v>
      </c>
    </row>
    <row r="8187" spans="1:8" ht="15" customHeight="1">
      <c r="A8187" s="26">
        <v>88159842</v>
      </c>
      <c r="B8187" s="30" t="s">
        <v>10413</v>
      </c>
      <c r="C8187" s="29" t="s">
        <v>24556</v>
      </c>
      <c r="D8187" s="29" t="s">
        <v>37845</v>
      </c>
      <c r="E8187" s="29" t="s">
        <v>50027</v>
      </c>
      <c r="F8187" s="36" t="s">
        <v>54401</v>
      </c>
      <c r="G8187" s="39">
        <v>86127.77</v>
      </c>
      <c r="H8187" s="42">
        <v>211</v>
      </c>
    </row>
    <row r="8188" spans="1:8" ht="15" customHeight="1">
      <c r="A8188" s="26">
        <v>88161435</v>
      </c>
      <c r="B8188" s="30" t="s">
        <v>10414</v>
      </c>
      <c r="C8188" s="29" t="s">
        <v>24557</v>
      </c>
      <c r="D8188" s="29" t="s">
        <v>37846</v>
      </c>
      <c r="E8188" s="29" t="s">
        <v>50028</v>
      </c>
      <c r="F8188" s="36" t="s">
        <v>54401</v>
      </c>
      <c r="G8188" s="39">
        <v>7940495.9699999997</v>
      </c>
      <c r="H8188" s="42">
        <v>211</v>
      </c>
    </row>
    <row r="8189" spans="1:8" ht="15" customHeight="1">
      <c r="A8189" s="26">
        <v>88177243</v>
      </c>
      <c r="B8189" s="30" t="s">
        <v>10415</v>
      </c>
      <c r="C8189" s="29" t="s">
        <v>24558</v>
      </c>
      <c r="D8189" s="29" t="s">
        <v>37847</v>
      </c>
      <c r="E8189" s="29" t="s">
        <v>50029</v>
      </c>
      <c r="F8189" s="36" t="s">
        <v>54401</v>
      </c>
      <c r="G8189" s="39">
        <v>443154.13</v>
      </c>
      <c r="H8189" s="42">
        <v>211</v>
      </c>
    </row>
    <row r="8190" spans="1:8" ht="15" customHeight="1">
      <c r="A8190" s="26">
        <v>88187091</v>
      </c>
      <c r="B8190" s="30" t="s">
        <v>10416</v>
      </c>
      <c r="C8190" s="29" t="s">
        <v>24559</v>
      </c>
      <c r="D8190" s="29" t="s">
        <v>37848</v>
      </c>
      <c r="E8190" s="29" t="s">
        <v>50030</v>
      </c>
      <c r="F8190" s="36" t="s">
        <v>54440</v>
      </c>
      <c r="G8190" s="39">
        <f>7902853.4-16487</f>
        <v>7886366.4000000004</v>
      </c>
      <c r="H8190" s="42">
        <v>211</v>
      </c>
    </row>
    <row r="8191" spans="1:8" ht="15" customHeight="1">
      <c r="A8191" s="26">
        <v>88203285</v>
      </c>
      <c r="B8191" s="30" t="s">
        <v>10417</v>
      </c>
      <c r="C8191" s="29" t="s">
        <v>24560</v>
      </c>
      <c r="D8191" s="29" t="s">
        <v>37849</v>
      </c>
      <c r="E8191" s="29" t="s">
        <v>50031</v>
      </c>
      <c r="F8191" s="36" t="s">
        <v>54413</v>
      </c>
      <c r="G8191" s="39">
        <v>49999.66</v>
      </c>
      <c r="H8191" s="42">
        <v>211</v>
      </c>
    </row>
    <row r="8192" spans="1:8" ht="15" customHeight="1">
      <c r="A8192" s="26">
        <v>88206897</v>
      </c>
      <c r="B8192" s="30" t="s">
        <v>10418</v>
      </c>
      <c r="C8192" s="29" t="s">
        <v>24561</v>
      </c>
      <c r="D8192" s="29" t="s">
        <v>37850</v>
      </c>
      <c r="E8192" s="29" t="s">
        <v>50032</v>
      </c>
      <c r="F8192" s="36" t="s">
        <v>54401</v>
      </c>
      <c r="G8192" s="39">
        <v>3412242.45</v>
      </c>
      <c r="H8192" s="42">
        <v>211</v>
      </c>
    </row>
    <row r="8193" spans="1:8" ht="15" customHeight="1">
      <c r="A8193" s="26">
        <v>88216406</v>
      </c>
      <c r="B8193" s="30" t="s">
        <v>10419</v>
      </c>
      <c r="C8193" s="29" t="s">
        <v>24562</v>
      </c>
      <c r="D8193" s="29" t="s">
        <v>37851</v>
      </c>
      <c r="E8193" s="29" t="s">
        <v>50033</v>
      </c>
      <c r="F8193" s="36" t="s">
        <v>54401</v>
      </c>
      <c r="G8193" s="39">
        <v>1670940.07</v>
      </c>
      <c r="H8193" s="42">
        <v>211</v>
      </c>
    </row>
    <row r="8194" spans="1:8" ht="15" customHeight="1">
      <c r="A8194" s="26">
        <v>88217811</v>
      </c>
      <c r="B8194" s="30" t="s">
        <v>10420</v>
      </c>
      <c r="C8194" s="29" t="s">
        <v>24563</v>
      </c>
      <c r="D8194" s="29" t="s">
        <v>37852</v>
      </c>
      <c r="E8194" s="29" t="s">
        <v>50034</v>
      </c>
      <c r="F8194" s="36" t="s">
        <v>54401</v>
      </c>
      <c r="G8194" s="39">
        <v>35048.879999999997</v>
      </c>
      <c r="H8194" s="42">
        <v>211</v>
      </c>
    </row>
    <row r="8195" spans="1:8" ht="15" customHeight="1">
      <c r="A8195" s="26">
        <v>88220999</v>
      </c>
      <c r="B8195" s="30" t="s">
        <v>10421</v>
      </c>
      <c r="C8195" s="29" t="s">
        <v>24564</v>
      </c>
      <c r="D8195" s="29" t="s">
        <v>37853</v>
      </c>
      <c r="E8195" s="29" t="s">
        <v>50035</v>
      </c>
      <c r="F8195" s="36" t="s">
        <v>54401</v>
      </c>
      <c r="G8195" s="39">
        <v>1167873.3700000001</v>
      </c>
      <c r="H8195" s="42">
        <v>211</v>
      </c>
    </row>
    <row r="8196" spans="1:8" ht="15" customHeight="1">
      <c r="A8196" s="26">
        <v>88230667</v>
      </c>
      <c r="B8196" s="30" t="s">
        <v>10422</v>
      </c>
      <c r="C8196" s="29" t="s">
        <v>24565</v>
      </c>
      <c r="D8196" s="29" t="s">
        <v>37854</v>
      </c>
      <c r="E8196" s="29" t="s">
        <v>1643</v>
      </c>
      <c r="F8196" s="36" t="s">
        <v>54401</v>
      </c>
      <c r="G8196" s="39">
        <v>1760718.31</v>
      </c>
      <c r="H8196" s="42">
        <v>211</v>
      </c>
    </row>
    <row r="8197" spans="1:8" ht="15" customHeight="1">
      <c r="A8197" s="26">
        <v>88237040</v>
      </c>
      <c r="B8197" s="30" t="s">
        <v>10423</v>
      </c>
      <c r="C8197" s="29" t="s">
        <v>24566</v>
      </c>
      <c r="D8197" s="29" t="s">
        <v>37855</v>
      </c>
      <c r="E8197" s="29" t="s">
        <v>50036</v>
      </c>
      <c r="F8197" s="36" t="s">
        <v>54401</v>
      </c>
      <c r="G8197" s="39">
        <v>307235.87</v>
      </c>
      <c r="H8197" s="42">
        <v>211</v>
      </c>
    </row>
    <row r="8198" spans="1:8" ht="15" customHeight="1">
      <c r="A8198" s="26">
        <v>88245165</v>
      </c>
      <c r="B8198" s="30" t="s">
        <v>10424</v>
      </c>
      <c r="C8198" s="29" t="s">
        <v>24567</v>
      </c>
      <c r="D8198" s="29" t="s">
        <v>37856</v>
      </c>
      <c r="E8198" s="29" t="s">
        <v>50037</v>
      </c>
      <c r="F8198" s="36" t="s">
        <v>54401</v>
      </c>
      <c r="G8198" s="39">
        <v>44554.76</v>
      </c>
      <c r="H8198" s="42">
        <v>211</v>
      </c>
    </row>
    <row r="8199" spans="1:8" ht="15" customHeight="1">
      <c r="A8199" s="26">
        <v>88265308</v>
      </c>
      <c r="B8199" s="30" t="s">
        <v>10425</v>
      </c>
      <c r="C8199" s="29" t="s">
        <v>24568</v>
      </c>
      <c r="D8199" s="29" t="s">
        <v>37857</v>
      </c>
      <c r="E8199" s="29" t="s">
        <v>48522</v>
      </c>
      <c r="F8199" s="36" t="s">
        <v>54401</v>
      </c>
      <c r="G8199" s="39">
        <v>2197509.9900000002</v>
      </c>
      <c r="H8199" s="42">
        <v>211</v>
      </c>
    </row>
    <row r="8200" spans="1:8" ht="15" customHeight="1">
      <c r="A8200" s="26">
        <v>88269832</v>
      </c>
      <c r="B8200" s="30" t="s">
        <v>10426</v>
      </c>
      <c r="C8200" s="29" t="s">
        <v>24569</v>
      </c>
      <c r="D8200" s="29" t="s">
        <v>37858</v>
      </c>
      <c r="E8200" s="29" t="s">
        <v>50038</v>
      </c>
      <c r="F8200" s="36" t="s">
        <v>54401</v>
      </c>
      <c r="G8200" s="39">
        <v>6431346.9199999999</v>
      </c>
      <c r="H8200" s="42">
        <v>211</v>
      </c>
    </row>
    <row r="8201" spans="1:8" ht="15" customHeight="1">
      <c r="A8201" s="26">
        <v>88292106</v>
      </c>
      <c r="B8201" s="30" t="s">
        <v>10427</v>
      </c>
      <c r="C8201" s="26" t="s">
        <v>24570</v>
      </c>
      <c r="D8201" s="26" t="s">
        <v>37859</v>
      </c>
      <c r="E8201" s="26" t="s">
        <v>50039</v>
      </c>
      <c r="F8201" s="37" t="s">
        <v>54401</v>
      </c>
      <c r="G8201" s="39">
        <v>4340289.51</v>
      </c>
      <c r="H8201" s="42">
        <v>211</v>
      </c>
    </row>
    <row r="8202" spans="1:8" ht="15" customHeight="1">
      <c r="A8202" s="26">
        <v>90215071</v>
      </c>
      <c r="B8202" s="30" t="s">
        <v>10428</v>
      </c>
      <c r="C8202" s="29" t="s">
        <v>17204</v>
      </c>
      <c r="D8202" s="29" t="s">
        <v>30376</v>
      </c>
      <c r="E8202" s="29" t="s">
        <v>50040</v>
      </c>
      <c r="F8202" s="36" t="s">
        <v>54401</v>
      </c>
      <c r="G8202" s="39">
        <v>38479.019999999997</v>
      </c>
      <c r="H8202" s="42">
        <v>211</v>
      </c>
    </row>
    <row r="8203" spans="1:8" ht="15" customHeight="1">
      <c r="A8203" s="26">
        <v>91003784</v>
      </c>
      <c r="B8203" s="30" t="s">
        <v>10429</v>
      </c>
      <c r="C8203" s="29" t="s">
        <v>24571</v>
      </c>
      <c r="D8203" s="29" t="s">
        <v>37860</v>
      </c>
      <c r="E8203" s="29" t="s">
        <v>50041</v>
      </c>
      <c r="F8203" s="36" t="s">
        <v>54401</v>
      </c>
      <c r="G8203" s="39">
        <f>830413.22+2248201+1318064</f>
        <v>4396678.22</v>
      </c>
      <c r="H8203" s="42">
        <v>211</v>
      </c>
    </row>
    <row r="8204" spans="1:8" ht="15" customHeight="1">
      <c r="A8204" s="26">
        <v>91010096</v>
      </c>
      <c r="B8204" s="30" t="s">
        <v>10430</v>
      </c>
      <c r="C8204" s="29" t="s">
        <v>24572</v>
      </c>
      <c r="D8204" s="29" t="s">
        <v>37861</v>
      </c>
      <c r="E8204" s="29" t="s">
        <v>50042</v>
      </c>
      <c r="F8204" s="36" t="s">
        <v>54401</v>
      </c>
      <c r="G8204" s="39">
        <v>10205777.66</v>
      </c>
      <c r="H8204" s="42">
        <v>211</v>
      </c>
    </row>
    <row r="8205" spans="1:8" ht="15" customHeight="1">
      <c r="A8205" s="26">
        <v>91015053</v>
      </c>
      <c r="B8205" s="30" t="s">
        <v>10431</v>
      </c>
      <c r="C8205" s="29" t="s">
        <v>17204</v>
      </c>
      <c r="D8205" s="29" t="s">
        <v>30349</v>
      </c>
      <c r="E8205" s="29" t="s">
        <v>43926</v>
      </c>
      <c r="F8205" s="36" t="s">
        <v>54401</v>
      </c>
      <c r="G8205" s="39">
        <v>2400399.14</v>
      </c>
      <c r="H8205" s="42">
        <v>211</v>
      </c>
    </row>
    <row r="8206" spans="1:8" ht="15" customHeight="1">
      <c r="A8206" s="26">
        <v>91016044</v>
      </c>
      <c r="B8206" s="30" t="s">
        <v>10432</v>
      </c>
      <c r="C8206" s="29" t="s">
        <v>24573</v>
      </c>
      <c r="D8206" s="29" t="s">
        <v>37862</v>
      </c>
      <c r="E8206" s="29" t="s">
        <v>731</v>
      </c>
      <c r="F8206" s="36" t="s">
        <v>54401</v>
      </c>
      <c r="G8206" s="39">
        <v>10974.79</v>
      </c>
      <c r="H8206" s="42">
        <v>211</v>
      </c>
    </row>
    <row r="8207" spans="1:8" ht="15" customHeight="1">
      <c r="A8207" s="26">
        <v>91016199</v>
      </c>
      <c r="B8207" s="30" t="s">
        <v>10433</v>
      </c>
      <c r="C8207" s="29" t="s">
        <v>24574</v>
      </c>
      <c r="D8207" s="29" t="s">
        <v>37863</v>
      </c>
      <c r="E8207" s="29" t="s">
        <v>45006</v>
      </c>
      <c r="F8207" s="36" t="s">
        <v>54401</v>
      </c>
      <c r="G8207" s="39">
        <f>582869.45+1245359+1778736</f>
        <v>3606964.45</v>
      </c>
      <c r="H8207" s="42">
        <v>211</v>
      </c>
    </row>
    <row r="8208" spans="1:8" ht="15" customHeight="1">
      <c r="A8208" s="26">
        <v>91045326</v>
      </c>
      <c r="B8208" s="30" t="s">
        <v>10434</v>
      </c>
      <c r="C8208" s="29" t="s">
        <v>24575</v>
      </c>
      <c r="D8208" s="29" t="s">
        <v>37864</v>
      </c>
      <c r="E8208" s="29" t="s">
        <v>50043</v>
      </c>
      <c r="F8208" s="36" t="s">
        <v>54401</v>
      </c>
      <c r="G8208" s="39">
        <v>2633994.11</v>
      </c>
      <c r="H8208" s="42">
        <v>211</v>
      </c>
    </row>
    <row r="8209" spans="1:8" ht="15" customHeight="1">
      <c r="A8209" s="26">
        <v>91046963</v>
      </c>
      <c r="B8209" s="30" t="s">
        <v>10435</v>
      </c>
      <c r="C8209" s="29" t="s">
        <v>24576</v>
      </c>
      <c r="D8209" s="29" t="s">
        <v>37865</v>
      </c>
      <c r="E8209" s="29" t="s">
        <v>50044</v>
      </c>
      <c r="F8209" s="36" t="s">
        <v>54401</v>
      </c>
      <c r="G8209" s="39">
        <f>1117546.52+75976</f>
        <v>1193522.52</v>
      </c>
      <c r="H8209" s="42">
        <v>211</v>
      </c>
    </row>
    <row r="8210" spans="1:8" ht="15" customHeight="1">
      <c r="A8210" s="26">
        <v>91075196</v>
      </c>
      <c r="B8210" s="30" t="s">
        <v>10436</v>
      </c>
      <c r="C8210" s="29" t="s">
        <v>24577</v>
      </c>
      <c r="D8210" s="29" t="s">
        <v>37866</v>
      </c>
      <c r="E8210" s="29" t="s">
        <v>50045</v>
      </c>
      <c r="F8210" s="36" t="s">
        <v>54401</v>
      </c>
      <c r="G8210" s="39">
        <v>2658908.44</v>
      </c>
      <c r="H8210" s="42">
        <v>211</v>
      </c>
    </row>
    <row r="8211" spans="1:8" ht="15" customHeight="1">
      <c r="A8211" s="26">
        <v>91076224</v>
      </c>
      <c r="B8211" s="30" t="s">
        <v>10437</v>
      </c>
      <c r="C8211" s="29" t="s">
        <v>24578</v>
      </c>
      <c r="D8211" s="29" t="s">
        <v>37867</v>
      </c>
      <c r="E8211" s="29" t="s">
        <v>50046</v>
      </c>
      <c r="F8211" s="36" t="s">
        <v>54401</v>
      </c>
      <c r="G8211" s="39">
        <v>20441.55</v>
      </c>
      <c r="H8211" s="42">
        <v>211</v>
      </c>
    </row>
    <row r="8212" spans="1:8" ht="15" customHeight="1">
      <c r="A8212" s="26">
        <v>91103511</v>
      </c>
      <c r="B8212" s="30" t="s">
        <v>10438</v>
      </c>
      <c r="C8212" s="29" t="s">
        <v>24579</v>
      </c>
      <c r="D8212" s="29" t="s">
        <v>37868</v>
      </c>
      <c r="E8212" s="29" t="s">
        <v>50047</v>
      </c>
      <c r="F8212" s="36" t="s">
        <v>54401</v>
      </c>
      <c r="G8212" s="39">
        <v>3453287.14</v>
      </c>
      <c r="H8212" s="42">
        <v>211</v>
      </c>
    </row>
    <row r="8213" spans="1:8" ht="15" customHeight="1">
      <c r="A8213" s="26">
        <v>91103815</v>
      </c>
      <c r="B8213" s="30" t="s">
        <v>10439</v>
      </c>
      <c r="C8213" s="29" t="s">
        <v>17204</v>
      </c>
      <c r="D8213" s="29" t="s">
        <v>30349</v>
      </c>
      <c r="E8213" s="29" t="s">
        <v>43926</v>
      </c>
      <c r="F8213" s="36" t="s">
        <v>54401</v>
      </c>
      <c r="G8213" s="39">
        <v>8822.86</v>
      </c>
      <c r="H8213" s="42">
        <v>211</v>
      </c>
    </row>
    <row r="8214" spans="1:8" ht="15" customHeight="1">
      <c r="A8214" s="26">
        <v>91105996</v>
      </c>
      <c r="B8214" s="30" t="s">
        <v>10440</v>
      </c>
      <c r="C8214" s="29" t="s">
        <v>24580</v>
      </c>
      <c r="D8214" s="29" t="s">
        <v>37869</v>
      </c>
      <c r="E8214" s="29" t="s">
        <v>50048</v>
      </c>
      <c r="F8214" s="36" t="s">
        <v>54401</v>
      </c>
      <c r="G8214" s="39">
        <v>6586659.7300000004</v>
      </c>
      <c r="H8214" s="42">
        <v>211</v>
      </c>
    </row>
    <row r="8215" spans="1:8" ht="15" customHeight="1">
      <c r="A8215" s="26">
        <v>91111532</v>
      </c>
      <c r="B8215" s="30" t="s">
        <v>10441</v>
      </c>
      <c r="C8215" s="29" t="s">
        <v>24581</v>
      </c>
      <c r="D8215" s="29" t="s">
        <v>37870</v>
      </c>
      <c r="E8215" s="29" t="s">
        <v>50049</v>
      </c>
      <c r="F8215" s="36" t="s">
        <v>54401</v>
      </c>
      <c r="G8215" s="39">
        <v>3128528.43</v>
      </c>
      <c r="H8215" s="42">
        <v>211</v>
      </c>
    </row>
    <row r="8216" spans="1:8" ht="15" customHeight="1">
      <c r="A8216" s="26">
        <v>91132745</v>
      </c>
      <c r="B8216" s="30" t="s">
        <v>10442</v>
      </c>
      <c r="C8216" s="29" t="s">
        <v>24582</v>
      </c>
      <c r="D8216" s="29" t="s">
        <v>37871</v>
      </c>
      <c r="E8216" s="29" t="s">
        <v>43926</v>
      </c>
      <c r="F8216" s="36" t="s">
        <v>54401</v>
      </c>
      <c r="G8216" s="39">
        <v>21180.5</v>
      </c>
      <c r="H8216" s="42">
        <v>211</v>
      </c>
    </row>
    <row r="8217" spans="1:8" ht="15" customHeight="1">
      <c r="A8217" s="26">
        <v>91149042</v>
      </c>
      <c r="B8217" s="30" t="s">
        <v>10443</v>
      </c>
      <c r="C8217" s="26" t="s">
        <v>22374</v>
      </c>
      <c r="D8217" s="26" t="s">
        <v>37872</v>
      </c>
      <c r="E8217" s="26" t="s">
        <v>43926</v>
      </c>
      <c r="F8217" s="37" t="s">
        <v>54401</v>
      </c>
      <c r="G8217" s="39">
        <v>308965.34999999998</v>
      </c>
      <c r="H8217" s="42">
        <v>211</v>
      </c>
    </row>
    <row r="8218" spans="1:8" ht="15" customHeight="1">
      <c r="A8218" s="26">
        <v>91156345</v>
      </c>
      <c r="B8218" s="30" t="s">
        <v>10444</v>
      </c>
      <c r="C8218" s="29" t="s">
        <v>24583</v>
      </c>
      <c r="D8218" s="29" t="s">
        <v>37873</v>
      </c>
      <c r="E8218" s="29" t="s">
        <v>50050</v>
      </c>
      <c r="F8218" s="36" t="s">
        <v>54401</v>
      </c>
      <c r="G8218" s="39">
        <v>29336.33</v>
      </c>
      <c r="H8218" s="42">
        <v>211</v>
      </c>
    </row>
    <row r="8219" spans="1:8" ht="15" customHeight="1">
      <c r="A8219" s="26">
        <v>91179097</v>
      </c>
      <c r="B8219" s="30" t="s">
        <v>10445</v>
      </c>
      <c r="C8219" s="29" t="s">
        <v>24584</v>
      </c>
      <c r="D8219" s="29" t="s">
        <v>37874</v>
      </c>
      <c r="E8219" s="29" t="s">
        <v>50051</v>
      </c>
      <c r="F8219" s="36" t="s">
        <v>54401</v>
      </c>
      <c r="G8219" s="39">
        <v>157594.59</v>
      </c>
      <c r="H8219" s="42">
        <v>211</v>
      </c>
    </row>
    <row r="8220" spans="1:8" ht="15" customHeight="1">
      <c r="A8220" s="26">
        <v>91201491</v>
      </c>
      <c r="B8220" s="30" t="s">
        <v>10446</v>
      </c>
      <c r="C8220" s="29" t="s">
        <v>24585</v>
      </c>
      <c r="D8220" s="29" t="s">
        <v>37875</v>
      </c>
      <c r="E8220" s="29" t="s">
        <v>44023</v>
      </c>
      <c r="F8220" s="36" t="s">
        <v>54401</v>
      </c>
      <c r="G8220" s="39">
        <v>44638.65</v>
      </c>
      <c r="H8220" s="42">
        <v>211</v>
      </c>
    </row>
    <row r="8221" spans="1:8" ht="15" customHeight="1">
      <c r="A8221" s="26">
        <v>91204231</v>
      </c>
      <c r="B8221" s="30" t="s">
        <v>10447</v>
      </c>
      <c r="C8221" s="29" t="s">
        <v>24586</v>
      </c>
      <c r="D8221" s="29" t="s">
        <v>37876</v>
      </c>
      <c r="E8221" s="29" t="s">
        <v>50052</v>
      </c>
      <c r="F8221" s="36" t="s">
        <v>54401</v>
      </c>
      <c r="G8221" s="39">
        <f>7590587.41+159771</f>
        <v>7750358.4100000001</v>
      </c>
      <c r="H8221" s="42">
        <v>211</v>
      </c>
    </row>
    <row r="8222" spans="1:8" ht="15" customHeight="1">
      <c r="A8222" s="26">
        <v>91205398</v>
      </c>
      <c r="B8222" s="30" t="s">
        <v>10448</v>
      </c>
      <c r="C8222" s="29" t="s">
        <v>24587</v>
      </c>
      <c r="D8222" s="29" t="s">
        <v>37877</v>
      </c>
      <c r="E8222" s="29" t="s">
        <v>50053</v>
      </c>
      <c r="F8222" s="36" t="s">
        <v>54401</v>
      </c>
      <c r="G8222" s="39">
        <v>122911.75</v>
      </c>
      <c r="H8222" s="42">
        <v>211</v>
      </c>
    </row>
    <row r="8223" spans="1:8" ht="15" customHeight="1">
      <c r="A8223" s="26">
        <v>91207214</v>
      </c>
      <c r="B8223" s="30" t="s">
        <v>10449</v>
      </c>
      <c r="C8223" s="29" t="s">
        <v>24588</v>
      </c>
      <c r="D8223" s="29" t="s">
        <v>37878</v>
      </c>
      <c r="E8223" s="29" t="s">
        <v>50054</v>
      </c>
      <c r="F8223" s="36" t="s">
        <v>54401</v>
      </c>
      <c r="G8223" s="39">
        <v>606579.51</v>
      </c>
      <c r="H8223" s="42">
        <v>211</v>
      </c>
    </row>
    <row r="8224" spans="1:8" ht="15" customHeight="1">
      <c r="A8224" s="26">
        <v>91215562</v>
      </c>
      <c r="B8224" s="30" t="s">
        <v>10450</v>
      </c>
      <c r="C8224" s="26" t="s">
        <v>24589</v>
      </c>
      <c r="D8224" s="26" t="s">
        <v>37879</v>
      </c>
      <c r="E8224" s="26" t="s">
        <v>43926</v>
      </c>
      <c r="F8224" s="37" t="s">
        <v>54401</v>
      </c>
      <c r="G8224" s="39">
        <v>514010.93</v>
      </c>
      <c r="H8224" s="42">
        <v>211</v>
      </c>
    </row>
    <row r="8225" spans="1:8" ht="15" customHeight="1">
      <c r="A8225" s="26">
        <v>91222752</v>
      </c>
      <c r="B8225" s="30" t="s">
        <v>10451</v>
      </c>
      <c r="C8225" s="29" t="s">
        <v>24590</v>
      </c>
      <c r="D8225" s="29" t="s">
        <v>37880</v>
      </c>
      <c r="E8225" s="29" t="s">
        <v>50055</v>
      </c>
      <c r="F8225" s="36" t="s">
        <v>54401</v>
      </c>
      <c r="G8225" s="39">
        <f>880681.98+4570033</f>
        <v>5450714.9800000004</v>
      </c>
      <c r="H8225" s="42">
        <v>211</v>
      </c>
    </row>
    <row r="8226" spans="1:8" ht="15" customHeight="1">
      <c r="A8226" s="26">
        <v>91231039</v>
      </c>
      <c r="B8226" s="30" t="s">
        <v>10452</v>
      </c>
      <c r="C8226" s="29" t="s">
        <v>24591</v>
      </c>
      <c r="D8226" s="29" t="s">
        <v>37881</v>
      </c>
      <c r="E8226" s="29" t="s">
        <v>50056</v>
      </c>
      <c r="F8226" s="36" t="s">
        <v>54401</v>
      </c>
      <c r="G8226" s="39">
        <v>20361.349999999999</v>
      </c>
      <c r="H8226" s="42">
        <v>211</v>
      </c>
    </row>
    <row r="8227" spans="1:8" ht="15" customHeight="1">
      <c r="A8227" s="26">
        <v>91233815</v>
      </c>
      <c r="B8227" s="30" t="s">
        <v>10453</v>
      </c>
      <c r="C8227" s="26" t="s">
        <v>17204</v>
      </c>
      <c r="D8227" s="26" t="s">
        <v>30349</v>
      </c>
      <c r="E8227" s="26" t="s">
        <v>43926</v>
      </c>
      <c r="F8227" s="37" t="s">
        <v>54401</v>
      </c>
      <c r="G8227" s="39">
        <v>22000</v>
      </c>
      <c r="H8227" s="42">
        <v>211</v>
      </c>
    </row>
    <row r="8228" spans="1:8" ht="15" customHeight="1">
      <c r="A8228" s="26">
        <v>91236913</v>
      </c>
      <c r="B8228" s="30" t="s">
        <v>10454</v>
      </c>
      <c r="C8228" s="29" t="s">
        <v>17204</v>
      </c>
      <c r="D8228" s="29" t="s">
        <v>37882</v>
      </c>
      <c r="E8228" s="29" t="s">
        <v>50057</v>
      </c>
      <c r="F8228" s="36" t="s">
        <v>54401</v>
      </c>
      <c r="G8228" s="39">
        <v>276493.21000000002</v>
      </c>
      <c r="H8228" s="42">
        <v>211</v>
      </c>
    </row>
    <row r="8229" spans="1:8" ht="15" customHeight="1">
      <c r="A8229" s="26">
        <v>91252142</v>
      </c>
      <c r="B8229" s="30" t="s">
        <v>10455</v>
      </c>
      <c r="C8229" s="29" t="s">
        <v>24592</v>
      </c>
      <c r="D8229" s="29" t="s">
        <v>37883</v>
      </c>
      <c r="E8229" s="29" t="s">
        <v>50058</v>
      </c>
      <c r="F8229" s="36" t="s">
        <v>54423</v>
      </c>
      <c r="G8229" s="39">
        <v>2682282.14</v>
      </c>
      <c r="H8229" s="42">
        <v>211</v>
      </c>
    </row>
    <row r="8230" spans="1:8" ht="15" customHeight="1">
      <c r="A8230" s="26">
        <v>91253430</v>
      </c>
      <c r="B8230" s="30" t="s">
        <v>10456</v>
      </c>
      <c r="C8230" s="29" t="s">
        <v>24593</v>
      </c>
      <c r="D8230" s="29" t="s">
        <v>37884</v>
      </c>
      <c r="E8230" s="29" t="s">
        <v>43948</v>
      </c>
      <c r="F8230" s="36" t="s">
        <v>54401</v>
      </c>
      <c r="G8230" s="39">
        <v>271534.57</v>
      </c>
      <c r="H8230" s="42">
        <v>211</v>
      </c>
    </row>
    <row r="8231" spans="1:8" ht="15" customHeight="1">
      <c r="A8231" s="26">
        <v>91258404</v>
      </c>
      <c r="B8231" s="30" t="s">
        <v>10457</v>
      </c>
      <c r="C8231" s="29" t="s">
        <v>24594</v>
      </c>
      <c r="D8231" s="29" t="s">
        <v>37885</v>
      </c>
      <c r="E8231" s="29" t="s">
        <v>50059</v>
      </c>
      <c r="F8231" s="36" t="s">
        <v>54409</v>
      </c>
      <c r="G8231" s="39">
        <v>366741.23</v>
      </c>
      <c r="H8231" s="42">
        <v>211</v>
      </c>
    </row>
    <row r="8232" spans="1:8" ht="15" customHeight="1">
      <c r="A8232" s="26">
        <v>91266852</v>
      </c>
      <c r="B8232" s="30" t="s">
        <v>10458</v>
      </c>
      <c r="C8232" s="29" t="s">
        <v>17204</v>
      </c>
      <c r="D8232" s="29" t="s">
        <v>37886</v>
      </c>
      <c r="E8232" s="29" t="s">
        <v>50060</v>
      </c>
      <c r="F8232" s="36" t="s">
        <v>54412</v>
      </c>
      <c r="G8232" s="39">
        <v>297682.37</v>
      </c>
      <c r="H8232" s="42">
        <v>211</v>
      </c>
    </row>
    <row r="8233" spans="1:8" ht="15" customHeight="1">
      <c r="A8233" s="26">
        <v>91270631</v>
      </c>
      <c r="B8233" s="30" t="s">
        <v>10459</v>
      </c>
      <c r="C8233" s="29" t="s">
        <v>24595</v>
      </c>
      <c r="D8233" s="29" t="s">
        <v>37887</v>
      </c>
      <c r="E8233" s="29" t="s">
        <v>45261</v>
      </c>
      <c r="F8233" s="36" t="s">
        <v>54401</v>
      </c>
      <c r="G8233" s="39">
        <f>3910433.4+29909</f>
        <v>3940342.4</v>
      </c>
      <c r="H8233" s="42">
        <v>211</v>
      </c>
    </row>
    <row r="8234" spans="1:8" ht="15" customHeight="1">
      <c r="A8234" s="26">
        <v>91282127</v>
      </c>
      <c r="B8234" s="30" t="s">
        <v>10460</v>
      </c>
      <c r="C8234" s="29" t="s">
        <v>24596</v>
      </c>
      <c r="D8234" s="29" t="s">
        <v>37888</v>
      </c>
      <c r="E8234" s="29" t="s">
        <v>50061</v>
      </c>
      <c r="F8234" s="36" t="s">
        <v>54401</v>
      </c>
      <c r="G8234" s="39">
        <v>114547.64</v>
      </c>
      <c r="H8234" s="42">
        <v>211</v>
      </c>
    </row>
    <row r="8235" spans="1:8" ht="15" customHeight="1">
      <c r="A8235" s="26">
        <v>91286310</v>
      </c>
      <c r="B8235" s="30" t="s">
        <v>10461</v>
      </c>
      <c r="C8235" s="29" t="s">
        <v>24597</v>
      </c>
      <c r="D8235" s="29" t="s">
        <v>37889</v>
      </c>
      <c r="E8235" s="29" t="s">
        <v>46445</v>
      </c>
      <c r="F8235" s="36" t="s">
        <v>54401</v>
      </c>
      <c r="G8235" s="39">
        <f>2131910.95+620042</f>
        <v>2751952.95</v>
      </c>
      <c r="H8235" s="42">
        <v>211</v>
      </c>
    </row>
    <row r="8236" spans="1:8" ht="15" customHeight="1">
      <c r="A8236" s="26">
        <v>91289851</v>
      </c>
      <c r="B8236" s="30" t="s">
        <v>10462</v>
      </c>
      <c r="C8236" s="29" t="s">
        <v>21738</v>
      </c>
      <c r="D8236" s="29" t="s">
        <v>34964</v>
      </c>
      <c r="E8236" s="29" t="s">
        <v>47580</v>
      </c>
      <c r="F8236" s="36" t="s">
        <v>54401</v>
      </c>
      <c r="G8236" s="39">
        <v>738649.63</v>
      </c>
      <c r="H8236" s="42">
        <v>211</v>
      </c>
    </row>
    <row r="8237" spans="1:8" ht="15" customHeight="1">
      <c r="A8237" s="26">
        <v>91289990</v>
      </c>
      <c r="B8237" s="30" t="s">
        <v>10463</v>
      </c>
      <c r="C8237" s="29" t="s">
        <v>24598</v>
      </c>
      <c r="D8237" s="29" t="s">
        <v>37890</v>
      </c>
      <c r="E8237" s="29" t="s">
        <v>50062</v>
      </c>
      <c r="F8237" s="36" t="s">
        <v>54401</v>
      </c>
      <c r="G8237" s="39">
        <v>599412.81000000006</v>
      </c>
      <c r="H8237" s="42">
        <v>211</v>
      </c>
    </row>
    <row r="8238" spans="1:8" ht="15" customHeight="1">
      <c r="A8238" s="26">
        <v>91296002</v>
      </c>
      <c r="B8238" s="30" t="s">
        <v>10464</v>
      </c>
      <c r="C8238" s="29" t="s">
        <v>24599</v>
      </c>
      <c r="D8238" s="29" t="s">
        <v>37891</v>
      </c>
      <c r="E8238" s="29" t="s">
        <v>50063</v>
      </c>
      <c r="F8238" s="36" t="s">
        <v>54401</v>
      </c>
      <c r="G8238" s="39">
        <v>1742575.2</v>
      </c>
      <c r="H8238" s="42">
        <v>211</v>
      </c>
    </row>
    <row r="8239" spans="1:8" ht="15" customHeight="1">
      <c r="A8239" s="26">
        <v>91298003</v>
      </c>
      <c r="B8239" s="30" t="s">
        <v>10465</v>
      </c>
      <c r="C8239" s="26" t="s">
        <v>24600</v>
      </c>
      <c r="D8239" s="26" t="s">
        <v>37892</v>
      </c>
      <c r="E8239" s="26" t="s">
        <v>50064</v>
      </c>
      <c r="F8239" s="37" t="s">
        <v>54401</v>
      </c>
      <c r="G8239" s="39">
        <v>13756.3</v>
      </c>
      <c r="H8239" s="42">
        <v>211</v>
      </c>
    </row>
    <row r="8240" spans="1:8" ht="15" customHeight="1">
      <c r="A8240" s="26">
        <v>91347602</v>
      </c>
      <c r="B8240" s="30" t="s">
        <v>10466</v>
      </c>
      <c r="C8240" s="29" t="s">
        <v>24601</v>
      </c>
      <c r="D8240" s="29" t="s">
        <v>37893</v>
      </c>
      <c r="E8240" s="29" t="s">
        <v>50065</v>
      </c>
      <c r="F8240" s="36" t="s">
        <v>54401</v>
      </c>
      <c r="G8240" s="39">
        <v>5222135.8</v>
      </c>
      <c r="H8240" s="42">
        <v>211</v>
      </c>
    </row>
    <row r="8241" spans="1:8" ht="15" customHeight="1">
      <c r="A8241" s="26">
        <v>91351937</v>
      </c>
      <c r="B8241" s="30" t="s">
        <v>10467</v>
      </c>
      <c r="C8241" s="29" t="s">
        <v>24602</v>
      </c>
      <c r="D8241" s="29" t="s">
        <v>37894</v>
      </c>
      <c r="E8241" s="29" t="s">
        <v>50066</v>
      </c>
      <c r="F8241" s="36" t="s">
        <v>54401</v>
      </c>
      <c r="G8241" s="39">
        <v>6003092.9100000001</v>
      </c>
      <c r="H8241" s="42">
        <v>211</v>
      </c>
    </row>
    <row r="8242" spans="1:8" ht="15" customHeight="1">
      <c r="A8242" s="26">
        <v>91361503</v>
      </c>
      <c r="B8242" s="30" t="s">
        <v>10468</v>
      </c>
      <c r="C8242" s="29" t="s">
        <v>24603</v>
      </c>
      <c r="D8242" s="29" t="s">
        <v>37895</v>
      </c>
      <c r="E8242" s="29" t="s">
        <v>50067</v>
      </c>
      <c r="F8242" s="36" t="s">
        <v>54401</v>
      </c>
      <c r="G8242" s="39">
        <v>166170.35999999999</v>
      </c>
      <c r="H8242" s="42">
        <v>211</v>
      </c>
    </row>
    <row r="8243" spans="1:8" ht="15" customHeight="1">
      <c r="A8243" s="26">
        <v>91432067</v>
      </c>
      <c r="B8243" s="30" t="s">
        <v>10469</v>
      </c>
      <c r="C8243" s="29" t="s">
        <v>24604</v>
      </c>
      <c r="D8243" s="29" t="s">
        <v>37896</v>
      </c>
      <c r="E8243" s="29" t="s">
        <v>50068</v>
      </c>
      <c r="F8243" s="36" t="s">
        <v>54401</v>
      </c>
      <c r="G8243" s="39">
        <v>642670.92000000004</v>
      </c>
      <c r="H8243" s="42">
        <v>211</v>
      </c>
    </row>
    <row r="8244" spans="1:8" ht="15" customHeight="1">
      <c r="A8244" s="26">
        <v>91437741</v>
      </c>
      <c r="B8244" s="30" t="s">
        <v>10470</v>
      </c>
      <c r="C8244" s="29" t="s">
        <v>24605</v>
      </c>
      <c r="D8244" s="29" t="s">
        <v>37897</v>
      </c>
      <c r="E8244" s="29" t="s">
        <v>44616</v>
      </c>
      <c r="F8244" s="36" t="s">
        <v>54401</v>
      </c>
      <c r="G8244" s="39">
        <v>388445.32</v>
      </c>
      <c r="H8244" s="42">
        <v>211</v>
      </c>
    </row>
    <row r="8245" spans="1:8" ht="15" customHeight="1">
      <c r="A8245" s="26">
        <v>91439134</v>
      </c>
      <c r="B8245" s="30" t="s">
        <v>10471</v>
      </c>
      <c r="C8245" s="29" t="s">
        <v>24606</v>
      </c>
      <c r="D8245" s="29" t="s">
        <v>30376</v>
      </c>
      <c r="E8245" s="29" t="s">
        <v>44973</v>
      </c>
      <c r="F8245" s="36" t="s">
        <v>54401</v>
      </c>
      <c r="G8245" s="39">
        <f>340738.44+983869</f>
        <v>1324607.44</v>
      </c>
      <c r="H8245" s="42">
        <v>211</v>
      </c>
    </row>
    <row r="8246" spans="1:8" ht="15" customHeight="1">
      <c r="A8246" s="26">
        <v>91439687</v>
      </c>
      <c r="B8246" s="30" t="s">
        <v>10472</v>
      </c>
      <c r="C8246" s="29" t="s">
        <v>24607</v>
      </c>
      <c r="D8246" s="29" t="s">
        <v>37898</v>
      </c>
      <c r="E8246" s="29" t="s">
        <v>44536</v>
      </c>
      <c r="F8246" s="36" t="s">
        <v>54401</v>
      </c>
      <c r="G8246" s="39">
        <v>19084.04</v>
      </c>
      <c r="H8246" s="42">
        <v>211</v>
      </c>
    </row>
    <row r="8247" spans="1:8" ht="15" customHeight="1">
      <c r="A8247" s="26">
        <v>91467071</v>
      </c>
      <c r="B8247" s="30" t="s">
        <v>10473</v>
      </c>
      <c r="C8247" s="29" t="s">
        <v>24608</v>
      </c>
      <c r="D8247" s="29" t="s">
        <v>37899</v>
      </c>
      <c r="E8247" s="29" t="s">
        <v>50069</v>
      </c>
      <c r="F8247" s="36" t="s">
        <v>54401</v>
      </c>
      <c r="G8247" s="39">
        <v>2839241.89</v>
      </c>
      <c r="H8247" s="42">
        <v>211</v>
      </c>
    </row>
    <row r="8248" spans="1:8" ht="15" customHeight="1">
      <c r="A8248" s="26">
        <v>91468009</v>
      </c>
      <c r="B8248" s="30" t="s">
        <v>10474</v>
      </c>
      <c r="C8248" s="29" t="s">
        <v>24609</v>
      </c>
      <c r="D8248" s="29" t="s">
        <v>37900</v>
      </c>
      <c r="E8248" s="29" t="s">
        <v>45314</v>
      </c>
      <c r="F8248" s="36" t="s">
        <v>54401</v>
      </c>
      <c r="G8248" s="39">
        <f>3440396.38+527488</f>
        <v>3967884.38</v>
      </c>
      <c r="H8248" s="42">
        <v>211</v>
      </c>
    </row>
    <row r="8249" spans="1:8" ht="15" customHeight="1">
      <c r="A8249" s="26">
        <v>91468324</v>
      </c>
      <c r="B8249" s="30" t="s">
        <v>10475</v>
      </c>
      <c r="C8249" s="29" t="s">
        <v>17204</v>
      </c>
      <c r="D8249" s="29" t="s">
        <v>30349</v>
      </c>
      <c r="E8249" s="29" t="s">
        <v>43926</v>
      </c>
      <c r="F8249" s="36" t="s">
        <v>54401</v>
      </c>
      <c r="G8249" s="39">
        <v>210672.17</v>
      </c>
      <c r="H8249" s="42">
        <v>211</v>
      </c>
    </row>
    <row r="8250" spans="1:8" ht="15" customHeight="1">
      <c r="A8250" s="26">
        <v>91470316</v>
      </c>
      <c r="B8250" s="30" t="s">
        <v>10476</v>
      </c>
      <c r="C8250" s="26" t="s">
        <v>17204</v>
      </c>
      <c r="D8250" s="26" t="s">
        <v>30349</v>
      </c>
      <c r="E8250" s="26" t="s">
        <v>43926</v>
      </c>
      <c r="F8250" s="37" t="s">
        <v>54401</v>
      </c>
      <c r="G8250" s="39">
        <f>548242.95+1165471</f>
        <v>1713713.95</v>
      </c>
      <c r="H8250" s="42">
        <v>211</v>
      </c>
    </row>
    <row r="8251" spans="1:8" ht="15" customHeight="1">
      <c r="A8251" s="26">
        <v>91476406</v>
      </c>
      <c r="B8251" s="30" t="s">
        <v>10477</v>
      </c>
      <c r="C8251" s="29" t="s">
        <v>24610</v>
      </c>
      <c r="D8251" s="29" t="s">
        <v>37901</v>
      </c>
      <c r="E8251" s="29" t="s">
        <v>50070</v>
      </c>
      <c r="F8251" s="36" t="s">
        <v>54401</v>
      </c>
      <c r="G8251" s="39">
        <v>4251871.6399999997</v>
      </c>
      <c r="H8251" s="42">
        <v>211</v>
      </c>
    </row>
    <row r="8252" spans="1:8" ht="15" customHeight="1">
      <c r="A8252" s="26">
        <v>91477382</v>
      </c>
      <c r="B8252" s="30" t="s">
        <v>10478</v>
      </c>
      <c r="C8252" s="29" t="s">
        <v>17204</v>
      </c>
      <c r="D8252" s="29" t="s">
        <v>30349</v>
      </c>
      <c r="E8252" s="29" t="s">
        <v>43926</v>
      </c>
      <c r="F8252" s="36" t="s">
        <v>54401</v>
      </c>
      <c r="G8252" s="39">
        <v>486684.57</v>
      </c>
      <c r="H8252" s="42">
        <v>211</v>
      </c>
    </row>
    <row r="8253" spans="1:8" ht="15" customHeight="1">
      <c r="A8253" s="26">
        <v>91493968</v>
      </c>
      <c r="B8253" s="30" t="s">
        <v>10479</v>
      </c>
      <c r="C8253" s="29" t="s">
        <v>24611</v>
      </c>
      <c r="D8253" s="29" t="s">
        <v>37902</v>
      </c>
      <c r="E8253" s="29" t="s">
        <v>50071</v>
      </c>
      <c r="F8253" s="36" t="s">
        <v>54401</v>
      </c>
      <c r="G8253" s="39">
        <f>943499.53+480081+559854</f>
        <v>1983434.53</v>
      </c>
      <c r="H8253" s="42">
        <v>211</v>
      </c>
    </row>
    <row r="8254" spans="1:8" ht="15" customHeight="1">
      <c r="A8254" s="26">
        <v>91494237</v>
      </c>
      <c r="B8254" s="30" t="s">
        <v>10480</v>
      </c>
      <c r="C8254" s="29" t="s">
        <v>24612</v>
      </c>
      <c r="D8254" s="29" t="s">
        <v>37903</v>
      </c>
      <c r="E8254" s="29" t="s">
        <v>50072</v>
      </c>
      <c r="F8254" s="36" t="s">
        <v>54401</v>
      </c>
      <c r="G8254" s="39">
        <f>300784.57+2889940</f>
        <v>3190724.57</v>
      </c>
      <c r="H8254" s="42">
        <v>211</v>
      </c>
    </row>
    <row r="8255" spans="1:8" ht="15" customHeight="1">
      <c r="A8255" s="26">
        <v>91495917</v>
      </c>
      <c r="B8255" s="30" t="s">
        <v>10481</v>
      </c>
      <c r="C8255" s="29" t="s">
        <v>24613</v>
      </c>
      <c r="D8255" s="29" t="s">
        <v>37904</v>
      </c>
      <c r="E8255" s="29" t="s">
        <v>50073</v>
      </c>
      <c r="F8255" s="36" t="s">
        <v>54401</v>
      </c>
      <c r="G8255" s="39">
        <f>7834327.33+79516</f>
        <v>7913843.3300000001</v>
      </c>
      <c r="H8255" s="42">
        <v>211</v>
      </c>
    </row>
    <row r="8256" spans="1:8" ht="15" customHeight="1">
      <c r="A8256" s="26">
        <v>91507177</v>
      </c>
      <c r="B8256" s="30" t="s">
        <v>10482</v>
      </c>
      <c r="C8256" s="29" t="s">
        <v>24614</v>
      </c>
      <c r="D8256" s="29" t="s">
        <v>37905</v>
      </c>
      <c r="E8256" s="29" t="s">
        <v>50074</v>
      </c>
      <c r="F8256" s="36" t="s">
        <v>54401</v>
      </c>
      <c r="G8256" s="39">
        <v>247481.36</v>
      </c>
      <c r="H8256" s="42">
        <v>211</v>
      </c>
    </row>
    <row r="8257" spans="1:8" ht="15" customHeight="1">
      <c r="A8257" s="26">
        <v>91507507</v>
      </c>
      <c r="B8257" s="30" t="s">
        <v>10483</v>
      </c>
      <c r="C8257" s="29" t="s">
        <v>24615</v>
      </c>
      <c r="D8257" s="29" t="s">
        <v>37906</v>
      </c>
      <c r="E8257" s="29" t="s">
        <v>50075</v>
      </c>
      <c r="F8257" s="36" t="s">
        <v>54401</v>
      </c>
      <c r="G8257" s="39">
        <v>1068645.67</v>
      </c>
      <c r="H8257" s="42">
        <v>211</v>
      </c>
    </row>
    <row r="8258" spans="1:8" ht="15" customHeight="1">
      <c r="A8258" s="26">
        <v>91513846</v>
      </c>
      <c r="B8258" s="30" t="s">
        <v>10484</v>
      </c>
      <c r="C8258" s="29" t="s">
        <v>19588</v>
      </c>
      <c r="D8258" s="29" t="s">
        <v>37907</v>
      </c>
      <c r="E8258" s="29" t="s">
        <v>50076</v>
      </c>
      <c r="F8258" s="36" t="s">
        <v>54401</v>
      </c>
      <c r="G8258" s="39">
        <f>8544045.37+34245</f>
        <v>8578290.3699999992</v>
      </c>
      <c r="H8258" s="42">
        <v>211</v>
      </c>
    </row>
    <row r="8259" spans="1:8" ht="15" customHeight="1">
      <c r="A8259" s="26">
        <v>91518714</v>
      </c>
      <c r="B8259" s="30" t="s">
        <v>10485</v>
      </c>
      <c r="C8259" s="29" t="s">
        <v>24616</v>
      </c>
      <c r="D8259" s="29" t="s">
        <v>37908</v>
      </c>
      <c r="E8259" s="29" t="s">
        <v>45178</v>
      </c>
      <c r="F8259" s="36" t="s">
        <v>54401</v>
      </c>
      <c r="G8259" s="39">
        <v>5284834.03</v>
      </c>
      <c r="H8259" s="42">
        <v>211</v>
      </c>
    </row>
    <row r="8260" spans="1:8" ht="15" customHeight="1">
      <c r="A8260" s="26">
        <v>91524609</v>
      </c>
      <c r="B8260" s="30" t="s">
        <v>10486</v>
      </c>
      <c r="C8260" s="29" t="s">
        <v>24617</v>
      </c>
      <c r="D8260" s="29" t="s">
        <v>37909</v>
      </c>
      <c r="E8260" s="29" t="s">
        <v>50077</v>
      </c>
      <c r="F8260" s="36" t="s">
        <v>54401</v>
      </c>
      <c r="G8260" s="39">
        <v>4971088.51</v>
      </c>
      <c r="H8260" s="42">
        <v>211</v>
      </c>
    </row>
    <row r="8261" spans="1:8" ht="15" customHeight="1">
      <c r="A8261" s="26">
        <v>91527098</v>
      </c>
      <c r="B8261" s="30" t="s">
        <v>10487</v>
      </c>
      <c r="C8261" s="29" t="s">
        <v>24618</v>
      </c>
      <c r="D8261" s="29" t="s">
        <v>37910</v>
      </c>
      <c r="E8261" s="29" t="s">
        <v>50078</v>
      </c>
      <c r="F8261" s="36" t="s">
        <v>54441</v>
      </c>
      <c r="G8261" s="39">
        <f>49342579.27-560983</f>
        <v>48781596.270000003</v>
      </c>
      <c r="H8261" s="42">
        <v>211</v>
      </c>
    </row>
    <row r="8262" spans="1:8" ht="15" customHeight="1">
      <c r="A8262" s="26">
        <v>91532323</v>
      </c>
      <c r="B8262" s="30" t="s">
        <v>10488</v>
      </c>
      <c r="C8262" s="29" t="s">
        <v>24619</v>
      </c>
      <c r="D8262" s="29" t="s">
        <v>37911</v>
      </c>
      <c r="E8262" s="29" t="s">
        <v>50079</v>
      </c>
      <c r="F8262" s="36" t="s">
        <v>54440</v>
      </c>
      <c r="G8262" s="39">
        <v>134666.03</v>
      </c>
      <c r="H8262" s="42">
        <v>211</v>
      </c>
    </row>
    <row r="8263" spans="1:8" ht="15" customHeight="1">
      <c r="A8263" s="26">
        <v>91536021</v>
      </c>
      <c r="B8263" s="30" t="s">
        <v>10489</v>
      </c>
      <c r="C8263" s="29" t="s">
        <v>24620</v>
      </c>
      <c r="D8263" s="29" t="s">
        <v>37912</v>
      </c>
      <c r="E8263" s="29" t="s">
        <v>50080</v>
      </c>
      <c r="F8263" s="36" t="s">
        <v>54401</v>
      </c>
      <c r="G8263" s="39">
        <v>144402.34</v>
      </c>
      <c r="H8263" s="42">
        <v>211</v>
      </c>
    </row>
    <row r="8264" spans="1:8" ht="15" customHeight="1">
      <c r="A8264" s="26">
        <v>91540713</v>
      </c>
      <c r="B8264" s="30" t="s">
        <v>10490</v>
      </c>
      <c r="C8264" s="29" t="s">
        <v>24621</v>
      </c>
      <c r="D8264" s="29" t="s">
        <v>37913</v>
      </c>
      <c r="E8264" s="29" t="s">
        <v>50081</v>
      </c>
      <c r="F8264" s="36" t="s">
        <v>54401</v>
      </c>
      <c r="G8264" s="39">
        <v>1295381.3899999999</v>
      </c>
      <c r="H8264" s="42">
        <v>211</v>
      </c>
    </row>
    <row r="8265" spans="1:8" ht="15" customHeight="1">
      <c r="A8265" s="26">
        <v>92523237</v>
      </c>
      <c r="B8265" s="30" t="s">
        <v>10491</v>
      </c>
      <c r="C8265" s="29" t="s">
        <v>24622</v>
      </c>
      <c r="D8265" s="29" t="s">
        <v>37914</v>
      </c>
      <c r="E8265" s="29" t="s">
        <v>50082</v>
      </c>
      <c r="F8265" s="36" t="s">
        <v>54401</v>
      </c>
      <c r="G8265" s="39">
        <f>577392.88+1349251+310193</f>
        <v>2236836.88</v>
      </c>
      <c r="H8265" s="42">
        <v>211</v>
      </c>
    </row>
    <row r="8266" spans="1:8" ht="15" customHeight="1">
      <c r="A8266" s="26">
        <v>93060264</v>
      </c>
      <c r="B8266" s="30" t="s">
        <v>10492</v>
      </c>
      <c r="C8266" s="29" t="s">
        <v>24623</v>
      </c>
      <c r="D8266" s="29" t="s">
        <v>37915</v>
      </c>
      <c r="E8266" s="29" t="s">
        <v>50083</v>
      </c>
      <c r="F8266" s="36" t="s">
        <v>54401</v>
      </c>
      <c r="G8266" s="39">
        <f>7246130.5+75531+26832</f>
        <v>7348493.5</v>
      </c>
      <c r="H8266" s="42">
        <v>211</v>
      </c>
    </row>
    <row r="8267" spans="1:8" ht="15" customHeight="1">
      <c r="A8267" s="26">
        <v>93086984</v>
      </c>
      <c r="B8267" s="30" t="s">
        <v>10493</v>
      </c>
      <c r="C8267" s="29" t="s">
        <v>17204</v>
      </c>
      <c r="D8267" s="29" t="s">
        <v>37916</v>
      </c>
      <c r="E8267" s="29" t="s">
        <v>43926</v>
      </c>
      <c r="F8267" s="36" t="s">
        <v>54401</v>
      </c>
      <c r="G8267" s="39">
        <v>45974.36</v>
      </c>
      <c r="H8267" s="42">
        <v>211</v>
      </c>
    </row>
    <row r="8268" spans="1:8" ht="15" customHeight="1">
      <c r="A8268" s="26">
        <v>93122986</v>
      </c>
      <c r="B8268" s="30" t="s">
        <v>10494</v>
      </c>
      <c r="C8268" s="29" t="s">
        <v>24624</v>
      </c>
      <c r="D8268" s="29" t="s">
        <v>37917</v>
      </c>
      <c r="E8268" s="29" t="s">
        <v>50084</v>
      </c>
      <c r="F8268" s="36" t="s">
        <v>54401</v>
      </c>
      <c r="G8268" s="39">
        <f>6069339.22+636385</f>
        <v>6705724.2199999997</v>
      </c>
      <c r="H8268" s="42">
        <v>211</v>
      </c>
    </row>
    <row r="8269" spans="1:8" ht="15" customHeight="1">
      <c r="A8269" s="26">
        <v>93292561</v>
      </c>
      <c r="B8269" s="30" t="s">
        <v>10495</v>
      </c>
      <c r="C8269" s="29" t="s">
        <v>24625</v>
      </c>
      <c r="D8269" s="29" t="s">
        <v>37918</v>
      </c>
      <c r="E8269" s="29" t="s">
        <v>50085</v>
      </c>
      <c r="F8269" s="36" t="s">
        <v>54401</v>
      </c>
      <c r="G8269" s="39">
        <v>578946.94999999995</v>
      </c>
      <c r="H8269" s="42">
        <v>211</v>
      </c>
    </row>
    <row r="8270" spans="1:8" ht="15" customHeight="1">
      <c r="A8270" s="26">
        <v>93296482</v>
      </c>
      <c r="B8270" s="30" t="s">
        <v>10496</v>
      </c>
      <c r="C8270" s="29" t="s">
        <v>24626</v>
      </c>
      <c r="D8270" s="29" t="s">
        <v>37919</v>
      </c>
      <c r="E8270" s="29" t="s">
        <v>50086</v>
      </c>
      <c r="F8270" s="36" t="s">
        <v>54401</v>
      </c>
      <c r="G8270" s="39">
        <v>598504.81999999995</v>
      </c>
      <c r="H8270" s="42">
        <v>211</v>
      </c>
    </row>
    <row r="8271" spans="1:8" ht="15" customHeight="1">
      <c r="A8271" s="26">
        <v>93363787</v>
      </c>
      <c r="B8271" s="30" t="s">
        <v>10497</v>
      </c>
      <c r="C8271" s="29" t="s">
        <v>24627</v>
      </c>
      <c r="D8271" s="29" t="s">
        <v>37920</v>
      </c>
      <c r="E8271" s="29" t="s">
        <v>50087</v>
      </c>
      <c r="F8271" s="36" t="s">
        <v>54401</v>
      </c>
      <c r="G8271" s="39">
        <v>608755.17000000004</v>
      </c>
      <c r="H8271" s="42">
        <v>211</v>
      </c>
    </row>
    <row r="8272" spans="1:8" ht="15" customHeight="1">
      <c r="A8272" s="26">
        <v>93370161</v>
      </c>
      <c r="B8272" s="30" t="s">
        <v>10498</v>
      </c>
      <c r="C8272" s="29" t="s">
        <v>24628</v>
      </c>
      <c r="D8272" s="29" t="s">
        <v>37921</v>
      </c>
      <c r="E8272" s="29" t="s">
        <v>50088</v>
      </c>
      <c r="F8272" s="36" t="s">
        <v>54401</v>
      </c>
      <c r="G8272" s="39">
        <v>291509.36</v>
      </c>
      <c r="H8272" s="42">
        <v>211</v>
      </c>
    </row>
    <row r="8273" spans="1:8" ht="15" customHeight="1">
      <c r="A8273" s="26">
        <v>93380548</v>
      </c>
      <c r="B8273" s="30" t="s">
        <v>10499</v>
      </c>
      <c r="C8273" s="29" t="s">
        <v>24629</v>
      </c>
      <c r="D8273" s="29" t="s">
        <v>30376</v>
      </c>
      <c r="E8273" s="29" t="s">
        <v>50089</v>
      </c>
      <c r="F8273" s="36" t="s">
        <v>54401</v>
      </c>
      <c r="G8273" s="39">
        <f>4450616.8+301598</f>
        <v>4752214.8</v>
      </c>
      <c r="H8273" s="42">
        <v>211</v>
      </c>
    </row>
    <row r="8274" spans="1:8" ht="15" customHeight="1">
      <c r="A8274" s="26">
        <v>93403849</v>
      </c>
      <c r="B8274" s="30" t="s">
        <v>10500</v>
      </c>
      <c r="C8274" s="29" t="s">
        <v>24630</v>
      </c>
      <c r="D8274" s="29" t="s">
        <v>37922</v>
      </c>
      <c r="E8274" s="29" t="s">
        <v>50090</v>
      </c>
      <c r="F8274" s="36" t="s">
        <v>54401</v>
      </c>
      <c r="G8274" s="39">
        <f>581100.72+830122</f>
        <v>1411222.72</v>
      </c>
      <c r="H8274" s="42">
        <v>211</v>
      </c>
    </row>
    <row r="8275" spans="1:8" ht="15" customHeight="1">
      <c r="A8275" s="26">
        <v>93461817</v>
      </c>
      <c r="B8275" s="30" t="s">
        <v>10501</v>
      </c>
      <c r="C8275" s="29" t="s">
        <v>17204</v>
      </c>
      <c r="D8275" s="29" t="s">
        <v>37923</v>
      </c>
      <c r="E8275" s="29" t="s">
        <v>43926</v>
      </c>
      <c r="F8275" s="36" t="s">
        <v>54401</v>
      </c>
      <c r="G8275" s="39">
        <v>127716.03</v>
      </c>
      <c r="H8275" s="42">
        <v>211</v>
      </c>
    </row>
    <row r="8276" spans="1:8" ht="15" customHeight="1">
      <c r="A8276" s="26">
        <v>94312265</v>
      </c>
      <c r="B8276" s="30" t="s">
        <v>10502</v>
      </c>
      <c r="C8276" s="29" t="s">
        <v>24631</v>
      </c>
      <c r="D8276" s="29" t="s">
        <v>37924</v>
      </c>
      <c r="E8276" s="29" t="s">
        <v>50091</v>
      </c>
      <c r="F8276" s="36" t="s">
        <v>54401</v>
      </c>
      <c r="G8276" s="39">
        <f>7043712.8+2606254</f>
        <v>9649966.8000000007</v>
      </c>
      <c r="H8276" s="42">
        <v>211</v>
      </c>
    </row>
    <row r="8277" spans="1:8" ht="15" customHeight="1">
      <c r="A8277" s="26">
        <v>94433081</v>
      </c>
      <c r="B8277" s="30" t="s">
        <v>10503</v>
      </c>
      <c r="C8277" s="29" t="s">
        <v>24632</v>
      </c>
      <c r="D8277" s="29" t="s">
        <v>37925</v>
      </c>
      <c r="E8277" s="29" t="s">
        <v>50092</v>
      </c>
      <c r="F8277" s="36" t="s">
        <v>54401</v>
      </c>
      <c r="G8277" s="39">
        <v>767121.41</v>
      </c>
      <c r="H8277" s="42">
        <v>211</v>
      </c>
    </row>
    <row r="8278" spans="1:8" ht="15" customHeight="1">
      <c r="A8278" s="26">
        <v>94458552</v>
      </c>
      <c r="B8278" s="30" t="s">
        <v>10504</v>
      </c>
      <c r="C8278" s="29" t="s">
        <v>24633</v>
      </c>
      <c r="D8278" s="29" t="s">
        <v>37926</v>
      </c>
      <c r="E8278" s="29" t="s">
        <v>50093</v>
      </c>
      <c r="F8278" s="36" t="s">
        <v>54401</v>
      </c>
      <c r="G8278" s="39">
        <v>975400.45</v>
      </c>
      <c r="H8278" s="42">
        <v>211</v>
      </c>
    </row>
    <row r="8279" spans="1:8" ht="15" customHeight="1">
      <c r="A8279" s="26">
        <v>94533018</v>
      </c>
      <c r="B8279" s="30" t="s">
        <v>10505</v>
      </c>
      <c r="C8279" s="29" t="s">
        <v>24634</v>
      </c>
      <c r="D8279" s="29" t="s">
        <v>37927</v>
      </c>
      <c r="E8279" s="29" t="s">
        <v>50094</v>
      </c>
      <c r="F8279" s="36" t="s">
        <v>54401</v>
      </c>
      <c r="G8279" s="39">
        <v>287639.21999999997</v>
      </c>
      <c r="H8279" s="42">
        <v>211</v>
      </c>
    </row>
    <row r="8280" spans="1:8" ht="15" customHeight="1">
      <c r="A8280" s="26">
        <v>96191594</v>
      </c>
      <c r="B8280" s="29" t="s">
        <v>10506</v>
      </c>
      <c r="C8280" s="29" t="s">
        <v>24635</v>
      </c>
      <c r="D8280" s="29" t="s">
        <v>37928</v>
      </c>
      <c r="E8280" s="29" t="s">
        <v>50095</v>
      </c>
      <c r="F8280" s="36" t="s">
        <v>54401</v>
      </c>
      <c r="G8280" s="39">
        <v>373286.5</v>
      </c>
      <c r="H8280" s="42">
        <v>211</v>
      </c>
    </row>
    <row r="8281" spans="1:8" ht="15" customHeight="1">
      <c r="A8281" s="26">
        <v>96194308</v>
      </c>
      <c r="B8281" s="29" t="s">
        <v>10507</v>
      </c>
      <c r="C8281" s="29" t="s">
        <v>24636</v>
      </c>
      <c r="D8281" s="29" t="s">
        <v>37929</v>
      </c>
      <c r="E8281" s="29" t="s">
        <v>50096</v>
      </c>
      <c r="F8281" s="36" t="s">
        <v>54401</v>
      </c>
      <c r="G8281" s="39">
        <v>1443218.56</v>
      </c>
      <c r="H8281" s="42">
        <v>211</v>
      </c>
    </row>
    <row r="8282" spans="1:8" ht="15" customHeight="1">
      <c r="A8282" s="26">
        <v>97435451</v>
      </c>
      <c r="B8282" s="29" t="s">
        <v>10508</v>
      </c>
      <c r="C8282" s="29" t="s">
        <v>24637</v>
      </c>
      <c r="D8282" s="29" t="s">
        <v>37930</v>
      </c>
      <c r="E8282" s="29" t="s">
        <v>50097</v>
      </c>
      <c r="F8282" s="36" t="s">
        <v>54401</v>
      </c>
      <c r="G8282" s="39">
        <v>317012.07</v>
      </c>
      <c r="H8282" s="42">
        <v>211</v>
      </c>
    </row>
    <row r="8283" spans="1:8" ht="15" customHeight="1">
      <c r="A8283" s="26">
        <v>97446400</v>
      </c>
      <c r="B8283" s="29" t="s">
        <v>10509</v>
      </c>
      <c r="C8283" s="29" t="s">
        <v>24638</v>
      </c>
      <c r="D8283" s="29" t="s">
        <v>37931</v>
      </c>
      <c r="E8283" s="29" t="s">
        <v>50098</v>
      </c>
      <c r="F8283" s="36" t="s">
        <v>54401</v>
      </c>
      <c r="G8283" s="39">
        <v>234048.74</v>
      </c>
      <c r="H8283" s="42">
        <v>211</v>
      </c>
    </row>
    <row r="8284" spans="1:8" ht="15" customHeight="1">
      <c r="A8284" s="26">
        <v>98489715</v>
      </c>
      <c r="B8284" s="29" t="s">
        <v>10510</v>
      </c>
      <c r="C8284" s="29" t="s">
        <v>17204</v>
      </c>
      <c r="D8284" s="29" t="s">
        <v>37932</v>
      </c>
      <c r="E8284" s="29" t="s">
        <v>50099</v>
      </c>
      <c r="F8284" s="36" t="s">
        <v>54401</v>
      </c>
      <c r="G8284" s="39">
        <v>469998.93</v>
      </c>
      <c r="H8284" s="42">
        <v>211</v>
      </c>
    </row>
    <row r="8285" spans="1:8" ht="15" customHeight="1">
      <c r="A8285" s="26">
        <v>98628632</v>
      </c>
      <c r="B8285" s="29" t="s">
        <v>10511</v>
      </c>
      <c r="C8285" s="29" t="s">
        <v>24639</v>
      </c>
      <c r="D8285" s="29" t="s">
        <v>37933</v>
      </c>
      <c r="E8285" s="29" t="s">
        <v>50100</v>
      </c>
      <c r="F8285" s="36" t="s">
        <v>54401</v>
      </c>
      <c r="G8285" s="39">
        <v>9453.7800000000007</v>
      </c>
      <c r="H8285" s="42">
        <v>211</v>
      </c>
    </row>
    <row r="8286" spans="1:8" ht="15" customHeight="1">
      <c r="A8286" s="26">
        <v>100481660</v>
      </c>
      <c r="B8286" s="29" t="s">
        <v>10512</v>
      </c>
      <c r="C8286" s="29" t="s">
        <v>24640</v>
      </c>
      <c r="D8286" s="29" t="s">
        <v>37934</v>
      </c>
      <c r="E8286" s="29" t="s">
        <v>43926</v>
      </c>
      <c r="F8286" s="36" t="s">
        <v>54401</v>
      </c>
      <c r="G8286" s="39">
        <v>584502.48</v>
      </c>
      <c r="H8286" s="42">
        <v>211</v>
      </c>
    </row>
    <row r="8287" spans="1:8" ht="15" customHeight="1">
      <c r="A8287" s="26">
        <v>104063281</v>
      </c>
      <c r="B8287" s="29" t="s">
        <v>10513</v>
      </c>
      <c r="C8287" s="26" t="s">
        <v>17204</v>
      </c>
      <c r="D8287" s="26" t="s">
        <v>37935</v>
      </c>
      <c r="E8287" s="26" t="s">
        <v>43926</v>
      </c>
      <c r="F8287" s="37" t="s">
        <v>54401</v>
      </c>
      <c r="G8287" s="39">
        <v>146498.26</v>
      </c>
      <c r="H8287" s="42">
        <v>211</v>
      </c>
    </row>
    <row r="8288" spans="1:8" ht="15" customHeight="1">
      <c r="A8288" s="26">
        <v>104963618</v>
      </c>
      <c r="B8288" s="29" t="s">
        <v>10514</v>
      </c>
      <c r="C8288" s="26" t="s">
        <v>24641</v>
      </c>
      <c r="D8288" s="26" t="s">
        <v>37936</v>
      </c>
      <c r="E8288" s="26" t="s">
        <v>43926</v>
      </c>
      <c r="F8288" s="37" t="s">
        <v>54401</v>
      </c>
      <c r="G8288" s="39">
        <v>611207.93999999994</v>
      </c>
      <c r="H8288" s="42">
        <v>211</v>
      </c>
    </row>
    <row r="8289" spans="1:8" ht="15" customHeight="1">
      <c r="A8289" s="26">
        <v>105212516</v>
      </c>
      <c r="B8289" s="29" t="s">
        <v>10515</v>
      </c>
      <c r="C8289" s="29" t="s">
        <v>24642</v>
      </c>
      <c r="D8289" s="29" t="s">
        <v>37937</v>
      </c>
      <c r="E8289" s="29" t="s">
        <v>45859</v>
      </c>
      <c r="F8289" s="36" t="s">
        <v>54401</v>
      </c>
      <c r="G8289" s="39">
        <v>438145.82</v>
      </c>
      <c r="H8289" s="42">
        <v>211</v>
      </c>
    </row>
    <row r="8290" spans="1:8" ht="15" customHeight="1">
      <c r="A8290" s="26">
        <v>105231257</v>
      </c>
      <c r="B8290" s="29" t="s">
        <v>10516</v>
      </c>
      <c r="C8290" s="29" t="s">
        <v>24643</v>
      </c>
      <c r="D8290" s="29" t="s">
        <v>37938</v>
      </c>
      <c r="E8290" s="29" t="s">
        <v>50101</v>
      </c>
      <c r="F8290" s="36" t="s">
        <v>54401</v>
      </c>
      <c r="G8290" s="39">
        <v>430752.5</v>
      </c>
      <c r="H8290" s="42">
        <v>211</v>
      </c>
    </row>
    <row r="8291" spans="1:8" ht="15" customHeight="1">
      <c r="A8291" s="26">
        <v>105232474</v>
      </c>
      <c r="B8291" s="29" t="s">
        <v>10517</v>
      </c>
      <c r="C8291" s="29" t="s">
        <v>24644</v>
      </c>
      <c r="D8291" s="29" t="s">
        <v>37939</v>
      </c>
      <c r="E8291" s="29" t="s">
        <v>50102</v>
      </c>
      <c r="F8291" s="36" t="s">
        <v>54401</v>
      </c>
      <c r="G8291" s="39">
        <v>161979.94</v>
      </c>
      <c r="H8291" s="42">
        <v>211</v>
      </c>
    </row>
    <row r="8292" spans="1:8" ht="15" customHeight="1">
      <c r="A8292" s="26">
        <v>105237840</v>
      </c>
      <c r="B8292" s="29" t="s">
        <v>10518</v>
      </c>
      <c r="C8292" s="29" t="s">
        <v>17204</v>
      </c>
      <c r="D8292" s="29" t="s">
        <v>30349</v>
      </c>
      <c r="E8292" s="29" t="s">
        <v>43926</v>
      </c>
      <c r="F8292" s="36" t="s">
        <v>54401</v>
      </c>
      <c r="G8292" s="39">
        <v>103063.76</v>
      </c>
      <c r="H8292" s="42">
        <v>211</v>
      </c>
    </row>
    <row r="8293" spans="1:8" ht="15" customHeight="1">
      <c r="A8293" s="26">
        <v>105238158</v>
      </c>
      <c r="B8293" s="29" t="s">
        <v>10519</v>
      </c>
      <c r="C8293" s="29" t="s">
        <v>24645</v>
      </c>
      <c r="D8293" s="29" t="s">
        <v>37940</v>
      </c>
      <c r="E8293" s="29" t="s">
        <v>50103</v>
      </c>
      <c r="F8293" s="36" t="s">
        <v>54401</v>
      </c>
      <c r="G8293" s="39">
        <v>113205.12</v>
      </c>
      <c r="H8293" s="42">
        <v>211</v>
      </c>
    </row>
    <row r="8294" spans="1:8" ht="15" customHeight="1">
      <c r="A8294" s="26">
        <v>105239537</v>
      </c>
      <c r="B8294" s="29" t="s">
        <v>10520</v>
      </c>
      <c r="C8294" s="29" t="s">
        <v>24646</v>
      </c>
      <c r="D8294" s="29" t="s">
        <v>37941</v>
      </c>
      <c r="E8294" s="29" t="s">
        <v>50104</v>
      </c>
      <c r="F8294" s="36" t="s">
        <v>54401</v>
      </c>
      <c r="G8294" s="39">
        <v>326618.84000000003</v>
      </c>
      <c r="H8294" s="42">
        <v>211</v>
      </c>
    </row>
    <row r="8295" spans="1:8" ht="15" customHeight="1">
      <c r="A8295" s="26">
        <v>105240010</v>
      </c>
      <c r="B8295" s="29" t="s">
        <v>10521</v>
      </c>
      <c r="C8295" s="26" t="s">
        <v>17204</v>
      </c>
      <c r="D8295" s="26" t="s">
        <v>30349</v>
      </c>
      <c r="E8295" s="26" t="s">
        <v>43926</v>
      </c>
      <c r="F8295" s="37" t="s">
        <v>54401</v>
      </c>
      <c r="G8295" s="39">
        <v>198404.46</v>
      </c>
      <c r="H8295" s="42">
        <v>211</v>
      </c>
    </row>
    <row r="8296" spans="1:8" ht="15" customHeight="1">
      <c r="A8296" s="26">
        <v>105240159</v>
      </c>
      <c r="B8296" s="29" t="s">
        <v>10522</v>
      </c>
      <c r="C8296" s="29" t="s">
        <v>17204</v>
      </c>
      <c r="D8296" s="29" t="s">
        <v>30349</v>
      </c>
      <c r="E8296" s="29" t="s">
        <v>43926</v>
      </c>
      <c r="F8296" s="36" t="s">
        <v>54401</v>
      </c>
      <c r="G8296" s="39">
        <v>234964.22</v>
      </c>
      <c r="H8296" s="42">
        <v>211</v>
      </c>
    </row>
    <row r="8297" spans="1:8" ht="15" customHeight="1">
      <c r="A8297" s="26">
        <v>105245834</v>
      </c>
      <c r="B8297" s="29" t="s">
        <v>10523</v>
      </c>
      <c r="C8297" s="29" t="s">
        <v>17204</v>
      </c>
      <c r="D8297" s="29" t="s">
        <v>37942</v>
      </c>
      <c r="E8297" s="29" t="s">
        <v>50105</v>
      </c>
      <c r="F8297" s="36" t="s">
        <v>54401</v>
      </c>
      <c r="G8297" s="39">
        <v>173758.74</v>
      </c>
      <c r="H8297" s="42">
        <v>211</v>
      </c>
    </row>
    <row r="8298" spans="1:8" ht="15" customHeight="1">
      <c r="A8298" s="26">
        <v>105285262</v>
      </c>
      <c r="B8298" s="29" t="s">
        <v>10524</v>
      </c>
      <c r="C8298" s="29" t="s">
        <v>17204</v>
      </c>
      <c r="D8298" s="29" t="s">
        <v>30349</v>
      </c>
      <c r="E8298" s="29" t="s">
        <v>43926</v>
      </c>
      <c r="F8298" s="36" t="s">
        <v>54401</v>
      </c>
      <c r="G8298" s="39">
        <v>169791.7</v>
      </c>
      <c r="H8298" s="42">
        <v>211</v>
      </c>
    </row>
    <row r="8299" spans="1:8" ht="15" customHeight="1">
      <c r="A8299" s="26">
        <v>105531433</v>
      </c>
      <c r="B8299" s="29" t="s">
        <v>10525</v>
      </c>
      <c r="C8299" s="29" t="s">
        <v>17204</v>
      </c>
      <c r="D8299" s="29" t="s">
        <v>30349</v>
      </c>
      <c r="E8299" s="29" t="s">
        <v>43926</v>
      </c>
      <c r="F8299" s="36" t="s">
        <v>54401</v>
      </c>
      <c r="G8299" s="39">
        <v>204946.26</v>
      </c>
      <c r="H8299" s="42">
        <v>211</v>
      </c>
    </row>
    <row r="8300" spans="1:8" ht="15" customHeight="1">
      <c r="A8300" s="26">
        <v>105654941</v>
      </c>
      <c r="B8300" s="29" t="s">
        <v>10526</v>
      </c>
      <c r="C8300" s="29" t="s">
        <v>17204</v>
      </c>
      <c r="D8300" s="29" t="s">
        <v>30349</v>
      </c>
      <c r="E8300" s="29" t="s">
        <v>43926</v>
      </c>
      <c r="F8300" s="36" t="s">
        <v>54401</v>
      </c>
      <c r="G8300" s="39">
        <v>40031.410000000003</v>
      </c>
      <c r="H8300" s="42">
        <v>211</v>
      </c>
    </row>
    <row r="8301" spans="1:8" ht="15" customHeight="1">
      <c r="A8301" s="26">
        <v>105955478</v>
      </c>
      <c r="B8301" s="29" t="s">
        <v>7026</v>
      </c>
      <c r="C8301" s="29" t="s">
        <v>17204</v>
      </c>
      <c r="D8301" s="29" t="s">
        <v>30349</v>
      </c>
      <c r="E8301" s="29" t="s">
        <v>43926</v>
      </c>
      <c r="F8301" s="36" t="s">
        <v>54401</v>
      </c>
      <c r="G8301" s="39">
        <v>495389.47</v>
      </c>
      <c r="H8301" s="42">
        <v>211</v>
      </c>
    </row>
    <row r="8302" spans="1:8" ht="15" customHeight="1">
      <c r="A8302" s="26">
        <v>107774154</v>
      </c>
      <c r="B8302" s="29" t="s">
        <v>10527</v>
      </c>
      <c r="C8302" s="29" t="s">
        <v>24647</v>
      </c>
      <c r="D8302" s="29" t="s">
        <v>37943</v>
      </c>
      <c r="E8302" s="29" t="s">
        <v>50106</v>
      </c>
      <c r="F8302" s="36" t="s">
        <v>54401</v>
      </c>
      <c r="G8302" s="39">
        <v>539027.56999999995</v>
      </c>
      <c r="H8302" s="42">
        <v>211</v>
      </c>
    </row>
    <row r="8303" spans="1:8" ht="15" customHeight="1">
      <c r="A8303" s="26">
        <v>111585606</v>
      </c>
      <c r="B8303" s="29" t="s">
        <v>10528</v>
      </c>
      <c r="C8303" s="29" t="s">
        <v>24648</v>
      </c>
      <c r="D8303" s="29" t="s">
        <v>37944</v>
      </c>
      <c r="E8303" s="29" t="s">
        <v>50107</v>
      </c>
      <c r="F8303" s="36" t="s">
        <v>54401</v>
      </c>
      <c r="G8303" s="39">
        <v>320787.28999999998</v>
      </c>
      <c r="H8303" s="42">
        <v>211</v>
      </c>
    </row>
    <row r="8304" spans="1:8" ht="15" customHeight="1">
      <c r="A8304" s="26">
        <v>116872554</v>
      </c>
      <c r="B8304" s="29" t="s">
        <v>10529</v>
      </c>
      <c r="C8304" s="29" t="s">
        <v>24649</v>
      </c>
      <c r="D8304" s="29" t="s">
        <v>37945</v>
      </c>
      <c r="E8304" s="29" t="s">
        <v>43926</v>
      </c>
      <c r="F8304" s="36" t="s">
        <v>54401</v>
      </c>
      <c r="G8304" s="39">
        <v>193702.23</v>
      </c>
      <c r="H8304" s="42">
        <v>211</v>
      </c>
    </row>
    <row r="8305" spans="1:8" ht="15" customHeight="1">
      <c r="A8305" s="26">
        <v>149659760</v>
      </c>
      <c r="B8305" s="29" t="s">
        <v>10530</v>
      </c>
      <c r="C8305" s="29" t="s">
        <v>24650</v>
      </c>
      <c r="D8305" s="29" t="s">
        <v>37946</v>
      </c>
      <c r="E8305" s="29" t="s">
        <v>50108</v>
      </c>
      <c r="F8305" s="36" t="s">
        <v>54401</v>
      </c>
      <c r="G8305" s="39">
        <v>206415.99</v>
      </c>
      <c r="H8305" s="42">
        <v>211</v>
      </c>
    </row>
    <row r="8306" spans="1:8" ht="15" customHeight="1">
      <c r="A8306" s="26">
        <v>152380913</v>
      </c>
      <c r="B8306" s="29" t="s">
        <v>10531</v>
      </c>
      <c r="C8306" s="26" t="s">
        <v>24651</v>
      </c>
      <c r="D8306" s="26" t="s">
        <v>37947</v>
      </c>
      <c r="E8306" s="26" t="s">
        <v>43926</v>
      </c>
      <c r="F8306" s="37" t="s">
        <v>54401</v>
      </c>
      <c r="G8306" s="39">
        <v>251720.01</v>
      </c>
      <c r="H8306" s="42">
        <v>211</v>
      </c>
    </row>
    <row r="8307" spans="1:8" ht="15" customHeight="1">
      <c r="A8307" s="26">
        <v>152406793</v>
      </c>
      <c r="B8307" s="29" t="s">
        <v>10532</v>
      </c>
      <c r="C8307" s="26" t="s">
        <v>17204</v>
      </c>
      <c r="D8307" s="26" t="s">
        <v>30349</v>
      </c>
      <c r="E8307" s="26" t="s">
        <v>43926</v>
      </c>
      <c r="F8307" s="37" t="s">
        <v>54401</v>
      </c>
      <c r="G8307" s="39">
        <v>196853.6</v>
      </c>
      <c r="H8307" s="42">
        <v>211</v>
      </c>
    </row>
    <row r="8308" spans="1:8" ht="15" customHeight="1">
      <c r="A8308" s="26">
        <v>235517607</v>
      </c>
      <c r="B8308" s="29" t="s">
        <v>10533</v>
      </c>
      <c r="C8308" s="26" t="s">
        <v>19624</v>
      </c>
      <c r="D8308" s="26" t="s">
        <v>37948</v>
      </c>
      <c r="E8308" s="26" t="s">
        <v>50109</v>
      </c>
      <c r="F8308" s="37" t="s">
        <v>54401</v>
      </c>
      <c r="G8308" s="39">
        <v>128327.73</v>
      </c>
      <c r="H8308" s="42">
        <v>211</v>
      </c>
    </row>
    <row r="8309" spans="1:8" ht="15" customHeight="1">
      <c r="A8309" s="26">
        <v>466361149</v>
      </c>
      <c r="B8309" s="29" t="s">
        <v>10534</v>
      </c>
      <c r="C8309" s="29" t="s">
        <v>17204</v>
      </c>
      <c r="D8309" s="29" t="s">
        <v>30349</v>
      </c>
      <c r="E8309" s="29" t="s">
        <v>43926</v>
      </c>
      <c r="F8309" s="36" t="s">
        <v>54401</v>
      </c>
      <c r="G8309" s="39">
        <v>207638.39</v>
      </c>
      <c r="H8309" s="42">
        <v>211</v>
      </c>
    </row>
    <row r="8310" spans="1:8" ht="15" customHeight="1">
      <c r="A8310" s="26">
        <v>600041090</v>
      </c>
      <c r="B8310" s="29" t="s">
        <v>10535</v>
      </c>
      <c r="C8310" s="29" t="s">
        <v>24652</v>
      </c>
      <c r="D8310" s="29" t="s">
        <v>37949</v>
      </c>
      <c r="E8310" s="29" t="s">
        <v>46045</v>
      </c>
      <c r="F8310" s="36" t="s">
        <v>54401</v>
      </c>
      <c r="G8310" s="39">
        <v>835700.61</v>
      </c>
      <c r="H8310" s="42">
        <v>211</v>
      </c>
    </row>
    <row r="8311" spans="1:8" ht="15" customHeight="1">
      <c r="A8311" s="26">
        <v>700338735</v>
      </c>
      <c r="B8311" s="29" t="s">
        <v>10536</v>
      </c>
      <c r="C8311" s="29" t="s">
        <v>24653</v>
      </c>
      <c r="D8311" s="29" t="s">
        <v>37950</v>
      </c>
      <c r="E8311" s="29" t="s">
        <v>50110</v>
      </c>
      <c r="F8311" s="36" t="s">
        <v>54413</v>
      </c>
      <c r="G8311" s="39">
        <v>191045.88</v>
      </c>
      <c r="H8311" s="42">
        <v>211</v>
      </c>
    </row>
    <row r="8312" spans="1:8" ht="15" customHeight="1">
      <c r="A8312" s="26">
        <v>794944850</v>
      </c>
      <c r="B8312" s="30" t="s">
        <v>10537</v>
      </c>
      <c r="C8312" s="29" t="s">
        <v>24319</v>
      </c>
      <c r="D8312" s="29" t="s">
        <v>37598</v>
      </c>
      <c r="E8312" s="29" t="s">
        <v>43926</v>
      </c>
      <c r="F8312" s="36" t="s">
        <v>54401</v>
      </c>
      <c r="G8312" s="39">
        <v>244588.11</v>
      </c>
      <c r="H8312" s="42">
        <v>211</v>
      </c>
    </row>
    <row r="8313" spans="1:8" ht="15" customHeight="1">
      <c r="A8313" s="26">
        <v>800000946</v>
      </c>
      <c r="B8313" s="30" t="s">
        <v>10538</v>
      </c>
      <c r="C8313" s="29" t="s">
        <v>24654</v>
      </c>
      <c r="D8313" s="29" t="s">
        <v>37951</v>
      </c>
      <c r="E8313" s="29" t="s">
        <v>50111</v>
      </c>
      <c r="F8313" s="36" t="s">
        <v>54412</v>
      </c>
      <c r="G8313" s="39">
        <v>620629240.34000003</v>
      </c>
      <c r="H8313" s="42">
        <v>211</v>
      </c>
    </row>
    <row r="8314" spans="1:8" ht="15" customHeight="1">
      <c r="A8314" s="26">
        <v>800003675</v>
      </c>
      <c r="B8314" s="30" t="s">
        <v>10539</v>
      </c>
      <c r="C8314" s="29" t="s">
        <v>24655</v>
      </c>
      <c r="D8314" s="29" t="s">
        <v>37952</v>
      </c>
      <c r="E8314" s="29" t="s">
        <v>50112</v>
      </c>
      <c r="F8314" s="36" t="s">
        <v>54401</v>
      </c>
      <c r="G8314" s="39">
        <f>459100.49+18057</f>
        <v>477157.49</v>
      </c>
      <c r="H8314" s="42">
        <v>211</v>
      </c>
    </row>
    <row r="8315" spans="1:8" ht="15" customHeight="1">
      <c r="A8315" s="26">
        <v>800010733</v>
      </c>
      <c r="B8315" s="30" t="s">
        <v>10540</v>
      </c>
      <c r="C8315" s="29" t="s">
        <v>24435</v>
      </c>
      <c r="D8315" s="29" t="s">
        <v>37953</v>
      </c>
      <c r="E8315" s="29" t="s">
        <v>50113</v>
      </c>
      <c r="F8315" s="36" t="s">
        <v>54401</v>
      </c>
      <c r="G8315" s="39">
        <v>67273.94</v>
      </c>
      <c r="H8315" s="42">
        <v>211</v>
      </c>
    </row>
    <row r="8316" spans="1:8" ht="15" customHeight="1">
      <c r="A8316" s="26">
        <v>800015990</v>
      </c>
      <c r="B8316" s="30" t="s">
        <v>10541</v>
      </c>
      <c r="C8316" s="29" t="s">
        <v>24656</v>
      </c>
      <c r="D8316" s="29" t="s">
        <v>37954</v>
      </c>
      <c r="E8316" s="29" t="s">
        <v>50114</v>
      </c>
      <c r="F8316" s="36" t="s">
        <v>54401</v>
      </c>
      <c r="G8316" s="39">
        <v>1860000</v>
      </c>
      <c r="H8316" s="42">
        <v>211</v>
      </c>
    </row>
    <row r="8317" spans="1:8" ht="15" customHeight="1">
      <c r="A8317" s="26">
        <v>800020220</v>
      </c>
      <c r="B8317" s="30" t="s">
        <v>10542</v>
      </c>
      <c r="C8317" s="29" t="s">
        <v>24657</v>
      </c>
      <c r="D8317" s="29" t="s">
        <v>37955</v>
      </c>
      <c r="E8317" s="29" t="s">
        <v>50115</v>
      </c>
      <c r="F8317" s="36" t="s">
        <v>54412</v>
      </c>
      <c r="G8317" s="39">
        <v>119480.59</v>
      </c>
      <c r="H8317" s="42">
        <v>211</v>
      </c>
    </row>
    <row r="8318" spans="1:8" ht="15" customHeight="1">
      <c r="A8318" s="26">
        <v>800021261</v>
      </c>
      <c r="B8318" s="30" t="s">
        <v>10543</v>
      </c>
      <c r="C8318" s="29" t="s">
        <v>24658</v>
      </c>
      <c r="D8318" s="29" t="s">
        <v>37956</v>
      </c>
      <c r="E8318" s="29" t="s">
        <v>50116</v>
      </c>
      <c r="F8318" s="36" t="s">
        <v>54413</v>
      </c>
      <c r="G8318" s="39">
        <v>42422.54</v>
      </c>
      <c r="H8318" s="42">
        <v>211</v>
      </c>
    </row>
    <row r="8319" spans="1:8" ht="15" customHeight="1">
      <c r="A8319" s="26">
        <v>800028455</v>
      </c>
      <c r="B8319" s="30" t="s">
        <v>10544</v>
      </c>
      <c r="C8319" s="29" t="s">
        <v>17204</v>
      </c>
      <c r="D8319" s="29" t="s">
        <v>37957</v>
      </c>
      <c r="E8319" s="29" t="s">
        <v>43926</v>
      </c>
      <c r="F8319" s="36" t="s">
        <v>54412</v>
      </c>
      <c r="G8319" s="39">
        <v>29913.119999999999</v>
      </c>
      <c r="H8319" s="42">
        <v>211</v>
      </c>
    </row>
    <row r="8320" spans="1:8" ht="15" customHeight="1">
      <c r="A8320" s="27">
        <v>800037800</v>
      </c>
      <c r="B8320" s="26" t="s">
        <v>10545</v>
      </c>
      <c r="C8320" s="32"/>
      <c r="D8320" s="32"/>
      <c r="E8320" s="26" t="s">
        <v>50117</v>
      </c>
      <c r="F8320" s="26" t="s">
        <v>731</v>
      </c>
      <c r="G8320" s="41">
        <v>1429377</v>
      </c>
      <c r="H8320" s="26">
        <v>4729</v>
      </c>
    </row>
    <row r="8321" spans="1:8" ht="15" customHeight="1">
      <c r="A8321" s="26">
        <v>800044364</v>
      </c>
      <c r="B8321" s="30" t="s">
        <v>10546</v>
      </c>
      <c r="C8321" s="29" t="s">
        <v>24659</v>
      </c>
      <c r="D8321" s="29" t="s">
        <v>37958</v>
      </c>
      <c r="E8321" s="29" t="s">
        <v>50118</v>
      </c>
      <c r="F8321" s="36" t="s">
        <v>54401</v>
      </c>
      <c r="G8321" s="39">
        <v>1262084.1399999999</v>
      </c>
      <c r="H8321" s="42">
        <v>211</v>
      </c>
    </row>
    <row r="8322" spans="1:8" ht="15" customHeight="1">
      <c r="A8322" s="26">
        <v>800066405</v>
      </c>
      <c r="B8322" s="30" t="s">
        <v>10547</v>
      </c>
      <c r="C8322" s="29" t="s">
        <v>24660</v>
      </c>
      <c r="D8322" s="29" t="s">
        <v>37959</v>
      </c>
      <c r="E8322" s="29" t="s">
        <v>50119</v>
      </c>
      <c r="F8322" s="36" t="s">
        <v>54409</v>
      </c>
      <c r="G8322" s="39">
        <v>6314387.0099999998</v>
      </c>
      <c r="H8322" s="42">
        <v>211</v>
      </c>
    </row>
    <row r="8323" spans="1:8" ht="15" customHeight="1">
      <c r="A8323" s="26">
        <v>800067307</v>
      </c>
      <c r="B8323" s="30" t="s">
        <v>10548</v>
      </c>
      <c r="C8323" s="29" t="s">
        <v>24661</v>
      </c>
      <c r="D8323" s="29" t="s">
        <v>37960</v>
      </c>
      <c r="E8323" s="29" t="s">
        <v>50120</v>
      </c>
      <c r="F8323" s="36" t="s">
        <v>54401</v>
      </c>
      <c r="G8323" s="39">
        <v>524736.67000000004</v>
      </c>
      <c r="H8323" s="42">
        <v>211</v>
      </c>
    </row>
    <row r="8324" spans="1:8" ht="15" customHeight="1">
      <c r="A8324" s="26">
        <v>800079603</v>
      </c>
      <c r="B8324" s="30" t="s">
        <v>10549</v>
      </c>
      <c r="C8324" s="29" t="s">
        <v>24662</v>
      </c>
      <c r="D8324" s="29" t="s">
        <v>37961</v>
      </c>
      <c r="E8324" s="29" t="s">
        <v>538</v>
      </c>
      <c r="F8324" s="36" t="s">
        <v>54434</v>
      </c>
      <c r="G8324" s="39">
        <f>890795.38+5302333</f>
        <v>6193128.3799999999</v>
      </c>
      <c r="H8324" s="42">
        <v>211</v>
      </c>
    </row>
    <row r="8325" spans="1:8" ht="15" customHeight="1">
      <c r="A8325" s="26">
        <v>800081507</v>
      </c>
      <c r="B8325" s="30" t="s">
        <v>10550</v>
      </c>
      <c r="C8325" s="29" t="s">
        <v>24663</v>
      </c>
      <c r="D8325" s="29" t="s">
        <v>37962</v>
      </c>
      <c r="E8325" s="29" t="s">
        <v>50121</v>
      </c>
      <c r="F8325" s="36" t="s">
        <v>54412</v>
      </c>
      <c r="G8325" s="39">
        <v>95174.85</v>
      </c>
      <c r="H8325" s="42">
        <v>211</v>
      </c>
    </row>
    <row r="8326" spans="1:8" ht="15" customHeight="1">
      <c r="A8326" s="26">
        <v>800085024</v>
      </c>
      <c r="B8326" s="30" t="s">
        <v>10551</v>
      </c>
      <c r="C8326" s="29" t="s">
        <v>24664</v>
      </c>
      <c r="D8326" s="29" t="s">
        <v>37963</v>
      </c>
      <c r="E8326" s="29" t="s">
        <v>50122</v>
      </c>
      <c r="F8326" s="36" t="s">
        <v>54401</v>
      </c>
      <c r="G8326" s="39">
        <f>40914838.61+182361</f>
        <v>41097199.609999999</v>
      </c>
      <c r="H8326" s="42">
        <v>211</v>
      </c>
    </row>
    <row r="8327" spans="1:8" ht="15" customHeight="1">
      <c r="A8327" s="26">
        <v>800085480</v>
      </c>
      <c r="B8327" s="26" t="s">
        <v>10552</v>
      </c>
      <c r="C8327" s="32"/>
      <c r="D8327" s="32"/>
      <c r="E8327" s="26" t="s">
        <v>50123</v>
      </c>
      <c r="F8327" s="26" t="s">
        <v>54402</v>
      </c>
      <c r="G8327" s="41">
        <v>1236001</v>
      </c>
      <c r="H8327" s="26">
        <v>4729</v>
      </c>
    </row>
    <row r="8328" spans="1:8" ht="15" customHeight="1">
      <c r="A8328" s="26">
        <v>800088202</v>
      </c>
      <c r="B8328" s="30" t="s">
        <v>10553</v>
      </c>
      <c r="C8328" s="29" t="s">
        <v>24665</v>
      </c>
      <c r="D8328" s="29" t="s">
        <v>37964</v>
      </c>
      <c r="E8328" s="29" t="s">
        <v>50124</v>
      </c>
      <c r="F8328" s="36" t="s">
        <v>54401</v>
      </c>
      <c r="G8328" s="39">
        <f>830074.37+4035628+551421</f>
        <v>5417123.3700000001</v>
      </c>
      <c r="H8328" s="42">
        <v>211</v>
      </c>
    </row>
    <row r="8329" spans="1:8" ht="15" customHeight="1">
      <c r="A8329" s="26">
        <v>800089897</v>
      </c>
      <c r="B8329" s="30" t="s">
        <v>10554</v>
      </c>
      <c r="C8329" s="29" t="s">
        <v>24666</v>
      </c>
      <c r="D8329" s="29" t="s">
        <v>37965</v>
      </c>
      <c r="E8329" s="29" t="s">
        <v>50125</v>
      </c>
      <c r="F8329" s="36" t="s">
        <v>54412</v>
      </c>
      <c r="G8329" s="39">
        <v>1166749.27</v>
      </c>
      <c r="H8329" s="42">
        <v>211</v>
      </c>
    </row>
    <row r="8330" spans="1:8" ht="15" customHeight="1">
      <c r="A8330" s="26">
        <v>800092348</v>
      </c>
      <c r="B8330" s="30" t="s">
        <v>10555</v>
      </c>
      <c r="C8330" s="29" t="s">
        <v>24667</v>
      </c>
      <c r="D8330" s="29" t="s">
        <v>37966</v>
      </c>
      <c r="E8330" s="29" t="s">
        <v>50126</v>
      </c>
      <c r="F8330" s="36" t="s">
        <v>54401</v>
      </c>
      <c r="G8330" s="39">
        <v>343681.86</v>
      </c>
      <c r="H8330" s="42">
        <v>211</v>
      </c>
    </row>
    <row r="8331" spans="1:8" ht="15" customHeight="1">
      <c r="A8331" s="26">
        <v>800098049</v>
      </c>
      <c r="B8331" s="30" t="s">
        <v>10556</v>
      </c>
      <c r="C8331" s="29" t="s">
        <v>24668</v>
      </c>
      <c r="D8331" s="29" t="s">
        <v>37967</v>
      </c>
      <c r="E8331" s="29" t="s">
        <v>50127</v>
      </c>
      <c r="F8331" s="36" t="s">
        <v>54401</v>
      </c>
      <c r="G8331" s="39">
        <v>898075.8</v>
      </c>
      <c r="H8331" s="42">
        <v>211</v>
      </c>
    </row>
    <row r="8332" spans="1:8" ht="15" customHeight="1">
      <c r="A8332" s="26">
        <v>800100610</v>
      </c>
      <c r="B8332" s="30" t="s">
        <v>10557</v>
      </c>
      <c r="C8332" s="29" t="s">
        <v>24669</v>
      </c>
      <c r="D8332" s="29" t="s">
        <v>37968</v>
      </c>
      <c r="E8332" s="29" t="s">
        <v>50128</v>
      </c>
      <c r="F8332" s="36" t="s">
        <v>54401</v>
      </c>
      <c r="G8332" s="39">
        <v>89378.16</v>
      </c>
      <c r="H8332" s="42">
        <v>211</v>
      </c>
    </row>
    <row r="8333" spans="1:8" ht="15" customHeight="1">
      <c r="A8333" s="26">
        <v>800103644</v>
      </c>
      <c r="B8333" s="30" t="s">
        <v>10558</v>
      </c>
      <c r="C8333" s="29" t="s">
        <v>24670</v>
      </c>
      <c r="D8333" s="29" t="s">
        <v>37969</v>
      </c>
      <c r="E8333" s="29" t="s">
        <v>50129</v>
      </c>
      <c r="F8333" s="36" t="s">
        <v>54401</v>
      </c>
      <c r="G8333" s="39">
        <v>384423.07</v>
      </c>
      <c r="H8333" s="42">
        <v>211</v>
      </c>
    </row>
    <row r="8334" spans="1:8" ht="15" customHeight="1">
      <c r="A8334" s="26">
        <v>800116764</v>
      </c>
      <c r="B8334" s="30" t="s">
        <v>10559</v>
      </c>
      <c r="C8334" s="29" t="s">
        <v>24671</v>
      </c>
      <c r="D8334" s="29" t="s">
        <v>37970</v>
      </c>
      <c r="E8334" s="29" t="s">
        <v>50130</v>
      </c>
      <c r="F8334" s="36" t="s">
        <v>54401</v>
      </c>
      <c r="G8334" s="39">
        <f>1354592.11+46740</f>
        <v>1401332.11</v>
      </c>
      <c r="H8334" s="42">
        <v>211</v>
      </c>
    </row>
    <row r="8335" spans="1:8" ht="15" customHeight="1">
      <c r="A8335" s="26">
        <v>800118334</v>
      </c>
      <c r="B8335" s="30" t="s">
        <v>10560</v>
      </c>
      <c r="C8335" s="29" t="s">
        <v>24672</v>
      </c>
      <c r="D8335" s="29" t="s">
        <v>37971</v>
      </c>
      <c r="E8335" s="29" t="s">
        <v>50131</v>
      </c>
      <c r="F8335" s="36" t="s">
        <v>54412</v>
      </c>
      <c r="G8335" s="39">
        <v>4924000</v>
      </c>
      <c r="H8335" s="42">
        <v>211</v>
      </c>
    </row>
    <row r="8336" spans="1:8" ht="15" customHeight="1">
      <c r="A8336" s="26">
        <v>800119574</v>
      </c>
      <c r="B8336" s="30" t="s">
        <v>10561</v>
      </c>
      <c r="C8336" s="29" t="s">
        <v>22626</v>
      </c>
      <c r="D8336" s="29" t="s">
        <v>37972</v>
      </c>
      <c r="E8336" s="29" t="s">
        <v>50132</v>
      </c>
      <c r="F8336" s="36" t="s">
        <v>54401</v>
      </c>
      <c r="G8336" s="39">
        <v>39042.58</v>
      </c>
      <c r="H8336" s="42">
        <v>211</v>
      </c>
    </row>
    <row r="8337" spans="1:8" ht="15" customHeight="1">
      <c r="A8337" s="26">
        <v>800122130</v>
      </c>
      <c r="B8337" s="30" t="s">
        <v>10562</v>
      </c>
      <c r="C8337" s="29" t="s">
        <v>24673</v>
      </c>
      <c r="D8337" s="29" t="s">
        <v>37973</v>
      </c>
      <c r="E8337" s="29" t="s">
        <v>50133</v>
      </c>
      <c r="F8337" s="36" t="s">
        <v>54406</v>
      </c>
      <c r="G8337" s="39">
        <v>134903.38</v>
      </c>
      <c r="H8337" s="42">
        <v>211</v>
      </c>
    </row>
    <row r="8338" spans="1:8" ht="15" customHeight="1">
      <c r="A8338" s="26">
        <v>800122195</v>
      </c>
      <c r="B8338" s="30" t="s">
        <v>10563</v>
      </c>
      <c r="C8338" s="29" t="s">
        <v>24674</v>
      </c>
      <c r="D8338" s="29" t="s">
        <v>37974</v>
      </c>
      <c r="E8338" s="29" t="s">
        <v>50134</v>
      </c>
      <c r="F8338" s="36" t="s">
        <v>54401</v>
      </c>
      <c r="G8338" s="39">
        <v>77000</v>
      </c>
      <c r="H8338" s="42">
        <v>211</v>
      </c>
    </row>
    <row r="8339" spans="1:8" ht="15" customHeight="1">
      <c r="A8339" s="26">
        <v>800125313</v>
      </c>
      <c r="B8339" s="30" t="s">
        <v>10564</v>
      </c>
      <c r="C8339" s="29" t="s">
        <v>24675</v>
      </c>
      <c r="D8339" s="29" t="s">
        <v>37975</v>
      </c>
      <c r="E8339" s="29" t="s">
        <v>50135</v>
      </c>
      <c r="F8339" s="36" t="s">
        <v>54412</v>
      </c>
      <c r="G8339" s="39">
        <v>174773.15</v>
      </c>
      <c r="H8339" s="42">
        <v>211</v>
      </c>
    </row>
    <row r="8340" spans="1:8" ht="15" customHeight="1">
      <c r="A8340" s="26">
        <v>800126343</v>
      </c>
      <c r="B8340" s="30" t="s">
        <v>10565</v>
      </c>
      <c r="C8340" s="29" t="s">
        <v>24676</v>
      </c>
      <c r="D8340" s="29" t="s">
        <v>37976</v>
      </c>
      <c r="E8340" s="29" t="s">
        <v>50136</v>
      </c>
      <c r="F8340" s="36" t="s">
        <v>54401</v>
      </c>
      <c r="G8340" s="39">
        <v>391849.93</v>
      </c>
      <c r="H8340" s="42">
        <v>211</v>
      </c>
    </row>
    <row r="8341" spans="1:8" ht="15" customHeight="1">
      <c r="A8341" s="26">
        <v>800128867</v>
      </c>
      <c r="B8341" s="30" t="s">
        <v>10566</v>
      </c>
      <c r="C8341" s="29" t="s">
        <v>24677</v>
      </c>
      <c r="D8341" s="29" t="s">
        <v>37977</v>
      </c>
      <c r="E8341" s="29" t="s">
        <v>50137</v>
      </c>
      <c r="F8341" s="36" t="s">
        <v>54412</v>
      </c>
      <c r="G8341" s="39">
        <v>16436.98</v>
      </c>
      <c r="H8341" s="42">
        <v>211</v>
      </c>
    </row>
    <row r="8342" spans="1:8" ht="15" customHeight="1">
      <c r="A8342" s="26">
        <v>800130426</v>
      </c>
      <c r="B8342" s="30" t="s">
        <v>10567</v>
      </c>
      <c r="C8342" s="29" t="s">
        <v>24678</v>
      </c>
      <c r="D8342" s="29" t="s">
        <v>37978</v>
      </c>
      <c r="E8342" s="29" t="s">
        <v>50138</v>
      </c>
      <c r="F8342" s="36" t="s">
        <v>54412</v>
      </c>
      <c r="G8342" s="39">
        <v>14229.69</v>
      </c>
      <c r="H8342" s="42">
        <v>211</v>
      </c>
    </row>
    <row r="8343" spans="1:8" ht="15" customHeight="1">
      <c r="A8343" s="27">
        <v>800130907</v>
      </c>
      <c r="B8343" s="26" t="s">
        <v>10568</v>
      </c>
      <c r="C8343" s="32"/>
      <c r="D8343" s="32"/>
      <c r="E8343" s="26" t="s">
        <v>50139</v>
      </c>
      <c r="F8343" s="26" t="s">
        <v>54462</v>
      </c>
      <c r="G8343" s="41">
        <v>710750</v>
      </c>
      <c r="H8343" s="26">
        <v>901</v>
      </c>
    </row>
    <row r="8344" spans="1:8" ht="15" customHeight="1">
      <c r="A8344" s="26">
        <v>800136310</v>
      </c>
      <c r="B8344" s="30" t="s">
        <v>10569</v>
      </c>
      <c r="C8344" s="29" t="s">
        <v>24679</v>
      </c>
      <c r="D8344" s="29" t="s">
        <v>37979</v>
      </c>
      <c r="E8344" s="29" t="s">
        <v>50140</v>
      </c>
      <c r="F8344" s="36" t="s">
        <v>54412</v>
      </c>
      <c r="G8344" s="39">
        <f>815071.06+3302+18184+16668+67379</f>
        <v>920604.06</v>
      </c>
      <c r="H8344" s="42">
        <v>211</v>
      </c>
    </row>
    <row r="8345" spans="1:8" ht="15" customHeight="1">
      <c r="A8345" s="26">
        <v>800142422</v>
      </c>
      <c r="B8345" s="30" t="s">
        <v>10570</v>
      </c>
      <c r="C8345" s="29" t="s">
        <v>24680</v>
      </c>
      <c r="D8345" s="29" t="s">
        <v>37980</v>
      </c>
      <c r="E8345" s="29" t="s">
        <v>50141</v>
      </c>
      <c r="F8345" s="36" t="s">
        <v>54401</v>
      </c>
      <c r="G8345" s="39">
        <v>304785.84999999998</v>
      </c>
      <c r="H8345" s="42">
        <v>211</v>
      </c>
    </row>
    <row r="8346" spans="1:8" ht="15" customHeight="1">
      <c r="A8346" s="26">
        <v>800144934</v>
      </c>
      <c r="B8346" s="30" t="s">
        <v>10571</v>
      </c>
      <c r="C8346" s="29" t="s">
        <v>24681</v>
      </c>
      <c r="D8346" s="29" t="s">
        <v>37981</v>
      </c>
      <c r="E8346" s="29" t="s">
        <v>50142</v>
      </c>
      <c r="F8346" s="36" t="s">
        <v>54412</v>
      </c>
      <c r="G8346" s="39">
        <v>2380</v>
      </c>
      <c r="H8346" s="42">
        <v>211</v>
      </c>
    </row>
    <row r="8347" spans="1:8" ht="15" customHeight="1">
      <c r="A8347" s="26">
        <v>800149871</v>
      </c>
      <c r="B8347" s="30" t="s">
        <v>10572</v>
      </c>
      <c r="C8347" s="29" t="s">
        <v>24682</v>
      </c>
      <c r="D8347" s="29" t="s">
        <v>37982</v>
      </c>
      <c r="E8347" s="29" t="s">
        <v>50143</v>
      </c>
      <c r="F8347" s="36" t="s">
        <v>54401</v>
      </c>
      <c r="G8347" s="39">
        <f>2137936.91-14080</f>
        <v>2123856.91</v>
      </c>
      <c r="H8347" s="42">
        <v>211</v>
      </c>
    </row>
    <row r="8348" spans="1:8" ht="15" customHeight="1">
      <c r="A8348" s="26">
        <v>800151901</v>
      </c>
      <c r="B8348" s="30" t="s">
        <v>10573</v>
      </c>
      <c r="C8348" s="29" t="s">
        <v>24683</v>
      </c>
      <c r="D8348" s="29" t="s">
        <v>37983</v>
      </c>
      <c r="E8348" s="29" t="s">
        <v>50144</v>
      </c>
      <c r="F8348" s="36" t="s">
        <v>54401</v>
      </c>
      <c r="G8348" s="39">
        <v>359061.41</v>
      </c>
      <c r="H8348" s="42">
        <v>211</v>
      </c>
    </row>
    <row r="8349" spans="1:8" ht="15" customHeight="1">
      <c r="A8349" s="26">
        <v>800174156</v>
      </c>
      <c r="B8349" s="30" t="s">
        <v>10574</v>
      </c>
      <c r="C8349" s="26" t="s">
        <v>24684</v>
      </c>
      <c r="D8349" s="26" t="s">
        <v>37984</v>
      </c>
      <c r="E8349" s="26" t="s">
        <v>50145</v>
      </c>
      <c r="F8349" s="37" t="s">
        <v>54401</v>
      </c>
      <c r="G8349" s="39">
        <v>40210.1</v>
      </c>
      <c r="H8349" s="42">
        <v>211</v>
      </c>
    </row>
    <row r="8350" spans="1:8" ht="15" customHeight="1">
      <c r="A8350" s="26">
        <v>800182498</v>
      </c>
      <c r="B8350" s="30" t="s">
        <v>10575</v>
      </c>
      <c r="C8350" s="29" t="s">
        <v>24685</v>
      </c>
      <c r="D8350" s="29" t="s">
        <v>37985</v>
      </c>
      <c r="E8350" s="29" t="s">
        <v>50146</v>
      </c>
      <c r="F8350" s="36" t="s">
        <v>54412</v>
      </c>
      <c r="G8350" s="39">
        <v>25294.11</v>
      </c>
      <c r="H8350" s="42">
        <v>211</v>
      </c>
    </row>
    <row r="8351" spans="1:8" ht="15" customHeight="1">
      <c r="A8351" s="26">
        <v>800183986</v>
      </c>
      <c r="B8351" s="30" t="s">
        <v>10576</v>
      </c>
      <c r="C8351" s="29" t="s">
        <v>24686</v>
      </c>
      <c r="D8351" s="29" t="s">
        <v>37986</v>
      </c>
      <c r="E8351" s="29" t="s">
        <v>50147</v>
      </c>
      <c r="F8351" s="36" t="s">
        <v>54401</v>
      </c>
      <c r="G8351" s="39">
        <v>1346986.68</v>
      </c>
      <c r="H8351" s="42">
        <v>211</v>
      </c>
    </row>
    <row r="8352" spans="1:8" ht="15" customHeight="1">
      <c r="A8352" s="26">
        <v>800186988</v>
      </c>
      <c r="B8352" s="30" t="s">
        <v>10577</v>
      </c>
      <c r="C8352" s="29" t="s">
        <v>24687</v>
      </c>
      <c r="D8352" s="29" t="s">
        <v>37987</v>
      </c>
      <c r="E8352" s="29" t="s">
        <v>44695</v>
      </c>
      <c r="F8352" s="36" t="s">
        <v>54401</v>
      </c>
      <c r="G8352" s="39">
        <v>233692.07</v>
      </c>
      <c r="H8352" s="42">
        <v>211</v>
      </c>
    </row>
    <row r="8353" spans="1:8" ht="15" customHeight="1">
      <c r="A8353" s="26">
        <v>800187797</v>
      </c>
      <c r="B8353" s="30" t="s">
        <v>10578</v>
      </c>
      <c r="C8353" s="29" t="s">
        <v>24439</v>
      </c>
      <c r="D8353" s="29" t="s">
        <v>37720</v>
      </c>
      <c r="E8353" s="29" t="s">
        <v>43926</v>
      </c>
      <c r="F8353" s="36" t="s">
        <v>54401</v>
      </c>
      <c r="G8353" s="39">
        <v>748323.09</v>
      </c>
      <c r="H8353" s="42">
        <v>211</v>
      </c>
    </row>
    <row r="8354" spans="1:8" ht="15" customHeight="1">
      <c r="A8354" s="26">
        <v>800200304</v>
      </c>
      <c r="B8354" s="30" t="s">
        <v>10579</v>
      </c>
      <c r="C8354" s="29" t="s">
        <v>24688</v>
      </c>
      <c r="D8354" s="29" t="s">
        <v>37988</v>
      </c>
      <c r="E8354" s="29" t="s">
        <v>50148</v>
      </c>
      <c r="F8354" s="36" t="s">
        <v>54401</v>
      </c>
      <c r="G8354" s="39">
        <v>95977.39</v>
      </c>
      <c r="H8354" s="42">
        <v>211</v>
      </c>
    </row>
    <row r="8355" spans="1:8" ht="15" customHeight="1">
      <c r="A8355" s="26">
        <v>800200810</v>
      </c>
      <c r="B8355" s="30" t="s">
        <v>10580</v>
      </c>
      <c r="C8355" s="29" t="s">
        <v>24689</v>
      </c>
      <c r="D8355" s="29" t="s">
        <v>37989</v>
      </c>
      <c r="E8355" s="29" t="s">
        <v>50149</v>
      </c>
      <c r="F8355" s="36" t="s">
        <v>54401</v>
      </c>
      <c r="G8355" s="39">
        <v>566459.68000000005</v>
      </c>
      <c r="H8355" s="42">
        <v>211</v>
      </c>
    </row>
    <row r="8356" spans="1:8" ht="15" customHeight="1">
      <c r="A8356" s="26">
        <v>800207639</v>
      </c>
      <c r="B8356" s="30" t="s">
        <v>10581</v>
      </c>
      <c r="C8356" s="29" t="s">
        <v>24690</v>
      </c>
      <c r="D8356" s="29" t="s">
        <v>37990</v>
      </c>
      <c r="E8356" s="29" t="s">
        <v>50150</v>
      </c>
      <c r="F8356" s="36" t="s">
        <v>54401</v>
      </c>
      <c r="G8356" s="39">
        <f>42881933.51+56461+452299</f>
        <v>43390693.509999998</v>
      </c>
      <c r="H8356" s="42">
        <v>211</v>
      </c>
    </row>
    <row r="8357" spans="1:8" ht="15" customHeight="1">
      <c r="A8357" s="26">
        <v>800208694</v>
      </c>
      <c r="B8357" s="30" t="s">
        <v>10582</v>
      </c>
      <c r="C8357" s="29" t="s">
        <v>24691</v>
      </c>
      <c r="D8357" s="29" t="s">
        <v>37991</v>
      </c>
      <c r="E8357" s="29" t="s">
        <v>50151</v>
      </c>
      <c r="F8357" s="36" t="s">
        <v>54412</v>
      </c>
      <c r="G8357" s="39">
        <v>12495.79</v>
      </c>
      <c r="H8357" s="42">
        <v>211</v>
      </c>
    </row>
    <row r="8358" spans="1:8" ht="15" customHeight="1">
      <c r="A8358" s="26">
        <v>800214230</v>
      </c>
      <c r="B8358" s="30" t="s">
        <v>10583</v>
      </c>
      <c r="C8358" s="29" t="s">
        <v>24692</v>
      </c>
      <c r="D8358" s="29" t="s">
        <v>37992</v>
      </c>
      <c r="E8358" s="29" t="s">
        <v>50152</v>
      </c>
      <c r="F8358" s="36" t="s">
        <v>54412</v>
      </c>
      <c r="G8358" s="39">
        <f>282991800+9106</f>
        <v>283000906</v>
      </c>
      <c r="H8358" s="42">
        <v>211</v>
      </c>
    </row>
    <row r="8359" spans="1:8" ht="15" customHeight="1">
      <c r="A8359" s="26">
        <v>800214289</v>
      </c>
      <c r="B8359" s="30" t="s">
        <v>10584</v>
      </c>
      <c r="C8359" s="29" t="s">
        <v>17204</v>
      </c>
      <c r="D8359" s="29" t="s">
        <v>37993</v>
      </c>
      <c r="E8359" s="29" t="s">
        <v>43926</v>
      </c>
      <c r="F8359" s="36" t="s">
        <v>54401</v>
      </c>
      <c r="G8359" s="39">
        <v>50500.91</v>
      </c>
      <c r="H8359" s="42">
        <v>211</v>
      </c>
    </row>
    <row r="8360" spans="1:8" ht="15" customHeight="1">
      <c r="A8360" s="26">
        <v>800214589</v>
      </c>
      <c r="B8360" s="30" t="s">
        <v>10584</v>
      </c>
      <c r="C8360" s="29" t="s">
        <v>24693</v>
      </c>
      <c r="D8360" s="29" t="s">
        <v>37994</v>
      </c>
      <c r="E8360" s="29" t="s">
        <v>50153</v>
      </c>
      <c r="F8360" s="36" t="s">
        <v>54412</v>
      </c>
      <c r="G8360" s="39">
        <v>2451175.16</v>
      </c>
      <c r="H8360" s="42">
        <v>211</v>
      </c>
    </row>
    <row r="8361" spans="1:8" ht="15" customHeight="1">
      <c r="A8361" s="26">
        <v>800218864</v>
      </c>
      <c r="B8361" s="30" t="s">
        <v>10585</v>
      </c>
      <c r="C8361" s="26" t="s">
        <v>24694</v>
      </c>
      <c r="D8361" s="26" t="s">
        <v>37995</v>
      </c>
      <c r="E8361" s="26" t="s">
        <v>50154</v>
      </c>
      <c r="F8361" s="37" t="s">
        <v>54401</v>
      </c>
      <c r="G8361" s="39">
        <v>914660.99</v>
      </c>
      <c r="H8361" s="42">
        <v>211</v>
      </c>
    </row>
    <row r="8362" spans="1:8" ht="15" customHeight="1">
      <c r="A8362" s="26">
        <v>800219925</v>
      </c>
      <c r="B8362" s="30" t="s">
        <v>10586</v>
      </c>
      <c r="C8362" s="29" t="s">
        <v>24695</v>
      </c>
      <c r="D8362" s="29" t="s">
        <v>37996</v>
      </c>
      <c r="E8362" s="29" t="s">
        <v>50155</v>
      </c>
      <c r="F8362" s="36" t="s">
        <v>54413</v>
      </c>
      <c r="G8362" s="39">
        <f>49934019.81-2548452</f>
        <v>47385567.810000002</v>
      </c>
      <c r="H8362" s="42">
        <v>211</v>
      </c>
    </row>
    <row r="8363" spans="1:8" ht="15" customHeight="1">
      <c r="A8363" s="26">
        <v>800220665</v>
      </c>
      <c r="B8363" s="30" t="s">
        <v>10587</v>
      </c>
      <c r="C8363" s="29" t="s">
        <v>24696</v>
      </c>
      <c r="D8363" s="29" t="s">
        <v>37997</v>
      </c>
      <c r="E8363" s="29" t="s">
        <v>24696</v>
      </c>
      <c r="F8363" s="36" t="s">
        <v>54412</v>
      </c>
      <c r="G8363" s="39">
        <v>168.07</v>
      </c>
      <c r="H8363" s="42">
        <v>211</v>
      </c>
    </row>
    <row r="8364" spans="1:8" ht="15" customHeight="1">
      <c r="A8364" s="26">
        <v>800221789</v>
      </c>
      <c r="B8364" s="30" t="s">
        <v>10588</v>
      </c>
      <c r="C8364" s="29" t="s">
        <v>24697</v>
      </c>
      <c r="D8364" s="29" t="s">
        <v>37998</v>
      </c>
      <c r="E8364" s="29" t="s">
        <v>50156</v>
      </c>
      <c r="F8364" s="36" t="s">
        <v>54412</v>
      </c>
      <c r="G8364" s="39">
        <f>208060688.23-1000000</f>
        <v>207060688.22999999</v>
      </c>
      <c r="H8364" s="42">
        <v>211</v>
      </c>
    </row>
    <row r="8365" spans="1:8" ht="15" customHeight="1">
      <c r="A8365" s="26">
        <v>800230447</v>
      </c>
      <c r="B8365" s="30" t="s">
        <v>10589</v>
      </c>
      <c r="C8365" s="29" t="s">
        <v>24698</v>
      </c>
      <c r="D8365" s="29" t="s">
        <v>37999</v>
      </c>
      <c r="E8365" s="29" t="s">
        <v>50157</v>
      </c>
      <c r="F8365" s="36" t="s">
        <v>54412</v>
      </c>
      <c r="G8365" s="39">
        <v>100000</v>
      </c>
      <c r="H8365" s="42">
        <v>211</v>
      </c>
    </row>
    <row r="8366" spans="1:8" ht="15" customHeight="1">
      <c r="A8366" s="26">
        <v>800230475</v>
      </c>
      <c r="B8366" s="30" t="s">
        <v>10590</v>
      </c>
      <c r="C8366" s="29" t="s">
        <v>24699</v>
      </c>
      <c r="D8366" s="29" t="s">
        <v>38000</v>
      </c>
      <c r="E8366" s="29" t="s">
        <v>50158</v>
      </c>
      <c r="F8366" s="36" t="s">
        <v>54401</v>
      </c>
      <c r="G8366" s="39">
        <f>1362991.92+156681</f>
        <v>1519672.92</v>
      </c>
      <c r="H8366" s="42">
        <v>211</v>
      </c>
    </row>
    <row r="8367" spans="1:8" ht="15" customHeight="1">
      <c r="A8367" s="26">
        <v>800232359</v>
      </c>
      <c r="B8367" s="30" t="s">
        <v>10591</v>
      </c>
      <c r="C8367" s="29" t="s">
        <v>24700</v>
      </c>
      <c r="D8367" s="29" t="s">
        <v>38001</v>
      </c>
      <c r="E8367" s="29" t="s">
        <v>50159</v>
      </c>
      <c r="F8367" s="36" t="s">
        <v>54401</v>
      </c>
      <c r="G8367" s="39">
        <v>96502.05</v>
      </c>
      <c r="H8367" s="42">
        <v>211</v>
      </c>
    </row>
    <row r="8368" spans="1:8" ht="15" customHeight="1">
      <c r="A8368" s="26">
        <v>800234324</v>
      </c>
      <c r="B8368" s="30" t="s">
        <v>10592</v>
      </c>
      <c r="C8368" s="29" t="s">
        <v>24701</v>
      </c>
      <c r="D8368" s="29" t="s">
        <v>38002</v>
      </c>
      <c r="E8368" s="29" t="s">
        <v>50160</v>
      </c>
      <c r="F8368" s="36" t="s">
        <v>54420</v>
      </c>
      <c r="G8368" s="39">
        <v>2442622.96</v>
      </c>
      <c r="H8368" s="42">
        <v>211</v>
      </c>
    </row>
    <row r="8369" spans="1:8" ht="15" customHeight="1">
      <c r="A8369" s="26">
        <v>800234618</v>
      </c>
      <c r="B8369" s="30" t="s">
        <v>10593</v>
      </c>
      <c r="C8369" s="29" t="s">
        <v>24702</v>
      </c>
      <c r="D8369" s="29" t="s">
        <v>38003</v>
      </c>
      <c r="E8369" s="29" t="s">
        <v>50161</v>
      </c>
      <c r="F8369" s="36" t="s">
        <v>54401</v>
      </c>
      <c r="G8369" s="39">
        <f>3228129.04+10800+62613</f>
        <v>3301542.04</v>
      </c>
      <c r="H8369" s="42">
        <v>211</v>
      </c>
    </row>
    <row r="8370" spans="1:8" ht="15" customHeight="1">
      <c r="A8370" s="26">
        <v>800237608</v>
      </c>
      <c r="B8370" s="30" t="s">
        <v>10593</v>
      </c>
      <c r="C8370" s="26" t="s">
        <v>17204</v>
      </c>
      <c r="D8370" s="26" t="s">
        <v>38004</v>
      </c>
      <c r="E8370" s="26" t="s">
        <v>50162</v>
      </c>
      <c r="F8370" s="37" t="s">
        <v>54412</v>
      </c>
      <c r="G8370" s="39">
        <v>5522.52</v>
      </c>
      <c r="H8370" s="42">
        <v>211</v>
      </c>
    </row>
    <row r="8371" spans="1:8" ht="15" customHeight="1">
      <c r="A8371" s="26">
        <v>800243924</v>
      </c>
      <c r="B8371" s="30" t="s">
        <v>10594</v>
      </c>
      <c r="C8371" s="29" t="s">
        <v>24703</v>
      </c>
      <c r="D8371" s="29" t="s">
        <v>31015</v>
      </c>
      <c r="E8371" s="29" t="s">
        <v>50163</v>
      </c>
      <c r="F8371" s="36" t="s">
        <v>54409</v>
      </c>
      <c r="G8371" s="39">
        <f>3992542.9+50841</f>
        <v>4043383.9</v>
      </c>
      <c r="H8371" s="42">
        <v>211</v>
      </c>
    </row>
    <row r="8372" spans="1:8" ht="15" customHeight="1">
      <c r="A8372" s="26">
        <v>800244827</v>
      </c>
      <c r="B8372" s="29" t="s">
        <v>10595</v>
      </c>
      <c r="C8372" s="29" t="s">
        <v>24704</v>
      </c>
      <c r="D8372" s="29" t="s">
        <v>38005</v>
      </c>
      <c r="E8372" s="29" t="s">
        <v>43926</v>
      </c>
      <c r="F8372" s="36" t="s">
        <v>54401</v>
      </c>
      <c r="G8372" s="39">
        <v>229502.01</v>
      </c>
      <c r="H8372" s="42">
        <v>211</v>
      </c>
    </row>
    <row r="8373" spans="1:8" ht="15" customHeight="1">
      <c r="A8373" s="26">
        <v>800248168</v>
      </c>
      <c r="B8373" s="30" t="s">
        <v>10596</v>
      </c>
      <c r="C8373" s="29" t="s">
        <v>24705</v>
      </c>
      <c r="D8373" s="29" t="s">
        <v>38006</v>
      </c>
      <c r="E8373" s="29" t="s">
        <v>50164</v>
      </c>
      <c r="F8373" s="36" t="s">
        <v>54401</v>
      </c>
      <c r="G8373" s="39">
        <f>3129367.15+52358</f>
        <v>3181725.15</v>
      </c>
      <c r="H8373" s="42">
        <v>211</v>
      </c>
    </row>
    <row r="8374" spans="1:8" ht="15" customHeight="1">
      <c r="A8374" s="26">
        <v>800248545</v>
      </c>
      <c r="B8374" s="30" t="s">
        <v>10597</v>
      </c>
      <c r="C8374" s="29" t="s">
        <v>24706</v>
      </c>
      <c r="D8374" s="29" t="s">
        <v>38007</v>
      </c>
      <c r="E8374" s="29" t="s">
        <v>50165</v>
      </c>
      <c r="F8374" s="36" t="s">
        <v>54401</v>
      </c>
      <c r="G8374" s="39">
        <v>22771.43</v>
      </c>
      <c r="H8374" s="42">
        <v>211</v>
      </c>
    </row>
    <row r="8375" spans="1:8" ht="15" customHeight="1">
      <c r="A8375" s="27">
        <v>800249241</v>
      </c>
      <c r="B8375" s="26" t="s">
        <v>10598</v>
      </c>
      <c r="C8375" s="32"/>
      <c r="D8375" s="32"/>
      <c r="E8375" s="26" t="s">
        <v>50166</v>
      </c>
      <c r="F8375" s="26" t="s">
        <v>440</v>
      </c>
      <c r="G8375" s="41">
        <v>2941700</v>
      </c>
      <c r="H8375" s="26">
        <v>901</v>
      </c>
    </row>
    <row r="8376" spans="1:8" ht="15" customHeight="1">
      <c r="A8376" s="26">
        <v>800250415</v>
      </c>
      <c r="B8376" s="30" t="s">
        <v>10599</v>
      </c>
      <c r="C8376" s="29" t="s">
        <v>24707</v>
      </c>
      <c r="D8376" s="29" t="s">
        <v>38008</v>
      </c>
      <c r="E8376" s="29" t="s">
        <v>50167</v>
      </c>
      <c r="F8376" s="36" t="s">
        <v>54420</v>
      </c>
      <c r="G8376" s="39">
        <v>3066352.94</v>
      </c>
      <c r="H8376" s="42">
        <v>211</v>
      </c>
    </row>
    <row r="8377" spans="1:8" ht="15" customHeight="1">
      <c r="A8377" s="27">
        <v>800251440</v>
      </c>
      <c r="B8377" s="26" t="s">
        <v>10600</v>
      </c>
      <c r="C8377" s="32"/>
      <c r="D8377" s="32"/>
      <c r="E8377" s="26" t="s">
        <v>50168</v>
      </c>
      <c r="F8377" s="26" t="s">
        <v>54462</v>
      </c>
      <c r="G8377" s="41">
        <v>2877357</v>
      </c>
      <c r="H8377" s="26">
        <v>901</v>
      </c>
    </row>
    <row r="8378" spans="1:8" ht="15" customHeight="1">
      <c r="A8378" s="26">
        <v>800254426</v>
      </c>
      <c r="B8378" s="30" t="s">
        <v>10601</v>
      </c>
      <c r="C8378" s="29" t="s">
        <v>24708</v>
      </c>
      <c r="D8378" s="29" t="s">
        <v>38009</v>
      </c>
      <c r="E8378" s="29" t="s">
        <v>50169</v>
      </c>
      <c r="F8378" s="36" t="s">
        <v>54401</v>
      </c>
      <c r="G8378" s="39">
        <v>61851.519999999997</v>
      </c>
      <c r="H8378" s="42">
        <v>211</v>
      </c>
    </row>
    <row r="8379" spans="1:8" ht="15" customHeight="1">
      <c r="A8379" s="26">
        <v>804010123</v>
      </c>
      <c r="B8379" s="30" t="s">
        <v>10602</v>
      </c>
      <c r="C8379" s="29" t="s">
        <v>24709</v>
      </c>
      <c r="D8379" s="29" t="s">
        <v>38010</v>
      </c>
      <c r="E8379" s="29" t="s">
        <v>50170</v>
      </c>
      <c r="F8379" s="36" t="s">
        <v>54412</v>
      </c>
      <c r="G8379" s="39">
        <v>1000000</v>
      </c>
      <c r="H8379" s="42">
        <v>211</v>
      </c>
    </row>
    <row r="8380" spans="1:8" ht="15" customHeight="1">
      <c r="A8380" s="26">
        <v>806002258</v>
      </c>
      <c r="B8380" s="30" t="s">
        <v>10603</v>
      </c>
      <c r="C8380" s="29" t="s">
        <v>24710</v>
      </c>
      <c r="D8380" s="29" t="s">
        <v>38011</v>
      </c>
      <c r="E8380" s="29" t="s">
        <v>50171</v>
      </c>
      <c r="F8380" s="36" t="s">
        <v>54401</v>
      </c>
      <c r="G8380" s="39">
        <v>547655.46</v>
      </c>
      <c r="H8380" s="42">
        <v>211</v>
      </c>
    </row>
    <row r="8381" spans="1:8" ht="15" customHeight="1">
      <c r="A8381" s="26">
        <v>810003036</v>
      </c>
      <c r="B8381" s="30" t="s">
        <v>10604</v>
      </c>
      <c r="C8381" s="29" t="s">
        <v>24711</v>
      </c>
      <c r="D8381" s="29" t="s">
        <v>38012</v>
      </c>
      <c r="E8381" s="29" t="s">
        <v>50172</v>
      </c>
      <c r="F8381" s="36" t="s">
        <v>54412</v>
      </c>
      <c r="G8381" s="39">
        <f>15419815.13+70756</f>
        <v>15490571.130000001</v>
      </c>
      <c r="H8381" s="42">
        <v>211</v>
      </c>
    </row>
    <row r="8382" spans="1:8" ht="15" customHeight="1">
      <c r="A8382" s="26">
        <v>811003604</v>
      </c>
      <c r="B8382" s="30" t="s">
        <v>10605</v>
      </c>
      <c r="C8382" s="26" t="s">
        <v>24712</v>
      </c>
      <c r="D8382" s="26" t="s">
        <v>38013</v>
      </c>
      <c r="E8382" s="26" t="s">
        <v>50173</v>
      </c>
      <c r="F8382" s="37" t="s">
        <v>54439</v>
      </c>
      <c r="G8382" s="39">
        <v>64174.69</v>
      </c>
      <c r="H8382" s="42">
        <v>211</v>
      </c>
    </row>
    <row r="8383" spans="1:8" ht="15" customHeight="1">
      <c r="A8383" s="26">
        <v>820000086</v>
      </c>
      <c r="B8383" s="30" t="s">
        <v>10606</v>
      </c>
      <c r="C8383" s="29" t="s">
        <v>24713</v>
      </c>
      <c r="D8383" s="29" t="s">
        <v>38014</v>
      </c>
      <c r="E8383" s="29" t="s">
        <v>50174</v>
      </c>
      <c r="F8383" s="36" t="s">
        <v>54401</v>
      </c>
      <c r="G8383" s="39">
        <v>7480000</v>
      </c>
      <c r="H8383" s="42">
        <v>211</v>
      </c>
    </row>
    <row r="8384" spans="1:8" ht="15" customHeight="1">
      <c r="A8384" s="26">
        <v>820001919</v>
      </c>
      <c r="B8384" s="30" t="s">
        <v>10607</v>
      </c>
      <c r="C8384" s="29" t="s">
        <v>24714</v>
      </c>
      <c r="D8384" s="29" t="s">
        <v>38015</v>
      </c>
      <c r="E8384" s="29" t="s">
        <v>50175</v>
      </c>
      <c r="F8384" s="36" t="s">
        <v>54434</v>
      </c>
      <c r="G8384" s="39">
        <v>1937229.17</v>
      </c>
      <c r="H8384" s="42">
        <v>211</v>
      </c>
    </row>
    <row r="8385" spans="1:8" ht="15" customHeight="1">
      <c r="A8385" s="26">
        <v>820002928</v>
      </c>
      <c r="B8385" s="30" t="s">
        <v>10608</v>
      </c>
      <c r="C8385" s="29" t="s">
        <v>24715</v>
      </c>
      <c r="D8385" s="29" t="s">
        <v>38016</v>
      </c>
      <c r="E8385" s="29" t="s">
        <v>50176</v>
      </c>
      <c r="F8385" s="36" t="s">
        <v>54412</v>
      </c>
      <c r="G8385" s="39">
        <f>1109368.62+105655</f>
        <v>1215023.6200000001</v>
      </c>
      <c r="H8385" s="42">
        <v>211</v>
      </c>
    </row>
    <row r="8386" spans="1:8" ht="15" customHeight="1">
      <c r="A8386" s="26">
        <v>820004012</v>
      </c>
      <c r="B8386" s="30" t="s">
        <v>10609</v>
      </c>
      <c r="C8386" s="26" t="s">
        <v>17204</v>
      </c>
      <c r="D8386" s="26" t="s">
        <v>38017</v>
      </c>
      <c r="E8386" s="26" t="s">
        <v>43926</v>
      </c>
      <c r="F8386" s="37" t="s">
        <v>54401</v>
      </c>
      <c r="G8386" s="39">
        <f>65991.6+1419247</f>
        <v>1485238.6</v>
      </c>
      <c r="H8386" s="42">
        <v>211</v>
      </c>
    </row>
    <row r="8387" spans="1:8" ht="15" customHeight="1">
      <c r="A8387" s="26">
        <v>820004380</v>
      </c>
      <c r="B8387" s="30" t="s">
        <v>10610</v>
      </c>
      <c r="C8387" s="29" t="s">
        <v>24716</v>
      </c>
      <c r="D8387" s="29" t="s">
        <v>38018</v>
      </c>
      <c r="E8387" s="29" t="s">
        <v>50177</v>
      </c>
      <c r="F8387" s="36" t="s">
        <v>54401</v>
      </c>
      <c r="G8387" s="39">
        <v>1133985.33</v>
      </c>
      <c r="H8387" s="42">
        <v>211</v>
      </c>
    </row>
    <row r="8388" spans="1:8" ht="15" customHeight="1">
      <c r="A8388" s="26">
        <v>820004564</v>
      </c>
      <c r="B8388" s="30" t="s">
        <v>10611</v>
      </c>
      <c r="C8388" s="29" t="s">
        <v>24717</v>
      </c>
      <c r="D8388" s="29" t="s">
        <v>38019</v>
      </c>
      <c r="E8388" s="29" t="s">
        <v>50178</v>
      </c>
      <c r="F8388" s="36" t="s">
        <v>54413</v>
      </c>
      <c r="G8388" s="39">
        <f>1130000+592409</f>
        <v>1722409</v>
      </c>
      <c r="H8388" s="42">
        <v>211</v>
      </c>
    </row>
    <row r="8389" spans="1:8" ht="15" customHeight="1">
      <c r="A8389" s="26">
        <v>820004700</v>
      </c>
      <c r="B8389" s="30" t="s">
        <v>10612</v>
      </c>
      <c r="C8389" s="29" t="s">
        <v>24718</v>
      </c>
      <c r="D8389" s="29" t="s">
        <v>38020</v>
      </c>
      <c r="E8389" s="29" t="s">
        <v>50179</v>
      </c>
      <c r="F8389" s="36" t="s">
        <v>54401</v>
      </c>
      <c r="G8389" s="39">
        <f>226922.7+95638+1430428</f>
        <v>1752988.7</v>
      </c>
      <c r="H8389" s="42">
        <v>211</v>
      </c>
    </row>
    <row r="8390" spans="1:8" ht="15" customHeight="1">
      <c r="A8390" s="26">
        <v>820005297</v>
      </c>
      <c r="B8390" s="30" t="s">
        <v>10613</v>
      </c>
      <c r="C8390" s="29" t="s">
        <v>24719</v>
      </c>
      <c r="D8390" s="29" t="s">
        <v>38021</v>
      </c>
      <c r="E8390" s="29" t="s">
        <v>50180</v>
      </c>
      <c r="F8390" s="36" t="s">
        <v>54412</v>
      </c>
      <c r="G8390" s="39">
        <v>336.13</v>
      </c>
      <c r="H8390" s="42">
        <v>211</v>
      </c>
    </row>
    <row r="8391" spans="1:8" ht="15" customHeight="1">
      <c r="A8391" s="26">
        <v>820005597</v>
      </c>
      <c r="B8391" s="30" t="s">
        <v>10614</v>
      </c>
      <c r="C8391" s="29" t="s">
        <v>22915</v>
      </c>
      <c r="D8391" s="29" t="s">
        <v>38022</v>
      </c>
      <c r="E8391" s="29" t="s">
        <v>50181</v>
      </c>
      <c r="F8391" s="36" t="s">
        <v>54407</v>
      </c>
      <c r="G8391" s="39">
        <v>141397.34</v>
      </c>
      <c r="H8391" s="42">
        <v>211</v>
      </c>
    </row>
    <row r="8392" spans="1:8" ht="15" customHeight="1">
      <c r="A8392" s="26">
        <v>822000138</v>
      </c>
      <c r="B8392" s="30" t="s">
        <v>10615</v>
      </c>
      <c r="C8392" s="29" t="s">
        <v>24720</v>
      </c>
      <c r="D8392" s="29" t="s">
        <v>38023</v>
      </c>
      <c r="E8392" s="29" t="s">
        <v>50182</v>
      </c>
      <c r="F8392" s="36" t="s">
        <v>54401</v>
      </c>
      <c r="G8392" s="39">
        <v>32369.74</v>
      </c>
      <c r="H8392" s="42">
        <v>211</v>
      </c>
    </row>
    <row r="8393" spans="1:8" ht="15" customHeight="1">
      <c r="A8393" s="26">
        <v>826000080</v>
      </c>
      <c r="B8393" s="30" t="s">
        <v>10616</v>
      </c>
      <c r="C8393" s="29" t="s">
        <v>24721</v>
      </c>
      <c r="D8393" s="29" t="s">
        <v>38024</v>
      </c>
      <c r="E8393" s="29" t="s">
        <v>50183</v>
      </c>
      <c r="F8393" s="36" t="s">
        <v>54401</v>
      </c>
      <c r="G8393" s="39">
        <v>1400000</v>
      </c>
      <c r="H8393" s="42">
        <v>211</v>
      </c>
    </row>
    <row r="8394" spans="1:8" ht="15" customHeight="1">
      <c r="A8394" s="26">
        <v>826000094</v>
      </c>
      <c r="B8394" s="30" t="s">
        <v>10617</v>
      </c>
      <c r="C8394" s="29" t="s">
        <v>24722</v>
      </c>
      <c r="D8394" s="29" t="s">
        <v>38025</v>
      </c>
      <c r="E8394" s="29" t="s">
        <v>50184</v>
      </c>
      <c r="F8394" s="36" t="s">
        <v>54420</v>
      </c>
      <c r="G8394" s="39">
        <v>100983.51</v>
      </c>
      <c r="H8394" s="42">
        <v>211</v>
      </c>
    </row>
    <row r="8395" spans="1:8" ht="15" customHeight="1">
      <c r="A8395" s="26">
        <v>826000346</v>
      </c>
      <c r="B8395" s="30" t="s">
        <v>10618</v>
      </c>
      <c r="C8395" s="29" t="s">
        <v>24723</v>
      </c>
      <c r="D8395" s="29" t="s">
        <v>38026</v>
      </c>
      <c r="E8395" s="29" t="s">
        <v>50185</v>
      </c>
      <c r="F8395" s="36" t="s">
        <v>54401</v>
      </c>
      <c r="G8395" s="39">
        <f>1747625.56+69851</f>
        <v>1817476.56</v>
      </c>
      <c r="H8395" s="42">
        <v>211</v>
      </c>
    </row>
    <row r="8396" spans="1:8" ht="15" customHeight="1">
      <c r="A8396" s="26">
        <v>826000361</v>
      </c>
      <c r="B8396" s="30" t="s">
        <v>10619</v>
      </c>
      <c r="C8396" s="29" t="s">
        <v>24724</v>
      </c>
      <c r="D8396" s="29" t="s">
        <v>38027</v>
      </c>
      <c r="E8396" s="29" t="s">
        <v>50186</v>
      </c>
      <c r="F8396" s="36" t="s">
        <v>54401</v>
      </c>
      <c r="G8396" s="39">
        <f>152611316.57-5000028</f>
        <v>147611288.56999999</v>
      </c>
      <c r="H8396" s="42">
        <v>211</v>
      </c>
    </row>
    <row r="8397" spans="1:8" ht="15" customHeight="1">
      <c r="A8397" s="26">
        <v>826000391</v>
      </c>
      <c r="B8397" s="30" t="s">
        <v>10620</v>
      </c>
      <c r="C8397" s="29" t="s">
        <v>24725</v>
      </c>
      <c r="D8397" s="29" t="s">
        <v>38028</v>
      </c>
      <c r="E8397" s="29" t="s">
        <v>50187</v>
      </c>
      <c r="F8397" s="36" t="s">
        <v>54401</v>
      </c>
      <c r="G8397" s="39">
        <v>173254.62</v>
      </c>
      <c r="H8397" s="42">
        <v>211</v>
      </c>
    </row>
    <row r="8398" spans="1:8" ht="15" customHeight="1">
      <c r="A8398" s="26">
        <v>826000426</v>
      </c>
      <c r="B8398" s="30" t="s">
        <v>10621</v>
      </c>
      <c r="C8398" s="26" t="s">
        <v>17204</v>
      </c>
      <c r="D8398" s="26" t="s">
        <v>38029</v>
      </c>
      <c r="E8398" s="26" t="s">
        <v>43926</v>
      </c>
      <c r="F8398" s="37" t="s">
        <v>54401</v>
      </c>
      <c r="G8398" s="39">
        <v>10470.58</v>
      </c>
      <c r="H8398" s="42">
        <v>211</v>
      </c>
    </row>
    <row r="8399" spans="1:8" ht="15" customHeight="1">
      <c r="A8399" s="26">
        <v>826000490</v>
      </c>
      <c r="B8399" s="30" t="s">
        <v>10622</v>
      </c>
      <c r="C8399" s="29" t="s">
        <v>24726</v>
      </c>
      <c r="D8399" s="29" t="s">
        <v>38030</v>
      </c>
      <c r="E8399" s="29" t="s">
        <v>50188</v>
      </c>
      <c r="F8399" s="36" t="s">
        <v>54420</v>
      </c>
      <c r="G8399" s="39">
        <v>2110875.2000000002</v>
      </c>
      <c r="H8399" s="42">
        <v>211</v>
      </c>
    </row>
    <row r="8400" spans="1:8" ht="15" customHeight="1">
      <c r="A8400" s="26">
        <v>826000506</v>
      </c>
      <c r="B8400" s="30" t="s">
        <v>10623</v>
      </c>
      <c r="C8400" s="29" t="s">
        <v>24727</v>
      </c>
      <c r="D8400" s="29" t="s">
        <v>38031</v>
      </c>
      <c r="E8400" s="29" t="s">
        <v>50189</v>
      </c>
      <c r="F8400" s="36" t="s">
        <v>54412</v>
      </c>
      <c r="G8400" s="39">
        <v>93918.48</v>
      </c>
      <c r="H8400" s="42">
        <v>211</v>
      </c>
    </row>
    <row r="8401" spans="1:8" ht="15" customHeight="1">
      <c r="A8401" s="26">
        <v>826000526</v>
      </c>
      <c r="B8401" s="30" t="s">
        <v>10624</v>
      </c>
      <c r="C8401" s="29" t="s">
        <v>24728</v>
      </c>
      <c r="D8401" s="29" t="s">
        <v>38032</v>
      </c>
      <c r="E8401" s="29" t="s">
        <v>50190</v>
      </c>
      <c r="F8401" s="36" t="s">
        <v>54407</v>
      </c>
      <c r="G8401" s="39">
        <f>25966.38+4466842-355444</f>
        <v>4137364.38</v>
      </c>
      <c r="H8401" s="42">
        <v>211</v>
      </c>
    </row>
    <row r="8402" spans="1:8" ht="15" customHeight="1">
      <c r="A8402" s="26">
        <v>826000610</v>
      </c>
      <c r="B8402" s="30" t="s">
        <v>10625</v>
      </c>
      <c r="C8402" s="29" t="s">
        <v>24729</v>
      </c>
      <c r="D8402" s="29" t="s">
        <v>38033</v>
      </c>
      <c r="E8402" s="29" t="s">
        <v>48950</v>
      </c>
      <c r="F8402" s="36" t="s">
        <v>54401</v>
      </c>
      <c r="G8402" s="39">
        <v>349257.04</v>
      </c>
      <c r="H8402" s="42">
        <v>211</v>
      </c>
    </row>
    <row r="8403" spans="1:8" ht="15" customHeight="1">
      <c r="A8403" s="26">
        <v>826000747</v>
      </c>
      <c r="B8403" s="30" t="s">
        <v>10626</v>
      </c>
      <c r="C8403" s="29" t="s">
        <v>24730</v>
      </c>
      <c r="D8403" s="29" t="s">
        <v>38034</v>
      </c>
      <c r="E8403" s="29" t="s">
        <v>50191</v>
      </c>
      <c r="F8403" s="36" t="s">
        <v>54406</v>
      </c>
      <c r="G8403" s="39">
        <v>887225.84</v>
      </c>
      <c r="H8403" s="42">
        <v>211</v>
      </c>
    </row>
    <row r="8404" spans="1:8" ht="15" customHeight="1">
      <c r="A8404" s="26">
        <v>826000824</v>
      </c>
      <c r="B8404" s="30" t="s">
        <v>10627</v>
      </c>
      <c r="C8404" s="29" t="s">
        <v>24731</v>
      </c>
      <c r="D8404" s="29" t="s">
        <v>38035</v>
      </c>
      <c r="E8404" s="29" t="s">
        <v>50192</v>
      </c>
      <c r="F8404" s="36" t="s">
        <v>54401</v>
      </c>
      <c r="G8404" s="39">
        <v>1125643.48</v>
      </c>
      <c r="H8404" s="42">
        <v>211</v>
      </c>
    </row>
    <row r="8405" spans="1:8" ht="15" customHeight="1">
      <c r="A8405" s="26">
        <v>826000855</v>
      </c>
      <c r="B8405" s="30" t="s">
        <v>10628</v>
      </c>
      <c r="C8405" s="29" t="s">
        <v>24732</v>
      </c>
      <c r="D8405" s="29" t="s">
        <v>38036</v>
      </c>
      <c r="E8405" s="29" t="s">
        <v>50193</v>
      </c>
      <c r="F8405" s="36" t="s">
        <v>54401</v>
      </c>
      <c r="G8405" s="39">
        <f>1015367.59+112453</f>
        <v>1127820.5899999999</v>
      </c>
      <c r="H8405" s="42">
        <v>211</v>
      </c>
    </row>
    <row r="8406" spans="1:8" ht="15" customHeight="1">
      <c r="A8406" s="26">
        <v>826000861</v>
      </c>
      <c r="B8406" s="30" t="s">
        <v>10629</v>
      </c>
      <c r="C8406" s="29" t="s">
        <v>24733</v>
      </c>
      <c r="D8406" s="29" t="s">
        <v>38037</v>
      </c>
      <c r="E8406" s="29" t="s">
        <v>50194</v>
      </c>
      <c r="F8406" s="36" t="s">
        <v>54401</v>
      </c>
      <c r="G8406" s="39">
        <v>427499.87</v>
      </c>
      <c r="H8406" s="42">
        <v>211</v>
      </c>
    </row>
    <row r="8407" spans="1:8" ht="15" customHeight="1">
      <c r="A8407" s="26">
        <v>826001016</v>
      </c>
      <c r="B8407" s="30" t="s">
        <v>10630</v>
      </c>
      <c r="C8407" s="29" t="s">
        <v>24734</v>
      </c>
      <c r="D8407" s="29" t="s">
        <v>38038</v>
      </c>
      <c r="E8407" s="29" t="s">
        <v>50195</v>
      </c>
      <c r="F8407" s="36" t="s">
        <v>54401</v>
      </c>
      <c r="G8407" s="39">
        <v>214830.2</v>
      </c>
      <c r="H8407" s="42">
        <v>211</v>
      </c>
    </row>
    <row r="8408" spans="1:8" ht="15" customHeight="1">
      <c r="A8408" s="26">
        <v>826001046</v>
      </c>
      <c r="B8408" s="30" t="s">
        <v>10631</v>
      </c>
      <c r="C8408" s="29" t="s">
        <v>24735</v>
      </c>
      <c r="D8408" s="29" t="s">
        <v>38039</v>
      </c>
      <c r="E8408" s="29" t="s">
        <v>50196</v>
      </c>
      <c r="F8408" s="36" t="s">
        <v>54401</v>
      </c>
      <c r="G8408" s="39">
        <v>39647.06</v>
      </c>
      <c r="H8408" s="42">
        <v>211</v>
      </c>
    </row>
    <row r="8409" spans="1:8" ht="15" customHeight="1">
      <c r="A8409" s="26">
        <v>826001095</v>
      </c>
      <c r="B8409" s="30" t="s">
        <v>10632</v>
      </c>
      <c r="C8409" s="29" t="s">
        <v>24736</v>
      </c>
      <c r="D8409" s="29" t="s">
        <v>38040</v>
      </c>
      <c r="E8409" s="29" t="s">
        <v>50197</v>
      </c>
      <c r="F8409" s="36" t="s">
        <v>54401</v>
      </c>
      <c r="G8409" s="39">
        <v>6201347.2400000002</v>
      </c>
      <c r="H8409" s="42">
        <v>211</v>
      </c>
    </row>
    <row r="8410" spans="1:8" ht="15" customHeight="1">
      <c r="A8410" s="26">
        <v>826001123</v>
      </c>
      <c r="B8410" s="30" t="s">
        <v>10633</v>
      </c>
      <c r="C8410" s="29" t="s">
        <v>24737</v>
      </c>
      <c r="D8410" s="29" t="s">
        <v>38041</v>
      </c>
      <c r="E8410" s="29" t="s">
        <v>50198</v>
      </c>
      <c r="F8410" s="36" t="s">
        <v>54401</v>
      </c>
      <c r="G8410" s="39">
        <v>12756.3</v>
      </c>
      <c r="H8410" s="42">
        <v>211</v>
      </c>
    </row>
    <row r="8411" spans="1:8" ht="15" customHeight="1">
      <c r="A8411" s="26">
        <v>826001351</v>
      </c>
      <c r="B8411" s="30" t="s">
        <v>10634</v>
      </c>
      <c r="C8411" s="29" t="s">
        <v>24738</v>
      </c>
      <c r="D8411" s="29" t="s">
        <v>38042</v>
      </c>
      <c r="E8411" s="29" t="s">
        <v>50199</v>
      </c>
      <c r="F8411" s="36" t="s">
        <v>54401</v>
      </c>
      <c r="G8411" s="39">
        <v>593121.76</v>
      </c>
      <c r="H8411" s="42">
        <v>211</v>
      </c>
    </row>
    <row r="8412" spans="1:8" ht="15" customHeight="1">
      <c r="A8412" s="26">
        <v>826001439</v>
      </c>
      <c r="B8412" s="30" t="s">
        <v>10635</v>
      </c>
      <c r="C8412" s="29" t="s">
        <v>24739</v>
      </c>
      <c r="D8412" s="29" t="s">
        <v>38043</v>
      </c>
      <c r="E8412" s="29" t="s">
        <v>50200</v>
      </c>
      <c r="F8412" s="36" t="s">
        <v>54401</v>
      </c>
      <c r="G8412" s="39">
        <v>60362.05</v>
      </c>
      <c r="H8412" s="42">
        <v>211</v>
      </c>
    </row>
    <row r="8413" spans="1:8" ht="15" customHeight="1">
      <c r="A8413" s="26">
        <v>826001482</v>
      </c>
      <c r="B8413" s="26" t="s">
        <v>10636</v>
      </c>
      <c r="C8413" s="32"/>
      <c r="D8413" s="32"/>
      <c r="E8413" s="26" t="s">
        <v>50201</v>
      </c>
      <c r="F8413" s="26" t="s">
        <v>54402</v>
      </c>
      <c r="G8413" s="41">
        <v>18000000</v>
      </c>
      <c r="H8413" s="26">
        <v>4729</v>
      </c>
    </row>
    <row r="8414" spans="1:8" ht="15" customHeight="1">
      <c r="A8414" s="26">
        <v>826001609</v>
      </c>
      <c r="B8414" s="30" t="s">
        <v>10637</v>
      </c>
      <c r="C8414" s="29" t="s">
        <v>24740</v>
      </c>
      <c r="D8414" s="29" t="s">
        <v>38044</v>
      </c>
      <c r="E8414" s="29" t="s">
        <v>50202</v>
      </c>
      <c r="F8414" s="36" t="s">
        <v>54401</v>
      </c>
      <c r="G8414" s="39">
        <v>596759.99</v>
      </c>
      <c r="H8414" s="42">
        <v>211</v>
      </c>
    </row>
    <row r="8415" spans="1:8" ht="15" customHeight="1">
      <c r="A8415" s="26">
        <v>826001638</v>
      </c>
      <c r="B8415" s="30" t="s">
        <v>10638</v>
      </c>
      <c r="C8415" s="29" t="s">
        <v>24741</v>
      </c>
      <c r="D8415" s="29" t="s">
        <v>38045</v>
      </c>
      <c r="E8415" s="29" t="s">
        <v>50203</v>
      </c>
      <c r="F8415" s="36" t="s">
        <v>54407</v>
      </c>
      <c r="G8415" s="39">
        <v>1139379.56</v>
      </c>
      <c r="H8415" s="42">
        <v>211</v>
      </c>
    </row>
    <row r="8416" spans="1:8" ht="15" customHeight="1">
      <c r="A8416" s="26">
        <v>826001767</v>
      </c>
      <c r="B8416" s="30" t="s">
        <v>10639</v>
      </c>
      <c r="C8416" s="29" t="s">
        <v>24742</v>
      </c>
      <c r="D8416" s="29" t="s">
        <v>38046</v>
      </c>
      <c r="E8416" s="29" t="s">
        <v>50204</v>
      </c>
      <c r="F8416" s="36" t="s">
        <v>54401</v>
      </c>
      <c r="G8416" s="39">
        <v>27544.54</v>
      </c>
      <c r="H8416" s="42">
        <v>211</v>
      </c>
    </row>
    <row r="8417" spans="1:8" ht="15" customHeight="1">
      <c r="A8417" s="26">
        <v>826002077</v>
      </c>
      <c r="B8417" s="30" t="s">
        <v>10640</v>
      </c>
      <c r="C8417" s="29" t="s">
        <v>24743</v>
      </c>
      <c r="D8417" s="29" t="s">
        <v>38047</v>
      </c>
      <c r="E8417" s="29" t="s">
        <v>48950</v>
      </c>
      <c r="F8417" s="36" t="s">
        <v>54401</v>
      </c>
      <c r="G8417" s="39">
        <v>600000</v>
      </c>
      <c r="H8417" s="42">
        <v>211</v>
      </c>
    </row>
    <row r="8418" spans="1:8" ht="15" customHeight="1">
      <c r="A8418" s="26">
        <v>826002093</v>
      </c>
      <c r="B8418" s="30" t="s">
        <v>10641</v>
      </c>
      <c r="C8418" s="29" t="s">
        <v>24744</v>
      </c>
      <c r="D8418" s="29" t="s">
        <v>38048</v>
      </c>
      <c r="E8418" s="29" t="s">
        <v>50205</v>
      </c>
      <c r="F8418" s="36" t="s">
        <v>54401</v>
      </c>
      <c r="G8418" s="39">
        <v>258517.5</v>
      </c>
      <c r="H8418" s="42">
        <v>211</v>
      </c>
    </row>
    <row r="8419" spans="1:8" ht="15" customHeight="1">
      <c r="A8419" s="26">
        <v>826002153</v>
      </c>
      <c r="B8419" s="30" t="s">
        <v>10642</v>
      </c>
      <c r="C8419" s="29" t="s">
        <v>24745</v>
      </c>
      <c r="D8419" s="29" t="s">
        <v>38049</v>
      </c>
      <c r="E8419" s="29" t="s">
        <v>50206</v>
      </c>
      <c r="F8419" s="36" t="s">
        <v>54401</v>
      </c>
      <c r="G8419" s="39">
        <v>636678.81999999995</v>
      </c>
      <c r="H8419" s="42">
        <v>211</v>
      </c>
    </row>
    <row r="8420" spans="1:8" ht="15" customHeight="1">
      <c r="A8420" s="26">
        <v>826002187</v>
      </c>
      <c r="B8420" s="30" t="s">
        <v>10643</v>
      </c>
      <c r="C8420" s="29" t="s">
        <v>24746</v>
      </c>
      <c r="D8420" s="29" t="s">
        <v>38050</v>
      </c>
      <c r="E8420" s="29" t="s">
        <v>50207</v>
      </c>
      <c r="F8420" s="36" t="s">
        <v>54401</v>
      </c>
      <c r="G8420" s="39">
        <v>761497.33</v>
      </c>
      <c r="H8420" s="42">
        <v>211</v>
      </c>
    </row>
    <row r="8421" spans="1:8" ht="15" customHeight="1">
      <c r="A8421" s="26">
        <v>826002227</v>
      </c>
      <c r="B8421" s="30" t="s">
        <v>10644</v>
      </c>
      <c r="C8421" s="29" t="s">
        <v>24747</v>
      </c>
      <c r="D8421" s="29" t="s">
        <v>38051</v>
      </c>
      <c r="E8421" s="29" t="s">
        <v>45009</v>
      </c>
      <c r="F8421" s="36" t="s">
        <v>54401</v>
      </c>
      <c r="G8421" s="39">
        <f>911783.81+306086</f>
        <v>1217869.81</v>
      </c>
      <c r="H8421" s="42">
        <v>211</v>
      </c>
    </row>
    <row r="8422" spans="1:8" ht="15" customHeight="1">
      <c r="A8422" s="26">
        <v>826002299</v>
      </c>
      <c r="B8422" s="30" t="s">
        <v>10645</v>
      </c>
      <c r="C8422" s="29" t="s">
        <v>24748</v>
      </c>
      <c r="D8422" s="29" t="s">
        <v>38052</v>
      </c>
      <c r="E8422" s="29" t="s">
        <v>50149</v>
      </c>
      <c r="F8422" s="36" t="s">
        <v>54401</v>
      </c>
      <c r="G8422" s="39">
        <v>112941.18</v>
      </c>
      <c r="H8422" s="42">
        <v>211</v>
      </c>
    </row>
    <row r="8423" spans="1:8" ht="15" customHeight="1">
      <c r="A8423" s="26">
        <v>826002341</v>
      </c>
      <c r="B8423" s="30" t="s">
        <v>10646</v>
      </c>
      <c r="C8423" s="29" t="s">
        <v>24749</v>
      </c>
      <c r="D8423" s="29" t="s">
        <v>38053</v>
      </c>
      <c r="E8423" s="29" t="s">
        <v>50208</v>
      </c>
      <c r="F8423" s="36" t="s">
        <v>54401</v>
      </c>
      <c r="G8423" s="39">
        <v>122571.43</v>
      </c>
      <c r="H8423" s="42">
        <v>211</v>
      </c>
    </row>
    <row r="8424" spans="1:8" ht="15" customHeight="1">
      <c r="A8424" s="26">
        <v>826002426</v>
      </c>
      <c r="B8424" s="30" t="s">
        <v>10647</v>
      </c>
      <c r="C8424" s="29" t="s">
        <v>24750</v>
      </c>
      <c r="D8424" s="29" t="s">
        <v>38054</v>
      </c>
      <c r="E8424" s="29" t="s">
        <v>44769</v>
      </c>
      <c r="F8424" s="36" t="s">
        <v>54401</v>
      </c>
      <c r="G8424" s="39">
        <v>800000</v>
      </c>
      <c r="H8424" s="42">
        <v>211</v>
      </c>
    </row>
    <row r="8425" spans="1:8" ht="15" customHeight="1">
      <c r="A8425" s="26">
        <v>826002513</v>
      </c>
      <c r="B8425" s="30" t="s">
        <v>10648</v>
      </c>
      <c r="C8425" s="29" t="s">
        <v>24751</v>
      </c>
      <c r="D8425" s="29" t="s">
        <v>38055</v>
      </c>
      <c r="E8425" s="29" t="s">
        <v>50209</v>
      </c>
      <c r="F8425" s="36" t="s">
        <v>54401</v>
      </c>
      <c r="G8425" s="39">
        <f>151487.38+1043443</f>
        <v>1194930.3799999999</v>
      </c>
      <c r="H8425" s="42">
        <v>211</v>
      </c>
    </row>
    <row r="8426" spans="1:8" ht="15" customHeight="1">
      <c r="A8426" s="26">
        <v>826002865</v>
      </c>
      <c r="B8426" s="30" t="s">
        <v>10649</v>
      </c>
      <c r="C8426" s="29" t="s">
        <v>18618</v>
      </c>
      <c r="D8426" s="29" t="s">
        <v>38056</v>
      </c>
      <c r="E8426" s="29" t="s">
        <v>50210</v>
      </c>
      <c r="F8426" s="36" t="s">
        <v>54401</v>
      </c>
      <c r="G8426" s="39">
        <v>519023.52</v>
      </c>
      <c r="H8426" s="42">
        <v>211</v>
      </c>
    </row>
    <row r="8427" spans="1:8" ht="15" customHeight="1">
      <c r="A8427" s="26">
        <v>826002932</v>
      </c>
      <c r="B8427" s="30" t="s">
        <v>10650</v>
      </c>
      <c r="C8427" s="29" t="s">
        <v>24752</v>
      </c>
      <c r="D8427" s="29" t="s">
        <v>38057</v>
      </c>
      <c r="E8427" s="29" t="s">
        <v>50211</v>
      </c>
      <c r="F8427" s="36" t="s">
        <v>54414</v>
      </c>
      <c r="G8427" s="39">
        <v>226287.95</v>
      </c>
      <c r="H8427" s="42">
        <v>211</v>
      </c>
    </row>
    <row r="8428" spans="1:8" ht="15" customHeight="1">
      <c r="A8428" s="26">
        <v>826003129</v>
      </c>
      <c r="B8428" s="30" t="s">
        <v>10651</v>
      </c>
      <c r="C8428" s="29" t="s">
        <v>24753</v>
      </c>
      <c r="D8428" s="29" t="s">
        <v>38058</v>
      </c>
      <c r="E8428" s="29" t="s">
        <v>50212</v>
      </c>
      <c r="F8428" s="36" t="s">
        <v>54401</v>
      </c>
      <c r="G8428" s="39">
        <v>25546.22</v>
      </c>
      <c r="H8428" s="42">
        <v>211</v>
      </c>
    </row>
    <row r="8429" spans="1:8" ht="15" customHeight="1">
      <c r="A8429" s="26">
        <v>826003219</v>
      </c>
      <c r="B8429" s="30" t="s">
        <v>10652</v>
      </c>
      <c r="C8429" s="29" t="s">
        <v>24754</v>
      </c>
      <c r="D8429" s="29" t="s">
        <v>38059</v>
      </c>
      <c r="E8429" s="29" t="s">
        <v>46092</v>
      </c>
      <c r="F8429" s="36" t="s">
        <v>54401</v>
      </c>
      <c r="G8429" s="39">
        <f>4528518.31+12177+2005345+884601</f>
        <v>7430641.3099999996</v>
      </c>
      <c r="H8429" s="42">
        <v>211</v>
      </c>
    </row>
    <row r="8430" spans="1:8" ht="15" customHeight="1">
      <c r="A8430" s="26">
        <v>826003325</v>
      </c>
      <c r="B8430" s="30" t="s">
        <v>10653</v>
      </c>
      <c r="C8430" s="29" t="s">
        <v>24755</v>
      </c>
      <c r="D8430" s="29" t="s">
        <v>38060</v>
      </c>
      <c r="E8430" s="29" t="s">
        <v>50213</v>
      </c>
      <c r="F8430" s="36" t="s">
        <v>54401</v>
      </c>
      <c r="G8430" s="39">
        <f>1305064.67+100815</f>
        <v>1405879.67</v>
      </c>
      <c r="H8430" s="42">
        <v>211</v>
      </c>
    </row>
    <row r="8431" spans="1:8" ht="15" customHeight="1">
      <c r="A8431" s="26">
        <v>826003334</v>
      </c>
      <c r="B8431" s="30" t="s">
        <v>10654</v>
      </c>
      <c r="C8431" s="29" t="s">
        <v>24756</v>
      </c>
      <c r="D8431" s="29" t="s">
        <v>38061</v>
      </c>
      <c r="E8431" s="29" t="s">
        <v>50214</v>
      </c>
      <c r="F8431" s="36" t="s">
        <v>54406</v>
      </c>
      <c r="G8431" s="39">
        <v>9153963.2899999991</v>
      </c>
      <c r="H8431" s="42">
        <v>211</v>
      </c>
    </row>
    <row r="8432" spans="1:8" ht="15" customHeight="1">
      <c r="A8432" s="26">
        <v>826003448</v>
      </c>
      <c r="B8432" s="30" t="s">
        <v>10655</v>
      </c>
      <c r="C8432" s="29" t="s">
        <v>21785</v>
      </c>
      <c r="D8432" s="29" t="s">
        <v>38062</v>
      </c>
      <c r="E8432" s="29" t="s">
        <v>50215</v>
      </c>
      <c r="F8432" s="36" t="s">
        <v>54401</v>
      </c>
      <c r="G8432" s="39">
        <v>70634.100000000006</v>
      </c>
      <c r="H8432" s="42">
        <v>211</v>
      </c>
    </row>
    <row r="8433" spans="1:8" ht="15" customHeight="1">
      <c r="A8433" s="26">
        <v>826003482</v>
      </c>
      <c r="B8433" s="30" t="s">
        <v>10656</v>
      </c>
      <c r="C8433" s="29" t="s">
        <v>24757</v>
      </c>
      <c r="D8433" s="29" t="s">
        <v>38063</v>
      </c>
      <c r="E8433" s="29" t="s">
        <v>50216</v>
      </c>
      <c r="F8433" s="36" t="s">
        <v>54401</v>
      </c>
      <c r="G8433" s="39">
        <f>11072972.14+91764</f>
        <v>11164736.140000001</v>
      </c>
      <c r="H8433" s="42">
        <v>211</v>
      </c>
    </row>
    <row r="8434" spans="1:8" ht="15" customHeight="1">
      <c r="A8434" s="26">
        <v>826003517</v>
      </c>
      <c r="B8434" s="30" t="s">
        <v>10657</v>
      </c>
      <c r="C8434" s="29" t="s">
        <v>24758</v>
      </c>
      <c r="D8434" s="29" t="s">
        <v>35859</v>
      </c>
      <c r="E8434" s="29" t="s">
        <v>50217</v>
      </c>
      <c r="F8434" s="36" t="s">
        <v>54401</v>
      </c>
      <c r="G8434" s="39">
        <v>26630.26</v>
      </c>
      <c r="H8434" s="42">
        <v>211</v>
      </c>
    </row>
    <row r="8435" spans="1:8" ht="15" customHeight="1">
      <c r="A8435" s="26">
        <v>826003638</v>
      </c>
      <c r="B8435" s="30" t="s">
        <v>10658</v>
      </c>
      <c r="C8435" s="29" t="s">
        <v>20853</v>
      </c>
      <c r="D8435" s="29" t="s">
        <v>38064</v>
      </c>
      <c r="E8435" s="29" t="s">
        <v>50218</v>
      </c>
      <c r="F8435" s="36" t="s">
        <v>54401</v>
      </c>
      <c r="G8435" s="39">
        <v>1875719.24</v>
      </c>
      <c r="H8435" s="42">
        <v>211</v>
      </c>
    </row>
    <row r="8436" spans="1:8" ht="15" customHeight="1">
      <c r="A8436" s="26">
        <v>826003649</v>
      </c>
      <c r="B8436" s="30" t="s">
        <v>10659</v>
      </c>
      <c r="C8436" s="29" t="s">
        <v>24759</v>
      </c>
      <c r="D8436" s="29" t="s">
        <v>38065</v>
      </c>
      <c r="E8436" s="29" t="s">
        <v>50219</v>
      </c>
      <c r="F8436" s="36" t="s">
        <v>54401</v>
      </c>
      <c r="G8436" s="39">
        <f>889665.15+310826+118168</f>
        <v>1318659.1499999999</v>
      </c>
      <c r="H8436" s="42">
        <v>211</v>
      </c>
    </row>
    <row r="8437" spans="1:8" ht="15" customHeight="1">
      <c r="A8437" s="26">
        <v>826003672</v>
      </c>
      <c r="B8437" s="30" t="s">
        <v>10660</v>
      </c>
      <c r="C8437" s="29" t="s">
        <v>24760</v>
      </c>
      <c r="D8437" s="29" t="s">
        <v>38066</v>
      </c>
      <c r="E8437" s="29" t="s">
        <v>50220</v>
      </c>
      <c r="F8437" s="36" t="s">
        <v>54401</v>
      </c>
      <c r="G8437" s="39">
        <v>150998.32999999999</v>
      </c>
      <c r="H8437" s="42">
        <v>211</v>
      </c>
    </row>
    <row r="8438" spans="1:8" ht="15" customHeight="1">
      <c r="A8438" s="26">
        <v>826003710</v>
      </c>
      <c r="B8438" s="30" t="s">
        <v>10661</v>
      </c>
      <c r="C8438" s="29" t="s">
        <v>24761</v>
      </c>
      <c r="D8438" s="29" t="s">
        <v>38067</v>
      </c>
      <c r="E8438" s="29" t="s">
        <v>50221</v>
      </c>
      <c r="F8438" s="36" t="s">
        <v>54401</v>
      </c>
      <c r="G8438" s="39">
        <v>3084266.78</v>
      </c>
      <c r="H8438" s="42">
        <v>211</v>
      </c>
    </row>
    <row r="8439" spans="1:8" ht="15" customHeight="1">
      <c r="A8439" s="26">
        <v>826003781</v>
      </c>
      <c r="B8439" s="30" t="s">
        <v>10662</v>
      </c>
      <c r="C8439" s="29" t="s">
        <v>24762</v>
      </c>
      <c r="D8439" s="29" t="s">
        <v>38068</v>
      </c>
      <c r="E8439" s="29" t="s">
        <v>46207</v>
      </c>
      <c r="F8439" s="36" t="s">
        <v>54401</v>
      </c>
      <c r="G8439" s="39">
        <v>700000</v>
      </c>
      <c r="H8439" s="42">
        <v>211</v>
      </c>
    </row>
    <row r="8440" spans="1:8" ht="15" customHeight="1">
      <c r="A8440" s="26">
        <v>826003858</v>
      </c>
      <c r="B8440" s="30" t="s">
        <v>10663</v>
      </c>
      <c r="C8440" s="29" t="s">
        <v>24763</v>
      </c>
      <c r="D8440" s="29" t="s">
        <v>38069</v>
      </c>
      <c r="E8440" s="29" t="s">
        <v>50222</v>
      </c>
      <c r="F8440" s="36" t="s">
        <v>54401</v>
      </c>
      <c r="G8440" s="39">
        <f>1857072.6+106310</f>
        <v>1963382.6</v>
      </c>
      <c r="H8440" s="42">
        <v>211</v>
      </c>
    </row>
    <row r="8441" spans="1:8" ht="15" customHeight="1">
      <c r="A8441" s="26">
        <v>826003867</v>
      </c>
      <c r="B8441" s="30" t="s">
        <v>10664</v>
      </c>
      <c r="C8441" s="29" t="s">
        <v>24764</v>
      </c>
      <c r="D8441" s="29" t="s">
        <v>38070</v>
      </c>
      <c r="E8441" s="29" t="s">
        <v>45295</v>
      </c>
      <c r="F8441" s="36" t="s">
        <v>54401</v>
      </c>
      <c r="G8441" s="39">
        <v>350000</v>
      </c>
      <c r="H8441" s="42">
        <v>211</v>
      </c>
    </row>
    <row r="8442" spans="1:8" ht="15" customHeight="1">
      <c r="A8442" s="26">
        <v>826003926</v>
      </c>
      <c r="B8442" s="30" t="s">
        <v>10665</v>
      </c>
      <c r="C8442" s="29" t="s">
        <v>24765</v>
      </c>
      <c r="D8442" s="29" t="s">
        <v>38071</v>
      </c>
      <c r="E8442" s="29" t="s">
        <v>50223</v>
      </c>
      <c r="F8442" s="36" t="s">
        <v>54401</v>
      </c>
      <c r="G8442" s="39">
        <v>103768.62</v>
      </c>
      <c r="H8442" s="42">
        <v>211</v>
      </c>
    </row>
    <row r="8443" spans="1:8" ht="15" customHeight="1">
      <c r="A8443" s="26">
        <v>826003942</v>
      </c>
      <c r="B8443" s="30" t="s">
        <v>10666</v>
      </c>
      <c r="C8443" s="29" t="s">
        <v>24766</v>
      </c>
      <c r="D8443" s="29" t="s">
        <v>38072</v>
      </c>
      <c r="E8443" s="29" t="s">
        <v>50224</v>
      </c>
      <c r="F8443" s="36" t="s">
        <v>54401</v>
      </c>
      <c r="G8443" s="39">
        <f>152070.82+1567262</f>
        <v>1719332.82</v>
      </c>
      <c r="H8443" s="42">
        <v>211</v>
      </c>
    </row>
    <row r="8444" spans="1:8" ht="15" customHeight="1">
      <c r="A8444" s="26">
        <v>826005176</v>
      </c>
      <c r="B8444" s="30" t="s">
        <v>10667</v>
      </c>
      <c r="C8444" s="29" t="s">
        <v>24758</v>
      </c>
      <c r="D8444" s="29" t="s">
        <v>38073</v>
      </c>
      <c r="E8444" s="29" t="s">
        <v>50225</v>
      </c>
      <c r="F8444" s="36" t="s">
        <v>54401</v>
      </c>
      <c r="G8444" s="39">
        <v>21722.7</v>
      </c>
      <c r="H8444" s="42">
        <v>211</v>
      </c>
    </row>
    <row r="8445" spans="1:8" ht="15" customHeight="1">
      <c r="A8445" s="26">
        <v>828002423</v>
      </c>
      <c r="B8445" s="30" t="s">
        <v>10668</v>
      </c>
      <c r="C8445" s="29" t="s">
        <v>17204</v>
      </c>
      <c r="D8445" s="29" t="s">
        <v>38074</v>
      </c>
      <c r="E8445" s="29" t="s">
        <v>50226</v>
      </c>
      <c r="F8445" s="36" t="s">
        <v>54412</v>
      </c>
      <c r="G8445" s="39">
        <v>4764.71</v>
      </c>
      <c r="H8445" s="42">
        <v>211</v>
      </c>
    </row>
    <row r="8446" spans="1:8" ht="15" customHeight="1">
      <c r="A8446" s="26">
        <v>829000323</v>
      </c>
      <c r="B8446" s="30" t="s">
        <v>10669</v>
      </c>
      <c r="C8446" s="29" t="s">
        <v>18341</v>
      </c>
      <c r="D8446" s="29" t="s">
        <v>38075</v>
      </c>
      <c r="E8446" s="29" t="s">
        <v>50227</v>
      </c>
      <c r="F8446" s="36" t="s">
        <v>54412</v>
      </c>
      <c r="G8446" s="39">
        <f>22491669.02+20932+263390+25568</f>
        <v>22801559.02</v>
      </c>
      <c r="H8446" s="42">
        <v>211</v>
      </c>
    </row>
    <row r="8447" spans="1:8" ht="15" customHeight="1">
      <c r="A8447" s="26">
        <v>830002366</v>
      </c>
      <c r="B8447" s="30" t="s">
        <v>10670</v>
      </c>
      <c r="C8447" s="29" t="s">
        <v>24767</v>
      </c>
      <c r="D8447" s="29" t="s">
        <v>38076</v>
      </c>
      <c r="E8447" s="29" t="s">
        <v>50228</v>
      </c>
      <c r="F8447" s="36" t="s">
        <v>54401</v>
      </c>
      <c r="G8447" s="39">
        <v>42537.8</v>
      </c>
      <c r="H8447" s="42">
        <v>211</v>
      </c>
    </row>
    <row r="8448" spans="1:8" ht="15" customHeight="1">
      <c r="A8448" s="27">
        <v>830003564</v>
      </c>
      <c r="B8448" s="26" t="s">
        <v>10671</v>
      </c>
      <c r="C8448" s="32"/>
      <c r="D8448" s="32"/>
      <c r="E8448" s="26" t="s">
        <v>731</v>
      </c>
      <c r="F8448" s="26" t="s">
        <v>731</v>
      </c>
      <c r="G8448" s="41">
        <v>17117099</v>
      </c>
      <c r="H8448" s="26">
        <v>901</v>
      </c>
    </row>
    <row r="8449" spans="1:8" ht="15" customHeight="1">
      <c r="A8449" s="26">
        <v>830005216</v>
      </c>
      <c r="B8449" s="30" t="s">
        <v>10672</v>
      </c>
      <c r="C8449" s="29" t="s">
        <v>24768</v>
      </c>
      <c r="D8449" s="29" t="s">
        <v>38077</v>
      </c>
      <c r="E8449" s="29" t="s">
        <v>50229</v>
      </c>
      <c r="F8449" s="36" t="s">
        <v>54401</v>
      </c>
      <c r="G8449" s="39">
        <v>8246722.6699999999</v>
      </c>
      <c r="H8449" s="42">
        <v>211</v>
      </c>
    </row>
    <row r="8450" spans="1:8" ht="15" customHeight="1">
      <c r="A8450" s="26">
        <v>830013717</v>
      </c>
      <c r="B8450" s="30" t="s">
        <v>10673</v>
      </c>
      <c r="C8450" s="26" t="s">
        <v>17204</v>
      </c>
      <c r="D8450" s="26" t="s">
        <v>38078</v>
      </c>
      <c r="E8450" s="26" t="s">
        <v>50230</v>
      </c>
      <c r="F8450" s="37" t="s">
        <v>54412</v>
      </c>
      <c r="G8450" s="39">
        <v>367998.01</v>
      </c>
      <c r="H8450" s="42">
        <v>211</v>
      </c>
    </row>
    <row r="8451" spans="1:8" ht="15" customHeight="1">
      <c r="A8451" s="26">
        <v>830016128</v>
      </c>
      <c r="B8451" s="30" t="s">
        <v>10674</v>
      </c>
      <c r="C8451" s="29" t="s">
        <v>17204</v>
      </c>
      <c r="D8451" s="29" t="s">
        <v>38079</v>
      </c>
      <c r="E8451" s="29" t="s">
        <v>50231</v>
      </c>
      <c r="F8451" s="36" t="s">
        <v>54401</v>
      </c>
      <c r="G8451" s="39">
        <v>42168.07</v>
      </c>
      <c r="H8451" s="42">
        <v>211</v>
      </c>
    </row>
    <row r="8452" spans="1:8" ht="15" customHeight="1">
      <c r="A8452" s="26">
        <v>830039854</v>
      </c>
      <c r="B8452" s="30" t="s">
        <v>10675</v>
      </c>
      <c r="C8452" s="29" t="s">
        <v>24769</v>
      </c>
      <c r="D8452" s="29" t="s">
        <v>38080</v>
      </c>
      <c r="E8452" s="29" t="s">
        <v>50232</v>
      </c>
      <c r="F8452" s="36" t="s">
        <v>54401</v>
      </c>
      <c r="G8452" s="39">
        <v>24000</v>
      </c>
      <c r="H8452" s="42">
        <v>211</v>
      </c>
    </row>
    <row r="8453" spans="1:8" ht="15" customHeight="1">
      <c r="A8453" s="26">
        <v>830051740</v>
      </c>
      <c r="B8453" s="30" t="s">
        <v>10676</v>
      </c>
      <c r="C8453" s="29" t="s">
        <v>24770</v>
      </c>
      <c r="D8453" s="29" t="s">
        <v>38081</v>
      </c>
      <c r="E8453" s="29" t="s">
        <v>50233</v>
      </c>
      <c r="F8453" s="36" t="s">
        <v>54412</v>
      </c>
      <c r="G8453" s="39">
        <v>1132586.55</v>
      </c>
      <c r="H8453" s="42">
        <v>211</v>
      </c>
    </row>
    <row r="8454" spans="1:8" ht="15" customHeight="1">
      <c r="A8454" s="26">
        <v>830054041</v>
      </c>
      <c r="B8454" s="30" t="s">
        <v>10677</v>
      </c>
      <c r="C8454" s="29" t="s">
        <v>24771</v>
      </c>
      <c r="D8454" s="29" t="s">
        <v>38082</v>
      </c>
      <c r="E8454" s="29" t="s">
        <v>50234</v>
      </c>
      <c r="F8454" s="36" t="s">
        <v>54412</v>
      </c>
      <c r="G8454" s="39">
        <v>1456064.54</v>
      </c>
      <c r="H8454" s="42">
        <v>211</v>
      </c>
    </row>
    <row r="8455" spans="1:8" ht="15" customHeight="1">
      <c r="A8455" s="26">
        <v>830063800</v>
      </c>
      <c r="B8455" s="30" t="s">
        <v>10678</v>
      </c>
      <c r="C8455" s="29" t="s">
        <v>24772</v>
      </c>
      <c r="D8455" s="29" t="s">
        <v>38083</v>
      </c>
      <c r="E8455" s="29" t="s">
        <v>50235</v>
      </c>
      <c r="F8455" s="36" t="s">
        <v>54463</v>
      </c>
      <c r="G8455" s="39">
        <f>4725673.199+1183493+12829</f>
        <v>5921995.199</v>
      </c>
      <c r="H8455" s="42">
        <v>211</v>
      </c>
    </row>
    <row r="8456" spans="1:8" ht="15" customHeight="1">
      <c r="A8456" s="26">
        <v>830066015</v>
      </c>
      <c r="B8456" s="30" t="s">
        <v>10679</v>
      </c>
      <c r="C8456" s="29" t="s">
        <v>24773</v>
      </c>
      <c r="D8456" s="29" t="s">
        <v>38084</v>
      </c>
      <c r="E8456" s="29" t="s">
        <v>50236</v>
      </c>
      <c r="F8456" s="36" t="s">
        <v>54412</v>
      </c>
      <c r="G8456" s="39">
        <v>1627368.92</v>
      </c>
      <c r="H8456" s="42">
        <v>211</v>
      </c>
    </row>
    <row r="8457" spans="1:8" ht="15" customHeight="1">
      <c r="A8457" s="26">
        <v>830066257</v>
      </c>
      <c r="B8457" s="30" t="s">
        <v>10680</v>
      </c>
      <c r="C8457" s="29" t="s">
        <v>24774</v>
      </c>
      <c r="D8457" s="29" t="s">
        <v>38085</v>
      </c>
      <c r="E8457" s="29" t="s">
        <v>50237</v>
      </c>
      <c r="F8457" s="36" t="s">
        <v>54412</v>
      </c>
      <c r="G8457" s="39">
        <v>502969.38</v>
      </c>
      <c r="H8457" s="42">
        <v>211</v>
      </c>
    </row>
    <row r="8458" spans="1:8" ht="15" customHeight="1">
      <c r="A8458" s="26">
        <v>830073822</v>
      </c>
      <c r="B8458" s="30" t="s">
        <v>10681</v>
      </c>
      <c r="C8458" s="29" t="s">
        <v>24775</v>
      </c>
      <c r="D8458" s="29" t="s">
        <v>38086</v>
      </c>
      <c r="E8458" s="29" t="s">
        <v>50238</v>
      </c>
      <c r="F8458" s="36" t="s">
        <v>54412</v>
      </c>
      <c r="G8458" s="39">
        <v>4291714.28</v>
      </c>
      <c r="H8458" s="42">
        <v>211</v>
      </c>
    </row>
    <row r="8459" spans="1:8" ht="15" customHeight="1">
      <c r="A8459" s="26">
        <v>830092461</v>
      </c>
      <c r="B8459" s="30" t="s">
        <v>10682</v>
      </c>
      <c r="C8459" s="29" t="s">
        <v>24776</v>
      </c>
      <c r="D8459" s="29" t="s">
        <v>38087</v>
      </c>
      <c r="E8459" s="29" t="s">
        <v>50239</v>
      </c>
      <c r="F8459" s="36" t="s">
        <v>54401</v>
      </c>
      <c r="G8459" s="39">
        <v>485275.59</v>
      </c>
      <c r="H8459" s="42">
        <v>211</v>
      </c>
    </row>
    <row r="8460" spans="1:8" ht="15" customHeight="1">
      <c r="A8460" s="26">
        <v>830099869</v>
      </c>
      <c r="B8460" s="30" t="s">
        <v>10683</v>
      </c>
      <c r="C8460" s="29" t="s">
        <v>24777</v>
      </c>
      <c r="D8460" s="29" t="s">
        <v>38088</v>
      </c>
      <c r="E8460" s="29" t="s">
        <v>50240</v>
      </c>
      <c r="F8460" s="36" t="s">
        <v>54401</v>
      </c>
      <c r="G8460" s="39">
        <f>891656.5+171170</f>
        <v>1062826.5</v>
      </c>
      <c r="H8460" s="42">
        <v>211</v>
      </c>
    </row>
    <row r="8461" spans="1:8" ht="15" customHeight="1">
      <c r="A8461" s="26">
        <v>830102646</v>
      </c>
      <c r="B8461" s="30" t="s">
        <v>10684</v>
      </c>
      <c r="C8461" s="29" t="s">
        <v>24778</v>
      </c>
      <c r="D8461" s="29" t="s">
        <v>38089</v>
      </c>
      <c r="E8461" s="29" t="s">
        <v>50241</v>
      </c>
      <c r="F8461" s="36" t="s">
        <v>54401</v>
      </c>
      <c r="G8461" s="39">
        <v>149075.64000000001</v>
      </c>
      <c r="H8461" s="42">
        <v>211</v>
      </c>
    </row>
    <row r="8462" spans="1:8" ht="15" customHeight="1">
      <c r="A8462" s="26">
        <v>830106126</v>
      </c>
      <c r="B8462" s="30" t="s">
        <v>10685</v>
      </c>
      <c r="C8462" s="29" t="s">
        <v>24779</v>
      </c>
      <c r="D8462" s="29" t="s">
        <v>38090</v>
      </c>
      <c r="E8462" s="29" t="s">
        <v>50242</v>
      </c>
      <c r="F8462" s="36" t="s">
        <v>54464</v>
      </c>
      <c r="G8462" s="39">
        <v>10453.780000000001</v>
      </c>
      <c r="H8462" s="42">
        <v>211</v>
      </c>
    </row>
    <row r="8463" spans="1:8" ht="15" customHeight="1">
      <c r="A8463" s="26">
        <v>830116648</v>
      </c>
      <c r="B8463" s="30" t="s">
        <v>10686</v>
      </c>
      <c r="C8463" s="29" t="s">
        <v>24780</v>
      </c>
      <c r="D8463" s="29" t="s">
        <v>38091</v>
      </c>
      <c r="E8463" s="29" t="s">
        <v>50243</v>
      </c>
      <c r="F8463" s="36" t="s">
        <v>54412</v>
      </c>
      <c r="G8463" s="39">
        <f>6701003.55+67087+84975+278127</f>
        <v>7131192.5499999998</v>
      </c>
      <c r="H8463" s="42">
        <v>211</v>
      </c>
    </row>
    <row r="8464" spans="1:8" ht="15" customHeight="1">
      <c r="A8464" s="26">
        <v>830118667</v>
      </c>
      <c r="B8464" s="30" t="s">
        <v>10687</v>
      </c>
      <c r="C8464" s="29" t="s">
        <v>24781</v>
      </c>
      <c r="D8464" s="29" t="s">
        <v>38092</v>
      </c>
      <c r="E8464" s="29" t="s">
        <v>50244</v>
      </c>
      <c r="F8464" s="36" t="s">
        <v>54401</v>
      </c>
      <c r="G8464" s="39">
        <f>1263791.32+13630</f>
        <v>1277421.32</v>
      </c>
      <c r="H8464" s="42">
        <v>211</v>
      </c>
    </row>
    <row r="8465" spans="1:8" ht="15" customHeight="1">
      <c r="A8465" s="26">
        <v>830125789</v>
      </c>
      <c r="B8465" s="30" t="s">
        <v>10688</v>
      </c>
      <c r="C8465" s="29" t="s">
        <v>17204</v>
      </c>
      <c r="D8465" s="29" t="s">
        <v>38093</v>
      </c>
      <c r="E8465" s="29" t="s">
        <v>43926</v>
      </c>
      <c r="F8465" s="36" t="s">
        <v>54401</v>
      </c>
      <c r="G8465" s="39">
        <v>788782.38</v>
      </c>
      <c r="H8465" s="42">
        <v>211</v>
      </c>
    </row>
    <row r="8466" spans="1:8" ht="15" customHeight="1">
      <c r="A8466" s="26">
        <v>830128700</v>
      </c>
      <c r="B8466" s="30" t="s">
        <v>10689</v>
      </c>
      <c r="C8466" s="26" t="s">
        <v>24782</v>
      </c>
      <c r="D8466" s="26" t="s">
        <v>38094</v>
      </c>
      <c r="E8466" s="26" t="s">
        <v>50245</v>
      </c>
      <c r="F8466" s="37" t="s">
        <v>54401</v>
      </c>
      <c r="G8466" s="39">
        <v>22000</v>
      </c>
      <c r="H8466" s="42">
        <v>211</v>
      </c>
    </row>
    <row r="8467" spans="1:8" ht="15" customHeight="1">
      <c r="A8467" s="26">
        <v>830507278</v>
      </c>
      <c r="B8467" s="30" t="s">
        <v>10690</v>
      </c>
      <c r="C8467" s="29" t="s">
        <v>24783</v>
      </c>
      <c r="D8467" s="29" t="s">
        <v>38095</v>
      </c>
      <c r="E8467" s="29" t="s">
        <v>50246</v>
      </c>
      <c r="F8467" s="36" t="s">
        <v>54412</v>
      </c>
      <c r="G8467" s="39">
        <v>9818578.1400000006</v>
      </c>
      <c r="H8467" s="42">
        <v>211</v>
      </c>
    </row>
    <row r="8468" spans="1:8" ht="15" customHeight="1">
      <c r="A8468" s="26">
        <v>830515372</v>
      </c>
      <c r="B8468" s="30" t="s">
        <v>10691</v>
      </c>
      <c r="C8468" s="29" t="s">
        <v>24784</v>
      </c>
      <c r="D8468" s="29" t="s">
        <v>38096</v>
      </c>
      <c r="E8468" s="29" t="s">
        <v>50247</v>
      </c>
      <c r="F8468" s="36" t="s">
        <v>54401</v>
      </c>
      <c r="G8468" s="39">
        <f>5481428.39+408330</f>
        <v>5889758.3899999997</v>
      </c>
      <c r="H8468" s="42">
        <v>211</v>
      </c>
    </row>
    <row r="8469" spans="1:8" ht="15" customHeight="1">
      <c r="A8469" s="26">
        <v>832002243</v>
      </c>
      <c r="B8469" s="30" t="s">
        <v>10692</v>
      </c>
      <c r="C8469" s="26" t="s">
        <v>24785</v>
      </c>
      <c r="D8469" s="26" t="s">
        <v>38097</v>
      </c>
      <c r="E8469" s="26" t="s">
        <v>50248</v>
      </c>
      <c r="F8469" s="37" t="s">
        <v>54412</v>
      </c>
      <c r="G8469" s="39">
        <v>368465.68</v>
      </c>
      <c r="H8469" s="42">
        <v>211</v>
      </c>
    </row>
    <row r="8470" spans="1:8" ht="15" customHeight="1">
      <c r="A8470" s="26">
        <v>860000261</v>
      </c>
      <c r="B8470" s="30" t="s">
        <v>10693</v>
      </c>
      <c r="C8470" s="29" t="s">
        <v>24786</v>
      </c>
      <c r="D8470" s="29" t="s">
        <v>38098</v>
      </c>
      <c r="E8470" s="29" t="s">
        <v>50249</v>
      </c>
      <c r="F8470" s="36" t="s">
        <v>54412</v>
      </c>
      <c r="G8470" s="39">
        <v>18505411.77</v>
      </c>
      <c r="H8470" s="42">
        <v>211</v>
      </c>
    </row>
    <row r="8471" spans="1:8" ht="15" customHeight="1">
      <c r="A8471" s="26">
        <v>860001307</v>
      </c>
      <c r="B8471" s="30" t="s">
        <v>10694</v>
      </c>
      <c r="C8471" s="29" t="s">
        <v>24787</v>
      </c>
      <c r="D8471" s="29" t="s">
        <v>38099</v>
      </c>
      <c r="E8471" s="29" t="s">
        <v>50250</v>
      </c>
      <c r="F8471" s="36" t="s">
        <v>54412</v>
      </c>
      <c r="G8471" s="39">
        <v>201680.67</v>
      </c>
      <c r="H8471" s="42">
        <v>211</v>
      </c>
    </row>
    <row r="8472" spans="1:8" ht="15" customHeight="1">
      <c r="A8472" s="26">
        <v>860001615</v>
      </c>
      <c r="B8472" s="30" t="s">
        <v>10695</v>
      </c>
      <c r="C8472" s="29" t="s">
        <v>24788</v>
      </c>
      <c r="D8472" s="29" t="s">
        <v>38100</v>
      </c>
      <c r="E8472" s="29" t="s">
        <v>50251</v>
      </c>
      <c r="F8472" s="36" t="s">
        <v>54401</v>
      </c>
      <c r="G8472" s="39">
        <v>98840.33</v>
      </c>
      <c r="H8472" s="42">
        <v>211</v>
      </c>
    </row>
    <row r="8473" spans="1:8" ht="15" customHeight="1">
      <c r="A8473" s="26">
        <v>860001697</v>
      </c>
      <c r="B8473" s="30" t="s">
        <v>10696</v>
      </c>
      <c r="C8473" s="29" t="s">
        <v>24789</v>
      </c>
      <c r="D8473" s="29" t="s">
        <v>38101</v>
      </c>
      <c r="E8473" s="29" t="s">
        <v>50252</v>
      </c>
      <c r="F8473" s="36" t="s">
        <v>54412</v>
      </c>
      <c r="G8473" s="39">
        <v>124350000</v>
      </c>
      <c r="H8473" s="42">
        <v>211</v>
      </c>
    </row>
    <row r="8474" spans="1:8" ht="15" customHeight="1">
      <c r="A8474" s="26">
        <v>860002130</v>
      </c>
      <c r="B8474" s="30" t="s">
        <v>10697</v>
      </c>
      <c r="C8474" s="29" t="s">
        <v>24790</v>
      </c>
      <c r="D8474" s="29" t="s">
        <v>38102</v>
      </c>
      <c r="E8474" s="29" t="s">
        <v>50253</v>
      </c>
      <c r="F8474" s="36" t="s">
        <v>54412</v>
      </c>
      <c r="G8474" s="39">
        <v>632731.09</v>
      </c>
      <c r="H8474" s="42">
        <v>211</v>
      </c>
    </row>
    <row r="8475" spans="1:8" ht="15" customHeight="1">
      <c r="A8475" s="26">
        <v>860002274</v>
      </c>
      <c r="B8475" s="30" t="s">
        <v>10698</v>
      </c>
      <c r="C8475" s="29" t="s">
        <v>24791</v>
      </c>
      <c r="D8475" s="29" t="s">
        <v>38103</v>
      </c>
      <c r="E8475" s="29" t="s">
        <v>50254</v>
      </c>
      <c r="F8475" s="36" t="s">
        <v>54412</v>
      </c>
      <c r="G8475" s="39">
        <v>78236959.680000007</v>
      </c>
      <c r="H8475" s="42">
        <v>211</v>
      </c>
    </row>
    <row r="8476" spans="1:8" ht="15" customHeight="1">
      <c r="A8476" s="26">
        <v>860002518</v>
      </c>
      <c r="B8476" s="30" t="s">
        <v>10699</v>
      </c>
      <c r="C8476" s="29" t="s">
        <v>24792</v>
      </c>
      <c r="D8476" s="29" t="s">
        <v>33997</v>
      </c>
      <c r="E8476" s="29" t="s">
        <v>50255</v>
      </c>
      <c r="F8476" s="36" t="s">
        <v>54412</v>
      </c>
      <c r="G8476" s="39">
        <v>355800857.13999999</v>
      </c>
      <c r="H8476" s="42">
        <v>211</v>
      </c>
    </row>
    <row r="8477" spans="1:8" ht="15" customHeight="1">
      <c r="A8477" s="27">
        <v>860003020</v>
      </c>
      <c r="B8477" s="26" t="s">
        <v>10700</v>
      </c>
      <c r="C8477" s="32"/>
      <c r="D8477" s="32"/>
      <c r="E8477" s="26"/>
      <c r="F8477" s="26" t="s">
        <v>731</v>
      </c>
      <c r="G8477" s="41">
        <v>373023000</v>
      </c>
      <c r="H8477" s="26">
        <v>4729</v>
      </c>
    </row>
    <row r="8478" spans="1:8" ht="15" customHeight="1">
      <c r="A8478" s="26">
        <v>860003981</v>
      </c>
      <c r="B8478" s="30" t="s">
        <v>10701</v>
      </c>
      <c r="C8478" s="29" t="s">
        <v>17204</v>
      </c>
      <c r="D8478" s="29" t="s">
        <v>38104</v>
      </c>
      <c r="E8478" s="29" t="s">
        <v>50256</v>
      </c>
      <c r="F8478" s="36" t="s">
        <v>54401</v>
      </c>
      <c r="G8478" s="39">
        <v>148758.66</v>
      </c>
      <c r="H8478" s="42">
        <v>211</v>
      </c>
    </row>
    <row r="8479" spans="1:8" ht="15" customHeight="1">
      <c r="A8479" s="26">
        <v>860004922</v>
      </c>
      <c r="B8479" s="30" t="s">
        <v>10702</v>
      </c>
      <c r="C8479" s="29" t="s">
        <v>24793</v>
      </c>
      <c r="D8479" s="29" t="s">
        <v>38105</v>
      </c>
      <c r="E8479" s="29" t="s">
        <v>50257</v>
      </c>
      <c r="F8479" s="36" t="s">
        <v>54422</v>
      </c>
      <c r="G8479" s="39">
        <v>1680.67</v>
      </c>
      <c r="H8479" s="42">
        <v>211</v>
      </c>
    </row>
    <row r="8480" spans="1:8" ht="15" customHeight="1">
      <c r="A8480" s="26">
        <v>860005068</v>
      </c>
      <c r="B8480" s="30" t="s">
        <v>10703</v>
      </c>
      <c r="C8480" s="29" t="s">
        <v>24794</v>
      </c>
      <c r="D8480" s="29" t="s">
        <v>38106</v>
      </c>
      <c r="E8480" s="29" t="s">
        <v>50258</v>
      </c>
      <c r="F8480" s="36" t="s">
        <v>54412</v>
      </c>
      <c r="G8480" s="39">
        <v>29000</v>
      </c>
      <c r="H8480" s="42">
        <v>211</v>
      </c>
    </row>
    <row r="8481" spans="1:8" ht="15" customHeight="1">
      <c r="A8481" s="26">
        <v>860005955</v>
      </c>
      <c r="B8481" s="30" t="s">
        <v>10704</v>
      </c>
      <c r="C8481" s="29" t="s">
        <v>24795</v>
      </c>
      <c r="D8481" s="29" t="s">
        <v>38107</v>
      </c>
      <c r="E8481" s="29" t="s">
        <v>50259</v>
      </c>
      <c r="F8481" s="36" t="s">
        <v>54401</v>
      </c>
      <c r="G8481" s="39">
        <v>84130.07</v>
      </c>
      <c r="H8481" s="42">
        <v>211</v>
      </c>
    </row>
    <row r="8482" spans="1:8" ht="15" customHeight="1">
      <c r="A8482" s="26">
        <v>860006745</v>
      </c>
      <c r="B8482" s="30" t="s">
        <v>10705</v>
      </c>
      <c r="C8482" s="29" t="s">
        <v>24796</v>
      </c>
      <c r="D8482" s="29" t="s">
        <v>38108</v>
      </c>
      <c r="E8482" s="29" t="s">
        <v>50260</v>
      </c>
      <c r="F8482" s="36" t="s">
        <v>54412</v>
      </c>
      <c r="G8482" s="39">
        <f>11105873.35+1137302</f>
        <v>12243175.35</v>
      </c>
      <c r="H8482" s="42">
        <v>211</v>
      </c>
    </row>
    <row r="8483" spans="1:8" ht="15" customHeight="1">
      <c r="A8483" s="26">
        <v>860007392</v>
      </c>
      <c r="B8483" s="30" t="s">
        <v>10706</v>
      </c>
      <c r="C8483" s="29" t="s">
        <v>24797</v>
      </c>
      <c r="D8483" s="29" t="s">
        <v>38109</v>
      </c>
      <c r="E8483" s="29" t="s">
        <v>50261</v>
      </c>
      <c r="F8483" s="36" t="s">
        <v>54412</v>
      </c>
      <c r="G8483" s="39">
        <v>510538.93</v>
      </c>
      <c r="H8483" s="42">
        <v>211</v>
      </c>
    </row>
    <row r="8484" spans="1:8" ht="15" customHeight="1">
      <c r="A8484" s="27">
        <v>860007738</v>
      </c>
      <c r="B8484" s="26" t="s">
        <v>10707</v>
      </c>
      <c r="C8484" s="32"/>
      <c r="D8484" s="32"/>
      <c r="E8484" s="26" t="s">
        <v>50262</v>
      </c>
      <c r="F8484" s="26" t="s">
        <v>715</v>
      </c>
      <c r="G8484" s="41">
        <v>1035829543</v>
      </c>
      <c r="H8484" s="26">
        <v>4729</v>
      </c>
    </row>
    <row r="8485" spans="1:8" ht="15" customHeight="1">
      <c r="A8485" s="26">
        <v>860007955</v>
      </c>
      <c r="B8485" s="30" t="s">
        <v>10708</v>
      </c>
      <c r="C8485" s="29" t="s">
        <v>24798</v>
      </c>
      <c r="D8485" s="29" t="s">
        <v>38110</v>
      </c>
      <c r="E8485" s="29" t="s">
        <v>50263</v>
      </c>
      <c r="F8485" s="36" t="s">
        <v>54412</v>
      </c>
      <c r="G8485" s="39">
        <f>292917267.23+76790+74424</f>
        <v>293068481.23000002</v>
      </c>
      <c r="H8485" s="42">
        <v>211</v>
      </c>
    </row>
    <row r="8486" spans="1:8" ht="15" customHeight="1">
      <c r="A8486" s="26">
        <v>860008010</v>
      </c>
      <c r="B8486" s="30" t="s">
        <v>10709</v>
      </c>
      <c r="C8486" s="29" t="s">
        <v>24799</v>
      </c>
      <c r="D8486" s="29" t="s">
        <v>38111</v>
      </c>
      <c r="E8486" s="29" t="s">
        <v>50264</v>
      </c>
      <c r="F8486" s="36" t="s">
        <v>54401</v>
      </c>
      <c r="G8486" s="39">
        <v>112631.39</v>
      </c>
      <c r="H8486" s="42">
        <v>211</v>
      </c>
    </row>
    <row r="8487" spans="1:8" ht="15" customHeight="1">
      <c r="A8487" s="26">
        <v>860011153</v>
      </c>
      <c r="B8487" s="30" t="s">
        <v>10710</v>
      </c>
      <c r="C8487" s="29" t="s">
        <v>24800</v>
      </c>
      <c r="D8487" s="29" t="s">
        <v>38112</v>
      </c>
      <c r="E8487" s="29" t="s">
        <v>50265</v>
      </c>
      <c r="F8487" s="36" t="s">
        <v>54412</v>
      </c>
      <c r="G8487" s="39">
        <f>200696.4+9920888</f>
        <v>10121584.4</v>
      </c>
      <c r="H8487" s="42">
        <v>211</v>
      </c>
    </row>
    <row r="8488" spans="1:8" ht="15" customHeight="1">
      <c r="A8488" s="26">
        <v>860011228</v>
      </c>
      <c r="B8488" s="30" t="s">
        <v>10711</v>
      </c>
      <c r="C8488" s="29" t="s">
        <v>24801</v>
      </c>
      <c r="D8488" s="29" t="s">
        <v>38113</v>
      </c>
      <c r="E8488" s="29" t="s">
        <v>50266</v>
      </c>
      <c r="F8488" s="36" t="s">
        <v>54412</v>
      </c>
      <c r="G8488" s="39">
        <v>6290000</v>
      </c>
      <c r="H8488" s="42">
        <v>211</v>
      </c>
    </row>
    <row r="8489" spans="1:8" ht="15" customHeight="1">
      <c r="A8489" s="26">
        <v>860013526</v>
      </c>
      <c r="B8489" s="30" t="s">
        <v>10712</v>
      </c>
      <c r="C8489" s="29" t="s">
        <v>24802</v>
      </c>
      <c r="D8489" s="29" t="s">
        <v>38114</v>
      </c>
      <c r="E8489" s="29" t="s">
        <v>50267</v>
      </c>
      <c r="F8489" s="36" t="s">
        <v>54412</v>
      </c>
      <c r="G8489" s="39">
        <v>1969071.62</v>
      </c>
      <c r="H8489" s="42">
        <v>211</v>
      </c>
    </row>
    <row r="8490" spans="1:8" ht="15" customHeight="1">
      <c r="A8490" s="26">
        <v>860020308</v>
      </c>
      <c r="B8490" s="30" t="s">
        <v>10713</v>
      </c>
      <c r="C8490" s="29" t="s">
        <v>24803</v>
      </c>
      <c r="D8490" s="29" t="s">
        <v>38115</v>
      </c>
      <c r="E8490" s="29" t="s">
        <v>50268</v>
      </c>
      <c r="F8490" s="36" t="s">
        <v>54412</v>
      </c>
      <c r="G8490" s="39">
        <f>7198419.84+16924+21705</f>
        <v>7237048.8399999999</v>
      </c>
      <c r="H8490" s="42">
        <v>211</v>
      </c>
    </row>
    <row r="8491" spans="1:8" ht="15" customHeight="1">
      <c r="A8491" s="26">
        <v>860025900</v>
      </c>
      <c r="B8491" s="30" t="s">
        <v>10714</v>
      </c>
      <c r="C8491" s="29" t="s">
        <v>24804</v>
      </c>
      <c r="D8491" s="29" t="s">
        <v>38116</v>
      </c>
      <c r="E8491" s="29" t="s">
        <v>44550</v>
      </c>
      <c r="F8491" s="36" t="s">
        <v>54401</v>
      </c>
      <c r="G8491" s="39">
        <f>29999226.89+23304</f>
        <v>30022530.890000001</v>
      </c>
      <c r="H8491" s="42">
        <v>211</v>
      </c>
    </row>
    <row r="8492" spans="1:8" ht="15" customHeight="1">
      <c r="A8492" s="26">
        <v>860025971</v>
      </c>
      <c r="B8492" s="30" t="s">
        <v>10715</v>
      </c>
      <c r="C8492" s="29" t="s">
        <v>24805</v>
      </c>
      <c r="D8492" s="29" t="s">
        <v>38117</v>
      </c>
      <c r="E8492" s="29" t="s">
        <v>50269</v>
      </c>
      <c r="F8492" s="36" t="s">
        <v>54401</v>
      </c>
      <c r="G8492" s="39">
        <v>45761.91</v>
      </c>
      <c r="H8492" s="42">
        <v>211</v>
      </c>
    </row>
    <row r="8493" spans="1:8" ht="15" customHeight="1">
      <c r="A8493" s="26">
        <v>860028238</v>
      </c>
      <c r="B8493" s="30" t="s">
        <v>10716</v>
      </c>
      <c r="C8493" s="29" t="s">
        <v>24806</v>
      </c>
      <c r="D8493" s="29" t="s">
        <v>38118</v>
      </c>
      <c r="E8493" s="29" t="s">
        <v>50270</v>
      </c>
      <c r="F8493" s="36" t="s">
        <v>54412</v>
      </c>
      <c r="G8493" s="39">
        <v>200046.63</v>
      </c>
      <c r="H8493" s="42">
        <v>211</v>
      </c>
    </row>
    <row r="8494" spans="1:8" ht="15" customHeight="1">
      <c r="A8494" s="27">
        <v>860034313</v>
      </c>
      <c r="B8494" s="26" t="s">
        <v>10717</v>
      </c>
      <c r="C8494" s="32"/>
      <c r="D8494" s="32"/>
      <c r="E8494" s="26" t="s">
        <v>731</v>
      </c>
      <c r="F8494" s="26" t="s">
        <v>731</v>
      </c>
      <c r="G8494" s="41">
        <v>248374270</v>
      </c>
      <c r="H8494" s="26">
        <v>4729</v>
      </c>
    </row>
    <row r="8495" spans="1:8" ht="15" customHeight="1">
      <c r="A8495" s="27">
        <v>860039988</v>
      </c>
      <c r="B8495" s="26" t="s">
        <v>10718</v>
      </c>
      <c r="C8495" s="32"/>
      <c r="D8495" s="32"/>
      <c r="E8495" s="26" t="s">
        <v>50271</v>
      </c>
      <c r="F8495" s="26" t="s">
        <v>54462</v>
      </c>
      <c r="G8495" s="41">
        <v>22207051</v>
      </c>
      <c r="H8495" s="26">
        <v>901</v>
      </c>
    </row>
    <row r="8496" spans="1:8" ht="15" customHeight="1">
      <c r="A8496" s="26">
        <v>860040582</v>
      </c>
      <c r="B8496" s="30" t="s">
        <v>10719</v>
      </c>
      <c r="C8496" s="29" t="s">
        <v>24807</v>
      </c>
      <c r="D8496" s="29" t="s">
        <v>38119</v>
      </c>
      <c r="E8496" s="29" t="s">
        <v>50272</v>
      </c>
      <c r="F8496" s="36" t="s">
        <v>54412</v>
      </c>
      <c r="G8496" s="39">
        <v>224759.4</v>
      </c>
      <c r="H8496" s="42">
        <v>211</v>
      </c>
    </row>
    <row r="8497" spans="1:8" ht="15" customHeight="1">
      <c r="A8497" s="26">
        <v>860054862</v>
      </c>
      <c r="B8497" s="26" t="s">
        <v>10720</v>
      </c>
      <c r="C8497" s="32"/>
      <c r="D8497" s="32"/>
      <c r="E8497" s="26" t="s">
        <v>50273</v>
      </c>
      <c r="F8497" s="26" t="s">
        <v>54402</v>
      </c>
      <c r="G8497" s="41">
        <v>5990000</v>
      </c>
      <c r="H8497" s="26">
        <v>4729</v>
      </c>
    </row>
    <row r="8498" spans="1:8" ht="15" customHeight="1">
      <c r="A8498" s="27">
        <v>860066942</v>
      </c>
      <c r="B8498" s="31" t="s">
        <v>10721</v>
      </c>
      <c r="C8498" s="32"/>
      <c r="D8498" s="32"/>
      <c r="E8498" s="26" t="s">
        <v>50274</v>
      </c>
      <c r="F8498" s="26" t="s">
        <v>54462</v>
      </c>
      <c r="G8498" s="41">
        <v>283500</v>
      </c>
      <c r="H8498" s="26">
        <v>901</v>
      </c>
    </row>
    <row r="8499" spans="1:8" ht="15" customHeight="1">
      <c r="A8499" s="26">
        <v>860074450</v>
      </c>
      <c r="B8499" s="30" t="s">
        <v>10722</v>
      </c>
      <c r="C8499" s="29" t="s">
        <v>24808</v>
      </c>
      <c r="D8499" s="29" t="s">
        <v>38120</v>
      </c>
      <c r="E8499" s="29" t="s">
        <v>50275</v>
      </c>
      <c r="F8499" s="36" t="s">
        <v>54412</v>
      </c>
      <c r="G8499" s="39">
        <f>60887068.16+168847-65218+88260+3361</f>
        <v>61082318.159999996</v>
      </c>
      <c r="H8499" s="42">
        <v>211</v>
      </c>
    </row>
    <row r="8500" spans="1:8" ht="15" customHeight="1">
      <c r="A8500" s="26">
        <v>860075780</v>
      </c>
      <c r="B8500" s="30" t="s">
        <v>10723</v>
      </c>
      <c r="C8500" s="29" t="s">
        <v>24809</v>
      </c>
      <c r="D8500" s="29" t="s">
        <v>38121</v>
      </c>
      <c r="E8500" s="29" t="s">
        <v>50276</v>
      </c>
      <c r="F8500" s="36" t="s">
        <v>54412</v>
      </c>
      <c r="G8500" s="39">
        <v>71386.34</v>
      </c>
      <c r="H8500" s="42">
        <v>211</v>
      </c>
    </row>
    <row r="8501" spans="1:8" ht="15" customHeight="1">
      <c r="A8501" s="26">
        <v>860077746</v>
      </c>
      <c r="B8501" s="30" t="s">
        <v>10724</v>
      </c>
      <c r="C8501" s="29" t="s">
        <v>17204</v>
      </c>
      <c r="D8501" s="29" t="s">
        <v>38122</v>
      </c>
      <c r="E8501" s="29" t="s">
        <v>43926</v>
      </c>
      <c r="F8501" s="36" t="s">
        <v>54401</v>
      </c>
      <c r="G8501" s="39">
        <v>38400</v>
      </c>
      <c r="H8501" s="42">
        <v>211</v>
      </c>
    </row>
    <row r="8502" spans="1:8" ht="15" customHeight="1">
      <c r="A8502" s="26">
        <v>860078780</v>
      </c>
      <c r="B8502" s="30" t="s">
        <v>10725</v>
      </c>
      <c r="C8502" s="29" t="s">
        <v>24810</v>
      </c>
      <c r="D8502" s="29" t="s">
        <v>38123</v>
      </c>
      <c r="E8502" s="29" t="s">
        <v>50277</v>
      </c>
      <c r="F8502" s="36" t="s">
        <v>54401</v>
      </c>
      <c r="G8502" s="39">
        <v>4720</v>
      </c>
      <c r="H8502" s="42">
        <v>211</v>
      </c>
    </row>
    <row r="8503" spans="1:8" ht="15" customHeight="1">
      <c r="A8503" s="26">
        <v>860351784</v>
      </c>
      <c r="B8503" s="30" t="s">
        <v>10726</v>
      </c>
      <c r="C8503" s="29" t="s">
        <v>24811</v>
      </c>
      <c r="D8503" s="29" t="s">
        <v>38124</v>
      </c>
      <c r="E8503" s="29" t="s">
        <v>50278</v>
      </c>
      <c r="F8503" s="36" t="s">
        <v>54412</v>
      </c>
      <c r="G8503" s="39">
        <v>48217.73</v>
      </c>
      <c r="H8503" s="42">
        <v>211</v>
      </c>
    </row>
    <row r="8504" spans="1:8" ht="15" customHeight="1">
      <c r="A8504" s="26">
        <v>860504882</v>
      </c>
      <c r="B8504" s="30" t="s">
        <v>10727</v>
      </c>
      <c r="C8504" s="29" t="s">
        <v>24812</v>
      </c>
      <c r="D8504" s="29" t="s">
        <v>38125</v>
      </c>
      <c r="E8504" s="29" t="s">
        <v>50279</v>
      </c>
      <c r="F8504" s="36" t="s">
        <v>54412</v>
      </c>
      <c r="G8504" s="39">
        <f>1884158.66+253470</f>
        <v>2137628.66</v>
      </c>
      <c r="H8504" s="42">
        <v>211</v>
      </c>
    </row>
    <row r="8505" spans="1:8" ht="15" customHeight="1">
      <c r="A8505" s="26">
        <v>860510031</v>
      </c>
      <c r="B8505" s="30" t="s">
        <v>10728</v>
      </c>
      <c r="C8505" s="29" t="s">
        <v>24813</v>
      </c>
      <c r="D8505" s="29" t="s">
        <v>38126</v>
      </c>
      <c r="E8505" s="29" t="s">
        <v>50280</v>
      </c>
      <c r="F8505" s="36" t="s">
        <v>54401</v>
      </c>
      <c r="G8505" s="39">
        <v>90973.69</v>
      </c>
      <c r="H8505" s="42">
        <v>211</v>
      </c>
    </row>
    <row r="8506" spans="1:8" ht="15" customHeight="1">
      <c r="A8506" s="26">
        <v>860512780</v>
      </c>
      <c r="B8506" s="30" t="s">
        <v>10729</v>
      </c>
      <c r="C8506" s="29" t="s">
        <v>24814</v>
      </c>
      <c r="D8506" s="29" t="s">
        <v>38127</v>
      </c>
      <c r="E8506" s="29" t="s">
        <v>50281</v>
      </c>
      <c r="F8506" s="36" t="s">
        <v>54401</v>
      </c>
      <c r="G8506" s="39">
        <v>47882.87</v>
      </c>
      <c r="H8506" s="42">
        <v>211</v>
      </c>
    </row>
    <row r="8507" spans="1:8" ht="15" customHeight="1">
      <c r="A8507" s="26">
        <v>860521637</v>
      </c>
      <c r="B8507" s="30" t="s">
        <v>10730</v>
      </c>
      <c r="C8507" s="26" t="s">
        <v>24815</v>
      </c>
      <c r="D8507" s="26" t="s">
        <v>38128</v>
      </c>
      <c r="E8507" s="26" t="s">
        <v>50282</v>
      </c>
      <c r="F8507" s="37" t="s">
        <v>54401</v>
      </c>
      <c r="G8507" s="39">
        <f>1712404.54+75607</f>
        <v>1788011.54</v>
      </c>
      <c r="H8507" s="42">
        <v>211</v>
      </c>
    </row>
    <row r="8508" spans="1:8" ht="15" customHeight="1">
      <c r="A8508" s="26">
        <v>860524654</v>
      </c>
      <c r="B8508" s="30" t="s">
        <v>10731</v>
      </c>
      <c r="C8508" s="29" t="s">
        <v>24816</v>
      </c>
      <c r="D8508" s="29" t="s">
        <v>38129</v>
      </c>
      <c r="E8508" s="29" t="s">
        <v>50283</v>
      </c>
      <c r="F8508" s="36" t="s">
        <v>54401</v>
      </c>
      <c r="G8508" s="39">
        <v>9260.5</v>
      </c>
      <c r="H8508" s="42">
        <v>211</v>
      </c>
    </row>
    <row r="8509" spans="1:8" ht="15" customHeight="1">
      <c r="A8509" s="26">
        <v>860526787</v>
      </c>
      <c r="B8509" s="30" t="s">
        <v>10732</v>
      </c>
      <c r="C8509" s="29" t="s">
        <v>24817</v>
      </c>
      <c r="D8509" s="29" t="s">
        <v>38130</v>
      </c>
      <c r="E8509" s="29" t="s">
        <v>44205</v>
      </c>
      <c r="F8509" s="36" t="s">
        <v>54401</v>
      </c>
      <c r="G8509" s="39">
        <v>28352.38</v>
      </c>
      <c r="H8509" s="42">
        <v>211</v>
      </c>
    </row>
    <row r="8510" spans="1:8" ht="15" customHeight="1">
      <c r="A8510" s="26">
        <v>860530236</v>
      </c>
      <c r="B8510" s="30" t="s">
        <v>10733</v>
      </c>
      <c r="C8510" s="29" t="s">
        <v>24818</v>
      </c>
      <c r="D8510" s="29" t="s">
        <v>38131</v>
      </c>
      <c r="E8510" s="29" t="s">
        <v>50284</v>
      </c>
      <c r="F8510" s="36" t="s">
        <v>54412</v>
      </c>
      <c r="G8510" s="39">
        <v>308939.58</v>
      </c>
      <c r="H8510" s="42">
        <v>211</v>
      </c>
    </row>
    <row r="8511" spans="1:8" ht="15" customHeight="1">
      <c r="A8511" s="26">
        <v>890101676</v>
      </c>
      <c r="B8511" s="30" t="s">
        <v>10734</v>
      </c>
      <c r="C8511" s="29" t="s">
        <v>24819</v>
      </c>
      <c r="D8511" s="29" t="s">
        <v>38132</v>
      </c>
      <c r="E8511" s="29" t="s">
        <v>50285</v>
      </c>
      <c r="F8511" s="36" t="s">
        <v>54412</v>
      </c>
      <c r="G8511" s="39">
        <v>3470.59</v>
      </c>
      <c r="H8511" s="42">
        <v>211</v>
      </c>
    </row>
    <row r="8512" spans="1:8" ht="15" customHeight="1">
      <c r="A8512" s="26">
        <v>890101815</v>
      </c>
      <c r="B8512" s="30" t="s">
        <v>10735</v>
      </c>
      <c r="C8512" s="29" t="s">
        <v>24820</v>
      </c>
      <c r="D8512" s="29" t="s">
        <v>38133</v>
      </c>
      <c r="E8512" s="29" t="s">
        <v>50286</v>
      </c>
      <c r="F8512" s="36" t="s">
        <v>54412</v>
      </c>
      <c r="G8512" s="39">
        <f>110709470.64-1256042</f>
        <v>109453428.64</v>
      </c>
      <c r="H8512" s="42">
        <v>211</v>
      </c>
    </row>
    <row r="8513" spans="1:8" ht="15" customHeight="1">
      <c r="A8513" s="26">
        <v>890200009</v>
      </c>
      <c r="B8513" s="30" t="s">
        <v>10736</v>
      </c>
      <c r="C8513" s="29" t="s">
        <v>24821</v>
      </c>
      <c r="D8513" s="29" t="s">
        <v>38134</v>
      </c>
      <c r="E8513" s="29" t="s">
        <v>50287</v>
      </c>
      <c r="F8513" s="36" t="s">
        <v>54401</v>
      </c>
      <c r="G8513" s="39">
        <v>388500.3</v>
      </c>
      <c r="H8513" s="42">
        <v>211</v>
      </c>
    </row>
    <row r="8514" spans="1:8" ht="15" customHeight="1">
      <c r="A8514" s="26">
        <v>890201881</v>
      </c>
      <c r="B8514" s="30" t="s">
        <v>10737</v>
      </c>
      <c r="C8514" s="29" t="s">
        <v>24822</v>
      </c>
      <c r="D8514" s="29" t="s">
        <v>38135</v>
      </c>
      <c r="E8514" s="29" t="s">
        <v>50288</v>
      </c>
      <c r="F8514" s="36" t="s">
        <v>54412</v>
      </c>
      <c r="G8514" s="39">
        <v>270557.89</v>
      </c>
      <c r="H8514" s="42">
        <v>211</v>
      </c>
    </row>
    <row r="8515" spans="1:8" ht="15" customHeight="1">
      <c r="A8515" s="26">
        <v>890203023</v>
      </c>
      <c r="B8515" s="30" t="s">
        <v>10738</v>
      </c>
      <c r="C8515" s="29" t="s">
        <v>17204</v>
      </c>
      <c r="D8515" s="29" t="s">
        <v>38136</v>
      </c>
      <c r="E8515" s="29" t="s">
        <v>50289</v>
      </c>
      <c r="F8515" s="36" t="s">
        <v>54412</v>
      </c>
      <c r="G8515" s="39">
        <v>204224.51</v>
      </c>
      <c r="H8515" s="42">
        <v>211</v>
      </c>
    </row>
    <row r="8516" spans="1:8" ht="15" customHeight="1">
      <c r="A8516" s="26">
        <v>890203224</v>
      </c>
      <c r="B8516" s="26" t="s">
        <v>10739</v>
      </c>
      <c r="C8516" s="32"/>
      <c r="D8516" s="32"/>
      <c r="E8516" s="26" t="s">
        <v>50290</v>
      </c>
      <c r="F8516" s="26" t="s">
        <v>54402</v>
      </c>
      <c r="G8516" s="41">
        <v>30940082</v>
      </c>
      <c r="H8516" s="26">
        <v>4729</v>
      </c>
    </row>
    <row r="8517" spans="1:8" ht="15" customHeight="1">
      <c r="A8517" s="26">
        <v>890203225</v>
      </c>
      <c r="B8517" s="30" t="s">
        <v>10740</v>
      </c>
      <c r="C8517" s="29" t="s">
        <v>24823</v>
      </c>
      <c r="D8517" s="29" t="s">
        <v>38137</v>
      </c>
      <c r="E8517" s="29" t="s">
        <v>50291</v>
      </c>
      <c r="F8517" s="36" t="s">
        <v>54428</v>
      </c>
      <c r="G8517" s="39">
        <v>4228270.24</v>
      </c>
      <c r="H8517" s="42">
        <v>211</v>
      </c>
    </row>
    <row r="8518" spans="1:8" ht="15" customHeight="1">
      <c r="A8518" s="26">
        <v>890204134</v>
      </c>
      <c r="B8518" s="30" t="s">
        <v>10741</v>
      </c>
      <c r="C8518" s="29" t="s">
        <v>24824</v>
      </c>
      <c r="D8518" s="29" t="s">
        <v>38138</v>
      </c>
      <c r="E8518" s="29" t="s">
        <v>50292</v>
      </c>
      <c r="F8518" s="36" t="s">
        <v>54412</v>
      </c>
      <c r="G8518" s="39">
        <f>55941579.84-4661798</f>
        <v>51279781.840000004</v>
      </c>
      <c r="H8518" s="42">
        <v>211</v>
      </c>
    </row>
    <row r="8519" spans="1:8" ht="15" customHeight="1">
      <c r="A8519" s="26">
        <v>890211194</v>
      </c>
      <c r="B8519" s="30" t="s">
        <v>10742</v>
      </c>
      <c r="C8519" s="29" t="s">
        <v>24825</v>
      </c>
      <c r="D8519" s="29" t="s">
        <v>38139</v>
      </c>
      <c r="E8519" s="29" t="s">
        <v>50293</v>
      </c>
      <c r="F8519" s="36" t="s">
        <v>54402</v>
      </c>
      <c r="G8519" s="39">
        <f>67731.01+3949+756</f>
        <v>72436.009999999995</v>
      </c>
      <c r="H8519" s="42">
        <v>211</v>
      </c>
    </row>
    <row r="8520" spans="1:8" ht="15" customHeight="1">
      <c r="A8520" s="26">
        <v>890301054</v>
      </c>
      <c r="B8520" s="30" t="s">
        <v>10743</v>
      </c>
      <c r="C8520" s="29" t="s">
        <v>24826</v>
      </c>
      <c r="D8520" s="29" t="s">
        <v>38140</v>
      </c>
      <c r="E8520" s="29" t="s">
        <v>50294</v>
      </c>
      <c r="F8520" s="36" t="s">
        <v>54412</v>
      </c>
      <c r="G8520" s="39">
        <f>917483.26+185669</f>
        <v>1103152.26</v>
      </c>
      <c r="H8520" s="42">
        <v>211</v>
      </c>
    </row>
    <row r="8521" spans="1:8" ht="15" customHeight="1">
      <c r="A8521" s="26">
        <v>890301163</v>
      </c>
      <c r="B8521" s="30" t="s">
        <v>10744</v>
      </c>
      <c r="C8521" s="29" t="s">
        <v>24827</v>
      </c>
      <c r="D8521" s="29" t="s">
        <v>38141</v>
      </c>
      <c r="E8521" s="29" t="s">
        <v>50295</v>
      </c>
      <c r="F8521" s="36" t="s">
        <v>54465</v>
      </c>
      <c r="G8521" s="39">
        <f>142017315.12-3534232</f>
        <v>138483083.12</v>
      </c>
      <c r="H8521" s="42">
        <v>211</v>
      </c>
    </row>
    <row r="8522" spans="1:8" ht="15" customHeight="1">
      <c r="A8522" s="26">
        <v>890304099</v>
      </c>
      <c r="B8522" s="30" t="s">
        <v>10745</v>
      </c>
      <c r="C8522" s="29" t="s">
        <v>24828</v>
      </c>
      <c r="D8522" s="29" t="s">
        <v>38142</v>
      </c>
      <c r="E8522" s="29" t="s">
        <v>50296</v>
      </c>
      <c r="F8522" s="36" t="s">
        <v>54413</v>
      </c>
      <c r="G8522" s="39">
        <v>35280</v>
      </c>
      <c r="H8522" s="42">
        <v>211</v>
      </c>
    </row>
    <row r="8523" spans="1:8" ht="15" customHeight="1">
      <c r="A8523" s="26">
        <v>890304130</v>
      </c>
      <c r="B8523" s="30" t="s">
        <v>10746</v>
      </c>
      <c r="C8523" s="29" t="s">
        <v>24829</v>
      </c>
      <c r="D8523" s="29" t="s">
        <v>38143</v>
      </c>
      <c r="E8523" s="29" t="s">
        <v>50297</v>
      </c>
      <c r="F8523" s="36" t="s">
        <v>54412</v>
      </c>
      <c r="G8523" s="39">
        <v>55150462.18</v>
      </c>
      <c r="H8523" s="42">
        <v>211</v>
      </c>
    </row>
    <row r="8524" spans="1:8" ht="15" customHeight="1">
      <c r="A8524" s="26">
        <v>890305841</v>
      </c>
      <c r="B8524" s="30" t="s">
        <v>10747</v>
      </c>
      <c r="C8524" s="29" t="s">
        <v>24830</v>
      </c>
      <c r="D8524" s="29" t="s">
        <v>38144</v>
      </c>
      <c r="E8524" s="29" t="s">
        <v>50298</v>
      </c>
      <c r="F8524" s="36" t="s">
        <v>54401</v>
      </c>
      <c r="G8524" s="39">
        <v>183445.38</v>
      </c>
      <c r="H8524" s="42">
        <v>211</v>
      </c>
    </row>
    <row r="8525" spans="1:8" ht="15" customHeight="1">
      <c r="A8525" s="26">
        <v>890319790</v>
      </c>
      <c r="B8525" s="30" t="s">
        <v>10748</v>
      </c>
      <c r="C8525" s="29" t="s">
        <v>24831</v>
      </c>
      <c r="D8525" s="29" t="s">
        <v>38145</v>
      </c>
      <c r="E8525" s="29" t="s">
        <v>50299</v>
      </c>
      <c r="F8525" s="36" t="s">
        <v>54466</v>
      </c>
      <c r="G8525" s="39">
        <v>80488.59</v>
      </c>
      <c r="H8525" s="42">
        <v>211</v>
      </c>
    </row>
    <row r="8526" spans="1:8" ht="15" customHeight="1">
      <c r="A8526" s="26">
        <v>890326050</v>
      </c>
      <c r="B8526" s="30" t="s">
        <v>10749</v>
      </c>
      <c r="C8526" s="29" t="s">
        <v>24832</v>
      </c>
      <c r="D8526" s="29" t="s">
        <v>38146</v>
      </c>
      <c r="E8526" s="29" t="s">
        <v>50300</v>
      </c>
      <c r="F8526" s="36" t="s">
        <v>54466</v>
      </c>
      <c r="G8526" s="39">
        <v>1354563.02</v>
      </c>
      <c r="H8526" s="42">
        <v>211</v>
      </c>
    </row>
    <row r="8527" spans="1:8" ht="15" customHeight="1">
      <c r="A8527" s="26">
        <v>890500726</v>
      </c>
      <c r="B8527" s="30" t="s">
        <v>10750</v>
      </c>
      <c r="C8527" s="29" t="s">
        <v>24833</v>
      </c>
      <c r="D8527" s="29" t="s">
        <v>38147</v>
      </c>
      <c r="E8527" s="29" t="s">
        <v>50301</v>
      </c>
      <c r="F8527" s="36" t="s">
        <v>54402</v>
      </c>
      <c r="G8527" s="39">
        <v>167025.94</v>
      </c>
      <c r="H8527" s="42">
        <v>211</v>
      </c>
    </row>
    <row r="8528" spans="1:8" ht="15" customHeight="1">
      <c r="A8528" s="26">
        <v>890701306</v>
      </c>
      <c r="B8528" s="30" t="s">
        <v>10751</v>
      </c>
      <c r="C8528" s="29" t="s">
        <v>24834</v>
      </c>
      <c r="D8528" s="29" t="s">
        <v>38148</v>
      </c>
      <c r="E8528" s="29" t="s">
        <v>731</v>
      </c>
      <c r="F8528" s="36" t="s">
        <v>54401</v>
      </c>
      <c r="G8528" s="39">
        <v>281969.40000000002</v>
      </c>
      <c r="H8528" s="42">
        <v>211</v>
      </c>
    </row>
    <row r="8529" spans="1:8" ht="15" customHeight="1">
      <c r="A8529" s="26">
        <v>890800718</v>
      </c>
      <c r="B8529" s="30" t="s">
        <v>10752</v>
      </c>
      <c r="C8529" s="29" t="s">
        <v>24835</v>
      </c>
      <c r="D8529" s="29" t="s">
        <v>38149</v>
      </c>
      <c r="E8529" s="29" t="s">
        <v>50302</v>
      </c>
      <c r="F8529" s="36" t="s">
        <v>54412</v>
      </c>
      <c r="G8529" s="39">
        <v>102978393.26000001</v>
      </c>
      <c r="H8529" s="42">
        <v>211</v>
      </c>
    </row>
    <row r="8530" spans="1:8" ht="15" customHeight="1">
      <c r="A8530" s="26">
        <v>890900098</v>
      </c>
      <c r="B8530" s="30" t="s">
        <v>10753</v>
      </c>
      <c r="C8530" s="29" t="s">
        <v>24836</v>
      </c>
      <c r="D8530" s="29" t="s">
        <v>38150</v>
      </c>
      <c r="E8530" s="29" t="s">
        <v>50303</v>
      </c>
      <c r="F8530" s="36" t="s">
        <v>54412</v>
      </c>
      <c r="G8530" s="39">
        <v>523958.29</v>
      </c>
      <c r="H8530" s="42">
        <v>211</v>
      </c>
    </row>
    <row r="8531" spans="1:8" ht="15" customHeight="1">
      <c r="A8531" s="26">
        <v>890900161</v>
      </c>
      <c r="B8531" s="30" t="s">
        <v>10754</v>
      </c>
      <c r="C8531" s="29" t="s">
        <v>24837</v>
      </c>
      <c r="D8531" s="29" t="s">
        <v>38151</v>
      </c>
      <c r="E8531" s="29" t="s">
        <v>50304</v>
      </c>
      <c r="F8531" s="36" t="s">
        <v>54412</v>
      </c>
      <c r="G8531" s="39">
        <v>86040000</v>
      </c>
      <c r="H8531" s="42">
        <v>211</v>
      </c>
    </row>
    <row r="8532" spans="1:8" ht="15" customHeight="1">
      <c r="A8532" s="26">
        <v>890900943</v>
      </c>
      <c r="B8532" s="30" t="s">
        <v>10755</v>
      </c>
      <c r="C8532" s="29" t="s">
        <v>24838</v>
      </c>
      <c r="D8532" s="29" t="s">
        <v>38152</v>
      </c>
      <c r="E8532" s="29" t="s">
        <v>50305</v>
      </c>
      <c r="F8532" s="36" t="s">
        <v>54412</v>
      </c>
      <c r="G8532" s="39">
        <v>34749537.82</v>
      </c>
      <c r="H8532" s="42">
        <v>211</v>
      </c>
    </row>
    <row r="8533" spans="1:8" ht="15" customHeight="1">
      <c r="A8533" s="27">
        <v>890903938</v>
      </c>
      <c r="B8533" s="26" t="s">
        <v>10756</v>
      </c>
      <c r="C8533" s="32"/>
      <c r="D8533" s="32"/>
      <c r="E8533" s="26" t="s">
        <v>44616</v>
      </c>
      <c r="F8533" s="26" t="s">
        <v>731</v>
      </c>
      <c r="G8533" s="41">
        <v>6986914</v>
      </c>
      <c r="H8533" s="26">
        <v>4729</v>
      </c>
    </row>
    <row r="8534" spans="1:8" ht="15" customHeight="1">
      <c r="A8534" s="26">
        <v>890905032</v>
      </c>
      <c r="B8534" s="30" t="s">
        <v>10757</v>
      </c>
      <c r="C8534" s="29" t="s">
        <v>24839</v>
      </c>
      <c r="D8534" s="29" t="s">
        <v>38153</v>
      </c>
      <c r="E8534" s="29" t="s">
        <v>50306</v>
      </c>
      <c r="F8534" s="36" t="s">
        <v>54412</v>
      </c>
      <c r="G8534" s="39">
        <v>1900000</v>
      </c>
      <c r="H8534" s="42">
        <v>211</v>
      </c>
    </row>
    <row r="8535" spans="1:8" ht="15" customHeight="1">
      <c r="A8535" s="26">
        <v>890916575</v>
      </c>
      <c r="B8535" s="30" t="s">
        <v>10758</v>
      </c>
      <c r="C8535" s="29" t="s">
        <v>24840</v>
      </c>
      <c r="D8535" s="29" t="s">
        <v>38154</v>
      </c>
      <c r="E8535" s="29" t="s">
        <v>50307</v>
      </c>
      <c r="F8535" s="36" t="s">
        <v>54412</v>
      </c>
      <c r="G8535" s="39">
        <v>322390.34000000003</v>
      </c>
      <c r="H8535" s="42">
        <v>211</v>
      </c>
    </row>
    <row r="8536" spans="1:8" ht="15" customHeight="1">
      <c r="A8536" s="26">
        <v>891300043</v>
      </c>
      <c r="B8536" s="30" t="s">
        <v>10759</v>
      </c>
      <c r="C8536" s="29" t="s">
        <v>24841</v>
      </c>
      <c r="D8536" s="29" t="s">
        <v>38155</v>
      </c>
      <c r="E8536" s="29" t="s">
        <v>50308</v>
      </c>
      <c r="F8536" s="36" t="s">
        <v>54412</v>
      </c>
      <c r="G8536" s="39">
        <v>1008403.68</v>
      </c>
      <c r="H8536" s="42">
        <v>211</v>
      </c>
    </row>
    <row r="8537" spans="1:8" ht="15" customHeight="1">
      <c r="A8537" s="26">
        <v>891300382</v>
      </c>
      <c r="B8537" s="30" t="s">
        <v>10760</v>
      </c>
      <c r="C8537" s="29" t="s">
        <v>24842</v>
      </c>
      <c r="D8537" s="29" t="s">
        <v>38156</v>
      </c>
      <c r="E8537" s="29" t="s">
        <v>50309</v>
      </c>
      <c r="F8537" s="36" t="s">
        <v>54401</v>
      </c>
      <c r="G8537" s="39">
        <v>94481562.189999998</v>
      </c>
      <c r="H8537" s="42">
        <v>211</v>
      </c>
    </row>
    <row r="8538" spans="1:8" ht="15" customHeight="1">
      <c r="A8538" s="26">
        <v>891304818</v>
      </c>
      <c r="B8538" s="30" t="s">
        <v>10761</v>
      </c>
      <c r="C8538" s="29" t="s">
        <v>24843</v>
      </c>
      <c r="D8538" s="29" t="s">
        <v>38157</v>
      </c>
      <c r="E8538" s="29" t="s">
        <v>50310</v>
      </c>
      <c r="F8538" s="36" t="s">
        <v>54467</v>
      </c>
      <c r="G8538" s="39">
        <f>4939396.95-980083</f>
        <v>3959313.95</v>
      </c>
      <c r="H8538" s="42">
        <v>211</v>
      </c>
    </row>
    <row r="8539" spans="1:8" ht="15" customHeight="1">
      <c r="A8539" s="26">
        <v>891800043</v>
      </c>
      <c r="B8539" s="30" t="s">
        <v>10762</v>
      </c>
      <c r="C8539" s="29" t="s">
        <v>24844</v>
      </c>
      <c r="D8539" s="29" t="s">
        <v>38158</v>
      </c>
      <c r="E8539" s="29" t="s">
        <v>50311</v>
      </c>
      <c r="F8539" s="36" t="s">
        <v>54401</v>
      </c>
      <c r="G8539" s="39">
        <f>176689790.92-85660000</f>
        <v>91029790.919999987</v>
      </c>
      <c r="H8539" s="42">
        <v>211</v>
      </c>
    </row>
    <row r="8540" spans="1:8" ht="15" customHeight="1">
      <c r="A8540" s="26">
        <v>891800044</v>
      </c>
      <c r="B8540" s="30" t="s">
        <v>10763</v>
      </c>
      <c r="C8540" s="29" t="s">
        <v>24845</v>
      </c>
      <c r="D8540" s="29" t="s">
        <v>38159</v>
      </c>
      <c r="E8540" s="29" t="s">
        <v>50312</v>
      </c>
      <c r="F8540" s="36" t="s">
        <v>54401</v>
      </c>
      <c r="G8540" s="39">
        <v>46535525</v>
      </c>
      <c r="H8540" s="42">
        <v>211</v>
      </c>
    </row>
    <row r="8541" spans="1:8" ht="15" customHeight="1">
      <c r="A8541" s="26">
        <v>891800213</v>
      </c>
      <c r="B8541" s="30" t="s">
        <v>10764</v>
      </c>
      <c r="C8541" s="29" t="s">
        <v>24846</v>
      </c>
      <c r="D8541" s="29" t="s">
        <v>38160</v>
      </c>
      <c r="E8541" s="29" t="s">
        <v>50313</v>
      </c>
      <c r="F8541" s="36" t="s">
        <v>54412</v>
      </c>
      <c r="G8541" s="39">
        <f>129812209.2+204383-224067</f>
        <v>129792525.2</v>
      </c>
      <c r="H8541" s="42">
        <v>211</v>
      </c>
    </row>
    <row r="8542" spans="1:8" ht="15" customHeight="1">
      <c r="A8542" s="26">
        <v>891800265</v>
      </c>
      <c r="B8542" s="30" t="s">
        <v>10765</v>
      </c>
      <c r="C8542" s="29" t="s">
        <v>24847</v>
      </c>
      <c r="D8542" s="29" t="s">
        <v>38161</v>
      </c>
      <c r="E8542" s="29" t="s">
        <v>50314</v>
      </c>
      <c r="F8542" s="36" t="s">
        <v>54401</v>
      </c>
      <c r="G8542" s="39">
        <f>2074064.98+728893</f>
        <v>2802957.98</v>
      </c>
      <c r="H8542" s="42">
        <v>211</v>
      </c>
    </row>
    <row r="8543" spans="1:8" ht="15" customHeight="1">
      <c r="A8543" s="26">
        <v>891800324</v>
      </c>
      <c r="B8543" s="30" t="s">
        <v>10766</v>
      </c>
      <c r="C8543" s="29" t="s">
        <v>24848</v>
      </c>
      <c r="D8543" s="29" t="s">
        <v>38162</v>
      </c>
      <c r="E8543" s="29" t="s">
        <v>50315</v>
      </c>
      <c r="F8543" s="36" t="s">
        <v>54401</v>
      </c>
      <c r="G8543" s="39">
        <f>2855925.2+1831</f>
        <v>2857756.2</v>
      </c>
      <c r="H8543" s="42">
        <v>211</v>
      </c>
    </row>
    <row r="8544" spans="1:8" ht="15" customHeight="1">
      <c r="A8544" s="26">
        <v>891800432</v>
      </c>
      <c r="B8544" s="30" t="s">
        <v>10767</v>
      </c>
      <c r="C8544" s="29" t="s">
        <v>24849</v>
      </c>
      <c r="D8544" s="29" t="s">
        <v>38163</v>
      </c>
      <c r="E8544" s="29" t="s">
        <v>50316</v>
      </c>
      <c r="F8544" s="36" t="s">
        <v>54468</v>
      </c>
      <c r="G8544" s="39">
        <f>436610.05+10504</f>
        <v>447114.05</v>
      </c>
      <c r="H8544" s="42">
        <v>211</v>
      </c>
    </row>
    <row r="8545" spans="1:8" ht="15" customHeight="1">
      <c r="A8545" s="26">
        <v>891801078</v>
      </c>
      <c r="B8545" s="30" t="s">
        <v>10768</v>
      </c>
      <c r="C8545" s="29" t="s">
        <v>24850</v>
      </c>
      <c r="D8545" s="29" t="s">
        <v>38164</v>
      </c>
      <c r="E8545" s="29" t="s">
        <v>50317</v>
      </c>
      <c r="F8545" s="36" t="s">
        <v>54401</v>
      </c>
      <c r="G8545" s="39">
        <f>982479.56+214305</f>
        <v>1196784.56</v>
      </c>
      <c r="H8545" s="42">
        <v>211</v>
      </c>
    </row>
    <row r="8546" spans="1:8" ht="15" customHeight="1">
      <c r="A8546" s="26">
        <v>891801951</v>
      </c>
      <c r="B8546" s="30" t="s">
        <v>10769</v>
      </c>
      <c r="C8546" s="29" t="s">
        <v>24851</v>
      </c>
      <c r="D8546" s="29" t="s">
        <v>38165</v>
      </c>
      <c r="E8546" s="29" t="s">
        <v>50318</v>
      </c>
      <c r="F8546" s="36" t="s">
        <v>54412</v>
      </c>
      <c r="G8546" s="39">
        <f>414208.37-14058</f>
        <v>400150.37</v>
      </c>
      <c r="H8546" s="42">
        <v>211</v>
      </c>
    </row>
    <row r="8547" spans="1:8" ht="15" customHeight="1">
      <c r="A8547" s="26">
        <v>891802038</v>
      </c>
      <c r="B8547" s="30" t="s">
        <v>10770</v>
      </c>
      <c r="C8547" s="29" t="s">
        <v>24852</v>
      </c>
      <c r="D8547" s="29" t="s">
        <v>38166</v>
      </c>
      <c r="E8547" s="29" t="s">
        <v>50319</v>
      </c>
      <c r="F8547" s="36" t="s">
        <v>54425</v>
      </c>
      <c r="G8547" s="39">
        <v>119614.04</v>
      </c>
      <c r="H8547" s="42">
        <v>211</v>
      </c>
    </row>
    <row r="8548" spans="1:8" ht="15" customHeight="1">
      <c r="A8548" s="26">
        <v>891855025</v>
      </c>
      <c r="B8548" s="30" t="s">
        <v>10771</v>
      </c>
      <c r="C8548" s="29" t="s">
        <v>24853</v>
      </c>
      <c r="D8548" s="29" t="s">
        <v>38167</v>
      </c>
      <c r="E8548" s="29" t="s">
        <v>50320</v>
      </c>
      <c r="F8548" s="36" t="s">
        <v>54401</v>
      </c>
      <c r="G8548" s="39">
        <v>27519427.690000001</v>
      </c>
      <c r="H8548" s="42">
        <v>211</v>
      </c>
    </row>
    <row r="8549" spans="1:8" ht="15" customHeight="1">
      <c r="A8549" s="26">
        <v>891855067</v>
      </c>
      <c r="B8549" s="26" t="s">
        <v>10772</v>
      </c>
      <c r="C8549" s="32"/>
      <c r="D8549" s="32"/>
      <c r="E8549" s="26" t="s">
        <v>50321</v>
      </c>
      <c r="F8549" s="26" t="s">
        <v>54402</v>
      </c>
      <c r="G8549" s="41">
        <v>5159701</v>
      </c>
      <c r="H8549" s="26">
        <v>4729</v>
      </c>
    </row>
    <row r="8550" spans="1:8" ht="15" customHeight="1">
      <c r="A8550" s="26">
        <v>891855193</v>
      </c>
      <c r="B8550" s="30" t="s">
        <v>10773</v>
      </c>
      <c r="C8550" s="29" t="s">
        <v>24854</v>
      </c>
      <c r="D8550" s="29" t="s">
        <v>38168</v>
      </c>
      <c r="E8550" s="29" t="s">
        <v>50322</v>
      </c>
      <c r="F8550" s="36" t="s">
        <v>54401</v>
      </c>
      <c r="G8550" s="39">
        <f>9689617.86+2225698</f>
        <v>11915315.859999999</v>
      </c>
      <c r="H8550" s="42">
        <v>211</v>
      </c>
    </row>
    <row r="8551" spans="1:8" ht="15" customHeight="1">
      <c r="A8551" s="26">
        <v>891855257</v>
      </c>
      <c r="B8551" s="26" t="s">
        <v>10774</v>
      </c>
      <c r="C8551" s="32"/>
      <c r="D8551" s="32"/>
      <c r="E8551" s="26" t="s">
        <v>50323</v>
      </c>
      <c r="F8551" s="26" t="s">
        <v>54402</v>
      </c>
      <c r="G8551" s="41">
        <v>25356885</v>
      </c>
      <c r="H8551" s="26">
        <v>4729</v>
      </c>
    </row>
    <row r="8552" spans="1:8" ht="15" customHeight="1">
      <c r="A8552" s="26">
        <v>891855360</v>
      </c>
      <c r="B8552" s="30" t="s">
        <v>10775</v>
      </c>
      <c r="C8552" s="29" t="s">
        <v>24855</v>
      </c>
      <c r="D8552" s="29" t="s">
        <v>38169</v>
      </c>
      <c r="E8552" s="29" t="s">
        <v>50324</v>
      </c>
      <c r="F8552" s="36" t="s">
        <v>54401</v>
      </c>
      <c r="G8552" s="39">
        <v>9732857.5700000003</v>
      </c>
      <c r="H8552" s="42">
        <v>211</v>
      </c>
    </row>
    <row r="8553" spans="1:8" ht="15" customHeight="1">
      <c r="A8553" s="26">
        <v>891855362</v>
      </c>
      <c r="B8553" s="30" t="s">
        <v>10776</v>
      </c>
      <c r="C8553" s="29" t="s">
        <v>24856</v>
      </c>
      <c r="D8553" s="29" t="s">
        <v>38170</v>
      </c>
      <c r="E8553" s="29" t="s">
        <v>50325</v>
      </c>
      <c r="F8553" s="36" t="s">
        <v>54401</v>
      </c>
      <c r="G8553" s="39">
        <v>1093628.6499999999</v>
      </c>
      <c r="H8553" s="42">
        <v>211</v>
      </c>
    </row>
    <row r="8554" spans="1:8" ht="15" customHeight="1">
      <c r="A8554" s="26">
        <v>891855447</v>
      </c>
      <c r="B8554" s="30" t="s">
        <v>10777</v>
      </c>
      <c r="C8554" s="29" t="s">
        <v>24857</v>
      </c>
      <c r="D8554" s="29" t="s">
        <v>38171</v>
      </c>
      <c r="E8554" s="29" t="s">
        <v>50326</v>
      </c>
      <c r="F8554" s="36" t="s">
        <v>54402</v>
      </c>
      <c r="G8554" s="39">
        <v>172404.24</v>
      </c>
      <c r="H8554" s="42">
        <v>211</v>
      </c>
    </row>
    <row r="8555" spans="1:8" ht="15" customHeight="1">
      <c r="A8555" s="26">
        <v>891855571</v>
      </c>
      <c r="B8555" s="30" t="s">
        <v>10778</v>
      </c>
      <c r="C8555" s="29" t="s">
        <v>24858</v>
      </c>
      <c r="D8555" s="29" t="s">
        <v>38172</v>
      </c>
      <c r="E8555" s="29" t="s">
        <v>50327</v>
      </c>
      <c r="F8555" s="36" t="s">
        <v>54401</v>
      </c>
      <c r="G8555" s="39">
        <v>7547620.79</v>
      </c>
      <c r="H8555" s="42">
        <v>211</v>
      </c>
    </row>
    <row r="8556" spans="1:8" ht="15" customHeight="1">
      <c r="A8556" s="26">
        <v>891855600</v>
      </c>
      <c r="B8556" s="30" t="s">
        <v>10779</v>
      </c>
      <c r="C8556" s="29" t="s">
        <v>24859</v>
      </c>
      <c r="D8556" s="29" t="s">
        <v>38173</v>
      </c>
      <c r="E8556" s="29" t="s">
        <v>50328</v>
      </c>
      <c r="F8556" s="36" t="s">
        <v>54401</v>
      </c>
      <c r="G8556" s="39">
        <v>11081171.32</v>
      </c>
      <c r="H8556" s="42">
        <v>211</v>
      </c>
    </row>
    <row r="8557" spans="1:8" ht="15" customHeight="1">
      <c r="A8557" s="26">
        <v>891855676</v>
      </c>
      <c r="B8557" s="30" t="s">
        <v>10780</v>
      </c>
      <c r="C8557" s="29" t="s">
        <v>24860</v>
      </c>
      <c r="D8557" s="29" t="s">
        <v>38174</v>
      </c>
      <c r="E8557" s="29" t="s">
        <v>50329</v>
      </c>
      <c r="F8557" s="36" t="s">
        <v>54412</v>
      </c>
      <c r="G8557" s="39">
        <v>12553659</v>
      </c>
      <c r="H8557" s="42">
        <v>211</v>
      </c>
    </row>
    <row r="8558" spans="1:8" ht="15" customHeight="1">
      <c r="A8558" s="26">
        <v>891855859</v>
      </c>
      <c r="B8558" s="30" t="s">
        <v>10781</v>
      </c>
      <c r="C8558" s="29" t="s">
        <v>23421</v>
      </c>
      <c r="D8558" s="29" t="s">
        <v>38175</v>
      </c>
      <c r="E8558" s="29" t="s">
        <v>50330</v>
      </c>
      <c r="F8558" s="36" t="s">
        <v>54401</v>
      </c>
      <c r="G8558" s="39">
        <f>3781775.88+83847</f>
        <v>3865622.88</v>
      </c>
      <c r="H8558" s="42">
        <v>211</v>
      </c>
    </row>
    <row r="8559" spans="1:8" ht="15" customHeight="1">
      <c r="A8559" s="26">
        <v>891855989</v>
      </c>
      <c r="B8559" s="30" t="s">
        <v>10782</v>
      </c>
      <c r="C8559" s="29" t="s">
        <v>24861</v>
      </c>
      <c r="D8559" s="29" t="s">
        <v>38176</v>
      </c>
      <c r="E8559" s="29" t="s">
        <v>50331</v>
      </c>
      <c r="F8559" s="36" t="s">
        <v>54401</v>
      </c>
      <c r="G8559" s="39">
        <f>6989507.12+1304097</f>
        <v>8293604.1200000001</v>
      </c>
      <c r="H8559" s="42">
        <v>211</v>
      </c>
    </row>
    <row r="8560" spans="1:8" ht="15" customHeight="1">
      <c r="A8560" s="26">
        <v>891855991</v>
      </c>
      <c r="B8560" s="30" t="s">
        <v>10783</v>
      </c>
      <c r="C8560" s="29" t="s">
        <v>24862</v>
      </c>
      <c r="D8560" s="29" t="s">
        <v>38177</v>
      </c>
      <c r="E8560" s="29" t="s">
        <v>50332</v>
      </c>
      <c r="F8560" s="36" t="s">
        <v>54401</v>
      </c>
      <c r="G8560" s="39">
        <v>26218.48</v>
      </c>
      <c r="H8560" s="42">
        <v>211</v>
      </c>
    </row>
    <row r="8561" spans="1:8" ht="15" customHeight="1">
      <c r="A8561" s="26">
        <v>891855993</v>
      </c>
      <c r="B8561" s="30" t="s">
        <v>10784</v>
      </c>
      <c r="C8561" s="29" t="s">
        <v>24863</v>
      </c>
      <c r="D8561" s="29" t="s">
        <v>38178</v>
      </c>
      <c r="E8561" s="29" t="s">
        <v>50333</v>
      </c>
      <c r="F8561" s="36" t="s">
        <v>54401</v>
      </c>
      <c r="G8561" s="39">
        <v>2126336.77</v>
      </c>
      <c r="H8561" s="42">
        <v>211</v>
      </c>
    </row>
    <row r="8562" spans="1:8" ht="15" customHeight="1">
      <c r="A8562" s="26">
        <v>891856094</v>
      </c>
      <c r="B8562" s="30" t="s">
        <v>10785</v>
      </c>
      <c r="C8562" s="29" t="s">
        <v>24864</v>
      </c>
      <c r="D8562" s="29" t="s">
        <v>38179</v>
      </c>
      <c r="E8562" s="29" t="s">
        <v>50334</v>
      </c>
      <c r="F8562" s="36" t="s">
        <v>54401</v>
      </c>
      <c r="G8562" s="39">
        <v>140083.74</v>
      </c>
      <c r="H8562" s="42">
        <v>211</v>
      </c>
    </row>
    <row r="8563" spans="1:8" ht="15" customHeight="1">
      <c r="A8563" s="26">
        <v>891856425</v>
      </c>
      <c r="B8563" s="30" t="s">
        <v>10786</v>
      </c>
      <c r="C8563" s="29" t="s">
        <v>24865</v>
      </c>
      <c r="D8563" s="29" t="s">
        <v>38180</v>
      </c>
      <c r="E8563" s="29" t="s">
        <v>50335</v>
      </c>
      <c r="F8563" s="36" t="s">
        <v>54401</v>
      </c>
      <c r="G8563" s="39">
        <v>965046</v>
      </c>
      <c r="H8563" s="42">
        <v>211</v>
      </c>
    </row>
    <row r="8564" spans="1:8" ht="15" customHeight="1">
      <c r="A8564" s="26">
        <v>891856457</v>
      </c>
      <c r="B8564" s="30" t="s">
        <v>10787</v>
      </c>
      <c r="C8564" s="29" t="s">
        <v>24866</v>
      </c>
      <c r="D8564" s="29" t="s">
        <v>38181</v>
      </c>
      <c r="E8564" s="29" t="s">
        <v>44550</v>
      </c>
      <c r="F8564" s="36" t="s">
        <v>54401</v>
      </c>
      <c r="G8564" s="39">
        <v>485284531</v>
      </c>
      <c r="H8564" s="42">
        <v>211</v>
      </c>
    </row>
    <row r="8565" spans="1:8" ht="15" customHeight="1">
      <c r="A8565" s="26">
        <v>891856507</v>
      </c>
      <c r="B8565" s="30" t="s">
        <v>10788</v>
      </c>
      <c r="C8565" s="29" t="s">
        <v>24867</v>
      </c>
      <c r="D8565" s="29" t="s">
        <v>38182</v>
      </c>
      <c r="E8565" s="29" t="s">
        <v>50336</v>
      </c>
      <c r="F8565" s="36" t="s">
        <v>54401</v>
      </c>
      <c r="G8565" s="39">
        <v>61197807.520000003</v>
      </c>
      <c r="H8565" s="42">
        <v>211</v>
      </c>
    </row>
    <row r="8566" spans="1:8" ht="15" customHeight="1">
      <c r="A8566" s="26">
        <v>891857872</v>
      </c>
      <c r="B8566" s="30" t="s">
        <v>10789</v>
      </c>
      <c r="C8566" s="29" t="s">
        <v>24868</v>
      </c>
      <c r="D8566" s="29" t="s">
        <v>38183</v>
      </c>
      <c r="E8566" s="29" t="s">
        <v>50337</v>
      </c>
      <c r="F8566" s="36" t="s">
        <v>54412</v>
      </c>
      <c r="G8566" s="39">
        <v>2236776</v>
      </c>
      <c r="H8566" s="42">
        <v>211</v>
      </c>
    </row>
    <row r="8567" spans="1:8" ht="15" customHeight="1">
      <c r="A8567" s="26">
        <v>891857894</v>
      </c>
      <c r="B8567" s="30" t="s">
        <v>10790</v>
      </c>
      <c r="C8567" s="29" t="s">
        <v>24869</v>
      </c>
      <c r="D8567" s="29" t="s">
        <v>38184</v>
      </c>
      <c r="E8567" s="29" t="s">
        <v>50338</v>
      </c>
      <c r="F8567" s="36" t="s">
        <v>54401</v>
      </c>
      <c r="G8567" s="39">
        <v>4412436.8499999996</v>
      </c>
      <c r="H8567" s="42">
        <v>211</v>
      </c>
    </row>
    <row r="8568" spans="1:8" ht="15" customHeight="1">
      <c r="A8568" s="26">
        <v>891857901</v>
      </c>
      <c r="B8568" s="30" t="s">
        <v>10791</v>
      </c>
      <c r="C8568" s="29" t="s">
        <v>21674</v>
      </c>
      <c r="D8568" s="29" t="s">
        <v>38185</v>
      </c>
      <c r="E8568" s="29" t="s">
        <v>50218</v>
      </c>
      <c r="F8568" s="36" t="s">
        <v>54401</v>
      </c>
      <c r="G8568" s="39">
        <v>76351966.390000001</v>
      </c>
      <c r="H8568" s="42">
        <v>211</v>
      </c>
    </row>
    <row r="8569" spans="1:8" ht="15" customHeight="1">
      <c r="A8569" s="26">
        <v>892300678</v>
      </c>
      <c r="B8569" s="30" t="s">
        <v>10792</v>
      </c>
      <c r="C8569" s="29" t="s">
        <v>24870</v>
      </c>
      <c r="D8569" s="29" t="s">
        <v>38186</v>
      </c>
      <c r="E8569" s="29" t="s">
        <v>50339</v>
      </c>
      <c r="F8569" s="36" t="s">
        <v>54401</v>
      </c>
      <c r="G8569" s="39">
        <v>152583.75</v>
      </c>
      <c r="H8569" s="42">
        <v>211</v>
      </c>
    </row>
    <row r="8570" spans="1:8" ht="15" customHeight="1">
      <c r="A8570" s="26">
        <v>900005399</v>
      </c>
      <c r="B8570" s="30" t="s">
        <v>10793</v>
      </c>
      <c r="C8570" s="29" t="s">
        <v>17204</v>
      </c>
      <c r="D8570" s="29" t="s">
        <v>38187</v>
      </c>
      <c r="E8570" s="29" t="s">
        <v>43926</v>
      </c>
      <c r="F8570" s="36" t="s">
        <v>54401</v>
      </c>
      <c r="G8570" s="39">
        <v>61109.24</v>
      </c>
      <c r="H8570" s="42">
        <v>211</v>
      </c>
    </row>
    <row r="8571" spans="1:8" ht="15" customHeight="1">
      <c r="A8571" s="26">
        <v>900008196</v>
      </c>
      <c r="B8571" s="30" t="s">
        <v>10794</v>
      </c>
      <c r="C8571" s="29" t="s">
        <v>24871</v>
      </c>
      <c r="D8571" s="29" t="s">
        <v>38188</v>
      </c>
      <c r="E8571" s="29" t="s">
        <v>43926</v>
      </c>
      <c r="F8571" s="36" t="s">
        <v>54401</v>
      </c>
      <c r="G8571" s="39">
        <v>24478.99</v>
      </c>
      <c r="H8571" s="42">
        <v>211</v>
      </c>
    </row>
    <row r="8572" spans="1:8" ht="15" customHeight="1">
      <c r="A8572" s="26">
        <v>900008197</v>
      </c>
      <c r="B8572" s="30" t="s">
        <v>10795</v>
      </c>
      <c r="C8572" s="29" t="s">
        <v>24872</v>
      </c>
      <c r="D8572" s="29" t="s">
        <v>38189</v>
      </c>
      <c r="E8572" s="29" t="s">
        <v>50340</v>
      </c>
      <c r="F8572" s="36" t="s">
        <v>54401</v>
      </c>
      <c r="G8572" s="39">
        <v>55307.48</v>
      </c>
      <c r="H8572" s="42">
        <v>211</v>
      </c>
    </row>
    <row r="8573" spans="1:8" ht="15" customHeight="1">
      <c r="A8573" s="26">
        <v>900019714</v>
      </c>
      <c r="B8573" s="30" t="s">
        <v>10796</v>
      </c>
      <c r="C8573" s="29" t="s">
        <v>22634</v>
      </c>
      <c r="D8573" s="29" t="s">
        <v>38190</v>
      </c>
      <c r="E8573" s="29" t="s">
        <v>50341</v>
      </c>
      <c r="F8573" s="36" t="s">
        <v>54401</v>
      </c>
      <c r="G8573" s="39">
        <v>328630.26</v>
      </c>
      <c r="H8573" s="42">
        <v>211</v>
      </c>
    </row>
    <row r="8574" spans="1:8" ht="15" customHeight="1">
      <c r="A8574" s="26">
        <v>900021504</v>
      </c>
      <c r="B8574" s="30" t="s">
        <v>10797</v>
      </c>
      <c r="C8574" s="29" t="s">
        <v>24873</v>
      </c>
      <c r="D8574" s="29" t="s">
        <v>38191</v>
      </c>
      <c r="E8574" s="29" t="s">
        <v>50342</v>
      </c>
      <c r="F8574" s="36" t="s">
        <v>54401</v>
      </c>
      <c r="G8574" s="39">
        <v>320000</v>
      </c>
      <c r="H8574" s="42">
        <v>211</v>
      </c>
    </row>
    <row r="8575" spans="1:8" ht="15" customHeight="1">
      <c r="A8575" s="26">
        <v>900021573</v>
      </c>
      <c r="B8575" s="30" t="s">
        <v>10798</v>
      </c>
      <c r="C8575" s="29" t="s">
        <v>18681</v>
      </c>
      <c r="D8575" s="29" t="s">
        <v>38192</v>
      </c>
      <c r="E8575" s="29" t="s">
        <v>50343</v>
      </c>
      <c r="F8575" s="36" t="s">
        <v>54401</v>
      </c>
      <c r="G8575" s="39">
        <v>136724860</v>
      </c>
      <c r="H8575" s="42">
        <v>211</v>
      </c>
    </row>
    <row r="8576" spans="1:8" ht="15" customHeight="1">
      <c r="A8576" s="26">
        <v>900023265</v>
      </c>
      <c r="B8576" s="30" t="s">
        <v>10799</v>
      </c>
      <c r="C8576" s="29" t="s">
        <v>24874</v>
      </c>
      <c r="D8576" s="29" t="s">
        <v>38193</v>
      </c>
      <c r="E8576" s="29" t="s">
        <v>50344</v>
      </c>
      <c r="F8576" s="36" t="s">
        <v>54401</v>
      </c>
      <c r="G8576" s="39">
        <v>8493863</v>
      </c>
      <c r="H8576" s="42">
        <v>211</v>
      </c>
    </row>
    <row r="8577" spans="1:8" ht="15" customHeight="1">
      <c r="A8577" s="26">
        <v>900024828</v>
      </c>
      <c r="B8577" s="30" t="s">
        <v>10800</v>
      </c>
      <c r="C8577" s="29" t="s">
        <v>24875</v>
      </c>
      <c r="D8577" s="29" t="s">
        <v>38194</v>
      </c>
      <c r="E8577" s="29" t="s">
        <v>50345</v>
      </c>
      <c r="F8577" s="36" t="s">
        <v>54401</v>
      </c>
      <c r="G8577" s="39">
        <v>2000559.04</v>
      </c>
      <c r="H8577" s="42">
        <v>211</v>
      </c>
    </row>
    <row r="8578" spans="1:8" ht="15" customHeight="1">
      <c r="A8578" s="26">
        <v>900034485</v>
      </c>
      <c r="B8578" s="30" t="s">
        <v>10801</v>
      </c>
      <c r="C8578" s="29" t="s">
        <v>24876</v>
      </c>
      <c r="D8578" s="29" t="s">
        <v>38195</v>
      </c>
      <c r="E8578" s="29" t="s">
        <v>50346</v>
      </c>
      <c r="F8578" s="36" t="s">
        <v>54412</v>
      </c>
      <c r="G8578" s="39">
        <v>878058.52</v>
      </c>
      <c r="H8578" s="42">
        <v>211</v>
      </c>
    </row>
    <row r="8579" spans="1:8" ht="15" customHeight="1">
      <c r="A8579" s="26">
        <v>900034751</v>
      </c>
      <c r="B8579" s="30" t="s">
        <v>10802</v>
      </c>
      <c r="C8579" s="29" t="s">
        <v>24877</v>
      </c>
      <c r="D8579" s="29" t="s">
        <v>38196</v>
      </c>
      <c r="E8579" s="29" t="s">
        <v>50347</v>
      </c>
      <c r="F8579" s="36" t="s">
        <v>54401</v>
      </c>
      <c r="G8579" s="39">
        <v>1633646.42</v>
      </c>
      <c r="H8579" s="42">
        <v>211</v>
      </c>
    </row>
    <row r="8580" spans="1:8" ht="15" customHeight="1">
      <c r="A8580" s="26">
        <v>900038043</v>
      </c>
      <c r="B8580" s="30" t="s">
        <v>10803</v>
      </c>
      <c r="C8580" s="29" t="s">
        <v>24878</v>
      </c>
      <c r="D8580" s="29" t="s">
        <v>38197</v>
      </c>
      <c r="E8580" s="29" t="s">
        <v>50348</v>
      </c>
      <c r="F8580" s="36" t="s">
        <v>54401</v>
      </c>
      <c r="G8580" s="39">
        <v>4274553.72</v>
      </c>
      <c r="H8580" s="42">
        <v>211</v>
      </c>
    </row>
    <row r="8581" spans="1:8" ht="15" customHeight="1">
      <c r="A8581" s="26">
        <v>900038976</v>
      </c>
      <c r="B8581" s="30" t="s">
        <v>10804</v>
      </c>
      <c r="C8581" s="29" t="s">
        <v>24879</v>
      </c>
      <c r="D8581" s="29" t="s">
        <v>38198</v>
      </c>
      <c r="E8581" s="29" t="s">
        <v>50349</v>
      </c>
      <c r="F8581" s="36" t="s">
        <v>54401</v>
      </c>
      <c r="G8581" s="39">
        <v>308203.81</v>
      </c>
      <c r="H8581" s="42">
        <v>211</v>
      </c>
    </row>
    <row r="8582" spans="1:8" ht="15" customHeight="1">
      <c r="A8582" s="26">
        <v>900038977</v>
      </c>
      <c r="B8582" s="30" t="s">
        <v>10805</v>
      </c>
      <c r="C8582" s="29" t="s">
        <v>24880</v>
      </c>
      <c r="D8582" s="29" t="s">
        <v>38199</v>
      </c>
      <c r="E8582" s="29" t="s">
        <v>50350</v>
      </c>
      <c r="F8582" s="36" t="s">
        <v>54401</v>
      </c>
      <c r="G8582" s="39">
        <v>407067</v>
      </c>
      <c r="H8582" s="42">
        <v>211</v>
      </c>
    </row>
    <row r="8583" spans="1:8" ht="15" customHeight="1">
      <c r="A8583" s="26">
        <v>900040957</v>
      </c>
      <c r="B8583" s="30" t="s">
        <v>10806</v>
      </c>
      <c r="C8583" s="29" t="s">
        <v>24881</v>
      </c>
      <c r="D8583" s="29" t="s">
        <v>38200</v>
      </c>
      <c r="E8583" s="29" t="s">
        <v>50351</v>
      </c>
      <c r="F8583" s="36" t="s">
        <v>54412</v>
      </c>
      <c r="G8583" s="39">
        <v>347070.41</v>
      </c>
      <c r="H8583" s="42">
        <v>211</v>
      </c>
    </row>
    <row r="8584" spans="1:8" ht="15" customHeight="1">
      <c r="A8584" s="26">
        <v>900050850</v>
      </c>
      <c r="B8584" s="30" t="s">
        <v>10807</v>
      </c>
      <c r="C8584" s="29" t="s">
        <v>24882</v>
      </c>
      <c r="D8584" s="29" t="s">
        <v>38201</v>
      </c>
      <c r="E8584" s="29" t="s">
        <v>50352</v>
      </c>
      <c r="F8584" s="36" t="s">
        <v>54401</v>
      </c>
      <c r="G8584" s="39">
        <v>30209.52</v>
      </c>
      <c r="H8584" s="42">
        <v>211</v>
      </c>
    </row>
    <row r="8585" spans="1:8" ht="15" customHeight="1">
      <c r="A8585" s="26">
        <v>900051038</v>
      </c>
      <c r="B8585" s="30" t="s">
        <v>10808</v>
      </c>
      <c r="C8585" s="29" t="s">
        <v>24883</v>
      </c>
      <c r="D8585" s="29" t="s">
        <v>38202</v>
      </c>
      <c r="E8585" s="29" t="s">
        <v>50353</v>
      </c>
      <c r="F8585" s="36" t="s">
        <v>54401</v>
      </c>
      <c r="G8585" s="39">
        <v>8080685.1500000004</v>
      </c>
      <c r="H8585" s="42">
        <v>211</v>
      </c>
    </row>
    <row r="8586" spans="1:8" ht="15" customHeight="1">
      <c r="A8586" s="26">
        <v>900068145</v>
      </c>
      <c r="B8586" s="30" t="s">
        <v>10809</v>
      </c>
      <c r="C8586" s="29" t="s">
        <v>24884</v>
      </c>
      <c r="D8586" s="29" t="s">
        <v>38203</v>
      </c>
      <c r="E8586" s="29" t="s">
        <v>50354</v>
      </c>
      <c r="F8586" s="36" t="s">
        <v>54401</v>
      </c>
      <c r="G8586" s="39">
        <v>3182091.19</v>
      </c>
      <c r="H8586" s="42">
        <v>211</v>
      </c>
    </row>
    <row r="8587" spans="1:8" ht="15" customHeight="1">
      <c r="A8587" s="26">
        <v>900068332</v>
      </c>
      <c r="B8587" s="30" t="s">
        <v>10810</v>
      </c>
      <c r="C8587" s="29" t="s">
        <v>24885</v>
      </c>
      <c r="D8587" s="29" t="s">
        <v>38204</v>
      </c>
      <c r="E8587" s="29" t="s">
        <v>50355</v>
      </c>
      <c r="F8587" s="36" t="s">
        <v>54401</v>
      </c>
      <c r="G8587" s="39">
        <v>1613839.2</v>
      </c>
      <c r="H8587" s="42">
        <v>211</v>
      </c>
    </row>
    <row r="8588" spans="1:8" ht="15" customHeight="1">
      <c r="A8588" s="26">
        <v>900103086</v>
      </c>
      <c r="B8588" s="30" t="s">
        <v>10811</v>
      </c>
      <c r="C8588" s="26" t="s">
        <v>24886</v>
      </c>
      <c r="D8588" s="26" t="s">
        <v>38205</v>
      </c>
      <c r="E8588" s="26" t="s">
        <v>43926</v>
      </c>
      <c r="F8588" s="37" t="s">
        <v>54401</v>
      </c>
      <c r="G8588" s="39">
        <v>294793.75</v>
      </c>
      <c r="H8588" s="42">
        <v>211</v>
      </c>
    </row>
    <row r="8589" spans="1:8" ht="15" customHeight="1">
      <c r="A8589" s="26">
        <v>900103376</v>
      </c>
      <c r="B8589" s="30" t="s">
        <v>10812</v>
      </c>
      <c r="C8589" s="29" t="s">
        <v>24887</v>
      </c>
      <c r="D8589" s="29" t="s">
        <v>38206</v>
      </c>
      <c r="E8589" s="29" t="s">
        <v>50356</v>
      </c>
      <c r="F8589" s="36" t="s">
        <v>54401</v>
      </c>
      <c r="G8589" s="39">
        <v>2982127</v>
      </c>
      <c r="H8589" s="42">
        <v>211</v>
      </c>
    </row>
    <row r="8590" spans="1:8" ht="15" customHeight="1">
      <c r="A8590" s="26">
        <v>900104011</v>
      </c>
      <c r="B8590" s="30" t="s">
        <v>10813</v>
      </c>
      <c r="C8590" s="29" t="s">
        <v>24888</v>
      </c>
      <c r="D8590" s="29" t="s">
        <v>38207</v>
      </c>
      <c r="E8590" s="29" t="s">
        <v>50194</v>
      </c>
      <c r="F8590" s="36" t="s">
        <v>54401</v>
      </c>
      <c r="G8590" s="39">
        <v>364182.39</v>
      </c>
      <c r="H8590" s="42">
        <v>211</v>
      </c>
    </row>
    <row r="8591" spans="1:8" ht="15" customHeight="1">
      <c r="A8591" s="26">
        <v>900105171</v>
      </c>
      <c r="B8591" s="30" t="s">
        <v>10814</v>
      </c>
      <c r="C8591" s="29" t="s">
        <v>24889</v>
      </c>
      <c r="D8591" s="29" t="s">
        <v>38208</v>
      </c>
      <c r="E8591" s="29" t="s">
        <v>50357</v>
      </c>
      <c r="F8591" s="36" t="s">
        <v>54401</v>
      </c>
      <c r="G8591" s="39">
        <v>2768198</v>
      </c>
      <c r="H8591" s="42">
        <v>211</v>
      </c>
    </row>
    <row r="8592" spans="1:8" ht="15" customHeight="1">
      <c r="A8592" s="26">
        <v>900105197</v>
      </c>
      <c r="B8592" s="30" t="s">
        <v>10815</v>
      </c>
      <c r="C8592" s="29" t="s">
        <v>24890</v>
      </c>
      <c r="D8592" s="29" t="s">
        <v>38209</v>
      </c>
      <c r="E8592" s="29" t="s">
        <v>50358</v>
      </c>
      <c r="F8592" s="36" t="s">
        <v>54401</v>
      </c>
      <c r="G8592" s="39">
        <v>456669.93</v>
      </c>
      <c r="H8592" s="42">
        <v>211</v>
      </c>
    </row>
    <row r="8593" spans="1:8" ht="15" customHeight="1">
      <c r="A8593" s="26">
        <v>900109296</v>
      </c>
      <c r="B8593" s="30" t="s">
        <v>10816</v>
      </c>
      <c r="C8593" s="29" t="s">
        <v>24891</v>
      </c>
      <c r="D8593" s="29" t="s">
        <v>38210</v>
      </c>
      <c r="E8593" s="29" t="s">
        <v>50359</v>
      </c>
      <c r="F8593" s="36" t="s">
        <v>54401</v>
      </c>
      <c r="G8593" s="39">
        <v>39691.31</v>
      </c>
      <c r="H8593" s="42">
        <v>211</v>
      </c>
    </row>
    <row r="8594" spans="1:8" ht="15" customHeight="1">
      <c r="A8594" s="26">
        <v>900110083</v>
      </c>
      <c r="B8594" s="30" t="s">
        <v>10817</v>
      </c>
      <c r="C8594" s="29" t="s">
        <v>17839</v>
      </c>
      <c r="D8594" s="29" t="s">
        <v>38211</v>
      </c>
      <c r="E8594" s="29" t="s">
        <v>50360</v>
      </c>
      <c r="F8594" s="36" t="s">
        <v>54401</v>
      </c>
      <c r="G8594" s="39">
        <v>4043145.75</v>
      </c>
      <c r="H8594" s="42">
        <v>211</v>
      </c>
    </row>
    <row r="8595" spans="1:8" ht="15" customHeight="1">
      <c r="A8595" s="26">
        <v>900111324</v>
      </c>
      <c r="B8595" s="30" t="s">
        <v>10818</v>
      </c>
      <c r="C8595" s="29" t="s">
        <v>24892</v>
      </c>
      <c r="D8595" s="29" t="s">
        <v>38212</v>
      </c>
      <c r="E8595" s="29" t="s">
        <v>50361</v>
      </c>
      <c r="F8595" s="36" t="s">
        <v>54401</v>
      </c>
      <c r="G8595" s="39">
        <v>201763.15</v>
      </c>
      <c r="H8595" s="42">
        <v>211</v>
      </c>
    </row>
    <row r="8596" spans="1:8" ht="15" customHeight="1">
      <c r="A8596" s="26">
        <v>900120485</v>
      </c>
      <c r="B8596" s="30" t="s">
        <v>10819</v>
      </c>
      <c r="C8596" s="29" t="s">
        <v>24893</v>
      </c>
      <c r="D8596" s="29" t="s">
        <v>38213</v>
      </c>
      <c r="E8596" s="29" t="s">
        <v>50362</v>
      </c>
      <c r="F8596" s="36" t="s">
        <v>54412</v>
      </c>
      <c r="G8596" s="39">
        <v>434592.67</v>
      </c>
      <c r="H8596" s="42">
        <v>211</v>
      </c>
    </row>
    <row r="8597" spans="1:8" ht="15" customHeight="1">
      <c r="A8597" s="26">
        <v>900130934</v>
      </c>
      <c r="B8597" s="30" t="s">
        <v>10820</v>
      </c>
      <c r="C8597" s="29" t="s">
        <v>18677</v>
      </c>
      <c r="D8597" s="29" t="s">
        <v>38214</v>
      </c>
      <c r="E8597" s="29" t="s">
        <v>50363</v>
      </c>
      <c r="F8597" s="36" t="s">
        <v>54401</v>
      </c>
      <c r="G8597" s="39">
        <v>6065934.7000000002</v>
      </c>
      <c r="H8597" s="42">
        <v>211</v>
      </c>
    </row>
    <row r="8598" spans="1:8" ht="15" customHeight="1">
      <c r="A8598" s="26">
        <v>900134037</v>
      </c>
      <c r="B8598" s="30" t="s">
        <v>10821</v>
      </c>
      <c r="C8598" s="29" t="s">
        <v>24894</v>
      </c>
      <c r="D8598" s="29" t="s">
        <v>38215</v>
      </c>
      <c r="E8598" s="29" t="s">
        <v>50364</v>
      </c>
      <c r="F8598" s="36" t="s">
        <v>54401</v>
      </c>
      <c r="G8598" s="39">
        <v>3961205.84</v>
      </c>
      <c r="H8598" s="42">
        <v>211</v>
      </c>
    </row>
    <row r="8599" spans="1:8" ht="15" customHeight="1">
      <c r="A8599" s="26">
        <v>900137754</v>
      </c>
      <c r="B8599" s="30" t="s">
        <v>10822</v>
      </c>
      <c r="C8599" s="29" t="s">
        <v>24895</v>
      </c>
      <c r="D8599" s="29" t="s">
        <v>31384</v>
      </c>
      <c r="E8599" s="29" t="s">
        <v>44852</v>
      </c>
      <c r="F8599" s="36" t="s">
        <v>54401</v>
      </c>
      <c r="G8599" s="39">
        <v>659649.65</v>
      </c>
      <c r="H8599" s="42">
        <v>211</v>
      </c>
    </row>
    <row r="8600" spans="1:8" ht="15" customHeight="1">
      <c r="A8600" s="26">
        <v>900139985</v>
      </c>
      <c r="B8600" s="30" t="s">
        <v>10823</v>
      </c>
      <c r="C8600" s="29" t="s">
        <v>24896</v>
      </c>
      <c r="D8600" s="29" t="s">
        <v>38216</v>
      </c>
      <c r="E8600" s="29" t="s">
        <v>50365</v>
      </c>
      <c r="F8600" s="36" t="s">
        <v>54401</v>
      </c>
      <c r="G8600" s="39">
        <v>3021252</v>
      </c>
      <c r="H8600" s="42">
        <v>211</v>
      </c>
    </row>
    <row r="8601" spans="1:8" ht="15" customHeight="1">
      <c r="A8601" s="26">
        <v>900141228</v>
      </c>
      <c r="B8601" s="30" t="s">
        <v>10824</v>
      </c>
      <c r="C8601" s="29" t="s">
        <v>24897</v>
      </c>
      <c r="D8601" s="29" t="s">
        <v>38217</v>
      </c>
      <c r="E8601" s="29" t="s">
        <v>43926</v>
      </c>
      <c r="F8601" s="36" t="s">
        <v>54401</v>
      </c>
      <c r="G8601" s="39">
        <v>51318.35</v>
      </c>
      <c r="H8601" s="42">
        <v>211</v>
      </c>
    </row>
    <row r="8602" spans="1:8" ht="15" customHeight="1">
      <c r="A8602" s="26">
        <v>900141706</v>
      </c>
      <c r="B8602" s="30" t="s">
        <v>10825</v>
      </c>
      <c r="C8602" s="29" t="s">
        <v>18866</v>
      </c>
      <c r="D8602" s="29" t="s">
        <v>38218</v>
      </c>
      <c r="E8602" s="29" t="s">
        <v>50366</v>
      </c>
      <c r="F8602" s="36" t="s">
        <v>54401</v>
      </c>
      <c r="G8602" s="39">
        <v>921011</v>
      </c>
      <c r="H8602" s="42">
        <v>211</v>
      </c>
    </row>
    <row r="8603" spans="1:8" ht="15" customHeight="1">
      <c r="A8603" s="26">
        <v>900145002</v>
      </c>
      <c r="B8603" s="30" t="s">
        <v>10826</v>
      </c>
      <c r="C8603" s="29" t="s">
        <v>24898</v>
      </c>
      <c r="D8603" s="29" t="s">
        <v>38219</v>
      </c>
      <c r="E8603" s="29" t="s">
        <v>50367</v>
      </c>
      <c r="F8603" s="36" t="s">
        <v>54401</v>
      </c>
      <c r="G8603" s="39">
        <v>5835624</v>
      </c>
      <c r="H8603" s="42">
        <v>211</v>
      </c>
    </row>
    <row r="8604" spans="1:8" ht="15" customHeight="1">
      <c r="A8604" s="26">
        <v>900146251</v>
      </c>
      <c r="B8604" s="30" t="s">
        <v>10827</v>
      </c>
      <c r="C8604" s="29" t="s">
        <v>24899</v>
      </c>
      <c r="D8604" s="29" t="s">
        <v>38220</v>
      </c>
      <c r="E8604" s="29" t="s">
        <v>50368</v>
      </c>
      <c r="F8604" s="36" t="s">
        <v>54401</v>
      </c>
      <c r="G8604" s="39">
        <v>20756.3</v>
      </c>
      <c r="H8604" s="42">
        <v>211</v>
      </c>
    </row>
    <row r="8605" spans="1:8" ht="15" customHeight="1">
      <c r="A8605" s="26">
        <v>900147270</v>
      </c>
      <c r="B8605" s="30" t="s">
        <v>10828</v>
      </c>
      <c r="C8605" s="29" t="s">
        <v>17204</v>
      </c>
      <c r="D8605" s="29" t="s">
        <v>38221</v>
      </c>
      <c r="E8605" s="29" t="s">
        <v>50369</v>
      </c>
      <c r="F8605" s="36" t="s">
        <v>54449</v>
      </c>
      <c r="G8605" s="39">
        <v>46810.5</v>
      </c>
      <c r="H8605" s="42">
        <v>211</v>
      </c>
    </row>
    <row r="8606" spans="1:8" ht="15" customHeight="1">
      <c r="A8606" s="26">
        <v>900150564</v>
      </c>
      <c r="B8606" s="30" t="s">
        <v>10829</v>
      </c>
      <c r="C8606" s="29" t="s">
        <v>24900</v>
      </c>
      <c r="D8606" s="29" t="s">
        <v>38222</v>
      </c>
      <c r="E8606" s="29" t="s">
        <v>50370</v>
      </c>
      <c r="F8606" s="36" t="s">
        <v>54423</v>
      </c>
      <c r="G8606" s="39">
        <v>1021428.57</v>
      </c>
      <c r="H8606" s="42">
        <v>211</v>
      </c>
    </row>
    <row r="8607" spans="1:8" ht="15" customHeight="1">
      <c r="A8607" s="27">
        <v>900156264</v>
      </c>
      <c r="B8607" s="26" t="s">
        <v>10830</v>
      </c>
      <c r="C8607" s="32"/>
      <c r="D8607" s="32"/>
      <c r="E8607" s="26" t="s">
        <v>731</v>
      </c>
      <c r="F8607" s="26" t="s">
        <v>731</v>
      </c>
      <c r="G8607" s="41">
        <v>79344879</v>
      </c>
      <c r="H8607" s="26">
        <v>901</v>
      </c>
    </row>
    <row r="8608" spans="1:8" ht="15" customHeight="1">
      <c r="A8608" s="26">
        <v>900159239</v>
      </c>
      <c r="B8608" s="30" t="s">
        <v>10831</v>
      </c>
      <c r="C8608" s="29" t="s">
        <v>24901</v>
      </c>
      <c r="D8608" s="29" t="s">
        <v>38223</v>
      </c>
      <c r="E8608" s="29" t="s">
        <v>50371</v>
      </c>
      <c r="F8608" s="36" t="s">
        <v>54422</v>
      </c>
      <c r="G8608" s="39">
        <v>21361.34</v>
      </c>
      <c r="H8608" s="42">
        <v>211</v>
      </c>
    </row>
    <row r="8609" spans="1:8" ht="15" customHeight="1">
      <c r="A8609" s="26">
        <v>900160822</v>
      </c>
      <c r="B8609" s="30" t="s">
        <v>10832</v>
      </c>
      <c r="C8609" s="29" t="s">
        <v>24902</v>
      </c>
      <c r="D8609" s="29" t="s">
        <v>38224</v>
      </c>
      <c r="E8609" s="29" t="s">
        <v>50372</v>
      </c>
      <c r="F8609" s="36" t="s">
        <v>54401</v>
      </c>
      <c r="G8609" s="39">
        <v>361092.44</v>
      </c>
      <c r="H8609" s="42">
        <v>211</v>
      </c>
    </row>
    <row r="8610" spans="1:8" ht="15" customHeight="1">
      <c r="A8610" s="26">
        <v>900164477</v>
      </c>
      <c r="B8610" s="30" t="s">
        <v>10833</v>
      </c>
      <c r="C8610" s="29" t="s">
        <v>24903</v>
      </c>
      <c r="D8610" s="29" t="s">
        <v>38225</v>
      </c>
      <c r="E8610" s="29" t="s">
        <v>44616</v>
      </c>
      <c r="F8610" s="36" t="s">
        <v>54401</v>
      </c>
      <c r="G8610" s="39">
        <v>6554.63</v>
      </c>
      <c r="H8610" s="42">
        <v>211</v>
      </c>
    </row>
    <row r="8611" spans="1:8" ht="15" customHeight="1">
      <c r="A8611" s="26">
        <v>900164635</v>
      </c>
      <c r="B8611" s="30" t="s">
        <v>10834</v>
      </c>
      <c r="C8611" s="29" t="s">
        <v>24904</v>
      </c>
      <c r="D8611" s="29" t="s">
        <v>38226</v>
      </c>
      <c r="E8611" s="29" t="s">
        <v>46041</v>
      </c>
      <c r="F8611" s="36" t="s">
        <v>54401</v>
      </c>
      <c r="G8611" s="39">
        <v>68442.14</v>
      </c>
      <c r="H8611" s="42">
        <v>211</v>
      </c>
    </row>
    <row r="8612" spans="1:8" ht="15" customHeight="1">
      <c r="A8612" s="26">
        <v>900166251</v>
      </c>
      <c r="B8612" s="30" t="s">
        <v>10835</v>
      </c>
      <c r="C8612" s="29" t="s">
        <v>24905</v>
      </c>
      <c r="D8612" s="29" t="s">
        <v>38227</v>
      </c>
      <c r="E8612" s="29" t="s">
        <v>50373</v>
      </c>
      <c r="F8612" s="36" t="s">
        <v>54401</v>
      </c>
      <c r="G8612" s="39">
        <v>353331.87</v>
      </c>
      <c r="H8612" s="42">
        <v>211</v>
      </c>
    </row>
    <row r="8613" spans="1:8" ht="15" customHeight="1">
      <c r="A8613" s="26">
        <v>900167071</v>
      </c>
      <c r="B8613" s="26" t="s">
        <v>10836</v>
      </c>
      <c r="C8613" s="32"/>
      <c r="D8613" s="32"/>
      <c r="E8613" s="26" t="s">
        <v>50374</v>
      </c>
      <c r="F8613" s="26" t="s">
        <v>54402</v>
      </c>
      <c r="G8613" s="41">
        <v>9504100</v>
      </c>
      <c r="H8613" s="26">
        <v>4729</v>
      </c>
    </row>
    <row r="8614" spans="1:8" ht="15" customHeight="1">
      <c r="A8614" s="26">
        <v>900170371</v>
      </c>
      <c r="B8614" s="30" t="s">
        <v>10837</v>
      </c>
      <c r="C8614" s="29" t="s">
        <v>24906</v>
      </c>
      <c r="D8614" s="29" t="s">
        <v>38228</v>
      </c>
      <c r="E8614" s="29" t="s">
        <v>50375</v>
      </c>
      <c r="F8614" s="36" t="s">
        <v>54401</v>
      </c>
      <c r="G8614" s="39">
        <v>10953.28</v>
      </c>
      <c r="H8614" s="42">
        <v>211</v>
      </c>
    </row>
    <row r="8615" spans="1:8" ht="15" customHeight="1">
      <c r="A8615" s="26">
        <v>900180723</v>
      </c>
      <c r="B8615" s="30" t="s">
        <v>10838</v>
      </c>
      <c r="C8615" s="29" t="s">
        <v>24907</v>
      </c>
      <c r="D8615" s="29" t="s">
        <v>38229</v>
      </c>
      <c r="E8615" s="29" t="s">
        <v>50376</v>
      </c>
      <c r="F8615" s="36" t="s">
        <v>54406</v>
      </c>
      <c r="G8615" s="39">
        <v>1913966.8</v>
      </c>
      <c r="H8615" s="42">
        <v>211</v>
      </c>
    </row>
    <row r="8616" spans="1:8" ht="15" customHeight="1">
      <c r="A8616" s="26">
        <v>900182798</v>
      </c>
      <c r="B8616" s="30" t="s">
        <v>10839</v>
      </c>
      <c r="C8616" s="29" t="s">
        <v>24908</v>
      </c>
      <c r="D8616" s="29" t="s">
        <v>38230</v>
      </c>
      <c r="E8616" s="29" t="s">
        <v>50377</v>
      </c>
      <c r="F8616" s="36" t="s">
        <v>54412</v>
      </c>
      <c r="G8616" s="39">
        <v>74040</v>
      </c>
      <c r="H8616" s="42">
        <v>211</v>
      </c>
    </row>
    <row r="8617" spans="1:8" ht="15" customHeight="1">
      <c r="A8617" s="26">
        <v>900186494</v>
      </c>
      <c r="B8617" s="30" t="s">
        <v>10840</v>
      </c>
      <c r="C8617" s="29" t="s">
        <v>24909</v>
      </c>
      <c r="D8617" s="29" t="s">
        <v>38231</v>
      </c>
      <c r="E8617" s="29" t="s">
        <v>50378</v>
      </c>
      <c r="F8617" s="36" t="s">
        <v>54413</v>
      </c>
      <c r="G8617" s="39">
        <v>1217987.55</v>
      </c>
      <c r="H8617" s="42">
        <v>211</v>
      </c>
    </row>
    <row r="8618" spans="1:8" ht="15" customHeight="1">
      <c r="A8618" s="26">
        <v>900187229</v>
      </c>
      <c r="B8618" s="30" t="s">
        <v>10841</v>
      </c>
      <c r="C8618" s="29" t="s">
        <v>24910</v>
      </c>
      <c r="D8618" s="29" t="s">
        <v>38232</v>
      </c>
      <c r="E8618" s="29" t="s">
        <v>50379</v>
      </c>
      <c r="F8618" s="36" t="s">
        <v>54412</v>
      </c>
      <c r="G8618" s="39">
        <v>889769</v>
      </c>
      <c r="H8618" s="42">
        <v>211</v>
      </c>
    </row>
    <row r="8619" spans="1:8" ht="15" customHeight="1">
      <c r="A8619" s="26">
        <v>900192689</v>
      </c>
      <c r="B8619" s="30" t="s">
        <v>10842</v>
      </c>
      <c r="C8619" s="29" t="s">
        <v>24911</v>
      </c>
      <c r="D8619" s="29" t="s">
        <v>38233</v>
      </c>
      <c r="E8619" s="29" t="s">
        <v>50380</v>
      </c>
      <c r="F8619" s="36" t="s">
        <v>54401</v>
      </c>
      <c r="G8619" s="39">
        <v>138655.46</v>
      </c>
      <c r="H8619" s="42">
        <v>211</v>
      </c>
    </row>
    <row r="8620" spans="1:8" ht="15" customHeight="1">
      <c r="A8620" s="26">
        <v>900193421</v>
      </c>
      <c r="B8620" s="30" t="s">
        <v>10843</v>
      </c>
      <c r="C8620" s="29" t="s">
        <v>24912</v>
      </c>
      <c r="D8620" s="29" t="s">
        <v>38234</v>
      </c>
      <c r="E8620" s="29" t="s">
        <v>50381</v>
      </c>
      <c r="F8620" s="36" t="s">
        <v>54401</v>
      </c>
      <c r="G8620" s="39">
        <v>11063994</v>
      </c>
      <c r="H8620" s="42">
        <v>211</v>
      </c>
    </row>
    <row r="8621" spans="1:8" ht="15" customHeight="1">
      <c r="A8621" s="26">
        <v>900193659</v>
      </c>
      <c r="B8621" s="26" t="s">
        <v>10844</v>
      </c>
      <c r="C8621" s="32"/>
      <c r="D8621" s="32"/>
      <c r="E8621" s="26" t="s">
        <v>50382</v>
      </c>
      <c r="F8621" s="26" t="s">
        <v>54402</v>
      </c>
      <c r="G8621" s="41">
        <v>30590922</v>
      </c>
      <c r="H8621" s="26">
        <v>4729</v>
      </c>
    </row>
    <row r="8622" spans="1:8" ht="15" customHeight="1">
      <c r="A8622" s="26">
        <v>900199386</v>
      </c>
      <c r="B8622" s="30" t="s">
        <v>10845</v>
      </c>
      <c r="C8622" s="29" t="s">
        <v>24913</v>
      </c>
      <c r="D8622" s="29" t="s">
        <v>38235</v>
      </c>
      <c r="E8622" s="29" t="s">
        <v>50383</v>
      </c>
      <c r="F8622" s="36" t="s">
        <v>54412</v>
      </c>
      <c r="G8622" s="39">
        <v>26613.439999999999</v>
      </c>
      <c r="H8622" s="42">
        <v>211</v>
      </c>
    </row>
    <row r="8623" spans="1:8" ht="15" customHeight="1">
      <c r="A8623" s="26">
        <v>900199968</v>
      </c>
      <c r="B8623" s="30" t="s">
        <v>10846</v>
      </c>
      <c r="C8623" s="29" t="s">
        <v>24914</v>
      </c>
      <c r="D8623" s="29" t="s">
        <v>38236</v>
      </c>
      <c r="E8623" s="29" t="s">
        <v>50384</v>
      </c>
      <c r="F8623" s="36" t="s">
        <v>54412</v>
      </c>
      <c r="G8623" s="39">
        <v>7176.48</v>
      </c>
      <c r="H8623" s="42">
        <v>211</v>
      </c>
    </row>
    <row r="8624" spans="1:8" ht="15" customHeight="1">
      <c r="A8624" s="26">
        <v>900200741</v>
      </c>
      <c r="B8624" s="30" t="s">
        <v>10847</v>
      </c>
      <c r="C8624" s="29" t="s">
        <v>24915</v>
      </c>
      <c r="D8624" s="29" t="s">
        <v>38237</v>
      </c>
      <c r="E8624" s="29" t="s">
        <v>50385</v>
      </c>
      <c r="F8624" s="36" t="s">
        <v>54401</v>
      </c>
      <c r="G8624" s="39">
        <v>11063165</v>
      </c>
      <c r="H8624" s="42">
        <v>211</v>
      </c>
    </row>
    <row r="8625" spans="1:8" ht="15" customHeight="1">
      <c r="A8625" s="26">
        <v>900201833</v>
      </c>
      <c r="B8625" s="30" t="s">
        <v>10848</v>
      </c>
      <c r="C8625" s="29" t="s">
        <v>24916</v>
      </c>
      <c r="D8625" s="29" t="s">
        <v>38238</v>
      </c>
      <c r="E8625" s="29" t="s">
        <v>50386</v>
      </c>
      <c r="F8625" s="36" t="s">
        <v>54401</v>
      </c>
      <c r="G8625" s="39">
        <v>10656157</v>
      </c>
      <c r="H8625" s="42">
        <v>211</v>
      </c>
    </row>
    <row r="8626" spans="1:8" ht="15" customHeight="1">
      <c r="A8626" s="26">
        <v>900215119</v>
      </c>
      <c r="B8626" s="30" t="s">
        <v>10849</v>
      </c>
      <c r="C8626" s="29" t="s">
        <v>24917</v>
      </c>
      <c r="D8626" s="29" t="s">
        <v>38239</v>
      </c>
      <c r="E8626" s="29" t="s">
        <v>50387</v>
      </c>
      <c r="F8626" s="36" t="s">
        <v>54401</v>
      </c>
      <c r="G8626" s="39">
        <f>1421477.33+10084</f>
        <v>1431561.33</v>
      </c>
      <c r="H8626" s="42">
        <v>211</v>
      </c>
    </row>
    <row r="8627" spans="1:8" ht="15" customHeight="1">
      <c r="A8627" s="26">
        <v>900215876</v>
      </c>
      <c r="B8627" s="30" t="s">
        <v>10850</v>
      </c>
      <c r="C8627" s="29" t="s">
        <v>24918</v>
      </c>
      <c r="D8627" s="29" t="s">
        <v>38240</v>
      </c>
      <c r="E8627" s="29" t="s">
        <v>46906</v>
      </c>
      <c r="F8627" s="36" t="s">
        <v>54401</v>
      </c>
      <c r="G8627" s="39">
        <v>80791.600000000006</v>
      </c>
      <c r="H8627" s="42">
        <v>211</v>
      </c>
    </row>
    <row r="8628" spans="1:8" ht="15" customHeight="1">
      <c r="A8628" s="26">
        <v>900223061</v>
      </c>
      <c r="B8628" s="30" t="s">
        <v>10851</v>
      </c>
      <c r="C8628" s="29" t="s">
        <v>24919</v>
      </c>
      <c r="D8628" s="29" t="s">
        <v>38241</v>
      </c>
      <c r="E8628" s="29" t="s">
        <v>43926</v>
      </c>
      <c r="F8628" s="36" t="s">
        <v>54401</v>
      </c>
      <c r="G8628" s="39">
        <v>439958</v>
      </c>
      <c r="H8628" s="42">
        <v>211</v>
      </c>
    </row>
    <row r="8629" spans="1:8" ht="15" customHeight="1">
      <c r="A8629" s="26">
        <v>900228325</v>
      </c>
      <c r="B8629" s="30" t="s">
        <v>10852</v>
      </c>
      <c r="C8629" s="29" t="s">
        <v>21735</v>
      </c>
      <c r="D8629" s="29" t="s">
        <v>38242</v>
      </c>
      <c r="E8629" s="29" t="s">
        <v>50388</v>
      </c>
      <c r="F8629" s="36" t="s">
        <v>54401</v>
      </c>
      <c r="G8629" s="39">
        <v>166197.20000000001</v>
      </c>
      <c r="H8629" s="42">
        <v>211</v>
      </c>
    </row>
    <row r="8630" spans="1:8" ht="15" customHeight="1">
      <c r="A8630" s="26">
        <v>900230610</v>
      </c>
      <c r="B8630" s="30" t="s">
        <v>10853</v>
      </c>
      <c r="C8630" s="29" t="s">
        <v>24920</v>
      </c>
      <c r="D8630" s="29" t="s">
        <v>38243</v>
      </c>
      <c r="E8630" s="29" t="s">
        <v>50389</v>
      </c>
      <c r="F8630" s="36" t="s">
        <v>54401</v>
      </c>
      <c r="G8630" s="39">
        <v>913363.57</v>
      </c>
      <c r="H8630" s="42">
        <v>211</v>
      </c>
    </row>
    <row r="8631" spans="1:8" ht="15" customHeight="1">
      <c r="A8631" s="26">
        <v>900231041</v>
      </c>
      <c r="B8631" s="30" t="s">
        <v>10854</v>
      </c>
      <c r="C8631" s="26" t="s">
        <v>24921</v>
      </c>
      <c r="D8631" s="26" t="s">
        <v>38244</v>
      </c>
      <c r="E8631" s="26" t="s">
        <v>50390</v>
      </c>
      <c r="F8631" s="37" t="s">
        <v>54409</v>
      </c>
      <c r="G8631" s="39">
        <v>158496.87</v>
      </c>
      <c r="H8631" s="42">
        <v>211</v>
      </c>
    </row>
    <row r="8632" spans="1:8" ht="15" customHeight="1">
      <c r="A8632" s="26">
        <v>900236728</v>
      </c>
      <c r="B8632" s="30" t="s">
        <v>10855</v>
      </c>
      <c r="C8632" s="29" t="s">
        <v>17870</v>
      </c>
      <c r="D8632" s="29" t="s">
        <v>38245</v>
      </c>
      <c r="E8632" s="29" t="s">
        <v>50391</v>
      </c>
      <c r="F8632" s="36" t="s">
        <v>54412</v>
      </c>
      <c r="G8632" s="39">
        <v>756736.48</v>
      </c>
      <c r="H8632" s="42">
        <v>211</v>
      </c>
    </row>
    <row r="8633" spans="1:8" ht="15" customHeight="1">
      <c r="A8633" s="26">
        <v>900244577</v>
      </c>
      <c r="B8633" s="30" t="s">
        <v>10856</v>
      </c>
      <c r="C8633" s="29" t="s">
        <v>24922</v>
      </c>
      <c r="D8633" s="29" t="s">
        <v>38246</v>
      </c>
      <c r="E8633" s="29" t="s">
        <v>50392</v>
      </c>
      <c r="F8633" s="36" t="s">
        <v>54413</v>
      </c>
      <c r="G8633" s="39">
        <v>2358034.35</v>
      </c>
      <c r="H8633" s="42">
        <v>211</v>
      </c>
    </row>
    <row r="8634" spans="1:8" ht="15" customHeight="1">
      <c r="A8634" s="26">
        <v>900247876</v>
      </c>
      <c r="B8634" s="30" t="s">
        <v>10857</v>
      </c>
      <c r="C8634" s="29" t="s">
        <v>24923</v>
      </c>
      <c r="D8634" s="29" t="s">
        <v>38247</v>
      </c>
      <c r="E8634" s="29" t="s">
        <v>50393</v>
      </c>
      <c r="F8634" s="36" t="s">
        <v>54420</v>
      </c>
      <c r="G8634" s="39">
        <v>165756.09</v>
      </c>
      <c r="H8634" s="42">
        <v>211</v>
      </c>
    </row>
    <row r="8635" spans="1:8" ht="15" customHeight="1">
      <c r="A8635" s="26">
        <v>900249795</v>
      </c>
      <c r="B8635" s="30" t="s">
        <v>10858</v>
      </c>
      <c r="C8635" s="26" t="s">
        <v>24924</v>
      </c>
      <c r="D8635" s="26" t="s">
        <v>38248</v>
      </c>
      <c r="E8635" s="26" t="s">
        <v>50394</v>
      </c>
      <c r="F8635" s="37" t="s">
        <v>54401</v>
      </c>
      <c r="G8635" s="39">
        <v>928927</v>
      </c>
      <c r="H8635" s="42">
        <v>211</v>
      </c>
    </row>
    <row r="8636" spans="1:8" ht="15" customHeight="1">
      <c r="A8636" s="26">
        <v>900250089</v>
      </c>
      <c r="B8636" s="30" t="s">
        <v>10859</v>
      </c>
      <c r="C8636" s="29" t="s">
        <v>24925</v>
      </c>
      <c r="D8636" s="29" t="s">
        <v>38249</v>
      </c>
      <c r="E8636" s="29" t="s">
        <v>50395</v>
      </c>
      <c r="F8636" s="36" t="s">
        <v>54401</v>
      </c>
      <c r="G8636" s="39">
        <v>5037448.87</v>
      </c>
      <c r="H8636" s="42">
        <v>211</v>
      </c>
    </row>
    <row r="8637" spans="1:8" ht="15" customHeight="1">
      <c r="A8637" s="26">
        <v>900252485</v>
      </c>
      <c r="B8637" s="30" t="s">
        <v>10860</v>
      </c>
      <c r="C8637" s="29" t="s">
        <v>24926</v>
      </c>
      <c r="D8637" s="29" t="s">
        <v>38250</v>
      </c>
      <c r="E8637" s="29" t="s">
        <v>50396</v>
      </c>
      <c r="F8637" s="36" t="s">
        <v>54401</v>
      </c>
      <c r="G8637" s="39">
        <v>463914.81</v>
      </c>
      <c r="H8637" s="42">
        <v>211</v>
      </c>
    </row>
    <row r="8638" spans="1:8" ht="15" customHeight="1">
      <c r="A8638" s="26">
        <v>900253868</v>
      </c>
      <c r="B8638" s="30" t="s">
        <v>10861</v>
      </c>
      <c r="C8638" s="26" t="s">
        <v>24927</v>
      </c>
      <c r="D8638" s="26" t="s">
        <v>38251</v>
      </c>
      <c r="E8638" s="26" t="s">
        <v>43926</v>
      </c>
      <c r="F8638" s="37" t="s">
        <v>54401</v>
      </c>
      <c r="G8638" s="39">
        <v>113384.2</v>
      </c>
      <c r="H8638" s="42">
        <v>211</v>
      </c>
    </row>
    <row r="8639" spans="1:8" ht="15" customHeight="1">
      <c r="A8639" s="26">
        <v>900267476</v>
      </c>
      <c r="B8639" s="30" t="s">
        <v>10862</v>
      </c>
      <c r="C8639" s="29" t="s">
        <v>24928</v>
      </c>
      <c r="D8639" s="29" t="s">
        <v>38252</v>
      </c>
      <c r="E8639" s="29" t="s">
        <v>50397</v>
      </c>
      <c r="F8639" s="36" t="s">
        <v>54427</v>
      </c>
      <c r="G8639" s="39">
        <v>2421359.31</v>
      </c>
      <c r="H8639" s="42">
        <v>211</v>
      </c>
    </row>
    <row r="8640" spans="1:8" ht="15" customHeight="1">
      <c r="A8640" s="26">
        <v>900268419</v>
      </c>
      <c r="B8640" s="30" t="s">
        <v>10863</v>
      </c>
      <c r="C8640" s="29" t="s">
        <v>24929</v>
      </c>
      <c r="D8640" s="29" t="s">
        <v>38253</v>
      </c>
      <c r="E8640" s="29" t="s">
        <v>50398</v>
      </c>
      <c r="F8640" s="36" t="s">
        <v>54401</v>
      </c>
      <c r="G8640" s="39">
        <v>167666.82</v>
      </c>
      <c r="H8640" s="42">
        <v>211</v>
      </c>
    </row>
    <row r="8641" spans="1:8" ht="15" customHeight="1">
      <c r="A8641" s="26">
        <v>900271087</v>
      </c>
      <c r="B8641" s="30" t="s">
        <v>10864</v>
      </c>
      <c r="C8641" s="29" t="s">
        <v>24930</v>
      </c>
      <c r="D8641" s="29" t="s">
        <v>38254</v>
      </c>
      <c r="E8641" s="29" t="s">
        <v>50399</v>
      </c>
      <c r="F8641" s="36" t="s">
        <v>54401</v>
      </c>
      <c r="G8641" s="39">
        <v>2714605</v>
      </c>
      <c r="H8641" s="42">
        <v>211</v>
      </c>
    </row>
    <row r="8642" spans="1:8" ht="15" customHeight="1">
      <c r="A8642" s="26">
        <v>900271906</v>
      </c>
      <c r="B8642" s="30" t="s">
        <v>10865</v>
      </c>
      <c r="C8642" s="29" t="s">
        <v>24931</v>
      </c>
      <c r="D8642" s="29" t="s">
        <v>38255</v>
      </c>
      <c r="E8642" s="29" t="s">
        <v>50400</v>
      </c>
      <c r="F8642" s="36" t="s">
        <v>54401</v>
      </c>
      <c r="G8642" s="39">
        <v>7718440</v>
      </c>
      <c r="H8642" s="42">
        <v>211</v>
      </c>
    </row>
    <row r="8643" spans="1:8" ht="15" customHeight="1">
      <c r="A8643" s="26">
        <v>900278384</v>
      </c>
      <c r="B8643" s="30" t="s">
        <v>10866</v>
      </c>
      <c r="C8643" s="29" t="s">
        <v>24932</v>
      </c>
      <c r="D8643" s="29" t="s">
        <v>38256</v>
      </c>
      <c r="E8643" s="29" t="s">
        <v>50401</v>
      </c>
      <c r="F8643" s="36" t="s">
        <v>54401</v>
      </c>
      <c r="G8643" s="39">
        <v>4643405.7699999996</v>
      </c>
      <c r="H8643" s="42">
        <v>211</v>
      </c>
    </row>
    <row r="8644" spans="1:8" ht="15" customHeight="1">
      <c r="A8644" s="26">
        <v>900280265</v>
      </c>
      <c r="B8644" s="30" t="s">
        <v>10867</v>
      </c>
      <c r="C8644" s="29" t="s">
        <v>24933</v>
      </c>
      <c r="D8644" s="29" t="s">
        <v>38257</v>
      </c>
      <c r="E8644" s="29" t="s">
        <v>50402</v>
      </c>
      <c r="F8644" s="36" t="s">
        <v>54402</v>
      </c>
      <c r="G8644" s="39">
        <v>16689.080000000002</v>
      </c>
      <c r="H8644" s="42">
        <v>211</v>
      </c>
    </row>
    <row r="8645" spans="1:8" ht="15" customHeight="1">
      <c r="A8645" s="26">
        <v>900283636</v>
      </c>
      <c r="B8645" s="30" t="s">
        <v>10868</v>
      </c>
      <c r="C8645" s="29" t="s">
        <v>24934</v>
      </c>
      <c r="D8645" s="29" t="s">
        <v>38258</v>
      </c>
      <c r="E8645" s="29" t="s">
        <v>50403</v>
      </c>
      <c r="F8645" s="36" t="s">
        <v>54401</v>
      </c>
      <c r="G8645" s="39">
        <v>2780779.66</v>
      </c>
      <c r="H8645" s="42">
        <v>211</v>
      </c>
    </row>
    <row r="8646" spans="1:8" ht="15" customHeight="1">
      <c r="A8646" s="26">
        <v>900292332</v>
      </c>
      <c r="B8646" s="30" t="s">
        <v>10869</v>
      </c>
      <c r="C8646" s="29" t="s">
        <v>24935</v>
      </c>
      <c r="D8646" s="29" t="s">
        <v>38259</v>
      </c>
      <c r="E8646" s="29" t="s">
        <v>43926</v>
      </c>
      <c r="F8646" s="36" t="s">
        <v>54401</v>
      </c>
      <c r="G8646" s="39">
        <v>1228613.76</v>
      </c>
      <c r="H8646" s="42">
        <v>211</v>
      </c>
    </row>
    <row r="8647" spans="1:8" ht="15" customHeight="1">
      <c r="A8647" s="26">
        <v>900297127</v>
      </c>
      <c r="B8647" s="30" t="s">
        <v>10870</v>
      </c>
      <c r="C8647" s="29" t="s">
        <v>24936</v>
      </c>
      <c r="D8647" s="29" t="s">
        <v>38260</v>
      </c>
      <c r="E8647" s="29" t="s">
        <v>50404</v>
      </c>
      <c r="F8647" s="36" t="s">
        <v>54413</v>
      </c>
      <c r="G8647" s="39">
        <v>3477116</v>
      </c>
      <c r="H8647" s="42">
        <v>211</v>
      </c>
    </row>
    <row r="8648" spans="1:8" ht="15" customHeight="1">
      <c r="A8648" s="26">
        <v>900299952</v>
      </c>
      <c r="B8648" s="30" t="s">
        <v>10871</v>
      </c>
      <c r="C8648" s="29" t="s">
        <v>24937</v>
      </c>
      <c r="D8648" s="29" t="s">
        <v>38261</v>
      </c>
      <c r="E8648" s="29" t="s">
        <v>50405</v>
      </c>
      <c r="F8648" s="36" t="s">
        <v>54401</v>
      </c>
      <c r="G8648" s="39">
        <v>473665</v>
      </c>
      <c r="H8648" s="42">
        <v>211</v>
      </c>
    </row>
    <row r="8649" spans="1:8" ht="15" customHeight="1">
      <c r="A8649" s="26">
        <v>900304105</v>
      </c>
      <c r="B8649" s="30" t="s">
        <v>10872</v>
      </c>
      <c r="C8649" s="29" t="s">
        <v>24938</v>
      </c>
      <c r="D8649" s="29" t="s">
        <v>38262</v>
      </c>
      <c r="E8649" s="29" t="s">
        <v>50406</v>
      </c>
      <c r="F8649" s="36" t="s">
        <v>54401</v>
      </c>
      <c r="G8649" s="39">
        <v>51134.44</v>
      </c>
      <c r="H8649" s="42">
        <v>211</v>
      </c>
    </row>
    <row r="8650" spans="1:8" ht="15" customHeight="1">
      <c r="A8650" s="26">
        <v>900306892</v>
      </c>
      <c r="B8650" s="30" t="s">
        <v>10873</v>
      </c>
      <c r="C8650" s="29" t="s">
        <v>24939</v>
      </c>
      <c r="D8650" s="29" t="s">
        <v>38263</v>
      </c>
      <c r="E8650" s="29" t="s">
        <v>50407</v>
      </c>
      <c r="F8650" s="36" t="s">
        <v>54412</v>
      </c>
      <c r="G8650" s="39">
        <v>42302.58</v>
      </c>
      <c r="H8650" s="42">
        <v>211</v>
      </c>
    </row>
    <row r="8651" spans="1:8" ht="15" customHeight="1">
      <c r="A8651" s="26">
        <v>900309208</v>
      </c>
      <c r="B8651" s="30" t="s">
        <v>10874</v>
      </c>
      <c r="C8651" s="29" t="s">
        <v>24940</v>
      </c>
      <c r="D8651" s="29" t="s">
        <v>38264</v>
      </c>
      <c r="E8651" s="29" t="s">
        <v>50408</v>
      </c>
      <c r="F8651" s="36" t="s">
        <v>54401</v>
      </c>
      <c r="G8651" s="39">
        <v>111952.67</v>
      </c>
      <c r="H8651" s="42">
        <v>211</v>
      </c>
    </row>
    <row r="8652" spans="1:8" ht="15" customHeight="1">
      <c r="A8652" s="26">
        <v>900317177</v>
      </c>
      <c r="B8652" s="30" t="s">
        <v>10875</v>
      </c>
      <c r="C8652" s="29" t="s">
        <v>24941</v>
      </c>
      <c r="D8652" s="29" t="s">
        <v>38265</v>
      </c>
      <c r="E8652" s="29" t="s">
        <v>50409</v>
      </c>
      <c r="F8652" s="36" t="s">
        <v>54401</v>
      </c>
      <c r="G8652" s="39">
        <v>268172</v>
      </c>
      <c r="H8652" s="42">
        <v>211</v>
      </c>
    </row>
    <row r="8653" spans="1:8" ht="15" customHeight="1">
      <c r="A8653" s="26">
        <v>900321289</v>
      </c>
      <c r="B8653" s="30" t="s">
        <v>10876</v>
      </c>
      <c r="C8653" s="29" t="s">
        <v>24942</v>
      </c>
      <c r="D8653" s="29" t="s">
        <v>38266</v>
      </c>
      <c r="E8653" s="29" t="s">
        <v>50410</v>
      </c>
      <c r="F8653" s="36" t="s">
        <v>54412</v>
      </c>
      <c r="G8653" s="39">
        <v>1319317.1200000001</v>
      </c>
      <c r="H8653" s="42">
        <v>211</v>
      </c>
    </row>
    <row r="8654" spans="1:8" ht="15" customHeight="1">
      <c r="A8654" s="26">
        <v>900323613</v>
      </c>
      <c r="B8654" s="30" t="s">
        <v>10877</v>
      </c>
      <c r="C8654" s="29" t="s">
        <v>24943</v>
      </c>
      <c r="D8654" s="29" t="s">
        <v>38267</v>
      </c>
      <c r="E8654" s="29" t="s">
        <v>50411</v>
      </c>
      <c r="F8654" s="36" t="s">
        <v>54401</v>
      </c>
      <c r="G8654" s="39">
        <v>3829747</v>
      </c>
      <c r="H8654" s="42">
        <v>211</v>
      </c>
    </row>
    <row r="8655" spans="1:8" ht="15" customHeight="1">
      <c r="A8655" s="26">
        <v>900324504</v>
      </c>
      <c r="B8655" s="30" t="s">
        <v>10878</v>
      </c>
      <c r="C8655" s="29" t="s">
        <v>24944</v>
      </c>
      <c r="D8655" s="29" t="s">
        <v>38268</v>
      </c>
      <c r="E8655" s="29" t="s">
        <v>50412</v>
      </c>
      <c r="F8655" s="36" t="s">
        <v>54401</v>
      </c>
      <c r="G8655" s="39">
        <v>395502</v>
      </c>
      <c r="H8655" s="42">
        <v>211</v>
      </c>
    </row>
    <row r="8656" spans="1:8" ht="15" customHeight="1">
      <c r="A8656" s="26">
        <v>900332496</v>
      </c>
      <c r="B8656" s="30" t="s">
        <v>10879</v>
      </c>
      <c r="C8656" s="29" t="s">
        <v>19650</v>
      </c>
      <c r="D8656" s="29" t="s">
        <v>38269</v>
      </c>
      <c r="E8656" s="29" t="s">
        <v>50413</v>
      </c>
      <c r="F8656" s="36" t="s">
        <v>54401</v>
      </c>
      <c r="G8656" s="39">
        <v>1802548</v>
      </c>
      <c r="H8656" s="42">
        <v>211</v>
      </c>
    </row>
    <row r="8657" spans="1:8" ht="15" customHeight="1">
      <c r="A8657" s="26">
        <v>900335782</v>
      </c>
      <c r="B8657" s="30" t="s">
        <v>10880</v>
      </c>
      <c r="C8657" s="29" t="s">
        <v>24945</v>
      </c>
      <c r="D8657" s="29" t="s">
        <v>38270</v>
      </c>
      <c r="E8657" s="29" t="s">
        <v>50414</v>
      </c>
      <c r="F8657" s="36" t="s">
        <v>54401</v>
      </c>
      <c r="G8657" s="39">
        <v>7425825.7800000003</v>
      </c>
      <c r="H8657" s="42">
        <v>211</v>
      </c>
    </row>
    <row r="8658" spans="1:8" ht="15" customHeight="1">
      <c r="A8658" s="26">
        <v>900341086</v>
      </c>
      <c r="B8658" s="30" t="s">
        <v>10881</v>
      </c>
      <c r="C8658" s="29" t="s">
        <v>24946</v>
      </c>
      <c r="D8658" s="29" t="s">
        <v>38271</v>
      </c>
      <c r="E8658" s="29" t="s">
        <v>50415</v>
      </c>
      <c r="F8658" s="36" t="s">
        <v>54412</v>
      </c>
      <c r="G8658" s="39">
        <v>175961226.88999999</v>
      </c>
      <c r="H8658" s="42">
        <v>211</v>
      </c>
    </row>
    <row r="8659" spans="1:8" ht="15" customHeight="1">
      <c r="A8659" s="26">
        <v>900350970</v>
      </c>
      <c r="B8659" s="30" t="s">
        <v>10882</v>
      </c>
      <c r="C8659" s="29" t="s">
        <v>24947</v>
      </c>
      <c r="D8659" s="29" t="s">
        <v>38272</v>
      </c>
      <c r="E8659" s="29" t="s">
        <v>50416</v>
      </c>
      <c r="F8659" s="36" t="s">
        <v>54412</v>
      </c>
      <c r="G8659" s="39">
        <v>7387485.71</v>
      </c>
      <c r="H8659" s="42">
        <v>211</v>
      </c>
    </row>
    <row r="8660" spans="1:8" ht="15" customHeight="1">
      <c r="A8660" s="26">
        <v>900355962</v>
      </c>
      <c r="B8660" s="30" t="s">
        <v>10883</v>
      </c>
      <c r="C8660" s="26" t="s">
        <v>24948</v>
      </c>
      <c r="D8660" s="26" t="s">
        <v>38273</v>
      </c>
      <c r="E8660" s="26" t="s">
        <v>43926</v>
      </c>
      <c r="F8660" s="37" t="s">
        <v>54401</v>
      </c>
      <c r="G8660" s="39">
        <v>183834.72</v>
      </c>
      <c r="H8660" s="42">
        <v>211</v>
      </c>
    </row>
    <row r="8661" spans="1:8" ht="15" customHeight="1">
      <c r="A8661" s="26">
        <v>900364450</v>
      </c>
      <c r="B8661" s="30" t="s">
        <v>10884</v>
      </c>
      <c r="C8661" s="26" t="s">
        <v>24949</v>
      </c>
      <c r="D8661" s="26" t="s">
        <v>38274</v>
      </c>
      <c r="E8661" s="26" t="s">
        <v>50417</v>
      </c>
      <c r="F8661" s="37" t="s">
        <v>54401</v>
      </c>
      <c r="G8661" s="39">
        <v>1430187.33</v>
      </c>
      <c r="H8661" s="42">
        <v>211</v>
      </c>
    </row>
    <row r="8662" spans="1:8" ht="15" customHeight="1">
      <c r="A8662" s="26">
        <v>900367556</v>
      </c>
      <c r="B8662" s="30" t="s">
        <v>10885</v>
      </c>
      <c r="C8662" s="29" t="s">
        <v>24950</v>
      </c>
      <c r="D8662" s="29" t="s">
        <v>38275</v>
      </c>
      <c r="E8662" s="29" t="s">
        <v>50418</v>
      </c>
      <c r="F8662" s="36" t="s">
        <v>54412</v>
      </c>
      <c r="G8662" s="39">
        <v>361064.15</v>
      </c>
      <c r="H8662" s="42">
        <v>211</v>
      </c>
    </row>
    <row r="8663" spans="1:8" ht="15" customHeight="1">
      <c r="A8663" s="26">
        <v>900367832</v>
      </c>
      <c r="B8663" s="30" t="s">
        <v>10886</v>
      </c>
      <c r="C8663" s="29" t="s">
        <v>24951</v>
      </c>
      <c r="D8663" s="29" t="s">
        <v>38276</v>
      </c>
      <c r="E8663" s="29" t="s">
        <v>50419</v>
      </c>
      <c r="F8663" s="36" t="s">
        <v>54401</v>
      </c>
      <c r="G8663" s="39">
        <v>94309.24</v>
      </c>
      <c r="H8663" s="42">
        <v>211</v>
      </c>
    </row>
    <row r="8664" spans="1:8" ht="15" customHeight="1">
      <c r="A8664" s="26">
        <v>900370116</v>
      </c>
      <c r="B8664" s="30" t="s">
        <v>10887</v>
      </c>
      <c r="C8664" s="29" t="s">
        <v>24952</v>
      </c>
      <c r="D8664" s="29" t="s">
        <v>38277</v>
      </c>
      <c r="E8664" s="29" t="s">
        <v>50420</v>
      </c>
      <c r="F8664" s="36" t="s">
        <v>54469</v>
      </c>
      <c r="G8664" s="39">
        <f>13615225.21-168570</f>
        <v>13446655.210000001</v>
      </c>
      <c r="H8664" s="42">
        <v>211</v>
      </c>
    </row>
    <row r="8665" spans="1:8" ht="15" customHeight="1">
      <c r="A8665" s="26">
        <v>900372283</v>
      </c>
      <c r="B8665" s="30" t="s">
        <v>10888</v>
      </c>
      <c r="C8665" s="29" t="s">
        <v>17204</v>
      </c>
      <c r="D8665" s="29" t="s">
        <v>38278</v>
      </c>
      <c r="E8665" s="29" t="s">
        <v>43926</v>
      </c>
      <c r="F8665" s="36" t="s">
        <v>54401</v>
      </c>
      <c r="G8665" s="39">
        <v>246989.83</v>
      </c>
      <c r="H8665" s="42">
        <v>211</v>
      </c>
    </row>
    <row r="8666" spans="1:8" ht="15" customHeight="1">
      <c r="A8666" s="26">
        <v>900374951</v>
      </c>
      <c r="B8666" s="30" t="s">
        <v>10889</v>
      </c>
      <c r="C8666" s="29" t="s">
        <v>24953</v>
      </c>
      <c r="D8666" s="29" t="s">
        <v>38279</v>
      </c>
      <c r="E8666" s="29" t="s">
        <v>50421</v>
      </c>
      <c r="F8666" s="36" t="s">
        <v>54401</v>
      </c>
      <c r="G8666" s="39">
        <v>7433708.0499999998</v>
      </c>
      <c r="H8666" s="42">
        <v>211</v>
      </c>
    </row>
    <row r="8667" spans="1:8" ht="15" customHeight="1">
      <c r="A8667" s="26">
        <v>900376619</v>
      </c>
      <c r="B8667" s="30" t="s">
        <v>10890</v>
      </c>
      <c r="C8667" s="29" t="s">
        <v>24880</v>
      </c>
      <c r="D8667" s="29" t="s">
        <v>38280</v>
      </c>
      <c r="E8667" s="29" t="s">
        <v>50422</v>
      </c>
      <c r="F8667" s="36" t="s">
        <v>54401</v>
      </c>
      <c r="G8667" s="39">
        <v>4197257</v>
      </c>
      <c r="H8667" s="42">
        <v>211</v>
      </c>
    </row>
    <row r="8668" spans="1:8" ht="15" customHeight="1">
      <c r="A8668" s="26">
        <v>900376940</v>
      </c>
      <c r="B8668" s="30" t="s">
        <v>10891</v>
      </c>
      <c r="C8668" s="29" t="s">
        <v>24954</v>
      </c>
      <c r="D8668" s="29" t="s">
        <v>38281</v>
      </c>
      <c r="E8668" s="29" t="s">
        <v>50423</v>
      </c>
      <c r="F8668" s="36" t="s">
        <v>54412</v>
      </c>
      <c r="G8668" s="39">
        <v>174484.36</v>
      </c>
      <c r="H8668" s="42">
        <v>211</v>
      </c>
    </row>
    <row r="8669" spans="1:8" ht="15" customHeight="1">
      <c r="A8669" s="26">
        <v>900384552</v>
      </c>
      <c r="B8669" s="30" t="s">
        <v>10892</v>
      </c>
      <c r="C8669" s="29" t="s">
        <v>24955</v>
      </c>
      <c r="D8669" s="29" t="s">
        <v>38282</v>
      </c>
      <c r="E8669" s="29" t="s">
        <v>50424</v>
      </c>
      <c r="F8669" s="36" t="s">
        <v>54401</v>
      </c>
      <c r="G8669" s="39">
        <v>82894.559999999998</v>
      </c>
      <c r="H8669" s="42">
        <v>211</v>
      </c>
    </row>
    <row r="8670" spans="1:8" ht="15" customHeight="1">
      <c r="A8670" s="26">
        <v>900388277</v>
      </c>
      <c r="B8670" s="30" t="s">
        <v>10893</v>
      </c>
      <c r="C8670" s="29" t="s">
        <v>24956</v>
      </c>
      <c r="D8670" s="29" t="s">
        <v>38283</v>
      </c>
      <c r="E8670" s="29" t="s">
        <v>50425</v>
      </c>
      <c r="F8670" s="36" t="s">
        <v>54401</v>
      </c>
      <c r="G8670" s="39">
        <v>236932.46</v>
      </c>
      <c r="H8670" s="42">
        <v>211</v>
      </c>
    </row>
    <row r="8671" spans="1:8" ht="15" customHeight="1">
      <c r="A8671" s="26">
        <v>900391099</v>
      </c>
      <c r="B8671" s="30" t="s">
        <v>10894</v>
      </c>
      <c r="C8671" s="29" t="s">
        <v>24957</v>
      </c>
      <c r="D8671" s="29" t="s">
        <v>38284</v>
      </c>
      <c r="E8671" s="29" t="s">
        <v>50426</v>
      </c>
      <c r="F8671" s="36" t="s">
        <v>54401</v>
      </c>
      <c r="G8671" s="39">
        <v>1021426.12</v>
      </c>
      <c r="H8671" s="42">
        <v>211</v>
      </c>
    </row>
    <row r="8672" spans="1:8" ht="15" customHeight="1">
      <c r="A8672" s="26">
        <v>900393052</v>
      </c>
      <c r="B8672" s="30" t="s">
        <v>10895</v>
      </c>
      <c r="C8672" s="26" t="s">
        <v>24958</v>
      </c>
      <c r="D8672" s="26" t="s">
        <v>38285</v>
      </c>
      <c r="E8672" s="26" t="s">
        <v>43926</v>
      </c>
      <c r="F8672" s="37" t="s">
        <v>54401</v>
      </c>
      <c r="G8672" s="39">
        <v>9042</v>
      </c>
      <c r="H8672" s="42">
        <v>211</v>
      </c>
    </row>
    <row r="8673" spans="1:8" ht="15" customHeight="1">
      <c r="A8673" s="26">
        <v>900398733</v>
      </c>
      <c r="B8673" s="30" t="s">
        <v>10896</v>
      </c>
      <c r="C8673" s="29" t="s">
        <v>24959</v>
      </c>
      <c r="D8673" s="29" t="s">
        <v>38286</v>
      </c>
      <c r="E8673" s="29" t="s">
        <v>50427</v>
      </c>
      <c r="F8673" s="36" t="s">
        <v>54401</v>
      </c>
      <c r="G8673" s="39">
        <v>6065682.0300000003</v>
      </c>
      <c r="H8673" s="42">
        <v>211</v>
      </c>
    </row>
    <row r="8674" spans="1:8" ht="15" customHeight="1">
      <c r="A8674" s="26">
        <v>900402253</v>
      </c>
      <c r="B8674" s="30" t="s">
        <v>10897</v>
      </c>
      <c r="C8674" s="29" t="s">
        <v>24960</v>
      </c>
      <c r="D8674" s="29" t="s">
        <v>38287</v>
      </c>
      <c r="E8674" s="29" t="s">
        <v>49819</v>
      </c>
      <c r="F8674" s="36" t="s">
        <v>54401</v>
      </c>
      <c r="G8674" s="39">
        <v>380000</v>
      </c>
      <c r="H8674" s="42">
        <v>211</v>
      </c>
    </row>
    <row r="8675" spans="1:8" ht="15" customHeight="1">
      <c r="A8675" s="26">
        <v>900402667</v>
      </c>
      <c r="B8675" s="30" t="s">
        <v>10898</v>
      </c>
      <c r="C8675" s="29" t="s">
        <v>24961</v>
      </c>
      <c r="D8675" s="29" t="s">
        <v>38288</v>
      </c>
      <c r="E8675" s="29" t="s">
        <v>50428</v>
      </c>
      <c r="F8675" s="36" t="s">
        <v>54401</v>
      </c>
      <c r="G8675" s="39">
        <v>24689632</v>
      </c>
      <c r="H8675" s="42">
        <v>211</v>
      </c>
    </row>
    <row r="8676" spans="1:8" ht="15" customHeight="1">
      <c r="A8676" s="26">
        <v>900407819</v>
      </c>
      <c r="B8676" s="30" t="s">
        <v>10899</v>
      </c>
      <c r="C8676" s="29" t="s">
        <v>24962</v>
      </c>
      <c r="D8676" s="29" t="s">
        <v>38289</v>
      </c>
      <c r="E8676" s="29" t="s">
        <v>50429</v>
      </c>
      <c r="F8676" s="36" t="s">
        <v>54401</v>
      </c>
      <c r="G8676" s="39">
        <v>1042893.71</v>
      </c>
      <c r="H8676" s="42">
        <v>211</v>
      </c>
    </row>
    <row r="8677" spans="1:8" ht="15" customHeight="1">
      <c r="A8677" s="26">
        <v>900410314</v>
      </c>
      <c r="B8677" s="30" t="s">
        <v>10900</v>
      </c>
      <c r="C8677" s="29" t="s">
        <v>24963</v>
      </c>
      <c r="D8677" s="29" t="s">
        <v>38290</v>
      </c>
      <c r="E8677" s="29" t="s">
        <v>50430</v>
      </c>
      <c r="F8677" s="36" t="s">
        <v>54401</v>
      </c>
      <c r="G8677" s="39">
        <v>4485728</v>
      </c>
      <c r="H8677" s="42">
        <v>211</v>
      </c>
    </row>
    <row r="8678" spans="1:8" ht="15" customHeight="1">
      <c r="A8678" s="26">
        <v>900410401</v>
      </c>
      <c r="B8678" s="26" t="s">
        <v>10901</v>
      </c>
      <c r="C8678" s="32"/>
      <c r="D8678" s="32"/>
      <c r="E8678" s="26" t="s">
        <v>50431</v>
      </c>
      <c r="F8678" s="26" t="s">
        <v>54402</v>
      </c>
      <c r="G8678" s="41">
        <v>4027334</v>
      </c>
      <c r="H8678" s="26">
        <v>4729</v>
      </c>
    </row>
    <row r="8679" spans="1:8" ht="15" customHeight="1">
      <c r="A8679" s="26">
        <v>900412098</v>
      </c>
      <c r="B8679" s="30" t="s">
        <v>10902</v>
      </c>
      <c r="C8679" s="29" t="s">
        <v>24964</v>
      </c>
      <c r="D8679" s="29" t="s">
        <v>38291</v>
      </c>
      <c r="E8679" s="29" t="s">
        <v>50432</v>
      </c>
      <c r="F8679" s="36" t="s">
        <v>54409</v>
      </c>
      <c r="G8679" s="39">
        <v>351781.79</v>
      </c>
      <c r="H8679" s="42">
        <v>211</v>
      </c>
    </row>
    <row r="8680" spans="1:8" ht="15" customHeight="1">
      <c r="A8680" s="26">
        <v>900412256</v>
      </c>
      <c r="B8680" s="30" t="s">
        <v>10903</v>
      </c>
      <c r="C8680" s="29" t="s">
        <v>24965</v>
      </c>
      <c r="D8680" s="29" t="s">
        <v>38292</v>
      </c>
      <c r="E8680" s="29" t="s">
        <v>50433</v>
      </c>
      <c r="F8680" s="36" t="s">
        <v>54401</v>
      </c>
      <c r="G8680" s="39">
        <v>4703442</v>
      </c>
      <c r="H8680" s="42">
        <v>211</v>
      </c>
    </row>
    <row r="8681" spans="1:8" ht="15" customHeight="1">
      <c r="A8681" s="26">
        <v>900420462</v>
      </c>
      <c r="B8681" s="30" t="s">
        <v>10904</v>
      </c>
      <c r="C8681" s="29" t="s">
        <v>24966</v>
      </c>
      <c r="D8681" s="29" t="s">
        <v>38293</v>
      </c>
      <c r="E8681" s="29" t="s">
        <v>50434</v>
      </c>
      <c r="F8681" s="36" t="s">
        <v>54412</v>
      </c>
      <c r="G8681" s="39">
        <v>354119.16</v>
      </c>
      <c r="H8681" s="42">
        <v>211</v>
      </c>
    </row>
    <row r="8682" spans="1:8" ht="15" customHeight="1">
      <c r="A8682" s="26">
        <v>900440938</v>
      </c>
      <c r="B8682" s="30" t="s">
        <v>10905</v>
      </c>
      <c r="C8682" s="26" t="s">
        <v>24967</v>
      </c>
      <c r="D8682" s="26" t="s">
        <v>38294</v>
      </c>
      <c r="E8682" s="26" t="s">
        <v>50435</v>
      </c>
      <c r="F8682" s="37" t="s">
        <v>54401</v>
      </c>
      <c r="G8682" s="39">
        <v>148927.75</v>
      </c>
      <c r="H8682" s="42">
        <v>211</v>
      </c>
    </row>
    <row r="8683" spans="1:8" ht="15" customHeight="1">
      <c r="A8683" s="26">
        <v>900444268</v>
      </c>
      <c r="B8683" s="30" t="s">
        <v>10906</v>
      </c>
      <c r="C8683" s="29" t="s">
        <v>24968</v>
      </c>
      <c r="D8683" s="29" t="s">
        <v>38295</v>
      </c>
      <c r="E8683" s="29" t="s">
        <v>44973</v>
      </c>
      <c r="F8683" s="36" t="s">
        <v>54401</v>
      </c>
      <c r="G8683" s="39">
        <v>730377.82</v>
      </c>
      <c r="H8683" s="42">
        <v>211</v>
      </c>
    </row>
    <row r="8684" spans="1:8" ht="15" customHeight="1">
      <c r="A8684" s="26">
        <v>900456702</v>
      </c>
      <c r="B8684" s="30" t="s">
        <v>10907</v>
      </c>
      <c r="C8684" s="29" t="s">
        <v>24969</v>
      </c>
      <c r="D8684" s="29" t="s">
        <v>38296</v>
      </c>
      <c r="E8684" s="29" t="s">
        <v>50436</v>
      </c>
      <c r="F8684" s="36" t="s">
        <v>54401</v>
      </c>
      <c r="G8684" s="39">
        <v>2327121.37</v>
      </c>
      <c r="H8684" s="42">
        <v>211</v>
      </c>
    </row>
    <row r="8685" spans="1:8" ht="15" customHeight="1">
      <c r="A8685" s="26">
        <v>900458726</v>
      </c>
      <c r="B8685" s="30" t="s">
        <v>10908</v>
      </c>
      <c r="C8685" s="29" t="s">
        <v>24970</v>
      </c>
      <c r="D8685" s="29" t="s">
        <v>38297</v>
      </c>
      <c r="E8685" s="29" t="s">
        <v>50437</v>
      </c>
      <c r="F8685" s="36" t="s">
        <v>54401</v>
      </c>
      <c r="G8685" s="39">
        <v>3468750.76</v>
      </c>
      <c r="H8685" s="42">
        <v>211</v>
      </c>
    </row>
    <row r="8686" spans="1:8" ht="15" customHeight="1">
      <c r="A8686" s="26">
        <v>900458752</v>
      </c>
      <c r="B8686" s="30" t="s">
        <v>10909</v>
      </c>
      <c r="C8686" s="29" t="s">
        <v>24971</v>
      </c>
      <c r="D8686" s="29" t="s">
        <v>38298</v>
      </c>
      <c r="E8686" s="29" t="s">
        <v>50438</v>
      </c>
      <c r="F8686" s="36" t="s">
        <v>54413</v>
      </c>
      <c r="G8686" s="39">
        <v>57865950.340000004</v>
      </c>
      <c r="H8686" s="42">
        <v>211</v>
      </c>
    </row>
    <row r="8687" spans="1:8" ht="15" customHeight="1">
      <c r="A8687" s="26">
        <v>900459651</v>
      </c>
      <c r="B8687" s="30" t="s">
        <v>10910</v>
      </c>
      <c r="C8687" s="26" t="s">
        <v>24972</v>
      </c>
      <c r="D8687" s="26" t="s">
        <v>38299</v>
      </c>
      <c r="E8687" s="26" t="s">
        <v>50439</v>
      </c>
      <c r="F8687" s="37" t="s">
        <v>54401</v>
      </c>
      <c r="G8687" s="39">
        <v>150933.23000000001</v>
      </c>
      <c r="H8687" s="42">
        <v>211</v>
      </c>
    </row>
    <row r="8688" spans="1:8" ht="15" customHeight="1">
      <c r="A8688" s="26">
        <v>900460768</v>
      </c>
      <c r="B8688" s="30" t="s">
        <v>10911</v>
      </c>
      <c r="C8688" s="29" t="s">
        <v>24973</v>
      </c>
      <c r="D8688" s="29" t="s">
        <v>38300</v>
      </c>
      <c r="E8688" s="29" t="s">
        <v>50440</v>
      </c>
      <c r="F8688" s="36" t="s">
        <v>54412</v>
      </c>
      <c r="G8688" s="39">
        <v>381822.79</v>
      </c>
      <c r="H8688" s="42">
        <v>211</v>
      </c>
    </row>
    <row r="8689" spans="1:8" ht="15" customHeight="1">
      <c r="A8689" s="26">
        <v>900476169</v>
      </c>
      <c r="B8689" s="30" t="s">
        <v>10912</v>
      </c>
      <c r="C8689" s="29" t="s">
        <v>24974</v>
      </c>
      <c r="D8689" s="29" t="s">
        <v>38301</v>
      </c>
      <c r="E8689" s="29" t="s">
        <v>50441</v>
      </c>
      <c r="F8689" s="36" t="s">
        <v>54401</v>
      </c>
      <c r="G8689" s="39">
        <v>25932.39</v>
      </c>
      <c r="H8689" s="42">
        <v>211</v>
      </c>
    </row>
    <row r="8690" spans="1:8" ht="15" customHeight="1">
      <c r="A8690" s="26">
        <v>900476187</v>
      </c>
      <c r="B8690" s="30" t="s">
        <v>10913</v>
      </c>
      <c r="C8690" s="29" t="s">
        <v>24975</v>
      </c>
      <c r="D8690" s="29" t="s">
        <v>38302</v>
      </c>
      <c r="E8690" s="29" t="s">
        <v>50442</v>
      </c>
      <c r="F8690" s="36" t="s">
        <v>54401</v>
      </c>
      <c r="G8690" s="39">
        <v>644128.9</v>
      </c>
      <c r="H8690" s="42">
        <v>211</v>
      </c>
    </row>
    <row r="8691" spans="1:8" ht="15" customHeight="1">
      <c r="A8691" s="26">
        <v>900482155</v>
      </c>
      <c r="B8691" s="30" t="s">
        <v>10914</v>
      </c>
      <c r="C8691" s="29" t="s">
        <v>24976</v>
      </c>
      <c r="D8691" s="29" t="s">
        <v>38303</v>
      </c>
      <c r="E8691" s="29" t="s">
        <v>50443</v>
      </c>
      <c r="F8691" s="36" t="s">
        <v>54401</v>
      </c>
      <c r="G8691" s="39">
        <v>129123.54</v>
      </c>
      <c r="H8691" s="42">
        <v>211</v>
      </c>
    </row>
    <row r="8692" spans="1:8" ht="15" customHeight="1">
      <c r="A8692" s="26">
        <v>900485112</v>
      </c>
      <c r="B8692" s="30" t="s">
        <v>10915</v>
      </c>
      <c r="C8692" s="29" t="s">
        <v>24977</v>
      </c>
      <c r="D8692" s="29" t="s">
        <v>38304</v>
      </c>
      <c r="E8692" s="29" t="s">
        <v>50444</v>
      </c>
      <c r="F8692" s="36" t="s">
        <v>54401</v>
      </c>
      <c r="G8692" s="39">
        <v>3239664.63</v>
      </c>
      <c r="H8692" s="42">
        <v>211</v>
      </c>
    </row>
    <row r="8693" spans="1:8" ht="15" customHeight="1">
      <c r="A8693" s="26">
        <v>900488979</v>
      </c>
      <c r="B8693" s="30" t="s">
        <v>10916</v>
      </c>
      <c r="C8693" s="29" t="s">
        <v>24978</v>
      </c>
      <c r="D8693" s="29" t="s">
        <v>38305</v>
      </c>
      <c r="E8693" s="29" t="s">
        <v>43926</v>
      </c>
      <c r="F8693" s="36" t="s">
        <v>54401</v>
      </c>
      <c r="G8693" s="39">
        <v>222519.31</v>
      </c>
      <c r="H8693" s="42">
        <v>211</v>
      </c>
    </row>
    <row r="8694" spans="1:8" ht="15" customHeight="1">
      <c r="A8694" s="26">
        <v>900493712</v>
      </c>
      <c r="B8694" s="30" t="s">
        <v>10917</v>
      </c>
      <c r="C8694" s="29" t="s">
        <v>24979</v>
      </c>
      <c r="D8694" s="29" t="s">
        <v>38306</v>
      </c>
      <c r="E8694" s="29" t="s">
        <v>50445</v>
      </c>
      <c r="F8694" s="36" t="s">
        <v>54401</v>
      </c>
      <c r="G8694" s="39">
        <v>4648419.33</v>
      </c>
      <c r="H8694" s="42">
        <v>211</v>
      </c>
    </row>
    <row r="8695" spans="1:8" ht="15" customHeight="1">
      <c r="A8695" s="26">
        <v>900495362</v>
      </c>
      <c r="B8695" s="30" t="s">
        <v>10918</v>
      </c>
      <c r="C8695" s="29" t="s">
        <v>17204</v>
      </c>
      <c r="D8695" s="29" t="s">
        <v>38307</v>
      </c>
      <c r="E8695" s="29" t="s">
        <v>50446</v>
      </c>
      <c r="F8695" s="36" t="s">
        <v>54412</v>
      </c>
      <c r="G8695" s="39">
        <v>300000</v>
      </c>
      <c r="H8695" s="42">
        <v>211</v>
      </c>
    </row>
    <row r="8696" spans="1:8" ht="15" customHeight="1">
      <c r="A8696" s="26">
        <v>900496641</v>
      </c>
      <c r="B8696" s="30" t="s">
        <v>10919</v>
      </c>
      <c r="C8696" s="29" t="s">
        <v>20359</v>
      </c>
      <c r="D8696" s="29" t="s">
        <v>38308</v>
      </c>
      <c r="E8696" s="29" t="s">
        <v>43926</v>
      </c>
      <c r="F8696" s="36" t="s">
        <v>54401</v>
      </c>
      <c r="G8696" s="39">
        <v>186221.37</v>
      </c>
      <c r="H8696" s="42">
        <v>211</v>
      </c>
    </row>
    <row r="8697" spans="1:8" ht="15" customHeight="1">
      <c r="A8697" s="26">
        <v>900498418</v>
      </c>
      <c r="B8697" s="30" t="s">
        <v>10920</v>
      </c>
      <c r="C8697" s="29" t="s">
        <v>24666</v>
      </c>
      <c r="D8697" s="29" t="s">
        <v>38309</v>
      </c>
      <c r="E8697" s="29" t="s">
        <v>50447</v>
      </c>
      <c r="F8697" s="36" t="s">
        <v>54401</v>
      </c>
      <c r="G8697" s="39">
        <v>1638.66</v>
      </c>
      <c r="H8697" s="42">
        <v>211</v>
      </c>
    </row>
    <row r="8698" spans="1:8" ht="15" customHeight="1">
      <c r="A8698" s="26">
        <v>900498442</v>
      </c>
      <c r="B8698" s="30" t="s">
        <v>10921</v>
      </c>
      <c r="C8698" s="29" t="s">
        <v>24980</v>
      </c>
      <c r="D8698" s="29" t="s">
        <v>38310</v>
      </c>
      <c r="E8698" s="29" t="s">
        <v>50448</v>
      </c>
      <c r="F8698" s="36" t="s">
        <v>54412</v>
      </c>
      <c r="G8698" s="39">
        <v>768082.67</v>
      </c>
      <c r="H8698" s="42">
        <v>211</v>
      </c>
    </row>
    <row r="8699" spans="1:8" ht="15" customHeight="1">
      <c r="A8699" s="26">
        <v>900510563</v>
      </c>
      <c r="B8699" s="30" t="s">
        <v>10922</v>
      </c>
      <c r="C8699" s="29" t="s">
        <v>24938</v>
      </c>
      <c r="D8699" s="29" t="s">
        <v>38311</v>
      </c>
      <c r="E8699" s="29" t="s">
        <v>47243</v>
      </c>
      <c r="F8699" s="36" t="s">
        <v>54401</v>
      </c>
      <c r="G8699" s="39">
        <v>110147.85</v>
      </c>
      <c r="H8699" s="42">
        <v>211</v>
      </c>
    </row>
    <row r="8700" spans="1:8" ht="15" customHeight="1">
      <c r="A8700" s="26">
        <v>900510953</v>
      </c>
      <c r="B8700" s="30" t="s">
        <v>10923</v>
      </c>
      <c r="C8700" s="29" t="s">
        <v>24981</v>
      </c>
      <c r="D8700" s="29" t="s">
        <v>38312</v>
      </c>
      <c r="E8700" s="29" t="s">
        <v>50449</v>
      </c>
      <c r="F8700" s="36" t="s">
        <v>54401</v>
      </c>
      <c r="G8700" s="39">
        <v>98880</v>
      </c>
      <c r="H8700" s="42">
        <v>211</v>
      </c>
    </row>
    <row r="8701" spans="1:8" ht="15" customHeight="1">
      <c r="A8701" s="26">
        <v>900511361</v>
      </c>
      <c r="B8701" s="30" t="s">
        <v>10924</v>
      </c>
      <c r="C8701" s="29" t="s">
        <v>24982</v>
      </c>
      <c r="D8701" s="29" t="s">
        <v>38313</v>
      </c>
      <c r="E8701" s="29" t="s">
        <v>50450</v>
      </c>
      <c r="F8701" s="36" t="s">
        <v>54401</v>
      </c>
      <c r="G8701" s="39">
        <v>31880950</v>
      </c>
      <c r="H8701" s="42">
        <v>211</v>
      </c>
    </row>
    <row r="8702" spans="1:8" ht="15" customHeight="1">
      <c r="A8702" s="26">
        <v>900515198</v>
      </c>
      <c r="B8702" s="30" t="s">
        <v>10925</v>
      </c>
      <c r="C8702" s="29" t="s">
        <v>24983</v>
      </c>
      <c r="D8702" s="29" t="s">
        <v>38314</v>
      </c>
      <c r="E8702" s="29" t="s">
        <v>50451</v>
      </c>
      <c r="F8702" s="36" t="s">
        <v>54428</v>
      </c>
      <c r="G8702" s="39">
        <v>22316327</v>
      </c>
      <c r="H8702" s="42">
        <v>211</v>
      </c>
    </row>
    <row r="8703" spans="1:8" ht="15" customHeight="1">
      <c r="A8703" s="26">
        <v>900517880</v>
      </c>
      <c r="B8703" s="30" t="s">
        <v>10926</v>
      </c>
      <c r="C8703" s="29" t="s">
        <v>22290</v>
      </c>
      <c r="D8703" s="29" t="s">
        <v>38315</v>
      </c>
      <c r="E8703" s="29" t="s">
        <v>50452</v>
      </c>
      <c r="F8703" s="36" t="s">
        <v>54401</v>
      </c>
      <c r="G8703" s="39">
        <v>986759.8</v>
      </c>
      <c r="H8703" s="42">
        <v>211</v>
      </c>
    </row>
    <row r="8704" spans="1:8" ht="15" customHeight="1">
      <c r="A8704" s="26">
        <v>900521451</v>
      </c>
      <c r="B8704" s="30" t="s">
        <v>10927</v>
      </c>
      <c r="C8704" s="29" t="s">
        <v>24984</v>
      </c>
      <c r="D8704" s="29" t="s">
        <v>38316</v>
      </c>
      <c r="E8704" s="29" t="s">
        <v>50453</v>
      </c>
      <c r="F8704" s="36" t="s">
        <v>54412</v>
      </c>
      <c r="G8704" s="39">
        <v>130524.16</v>
      </c>
      <c r="H8704" s="42">
        <v>211</v>
      </c>
    </row>
    <row r="8705" spans="1:8" ht="15" customHeight="1">
      <c r="A8705" s="26">
        <v>900521872</v>
      </c>
      <c r="B8705" s="30" t="s">
        <v>10928</v>
      </c>
      <c r="C8705" s="29" t="s">
        <v>23048</v>
      </c>
      <c r="D8705" s="29" t="s">
        <v>38317</v>
      </c>
      <c r="E8705" s="29" t="s">
        <v>50454</v>
      </c>
      <c r="F8705" s="36" t="s">
        <v>54401</v>
      </c>
      <c r="G8705" s="39">
        <v>6016975</v>
      </c>
      <c r="H8705" s="42">
        <v>211</v>
      </c>
    </row>
    <row r="8706" spans="1:8" ht="15" customHeight="1">
      <c r="A8706" s="26">
        <v>900524785</v>
      </c>
      <c r="B8706" s="30" t="s">
        <v>10929</v>
      </c>
      <c r="C8706" s="29" t="s">
        <v>24985</v>
      </c>
      <c r="D8706" s="29" t="s">
        <v>38318</v>
      </c>
      <c r="E8706" s="29" t="s">
        <v>50455</v>
      </c>
      <c r="F8706" s="36" t="s">
        <v>54401</v>
      </c>
      <c r="G8706" s="39">
        <v>4265414.09</v>
      </c>
      <c r="H8706" s="42">
        <v>211</v>
      </c>
    </row>
    <row r="8707" spans="1:8" ht="15" customHeight="1">
      <c r="A8707" s="26">
        <v>900526021</v>
      </c>
      <c r="B8707" s="30" t="s">
        <v>10930</v>
      </c>
      <c r="C8707" s="29" t="s">
        <v>24986</v>
      </c>
      <c r="D8707" s="29" t="s">
        <v>38319</v>
      </c>
      <c r="E8707" s="29" t="s">
        <v>50456</v>
      </c>
      <c r="F8707" s="36" t="s">
        <v>54401</v>
      </c>
      <c r="G8707" s="39">
        <v>632548</v>
      </c>
      <c r="H8707" s="42">
        <v>211</v>
      </c>
    </row>
    <row r="8708" spans="1:8" ht="15" customHeight="1">
      <c r="A8708" s="26">
        <v>900527370</v>
      </c>
      <c r="B8708" s="30" t="s">
        <v>10931</v>
      </c>
      <c r="C8708" s="29" t="s">
        <v>24987</v>
      </c>
      <c r="D8708" s="29" t="s">
        <v>38320</v>
      </c>
      <c r="E8708" s="29" t="s">
        <v>50457</v>
      </c>
      <c r="F8708" s="36" t="s">
        <v>54401</v>
      </c>
      <c r="G8708" s="39">
        <v>900000</v>
      </c>
      <c r="H8708" s="42">
        <v>211</v>
      </c>
    </row>
    <row r="8709" spans="1:8" ht="15" customHeight="1">
      <c r="A8709" s="26">
        <v>900528315</v>
      </c>
      <c r="B8709" s="30" t="s">
        <v>10932</v>
      </c>
      <c r="C8709" s="26" t="s">
        <v>24988</v>
      </c>
      <c r="D8709" s="26" t="s">
        <v>38321</v>
      </c>
      <c r="E8709" s="26" t="s">
        <v>50458</v>
      </c>
      <c r="F8709" s="37" t="s">
        <v>54401</v>
      </c>
      <c r="G8709" s="39">
        <v>50562.7</v>
      </c>
      <c r="H8709" s="42">
        <v>211</v>
      </c>
    </row>
    <row r="8710" spans="1:8" ht="15" customHeight="1">
      <c r="A8710" s="26">
        <v>900533074</v>
      </c>
      <c r="B8710" s="30" t="s">
        <v>10933</v>
      </c>
      <c r="C8710" s="29" t="s">
        <v>24989</v>
      </c>
      <c r="D8710" s="29" t="s">
        <v>38322</v>
      </c>
      <c r="E8710" s="29" t="s">
        <v>50459</v>
      </c>
      <c r="F8710" s="36" t="s">
        <v>54401</v>
      </c>
      <c r="G8710" s="39">
        <v>200000</v>
      </c>
      <c r="H8710" s="42">
        <v>211</v>
      </c>
    </row>
    <row r="8711" spans="1:8" ht="15" customHeight="1">
      <c r="A8711" s="26">
        <v>900541728</v>
      </c>
      <c r="B8711" s="30" t="s">
        <v>10934</v>
      </c>
      <c r="C8711" s="29" t="s">
        <v>24990</v>
      </c>
      <c r="D8711" s="29" t="s">
        <v>38323</v>
      </c>
      <c r="E8711" s="29" t="s">
        <v>50460</v>
      </c>
      <c r="F8711" s="36" t="s">
        <v>54423</v>
      </c>
      <c r="G8711" s="39">
        <v>153756.29999999999</v>
      </c>
      <c r="H8711" s="42">
        <v>211</v>
      </c>
    </row>
    <row r="8712" spans="1:8" ht="15" customHeight="1">
      <c r="A8712" s="26">
        <v>900544861</v>
      </c>
      <c r="B8712" s="30" t="s">
        <v>10935</v>
      </c>
      <c r="C8712" s="29" t="s">
        <v>24991</v>
      </c>
      <c r="D8712" s="29" t="s">
        <v>38324</v>
      </c>
      <c r="E8712" s="29" t="s">
        <v>43926</v>
      </c>
      <c r="F8712" s="36" t="s">
        <v>54401</v>
      </c>
      <c r="G8712" s="39">
        <v>382886</v>
      </c>
      <c r="H8712" s="42">
        <v>211</v>
      </c>
    </row>
    <row r="8713" spans="1:8" ht="15" customHeight="1">
      <c r="A8713" s="26">
        <v>900548980</v>
      </c>
      <c r="B8713" s="30" t="s">
        <v>10936</v>
      </c>
      <c r="C8713" s="29" t="s">
        <v>24992</v>
      </c>
      <c r="D8713" s="29" t="s">
        <v>38325</v>
      </c>
      <c r="E8713" s="29" t="s">
        <v>50461</v>
      </c>
      <c r="F8713" s="36" t="s">
        <v>54401</v>
      </c>
      <c r="G8713" s="39">
        <v>1267367</v>
      </c>
      <c r="H8713" s="42">
        <v>211</v>
      </c>
    </row>
    <row r="8714" spans="1:8" ht="15" customHeight="1">
      <c r="A8714" s="26">
        <v>900550290</v>
      </c>
      <c r="B8714" s="30" t="s">
        <v>10937</v>
      </c>
      <c r="C8714" s="29" t="s">
        <v>24993</v>
      </c>
      <c r="D8714" s="29" t="s">
        <v>38326</v>
      </c>
      <c r="E8714" s="29" t="s">
        <v>50462</v>
      </c>
      <c r="F8714" s="36" t="s">
        <v>54401</v>
      </c>
      <c r="G8714" s="39">
        <v>2850000</v>
      </c>
      <c r="H8714" s="42">
        <v>211</v>
      </c>
    </row>
    <row r="8715" spans="1:8" ht="15" customHeight="1">
      <c r="A8715" s="26">
        <v>900551615</v>
      </c>
      <c r="B8715" s="30" t="s">
        <v>10938</v>
      </c>
      <c r="C8715" s="26" t="s">
        <v>24994</v>
      </c>
      <c r="D8715" s="26" t="s">
        <v>38327</v>
      </c>
      <c r="E8715" s="26" t="s">
        <v>50463</v>
      </c>
      <c r="F8715" s="37" t="s">
        <v>54412</v>
      </c>
      <c r="G8715" s="39">
        <v>38445.4</v>
      </c>
      <c r="H8715" s="42">
        <v>211</v>
      </c>
    </row>
    <row r="8716" spans="1:8" ht="15" customHeight="1">
      <c r="A8716" s="26">
        <v>900555902</v>
      </c>
      <c r="B8716" s="30" t="s">
        <v>10939</v>
      </c>
      <c r="C8716" s="29" t="s">
        <v>24995</v>
      </c>
      <c r="D8716" s="29" t="s">
        <v>38328</v>
      </c>
      <c r="E8716" s="29" t="s">
        <v>50464</v>
      </c>
      <c r="F8716" s="36" t="s">
        <v>54401</v>
      </c>
      <c r="G8716" s="39">
        <v>856097</v>
      </c>
      <c r="H8716" s="42">
        <v>211</v>
      </c>
    </row>
    <row r="8717" spans="1:8" ht="15" customHeight="1">
      <c r="A8717" s="26">
        <v>900559782</v>
      </c>
      <c r="B8717" s="30" t="s">
        <v>10940</v>
      </c>
      <c r="C8717" s="29" t="s">
        <v>24996</v>
      </c>
      <c r="D8717" s="29" t="s">
        <v>38329</v>
      </c>
      <c r="E8717" s="29" t="s">
        <v>50465</v>
      </c>
      <c r="F8717" s="36" t="s">
        <v>54401</v>
      </c>
      <c r="G8717" s="39">
        <v>1279677</v>
      </c>
      <c r="H8717" s="42">
        <v>211</v>
      </c>
    </row>
    <row r="8718" spans="1:8" ht="15" customHeight="1">
      <c r="A8718" s="26">
        <v>900563269</v>
      </c>
      <c r="B8718" s="30" t="s">
        <v>10941</v>
      </c>
      <c r="C8718" s="29" t="s">
        <v>24997</v>
      </c>
      <c r="D8718" s="29" t="s">
        <v>38330</v>
      </c>
      <c r="E8718" s="29" t="s">
        <v>50466</v>
      </c>
      <c r="F8718" s="36" t="s">
        <v>54470</v>
      </c>
      <c r="G8718" s="39">
        <v>429108.47</v>
      </c>
      <c r="H8718" s="42">
        <v>211</v>
      </c>
    </row>
    <row r="8719" spans="1:8" ht="15" customHeight="1">
      <c r="A8719" s="26">
        <v>900565420</v>
      </c>
      <c r="B8719" s="30" t="s">
        <v>10942</v>
      </c>
      <c r="C8719" s="29" t="s">
        <v>24998</v>
      </c>
      <c r="D8719" s="29" t="s">
        <v>38331</v>
      </c>
      <c r="E8719" s="29" t="s">
        <v>50467</v>
      </c>
      <c r="F8719" s="36" t="s">
        <v>54401</v>
      </c>
      <c r="G8719" s="39">
        <v>2198186.87</v>
      </c>
      <c r="H8719" s="42">
        <v>211</v>
      </c>
    </row>
    <row r="8720" spans="1:8" ht="15" customHeight="1">
      <c r="A8720" s="26">
        <v>900576858</v>
      </c>
      <c r="B8720" s="30" t="s">
        <v>10943</v>
      </c>
      <c r="C8720" s="29" t="s">
        <v>24999</v>
      </c>
      <c r="D8720" s="29" t="s">
        <v>38332</v>
      </c>
      <c r="E8720" s="29" t="s">
        <v>50468</v>
      </c>
      <c r="F8720" s="36" t="s">
        <v>54402</v>
      </c>
      <c r="G8720" s="39">
        <v>26638.66</v>
      </c>
      <c r="H8720" s="42">
        <v>211</v>
      </c>
    </row>
    <row r="8721" spans="1:8" ht="15" customHeight="1">
      <c r="A8721" s="26">
        <v>900580112</v>
      </c>
      <c r="B8721" s="30" t="s">
        <v>10944</v>
      </c>
      <c r="C8721" s="29" t="s">
        <v>25000</v>
      </c>
      <c r="D8721" s="29" t="s">
        <v>38333</v>
      </c>
      <c r="E8721" s="29" t="s">
        <v>50469</v>
      </c>
      <c r="F8721" s="36" t="s">
        <v>54412</v>
      </c>
      <c r="G8721" s="39">
        <v>38033.599999999999</v>
      </c>
      <c r="H8721" s="42">
        <v>211</v>
      </c>
    </row>
    <row r="8722" spans="1:8" ht="15" customHeight="1">
      <c r="A8722" s="26">
        <v>900581323</v>
      </c>
      <c r="B8722" s="30" t="s">
        <v>10945</v>
      </c>
      <c r="C8722" s="29" t="s">
        <v>25001</v>
      </c>
      <c r="D8722" s="29" t="s">
        <v>38334</v>
      </c>
      <c r="E8722" s="29" t="s">
        <v>43949</v>
      </c>
      <c r="F8722" s="36" t="s">
        <v>54401</v>
      </c>
      <c r="G8722" s="39">
        <v>16400598</v>
      </c>
      <c r="H8722" s="42">
        <v>211</v>
      </c>
    </row>
    <row r="8723" spans="1:8" ht="15" customHeight="1">
      <c r="A8723" s="26">
        <v>900583010</v>
      </c>
      <c r="B8723" s="30" t="s">
        <v>10946</v>
      </c>
      <c r="C8723" s="29" t="s">
        <v>25002</v>
      </c>
      <c r="D8723" s="29" t="s">
        <v>38335</v>
      </c>
      <c r="E8723" s="29" t="s">
        <v>50470</v>
      </c>
      <c r="F8723" s="36" t="s">
        <v>54401</v>
      </c>
      <c r="G8723" s="39">
        <v>2752855.17</v>
      </c>
      <c r="H8723" s="42">
        <v>211</v>
      </c>
    </row>
    <row r="8724" spans="1:8" ht="15" customHeight="1">
      <c r="A8724" s="26">
        <v>900584032</v>
      </c>
      <c r="B8724" s="30" t="s">
        <v>10947</v>
      </c>
      <c r="C8724" s="29" t="s">
        <v>25003</v>
      </c>
      <c r="D8724" s="29" t="s">
        <v>38336</v>
      </c>
      <c r="E8724" s="29" t="s">
        <v>44563</v>
      </c>
      <c r="F8724" s="36" t="s">
        <v>54401</v>
      </c>
      <c r="G8724" s="39">
        <v>1086734</v>
      </c>
      <c r="H8724" s="42">
        <v>211</v>
      </c>
    </row>
    <row r="8725" spans="1:8" ht="15" customHeight="1">
      <c r="A8725" s="26">
        <v>900584886</v>
      </c>
      <c r="B8725" s="30" t="s">
        <v>10948</v>
      </c>
      <c r="C8725" s="29" t="s">
        <v>25004</v>
      </c>
      <c r="D8725" s="29" t="s">
        <v>38337</v>
      </c>
      <c r="E8725" s="29" t="s">
        <v>50471</v>
      </c>
      <c r="F8725" s="36" t="s">
        <v>54412</v>
      </c>
      <c r="G8725" s="39">
        <v>273386.05</v>
      </c>
      <c r="H8725" s="42">
        <v>211</v>
      </c>
    </row>
    <row r="8726" spans="1:8" ht="15" customHeight="1">
      <c r="A8726" s="26">
        <v>900584973</v>
      </c>
      <c r="B8726" s="30" t="s">
        <v>10949</v>
      </c>
      <c r="C8726" s="29" t="s">
        <v>25005</v>
      </c>
      <c r="D8726" s="29" t="s">
        <v>38338</v>
      </c>
      <c r="E8726" s="29" t="s">
        <v>50472</v>
      </c>
      <c r="F8726" s="36" t="s">
        <v>54412</v>
      </c>
      <c r="G8726" s="39">
        <v>43680.67</v>
      </c>
      <c r="H8726" s="42">
        <v>211</v>
      </c>
    </row>
    <row r="8727" spans="1:8" ht="15" customHeight="1">
      <c r="A8727" s="26">
        <v>900589244</v>
      </c>
      <c r="B8727" s="30" t="s">
        <v>10950</v>
      </c>
      <c r="C8727" s="29" t="s">
        <v>25006</v>
      </c>
      <c r="D8727" s="29" t="s">
        <v>38339</v>
      </c>
      <c r="E8727" s="29" t="s">
        <v>50473</v>
      </c>
      <c r="F8727" s="36" t="s">
        <v>54401</v>
      </c>
      <c r="G8727" s="39">
        <v>2919287</v>
      </c>
      <c r="H8727" s="42">
        <v>211</v>
      </c>
    </row>
    <row r="8728" spans="1:8" ht="15" customHeight="1">
      <c r="A8728" s="26">
        <v>900590327</v>
      </c>
      <c r="B8728" s="30" t="s">
        <v>10951</v>
      </c>
      <c r="C8728" s="29" t="s">
        <v>25007</v>
      </c>
      <c r="D8728" s="29" t="s">
        <v>38340</v>
      </c>
      <c r="E8728" s="29" t="s">
        <v>50474</v>
      </c>
      <c r="F8728" s="36" t="s">
        <v>54412</v>
      </c>
      <c r="G8728" s="39">
        <v>6950</v>
      </c>
      <c r="H8728" s="42">
        <v>211</v>
      </c>
    </row>
    <row r="8729" spans="1:8" ht="15" customHeight="1">
      <c r="A8729" s="26">
        <v>900590589</v>
      </c>
      <c r="B8729" s="30" t="s">
        <v>10952</v>
      </c>
      <c r="C8729" s="29" t="s">
        <v>25008</v>
      </c>
      <c r="D8729" s="29" t="s">
        <v>38341</v>
      </c>
      <c r="E8729" s="29" t="s">
        <v>50475</v>
      </c>
      <c r="F8729" s="36" t="s">
        <v>54401</v>
      </c>
      <c r="G8729" s="39">
        <v>3057292</v>
      </c>
      <c r="H8729" s="42">
        <v>211</v>
      </c>
    </row>
    <row r="8730" spans="1:8" ht="15" customHeight="1">
      <c r="A8730" s="26">
        <v>900591072</v>
      </c>
      <c r="B8730" s="30" t="s">
        <v>10953</v>
      </c>
      <c r="C8730" s="26" t="s">
        <v>25009</v>
      </c>
      <c r="D8730" s="26" t="s">
        <v>38342</v>
      </c>
      <c r="E8730" s="26" t="s">
        <v>50476</v>
      </c>
      <c r="F8730" s="37" t="s">
        <v>54401</v>
      </c>
      <c r="G8730" s="39">
        <v>19344.54</v>
      </c>
      <c r="H8730" s="42">
        <v>211</v>
      </c>
    </row>
    <row r="8731" spans="1:8" ht="15" customHeight="1">
      <c r="A8731" s="26">
        <v>900591202</v>
      </c>
      <c r="B8731" s="30" t="s">
        <v>10954</v>
      </c>
      <c r="C8731" s="29" t="s">
        <v>25010</v>
      </c>
      <c r="D8731" s="29" t="s">
        <v>38343</v>
      </c>
      <c r="E8731" s="29" t="s">
        <v>50477</v>
      </c>
      <c r="F8731" s="36" t="s">
        <v>54402</v>
      </c>
      <c r="G8731" s="39">
        <v>837190.2</v>
      </c>
      <c r="H8731" s="42">
        <v>211</v>
      </c>
    </row>
    <row r="8732" spans="1:8" ht="15" customHeight="1">
      <c r="A8732" s="26">
        <v>900593698</v>
      </c>
      <c r="B8732" s="30" t="s">
        <v>10955</v>
      </c>
      <c r="C8732" s="29" t="s">
        <v>25011</v>
      </c>
      <c r="D8732" s="29" t="s">
        <v>38344</v>
      </c>
      <c r="E8732" s="29" t="s">
        <v>50478</v>
      </c>
      <c r="F8732" s="36" t="s">
        <v>54401</v>
      </c>
      <c r="G8732" s="39">
        <v>1870383</v>
      </c>
      <c r="H8732" s="42">
        <v>211</v>
      </c>
    </row>
    <row r="8733" spans="1:8" ht="15" customHeight="1">
      <c r="A8733" s="26">
        <v>900602362</v>
      </c>
      <c r="B8733" s="30" t="s">
        <v>10956</v>
      </c>
      <c r="C8733" s="29" t="s">
        <v>25012</v>
      </c>
      <c r="D8733" s="29" t="s">
        <v>38345</v>
      </c>
      <c r="E8733" s="29" t="s">
        <v>50479</v>
      </c>
      <c r="F8733" s="36" t="s">
        <v>54401</v>
      </c>
      <c r="G8733" s="39">
        <v>618812.43999999994</v>
      </c>
      <c r="H8733" s="42">
        <v>211</v>
      </c>
    </row>
    <row r="8734" spans="1:8" ht="15" customHeight="1">
      <c r="A8734" s="26">
        <v>900603604</v>
      </c>
      <c r="B8734" s="30" t="s">
        <v>10957</v>
      </c>
      <c r="C8734" s="29" t="s">
        <v>25013</v>
      </c>
      <c r="D8734" s="29" t="s">
        <v>38346</v>
      </c>
      <c r="E8734" s="29" t="s">
        <v>50480</v>
      </c>
      <c r="F8734" s="36" t="s">
        <v>54401</v>
      </c>
      <c r="G8734" s="39">
        <v>604718.59</v>
      </c>
      <c r="H8734" s="42">
        <v>211</v>
      </c>
    </row>
    <row r="8735" spans="1:8" ht="15" customHeight="1">
      <c r="A8735" s="26">
        <v>900604334</v>
      </c>
      <c r="B8735" s="30" t="s">
        <v>10958</v>
      </c>
      <c r="C8735" s="29" t="s">
        <v>25014</v>
      </c>
      <c r="D8735" s="29" t="s">
        <v>38347</v>
      </c>
      <c r="E8735" s="29" t="s">
        <v>50481</v>
      </c>
      <c r="F8735" s="36" t="s">
        <v>54401</v>
      </c>
      <c r="G8735" s="39">
        <v>2350000</v>
      </c>
      <c r="H8735" s="42">
        <v>211</v>
      </c>
    </row>
    <row r="8736" spans="1:8" ht="15" customHeight="1">
      <c r="A8736" s="26">
        <v>900604740</v>
      </c>
      <c r="B8736" s="30" t="s">
        <v>10959</v>
      </c>
      <c r="C8736" s="29" t="s">
        <v>23511</v>
      </c>
      <c r="D8736" s="29" t="s">
        <v>38348</v>
      </c>
      <c r="E8736" s="29" t="s">
        <v>50482</v>
      </c>
      <c r="F8736" s="36" t="s">
        <v>54401</v>
      </c>
      <c r="G8736" s="39">
        <v>1169884.97</v>
      </c>
      <c r="H8736" s="42">
        <v>211</v>
      </c>
    </row>
    <row r="8737" spans="1:8" ht="15" customHeight="1">
      <c r="A8737" s="26">
        <v>900604786</v>
      </c>
      <c r="B8737" s="30" t="s">
        <v>10960</v>
      </c>
      <c r="C8737" s="29" t="s">
        <v>25015</v>
      </c>
      <c r="D8737" s="29" t="s">
        <v>38349</v>
      </c>
      <c r="E8737" s="29" t="s">
        <v>50483</v>
      </c>
      <c r="F8737" s="36" t="s">
        <v>54412</v>
      </c>
      <c r="G8737" s="39">
        <v>258977.5</v>
      </c>
      <c r="H8737" s="42">
        <v>211</v>
      </c>
    </row>
    <row r="8738" spans="1:8" ht="15" customHeight="1">
      <c r="A8738" s="26">
        <v>900607297</v>
      </c>
      <c r="B8738" s="30" t="s">
        <v>10961</v>
      </c>
      <c r="C8738" s="29" t="s">
        <v>25016</v>
      </c>
      <c r="D8738" s="29" t="s">
        <v>38350</v>
      </c>
      <c r="E8738" s="29" t="s">
        <v>50484</v>
      </c>
      <c r="F8738" s="36" t="s">
        <v>54401</v>
      </c>
      <c r="G8738" s="39">
        <v>5843524</v>
      </c>
      <c r="H8738" s="42">
        <v>211</v>
      </c>
    </row>
    <row r="8739" spans="1:8" ht="15" customHeight="1">
      <c r="A8739" s="26">
        <v>900607637</v>
      </c>
      <c r="B8739" s="30" t="s">
        <v>10962</v>
      </c>
      <c r="C8739" s="26" t="s">
        <v>25017</v>
      </c>
      <c r="D8739" s="26" t="s">
        <v>38351</v>
      </c>
      <c r="E8739" s="26" t="s">
        <v>43926</v>
      </c>
      <c r="F8739" s="37" t="s">
        <v>54401</v>
      </c>
      <c r="G8739" s="39">
        <v>113201.11</v>
      </c>
      <c r="H8739" s="42">
        <v>211</v>
      </c>
    </row>
    <row r="8740" spans="1:8" ht="15" customHeight="1">
      <c r="A8740" s="26">
        <v>900608583</v>
      </c>
      <c r="B8740" s="30" t="s">
        <v>10963</v>
      </c>
      <c r="C8740" s="29" t="s">
        <v>25018</v>
      </c>
      <c r="D8740" s="29" t="s">
        <v>38352</v>
      </c>
      <c r="E8740" s="29" t="s">
        <v>50485</v>
      </c>
      <c r="F8740" s="36" t="s">
        <v>54401</v>
      </c>
      <c r="G8740" s="39">
        <v>1348262.49</v>
      </c>
      <c r="H8740" s="42">
        <v>211</v>
      </c>
    </row>
    <row r="8741" spans="1:8" ht="15" customHeight="1">
      <c r="A8741" s="26">
        <v>900615730</v>
      </c>
      <c r="B8741" s="30" t="s">
        <v>10964</v>
      </c>
      <c r="C8741" s="29" t="s">
        <v>17204</v>
      </c>
      <c r="D8741" s="29" t="s">
        <v>38353</v>
      </c>
      <c r="E8741" s="29" t="s">
        <v>50486</v>
      </c>
      <c r="F8741" s="36" t="s">
        <v>54401</v>
      </c>
      <c r="G8741" s="39">
        <v>422752.63</v>
      </c>
      <c r="H8741" s="42">
        <v>211</v>
      </c>
    </row>
    <row r="8742" spans="1:8" ht="15" customHeight="1">
      <c r="A8742" s="26">
        <v>900619408</v>
      </c>
      <c r="B8742" s="30" t="s">
        <v>10965</v>
      </c>
      <c r="C8742" s="29" t="s">
        <v>25019</v>
      </c>
      <c r="D8742" s="29" t="s">
        <v>38354</v>
      </c>
      <c r="E8742" s="29" t="s">
        <v>50487</v>
      </c>
      <c r="F8742" s="36" t="s">
        <v>54412</v>
      </c>
      <c r="G8742" s="39">
        <v>11876.18</v>
      </c>
      <c r="H8742" s="42">
        <v>211</v>
      </c>
    </row>
    <row r="8743" spans="1:8" ht="15" customHeight="1">
      <c r="A8743" s="26">
        <v>900622551</v>
      </c>
      <c r="B8743" s="30" t="s">
        <v>10966</v>
      </c>
      <c r="C8743" s="29" t="s">
        <v>25020</v>
      </c>
      <c r="D8743" s="29" t="s">
        <v>38355</v>
      </c>
      <c r="E8743" s="29" t="s">
        <v>50488</v>
      </c>
      <c r="F8743" s="36" t="s">
        <v>54412</v>
      </c>
      <c r="G8743" s="39">
        <v>34243.71</v>
      </c>
      <c r="H8743" s="42">
        <v>211</v>
      </c>
    </row>
    <row r="8744" spans="1:8" ht="15" customHeight="1">
      <c r="A8744" s="26">
        <v>900625569</v>
      </c>
      <c r="B8744" s="30" t="s">
        <v>10967</v>
      </c>
      <c r="C8744" s="29" t="s">
        <v>25021</v>
      </c>
      <c r="D8744" s="29" t="s">
        <v>38356</v>
      </c>
      <c r="E8744" s="29" t="s">
        <v>50489</v>
      </c>
      <c r="F8744" s="36" t="s">
        <v>54401</v>
      </c>
      <c r="G8744" s="39">
        <v>41592.28</v>
      </c>
      <c r="H8744" s="42">
        <v>211</v>
      </c>
    </row>
    <row r="8745" spans="1:8" ht="15" customHeight="1">
      <c r="A8745" s="26">
        <v>900625898</v>
      </c>
      <c r="B8745" s="30" t="s">
        <v>10968</v>
      </c>
      <c r="C8745" s="29" t="s">
        <v>25022</v>
      </c>
      <c r="D8745" s="29" t="s">
        <v>38357</v>
      </c>
      <c r="E8745" s="29" t="s">
        <v>50490</v>
      </c>
      <c r="F8745" s="36" t="s">
        <v>54401</v>
      </c>
      <c r="G8745" s="39">
        <v>111806.73</v>
      </c>
      <c r="H8745" s="42">
        <v>211</v>
      </c>
    </row>
    <row r="8746" spans="1:8" ht="15" customHeight="1">
      <c r="A8746" s="26">
        <v>900626888</v>
      </c>
      <c r="B8746" s="30" t="s">
        <v>10969</v>
      </c>
      <c r="C8746" s="29" t="s">
        <v>25023</v>
      </c>
      <c r="D8746" s="29" t="s">
        <v>38358</v>
      </c>
      <c r="E8746" s="29" t="s">
        <v>50491</v>
      </c>
      <c r="F8746" s="36" t="s">
        <v>54401</v>
      </c>
      <c r="G8746" s="39">
        <v>169224.01</v>
      </c>
      <c r="H8746" s="42">
        <v>211</v>
      </c>
    </row>
    <row r="8747" spans="1:8" ht="15" customHeight="1">
      <c r="A8747" s="26">
        <v>900628110</v>
      </c>
      <c r="B8747" s="30" t="s">
        <v>10970</v>
      </c>
      <c r="C8747" s="29" t="s">
        <v>17204</v>
      </c>
      <c r="D8747" s="29" t="s">
        <v>38359</v>
      </c>
      <c r="E8747" s="29" t="s">
        <v>43926</v>
      </c>
      <c r="F8747" s="36" t="s">
        <v>54401</v>
      </c>
      <c r="G8747" s="39">
        <v>44100</v>
      </c>
      <c r="H8747" s="42">
        <v>211</v>
      </c>
    </row>
    <row r="8748" spans="1:8" ht="15" customHeight="1">
      <c r="A8748" s="26">
        <v>900633593</v>
      </c>
      <c r="B8748" s="30" t="s">
        <v>10971</v>
      </c>
      <c r="C8748" s="29" t="s">
        <v>25024</v>
      </c>
      <c r="D8748" s="29" t="s">
        <v>38360</v>
      </c>
      <c r="E8748" s="29" t="s">
        <v>50492</v>
      </c>
      <c r="F8748" s="36" t="s">
        <v>54401</v>
      </c>
      <c r="G8748" s="39">
        <v>290795.56</v>
      </c>
      <c r="H8748" s="42">
        <v>211</v>
      </c>
    </row>
    <row r="8749" spans="1:8" ht="15" customHeight="1">
      <c r="A8749" s="26">
        <v>900637363</v>
      </c>
      <c r="B8749" s="30" t="s">
        <v>10972</v>
      </c>
      <c r="C8749" s="29" t="s">
        <v>25025</v>
      </c>
      <c r="D8749" s="29" t="s">
        <v>38361</v>
      </c>
      <c r="E8749" s="29" t="s">
        <v>43926</v>
      </c>
      <c r="F8749" s="36" t="s">
        <v>54401</v>
      </c>
      <c r="G8749" s="39">
        <v>430689.09</v>
      </c>
      <c r="H8749" s="42">
        <v>211</v>
      </c>
    </row>
    <row r="8750" spans="1:8" ht="15" customHeight="1">
      <c r="A8750" s="26">
        <v>900637491</v>
      </c>
      <c r="B8750" s="30" t="s">
        <v>10973</v>
      </c>
      <c r="C8750" s="29" t="s">
        <v>25026</v>
      </c>
      <c r="D8750" s="29" t="s">
        <v>38362</v>
      </c>
      <c r="E8750" s="29" t="s">
        <v>50493</v>
      </c>
      <c r="F8750" s="36" t="s">
        <v>54401</v>
      </c>
      <c r="G8750" s="39">
        <v>1115031.6599999999</v>
      </c>
      <c r="H8750" s="42">
        <v>211</v>
      </c>
    </row>
    <row r="8751" spans="1:8" ht="15" customHeight="1">
      <c r="A8751" s="26">
        <v>900640342</v>
      </c>
      <c r="B8751" s="30" t="s">
        <v>10974</v>
      </c>
      <c r="C8751" s="29" t="s">
        <v>25027</v>
      </c>
      <c r="D8751" s="29" t="s">
        <v>38363</v>
      </c>
      <c r="E8751" s="29" t="s">
        <v>50494</v>
      </c>
      <c r="F8751" s="36" t="s">
        <v>54401</v>
      </c>
      <c r="G8751" s="39">
        <v>3436398</v>
      </c>
      <c r="H8751" s="42">
        <v>211</v>
      </c>
    </row>
    <row r="8752" spans="1:8" ht="15" customHeight="1">
      <c r="A8752" s="26">
        <v>900652216</v>
      </c>
      <c r="B8752" s="30" t="s">
        <v>10975</v>
      </c>
      <c r="C8752" s="29" t="s">
        <v>25028</v>
      </c>
      <c r="D8752" s="29" t="s">
        <v>38364</v>
      </c>
      <c r="E8752" s="29" t="s">
        <v>50495</v>
      </c>
      <c r="F8752" s="36" t="s">
        <v>54458</v>
      </c>
      <c r="G8752" s="39">
        <v>597563.77</v>
      </c>
      <c r="H8752" s="42">
        <v>211</v>
      </c>
    </row>
    <row r="8753" spans="1:8" ht="15" customHeight="1">
      <c r="A8753" s="26">
        <v>900654027</v>
      </c>
      <c r="B8753" s="30" t="s">
        <v>10976</v>
      </c>
      <c r="C8753" s="29" t="s">
        <v>25029</v>
      </c>
      <c r="D8753" s="29" t="s">
        <v>31315</v>
      </c>
      <c r="E8753" s="29" t="s">
        <v>44790</v>
      </c>
      <c r="F8753" s="36" t="s">
        <v>54401</v>
      </c>
      <c r="G8753" s="39">
        <v>2865815.29</v>
      </c>
      <c r="H8753" s="42">
        <v>211</v>
      </c>
    </row>
    <row r="8754" spans="1:8" ht="15" customHeight="1">
      <c r="A8754" s="26">
        <v>900654302</v>
      </c>
      <c r="B8754" s="30" t="s">
        <v>10977</v>
      </c>
      <c r="C8754" s="29" t="s">
        <v>25030</v>
      </c>
      <c r="D8754" s="29" t="s">
        <v>38365</v>
      </c>
      <c r="E8754" s="29" t="s">
        <v>50496</v>
      </c>
      <c r="F8754" s="36" t="s">
        <v>54401</v>
      </c>
      <c r="G8754" s="39">
        <v>1057854</v>
      </c>
      <c r="H8754" s="42">
        <v>211</v>
      </c>
    </row>
    <row r="8755" spans="1:8" ht="15" customHeight="1">
      <c r="A8755" s="26">
        <v>900654957</v>
      </c>
      <c r="B8755" s="30" t="s">
        <v>10978</v>
      </c>
      <c r="C8755" s="29" t="s">
        <v>18618</v>
      </c>
      <c r="D8755" s="29" t="s">
        <v>38366</v>
      </c>
      <c r="E8755" s="29" t="s">
        <v>50497</v>
      </c>
      <c r="F8755" s="36" t="s">
        <v>54406</v>
      </c>
      <c r="G8755" s="39">
        <v>3602319.33</v>
      </c>
      <c r="H8755" s="42">
        <v>211</v>
      </c>
    </row>
    <row r="8756" spans="1:8" ht="15" customHeight="1">
      <c r="A8756" s="26">
        <v>900655245</v>
      </c>
      <c r="B8756" s="30" t="s">
        <v>10979</v>
      </c>
      <c r="C8756" s="29" t="s">
        <v>25031</v>
      </c>
      <c r="D8756" s="29" t="s">
        <v>38367</v>
      </c>
      <c r="E8756" s="29" t="s">
        <v>50498</v>
      </c>
      <c r="F8756" s="36" t="s">
        <v>54401</v>
      </c>
      <c r="G8756" s="39">
        <v>76354.080000000002</v>
      </c>
      <c r="H8756" s="42">
        <v>211</v>
      </c>
    </row>
    <row r="8757" spans="1:8" ht="15" customHeight="1">
      <c r="A8757" s="26">
        <v>900655286</v>
      </c>
      <c r="B8757" s="30" t="s">
        <v>10980</v>
      </c>
      <c r="C8757" s="29" t="s">
        <v>25032</v>
      </c>
      <c r="D8757" s="29" t="s">
        <v>38368</v>
      </c>
      <c r="E8757" s="29" t="s">
        <v>50499</v>
      </c>
      <c r="F8757" s="36" t="s">
        <v>54401</v>
      </c>
      <c r="G8757" s="39">
        <v>2309499</v>
      </c>
      <c r="H8757" s="42">
        <v>211</v>
      </c>
    </row>
    <row r="8758" spans="1:8" ht="15" customHeight="1">
      <c r="A8758" s="26">
        <v>900664887</v>
      </c>
      <c r="B8758" s="30" t="s">
        <v>10981</v>
      </c>
      <c r="C8758" s="29" t="s">
        <v>25033</v>
      </c>
      <c r="D8758" s="29" t="s">
        <v>38369</v>
      </c>
      <c r="E8758" s="29" t="s">
        <v>50500</v>
      </c>
      <c r="F8758" s="36" t="s">
        <v>54401</v>
      </c>
      <c r="G8758" s="39">
        <v>800000</v>
      </c>
      <c r="H8758" s="42">
        <v>211</v>
      </c>
    </row>
    <row r="8759" spans="1:8" ht="15" customHeight="1">
      <c r="A8759" s="26">
        <v>900673361</v>
      </c>
      <c r="B8759" s="30" t="s">
        <v>10982</v>
      </c>
      <c r="C8759" s="29" t="s">
        <v>25034</v>
      </c>
      <c r="D8759" s="29" t="s">
        <v>38370</v>
      </c>
      <c r="E8759" s="29" t="s">
        <v>50501</v>
      </c>
      <c r="F8759" s="36" t="s">
        <v>54401</v>
      </c>
      <c r="G8759" s="39">
        <v>44952.38</v>
      </c>
      <c r="H8759" s="42">
        <v>211</v>
      </c>
    </row>
    <row r="8760" spans="1:8" ht="15" customHeight="1">
      <c r="A8760" s="26">
        <v>900673520</v>
      </c>
      <c r="B8760" s="30" t="s">
        <v>10983</v>
      </c>
      <c r="C8760" s="29" t="s">
        <v>25035</v>
      </c>
      <c r="D8760" s="29" t="s">
        <v>38371</v>
      </c>
      <c r="E8760" s="29" t="s">
        <v>50502</v>
      </c>
      <c r="F8760" s="36" t="s">
        <v>54401</v>
      </c>
      <c r="G8760" s="39">
        <v>64970.86</v>
      </c>
      <c r="H8760" s="42">
        <v>211</v>
      </c>
    </row>
    <row r="8761" spans="1:8" ht="15" customHeight="1">
      <c r="A8761" s="26">
        <v>900681318</v>
      </c>
      <c r="B8761" s="30" t="s">
        <v>10984</v>
      </c>
      <c r="C8761" s="29" t="s">
        <v>25036</v>
      </c>
      <c r="D8761" s="29" t="s">
        <v>38372</v>
      </c>
      <c r="E8761" s="29" t="s">
        <v>50503</v>
      </c>
      <c r="F8761" s="36" t="s">
        <v>54401</v>
      </c>
      <c r="G8761" s="39">
        <v>351435.19</v>
      </c>
      <c r="H8761" s="42">
        <v>211</v>
      </c>
    </row>
    <row r="8762" spans="1:8" ht="15" customHeight="1">
      <c r="A8762" s="26">
        <v>900682050</v>
      </c>
      <c r="B8762" s="30" t="s">
        <v>10985</v>
      </c>
      <c r="C8762" s="29" t="s">
        <v>25037</v>
      </c>
      <c r="D8762" s="29" t="s">
        <v>38373</v>
      </c>
      <c r="E8762" s="29" t="s">
        <v>50504</v>
      </c>
      <c r="F8762" s="36" t="s">
        <v>54401</v>
      </c>
      <c r="G8762" s="39">
        <v>2328379.37</v>
      </c>
      <c r="H8762" s="42">
        <v>211</v>
      </c>
    </row>
    <row r="8763" spans="1:8" ht="15" customHeight="1">
      <c r="A8763" s="26">
        <v>900683549</v>
      </c>
      <c r="B8763" s="30" t="s">
        <v>10986</v>
      </c>
      <c r="C8763" s="26" t="s">
        <v>25038</v>
      </c>
      <c r="D8763" s="26" t="s">
        <v>38374</v>
      </c>
      <c r="E8763" s="26" t="s">
        <v>50505</v>
      </c>
      <c r="F8763" s="37" t="s">
        <v>54402</v>
      </c>
      <c r="G8763" s="39">
        <v>5056379.04</v>
      </c>
      <c r="H8763" s="42">
        <v>211</v>
      </c>
    </row>
    <row r="8764" spans="1:8" ht="15" customHeight="1">
      <c r="A8764" s="26">
        <v>900688066</v>
      </c>
      <c r="B8764" s="30" t="s">
        <v>10987</v>
      </c>
      <c r="C8764" s="29" t="s">
        <v>25039</v>
      </c>
      <c r="D8764" s="29" t="s">
        <v>38375</v>
      </c>
      <c r="E8764" s="29" t="s">
        <v>50506</v>
      </c>
      <c r="F8764" s="36" t="s">
        <v>54401</v>
      </c>
      <c r="G8764" s="39">
        <v>28529.42</v>
      </c>
      <c r="H8764" s="42">
        <v>211</v>
      </c>
    </row>
    <row r="8765" spans="1:8" ht="15" customHeight="1">
      <c r="A8765" s="26">
        <v>900688423</v>
      </c>
      <c r="B8765" s="30" t="s">
        <v>10988</v>
      </c>
      <c r="C8765" s="29" t="s">
        <v>17204</v>
      </c>
      <c r="D8765" s="29" t="s">
        <v>38376</v>
      </c>
      <c r="E8765" s="29" t="s">
        <v>43926</v>
      </c>
      <c r="F8765" s="36" t="s">
        <v>54401</v>
      </c>
      <c r="G8765" s="39">
        <v>86136.14</v>
      </c>
      <c r="H8765" s="42">
        <v>211</v>
      </c>
    </row>
    <row r="8766" spans="1:8" ht="15" customHeight="1">
      <c r="A8766" s="26">
        <v>900694796</v>
      </c>
      <c r="B8766" s="26" t="s">
        <v>10989</v>
      </c>
      <c r="C8766" s="32"/>
      <c r="D8766" s="32"/>
      <c r="E8766" s="26" t="s">
        <v>50507</v>
      </c>
      <c r="F8766" s="26" t="s">
        <v>54402</v>
      </c>
      <c r="G8766" s="41">
        <v>1700000</v>
      </c>
      <c r="H8766" s="26">
        <v>4729</v>
      </c>
    </row>
    <row r="8767" spans="1:8" ht="15" customHeight="1">
      <c r="A8767" s="26">
        <v>900695064</v>
      </c>
      <c r="B8767" s="30" t="s">
        <v>10990</v>
      </c>
      <c r="C8767" s="29" t="s">
        <v>25040</v>
      </c>
      <c r="D8767" s="29" t="s">
        <v>38377</v>
      </c>
      <c r="E8767" s="29" t="s">
        <v>50508</v>
      </c>
      <c r="F8767" s="36" t="s">
        <v>54412</v>
      </c>
      <c r="G8767" s="39">
        <v>8043.53</v>
      </c>
      <c r="H8767" s="42">
        <v>211</v>
      </c>
    </row>
    <row r="8768" spans="1:8" ht="15" customHeight="1">
      <c r="A8768" s="26">
        <v>900697354</v>
      </c>
      <c r="B8768" s="30" t="s">
        <v>10991</v>
      </c>
      <c r="C8768" s="29" t="s">
        <v>25041</v>
      </c>
      <c r="D8768" s="29" t="s">
        <v>38378</v>
      </c>
      <c r="E8768" s="29" t="s">
        <v>50509</v>
      </c>
      <c r="F8768" s="36" t="s">
        <v>54402</v>
      </c>
      <c r="G8768" s="39">
        <v>981860</v>
      </c>
      <c r="H8768" s="42">
        <v>211</v>
      </c>
    </row>
    <row r="8769" spans="1:8" ht="15" customHeight="1">
      <c r="A8769" s="26">
        <v>900697806</v>
      </c>
      <c r="B8769" s="30" t="s">
        <v>10992</v>
      </c>
      <c r="C8769" s="29" t="s">
        <v>25042</v>
      </c>
      <c r="D8769" s="29" t="s">
        <v>38379</v>
      </c>
      <c r="E8769" s="29" t="s">
        <v>50510</v>
      </c>
      <c r="F8769" s="36" t="s">
        <v>54412</v>
      </c>
      <c r="G8769" s="39">
        <v>1269502</v>
      </c>
      <c r="H8769" s="42">
        <v>211</v>
      </c>
    </row>
    <row r="8770" spans="1:8" ht="15" customHeight="1">
      <c r="A8770" s="26">
        <v>900701915</v>
      </c>
      <c r="B8770" s="30" t="s">
        <v>10993</v>
      </c>
      <c r="C8770" s="29" t="s">
        <v>25043</v>
      </c>
      <c r="D8770" s="29" t="s">
        <v>38380</v>
      </c>
      <c r="E8770" s="29" t="s">
        <v>50511</v>
      </c>
      <c r="F8770" s="36" t="s">
        <v>54401</v>
      </c>
      <c r="G8770" s="39">
        <v>108298.36</v>
      </c>
      <c r="H8770" s="42">
        <v>211</v>
      </c>
    </row>
    <row r="8771" spans="1:8" ht="15" customHeight="1">
      <c r="A8771" s="26">
        <v>900707468</v>
      </c>
      <c r="B8771" s="30" t="s">
        <v>10994</v>
      </c>
      <c r="C8771" s="29" t="s">
        <v>25044</v>
      </c>
      <c r="D8771" s="29" t="s">
        <v>38381</v>
      </c>
      <c r="E8771" s="29" t="s">
        <v>50512</v>
      </c>
      <c r="F8771" s="36" t="s">
        <v>54402</v>
      </c>
      <c r="G8771" s="39">
        <v>239133</v>
      </c>
      <c r="H8771" s="42">
        <v>211</v>
      </c>
    </row>
    <row r="8772" spans="1:8" ht="15" customHeight="1">
      <c r="A8772" s="26">
        <v>900707874</v>
      </c>
      <c r="B8772" s="30" t="s">
        <v>10995</v>
      </c>
      <c r="C8772" s="29" t="s">
        <v>25045</v>
      </c>
      <c r="D8772" s="29" t="s">
        <v>38382</v>
      </c>
      <c r="E8772" s="29" t="s">
        <v>50513</v>
      </c>
      <c r="F8772" s="36" t="s">
        <v>54401</v>
      </c>
      <c r="G8772" s="39">
        <v>353193.01</v>
      </c>
      <c r="H8772" s="42">
        <v>211</v>
      </c>
    </row>
    <row r="8773" spans="1:8" ht="15" customHeight="1">
      <c r="A8773" s="26">
        <v>900711568</v>
      </c>
      <c r="B8773" s="30" t="s">
        <v>10996</v>
      </c>
      <c r="C8773" s="29" t="s">
        <v>25046</v>
      </c>
      <c r="D8773" s="29" t="s">
        <v>38383</v>
      </c>
      <c r="E8773" s="29" t="s">
        <v>50514</v>
      </c>
      <c r="F8773" s="36" t="s">
        <v>54401</v>
      </c>
      <c r="G8773" s="39">
        <v>631779.86</v>
      </c>
      <c r="H8773" s="42">
        <v>211</v>
      </c>
    </row>
    <row r="8774" spans="1:8" ht="15" customHeight="1">
      <c r="A8774" s="26">
        <v>900715056</v>
      </c>
      <c r="B8774" s="30" t="s">
        <v>10997</v>
      </c>
      <c r="C8774" s="29" t="s">
        <v>25047</v>
      </c>
      <c r="D8774" s="29" t="s">
        <v>38384</v>
      </c>
      <c r="E8774" s="29" t="s">
        <v>50515</v>
      </c>
      <c r="F8774" s="36" t="s">
        <v>54401</v>
      </c>
      <c r="G8774" s="39">
        <v>18904.75</v>
      </c>
      <c r="H8774" s="42">
        <v>211</v>
      </c>
    </row>
    <row r="8775" spans="1:8" ht="15" customHeight="1">
      <c r="A8775" s="26">
        <v>900715997</v>
      </c>
      <c r="B8775" s="30" t="s">
        <v>10998</v>
      </c>
      <c r="C8775" s="26" t="s">
        <v>25048</v>
      </c>
      <c r="D8775" s="26" t="s">
        <v>38385</v>
      </c>
      <c r="E8775" s="26" t="s">
        <v>50516</v>
      </c>
      <c r="F8775" s="37" t="s">
        <v>54401</v>
      </c>
      <c r="G8775" s="39">
        <v>858525.51</v>
      </c>
      <c r="H8775" s="42">
        <v>211</v>
      </c>
    </row>
    <row r="8776" spans="1:8" ht="15" customHeight="1">
      <c r="A8776" s="26">
        <v>900718906</v>
      </c>
      <c r="B8776" s="30" t="s">
        <v>10999</v>
      </c>
      <c r="C8776" s="29" t="s">
        <v>25049</v>
      </c>
      <c r="D8776" s="29" t="s">
        <v>38386</v>
      </c>
      <c r="E8776" s="29" t="s">
        <v>50517</v>
      </c>
      <c r="F8776" s="36" t="s">
        <v>54401</v>
      </c>
      <c r="G8776" s="39">
        <v>397991.24</v>
      </c>
      <c r="H8776" s="42">
        <v>211</v>
      </c>
    </row>
    <row r="8777" spans="1:8" ht="15" customHeight="1">
      <c r="A8777" s="26">
        <v>900722425</v>
      </c>
      <c r="B8777" s="30" t="s">
        <v>11000</v>
      </c>
      <c r="C8777" s="29" t="s">
        <v>25050</v>
      </c>
      <c r="D8777" s="29" t="s">
        <v>38387</v>
      </c>
      <c r="E8777" s="29" t="s">
        <v>50518</v>
      </c>
      <c r="F8777" s="36" t="s">
        <v>54471</v>
      </c>
      <c r="G8777" s="39">
        <v>21894170</v>
      </c>
      <c r="H8777" s="42">
        <v>211</v>
      </c>
    </row>
    <row r="8778" spans="1:8" ht="15" customHeight="1">
      <c r="A8778" s="26">
        <v>900725066</v>
      </c>
      <c r="B8778" s="30" t="s">
        <v>11001</v>
      </c>
      <c r="C8778" s="29" t="s">
        <v>25051</v>
      </c>
      <c r="D8778" s="29" t="s">
        <v>38388</v>
      </c>
      <c r="E8778" s="29" t="s">
        <v>50519</v>
      </c>
      <c r="F8778" s="36" t="s">
        <v>54401</v>
      </c>
      <c r="G8778" s="39">
        <v>44713.45</v>
      </c>
      <c r="H8778" s="42">
        <v>211</v>
      </c>
    </row>
    <row r="8779" spans="1:8" ht="15" customHeight="1">
      <c r="A8779" s="26">
        <v>900725200</v>
      </c>
      <c r="B8779" s="30" t="s">
        <v>11002</v>
      </c>
      <c r="C8779" s="29" t="s">
        <v>25052</v>
      </c>
      <c r="D8779" s="29" t="s">
        <v>38389</v>
      </c>
      <c r="E8779" s="29" t="s">
        <v>50520</v>
      </c>
      <c r="F8779" s="36" t="s">
        <v>54401</v>
      </c>
      <c r="G8779" s="39">
        <v>3533253</v>
      </c>
      <c r="H8779" s="42">
        <v>211</v>
      </c>
    </row>
    <row r="8780" spans="1:8" ht="15" customHeight="1">
      <c r="A8780" s="26">
        <v>900729486</v>
      </c>
      <c r="B8780" s="30" t="s">
        <v>11003</v>
      </c>
      <c r="C8780" s="29" t="s">
        <v>25053</v>
      </c>
      <c r="D8780" s="29" t="s">
        <v>38390</v>
      </c>
      <c r="E8780" s="29" t="s">
        <v>46273</v>
      </c>
      <c r="F8780" s="36" t="s">
        <v>54401</v>
      </c>
      <c r="G8780" s="39">
        <v>2741140.98</v>
      </c>
      <c r="H8780" s="42">
        <v>211</v>
      </c>
    </row>
    <row r="8781" spans="1:8" ht="15" customHeight="1">
      <c r="A8781" s="26">
        <v>900730870</v>
      </c>
      <c r="B8781" s="30" t="s">
        <v>11004</v>
      </c>
      <c r="C8781" s="29" t="s">
        <v>25054</v>
      </c>
      <c r="D8781" s="29" t="s">
        <v>38391</v>
      </c>
      <c r="E8781" s="29" t="s">
        <v>50521</v>
      </c>
      <c r="F8781" s="36" t="s">
        <v>54401</v>
      </c>
      <c r="G8781" s="39">
        <v>8929429</v>
      </c>
      <c r="H8781" s="42">
        <v>211</v>
      </c>
    </row>
    <row r="8782" spans="1:8" ht="15" customHeight="1">
      <c r="A8782" s="26">
        <v>900732477</v>
      </c>
      <c r="B8782" s="30" t="s">
        <v>11005</v>
      </c>
      <c r="C8782" s="29" t="s">
        <v>25055</v>
      </c>
      <c r="D8782" s="29" t="s">
        <v>38392</v>
      </c>
      <c r="E8782" s="29" t="s">
        <v>50522</v>
      </c>
      <c r="F8782" s="36" t="s">
        <v>54402</v>
      </c>
      <c r="G8782" s="39">
        <f>14649675.52+63609</f>
        <v>14713284.52</v>
      </c>
      <c r="H8782" s="42">
        <v>211</v>
      </c>
    </row>
    <row r="8783" spans="1:8" ht="15" customHeight="1">
      <c r="A8783" s="26">
        <v>900733699</v>
      </c>
      <c r="B8783" s="30" t="s">
        <v>11006</v>
      </c>
      <c r="C8783" s="29" t="s">
        <v>25056</v>
      </c>
      <c r="D8783" s="29" t="s">
        <v>38393</v>
      </c>
      <c r="E8783" s="29" t="s">
        <v>44701</v>
      </c>
      <c r="F8783" s="36" t="s">
        <v>54401</v>
      </c>
      <c r="G8783" s="39">
        <v>1417693.95</v>
      </c>
      <c r="H8783" s="42">
        <v>211</v>
      </c>
    </row>
    <row r="8784" spans="1:8" ht="15" customHeight="1">
      <c r="A8784" s="26">
        <v>900740482</v>
      </c>
      <c r="B8784" s="30" t="s">
        <v>11007</v>
      </c>
      <c r="C8784" s="29" t="s">
        <v>25057</v>
      </c>
      <c r="D8784" s="29" t="s">
        <v>38394</v>
      </c>
      <c r="E8784" s="29" t="s">
        <v>50523</v>
      </c>
      <c r="F8784" s="36" t="s">
        <v>54401</v>
      </c>
      <c r="G8784" s="39">
        <v>1136318.54</v>
      </c>
      <c r="H8784" s="42">
        <v>211</v>
      </c>
    </row>
    <row r="8785" spans="1:8" ht="15" customHeight="1">
      <c r="A8785" s="26">
        <v>900741125</v>
      </c>
      <c r="B8785" s="30" t="s">
        <v>11008</v>
      </c>
      <c r="C8785" s="29" t="s">
        <v>25058</v>
      </c>
      <c r="D8785" s="29" t="s">
        <v>38395</v>
      </c>
      <c r="E8785" s="29" t="s">
        <v>43926</v>
      </c>
      <c r="F8785" s="36" t="s">
        <v>54401</v>
      </c>
      <c r="G8785" s="39">
        <v>757633.67</v>
      </c>
      <c r="H8785" s="42">
        <v>211</v>
      </c>
    </row>
    <row r="8786" spans="1:8" ht="15" customHeight="1">
      <c r="A8786" s="26">
        <v>900743879</v>
      </c>
      <c r="B8786" s="30" t="s">
        <v>11009</v>
      </c>
      <c r="C8786" s="26" t="s">
        <v>25059</v>
      </c>
      <c r="D8786" s="26" t="s">
        <v>38396</v>
      </c>
      <c r="E8786" s="26" t="s">
        <v>50524</v>
      </c>
      <c r="F8786" s="37" t="s">
        <v>54413</v>
      </c>
      <c r="G8786" s="39">
        <v>1333186.3700000001</v>
      </c>
      <c r="H8786" s="42">
        <v>211</v>
      </c>
    </row>
    <row r="8787" spans="1:8" ht="15" customHeight="1">
      <c r="A8787" s="26">
        <v>900746723</v>
      </c>
      <c r="B8787" s="30" t="s">
        <v>11010</v>
      </c>
      <c r="C8787" s="29" t="s">
        <v>18713</v>
      </c>
      <c r="D8787" s="29" t="s">
        <v>38397</v>
      </c>
      <c r="E8787" s="29" t="s">
        <v>50525</v>
      </c>
      <c r="F8787" s="36" t="s">
        <v>54401</v>
      </c>
      <c r="G8787" s="39">
        <v>2244590</v>
      </c>
      <c r="H8787" s="42">
        <v>211</v>
      </c>
    </row>
    <row r="8788" spans="1:8" ht="15" customHeight="1">
      <c r="A8788" s="26">
        <v>900747876</v>
      </c>
      <c r="B8788" s="30" t="s">
        <v>11011</v>
      </c>
      <c r="C8788" s="29" t="s">
        <v>23136</v>
      </c>
      <c r="D8788" s="29" t="s">
        <v>36411</v>
      </c>
      <c r="E8788" s="29" t="s">
        <v>50526</v>
      </c>
      <c r="F8788" s="36" t="s">
        <v>54401</v>
      </c>
      <c r="G8788" s="39">
        <v>236918.66</v>
      </c>
      <c r="H8788" s="42">
        <v>211</v>
      </c>
    </row>
    <row r="8789" spans="1:8" ht="15" customHeight="1">
      <c r="A8789" s="26">
        <v>900755672</v>
      </c>
      <c r="B8789" s="30" t="s">
        <v>11012</v>
      </c>
      <c r="C8789" s="29" t="s">
        <v>24753</v>
      </c>
      <c r="D8789" s="29" t="s">
        <v>38398</v>
      </c>
      <c r="E8789" s="29" t="s">
        <v>50527</v>
      </c>
      <c r="F8789" s="36" t="s">
        <v>54401</v>
      </c>
      <c r="G8789" s="39">
        <v>39747.9</v>
      </c>
      <c r="H8789" s="42">
        <v>211</v>
      </c>
    </row>
    <row r="8790" spans="1:8" ht="15" customHeight="1">
      <c r="A8790" s="26">
        <v>900756062</v>
      </c>
      <c r="B8790" s="30" t="s">
        <v>11013</v>
      </c>
      <c r="C8790" s="29" t="s">
        <v>18734</v>
      </c>
      <c r="D8790" s="29" t="s">
        <v>38399</v>
      </c>
      <c r="E8790" s="29" t="s">
        <v>50528</v>
      </c>
      <c r="F8790" s="36" t="s">
        <v>54401</v>
      </c>
      <c r="G8790" s="39">
        <v>578042</v>
      </c>
      <c r="H8790" s="42">
        <v>211</v>
      </c>
    </row>
    <row r="8791" spans="1:8" ht="15" customHeight="1">
      <c r="A8791" s="26">
        <v>900761540</v>
      </c>
      <c r="B8791" s="30" t="s">
        <v>11014</v>
      </c>
      <c r="C8791" s="29" t="s">
        <v>25060</v>
      </c>
      <c r="D8791" s="29" t="s">
        <v>38400</v>
      </c>
      <c r="E8791" s="29" t="s">
        <v>47355</v>
      </c>
      <c r="F8791" s="36" t="s">
        <v>54423</v>
      </c>
      <c r="G8791" s="39">
        <v>2847096</v>
      </c>
      <c r="H8791" s="42">
        <v>211</v>
      </c>
    </row>
    <row r="8792" spans="1:8" ht="15" customHeight="1">
      <c r="A8792" s="26">
        <v>900763512</v>
      </c>
      <c r="B8792" s="30" t="s">
        <v>11015</v>
      </c>
      <c r="C8792" s="29" t="s">
        <v>17204</v>
      </c>
      <c r="D8792" s="29" t="s">
        <v>38401</v>
      </c>
      <c r="E8792" s="29" t="s">
        <v>536</v>
      </c>
      <c r="F8792" s="36" t="s">
        <v>54401</v>
      </c>
      <c r="G8792" s="39">
        <v>37260.49</v>
      </c>
      <c r="H8792" s="42">
        <v>211</v>
      </c>
    </row>
    <row r="8793" spans="1:8" ht="15" customHeight="1">
      <c r="A8793" s="26">
        <v>900768695</v>
      </c>
      <c r="B8793" s="30" t="s">
        <v>11016</v>
      </c>
      <c r="C8793" s="29" t="s">
        <v>25061</v>
      </c>
      <c r="D8793" s="29" t="s">
        <v>38402</v>
      </c>
      <c r="E8793" s="29" t="s">
        <v>50529</v>
      </c>
      <c r="F8793" s="36" t="s">
        <v>54409</v>
      </c>
      <c r="G8793" s="39">
        <v>55637.56</v>
      </c>
      <c r="H8793" s="42">
        <v>211</v>
      </c>
    </row>
    <row r="8794" spans="1:8" ht="15" customHeight="1">
      <c r="A8794" s="26">
        <v>900768935</v>
      </c>
      <c r="B8794" s="30" t="s">
        <v>11017</v>
      </c>
      <c r="C8794" s="29" t="s">
        <v>17204</v>
      </c>
      <c r="D8794" s="29" t="s">
        <v>38403</v>
      </c>
      <c r="E8794" s="29" t="s">
        <v>43926</v>
      </c>
      <c r="F8794" s="36" t="s">
        <v>54401</v>
      </c>
      <c r="G8794" s="39">
        <v>1074811</v>
      </c>
      <c r="H8794" s="42">
        <v>211</v>
      </c>
    </row>
    <row r="8795" spans="1:8" ht="15" customHeight="1">
      <c r="A8795" s="26">
        <v>900770779</v>
      </c>
      <c r="B8795" s="30" t="s">
        <v>11018</v>
      </c>
      <c r="C8795" s="29" t="s">
        <v>25062</v>
      </c>
      <c r="D8795" s="29" t="s">
        <v>36168</v>
      </c>
      <c r="E8795" s="29" t="s">
        <v>50530</v>
      </c>
      <c r="F8795" s="36" t="s">
        <v>54401</v>
      </c>
      <c r="G8795" s="39">
        <v>2107432.96</v>
      </c>
      <c r="H8795" s="42">
        <v>211</v>
      </c>
    </row>
    <row r="8796" spans="1:8" ht="15" customHeight="1">
      <c r="A8796" s="26">
        <v>900773966</v>
      </c>
      <c r="B8796" s="30" t="s">
        <v>11019</v>
      </c>
      <c r="C8796" s="29" t="s">
        <v>25063</v>
      </c>
      <c r="D8796" s="29" t="s">
        <v>38404</v>
      </c>
      <c r="E8796" s="29" t="s">
        <v>50531</v>
      </c>
      <c r="F8796" s="36" t="s">
        <v>54412</v>
      </c>
      <c r="G8796" s="39">
        <v>657519.81000000006</v>
      </c>
      <c r="H8796" s="42">
        <v>211</v>
      </c>
    </row>
    <row r="8797" spans="1:8" ht="15" customHeight="1">
      <c r="A8797" s="26">
        <v>900781710</v>
      </c>
      <c r="B8797" s="30" t="s">
        <v>11020</v>
      </c>
      <c r="C8797" s="26" t="s">
        <v>25064</v>
      </c>
      <c r="D8797" s="26" t="s">
        <v>38405</v>
      </c>
      <c r="E8797" s="26" t="s">
        <v>50532</v>
      </c>
      <c r="F8797" s="37" t="s">
        <v>54401</v>
      </c>
      <c r="G8797" s="39">
        <v>129935.4</v>
      </c>
      <c r="H8797" s="42">
        <v>211</v>
      </c>
    </row>
    <row r="8798" spans="1:8" ht="15" customHeight="1">
      <c r="A8798" s="26">
        <v>900784128</v>
      </c>
      <c r="B8798" s="30" t="s">
        <v>11021</v>
      </c>
      <c r="C8798" s="26" t="s">
        <v>25065</v>
      </c>
      <c r="D8798" s="26" t="s">
        <v>38406</v>
      </c>
      <c r="E8798" s="26" t="s">
        <v>44550</v>
      </c>
      <c r="F8798" s="37" t="s">
        <v>54401</v>
      </c>
      <c r="G8798" s="39">
        <v>129279.64</v>
      </c>
      <c r="H8798" s="42">
        <v>211</v>
      </c>
    </row>
    <row r="8799" spans="1:8" ht="15" customHeight="1">
      <c r="A8799" s="26">
        <v>900789473</v>
      </c>
      <c r="B8799" s="30" t="s">
        <v>11022</v>
      </c>
      <c r="C8799" s="29" t="s">
        <v>25066</v>
      </c>
      <c r="D8799" s="29" t="s">
        <v>38407</v>
      </c>
      <c r="E8799" s="29" t="s">
        <v>50533</v>
      </c>
      <c r="F8799" s="36" t="s">
        <v>54402</v>
      </c>
      <c r="G8799" s="39">
        <v>7189273</v>
      </c>
      <c r="H8799" s="42">
        <v>211</v>
      </c>
    </row>
    <row r="8800" spans="1:8" ht="15" customHeight="1">
      <c r="A8800" s="26">
        <v>900790139</v>
      </c>
      <c r="B8800" s="30" t="s">
        <v>11023</v>
      </c>
      <c r="C8800" s="29" t="s">
        <v>25067</v>
      </c>
      <c r="D8800" s="29" t="s">
        <v>38408</v>
      </c>
      <c r="E8800" s="29" t="s">
        <v>50534</v>
      </c>
      <c r="F8800" s="36" t="s">
        <v>54412</v>
      </c>
      <c r="G8800" s="39">
        <v>273106</v>
      </c>
      <c r="H8800" s="42">
        <v>211</v>
      </c>
    </row>
    <row r="8801" spans="1:8" ht="15" customHeight="1">
      <c r="A8801" s="26">
        <v>900797854</v>
      </c>
      <c r="B8801" s="30" t="s">
        <v>11024</v>
      </c>
      <c r="C8801" s="29" t="s">
        <v>25068</v>
      </c>
      <c r="D8801" s="29" t="s">
        <v>38409</v>
      </c>
      <c r="E8801" s="29" t="s">
        <v>50535</v>
      </c>
      <c r="F8801" s="36" t="s">
        <v>54401</v>
      </c>
      <c r="G8801" s="39">
        <v>623486</v>
      </c>
      <c r="H8801" s="42">
        <v>211</v>
      </c>
    </row>
    <row r="8802" spans="1:8" ht="15" customHeight="1">
      <c r="A8802" s="26">
        <v>900798443</v>
      </c>
      <c r="B8802" s="30" t="s">
        <v>11025</v>
      </c>
      <c r="C8802" s="26" t="s">
        <v>25069</v>
      </c>
      <c r="D8802" s="26" t="s">
        <v>38410</v>
      </c>
      <c r="E8802" s="26" t="s">
        <v>46861</v>
      </c>
      <c r="F8802" s="37" t="s">
        <v>54401</v>
      </c>
      <c r="G8802" s="39">
        <v>26655.46</v>
      </c>
      <c r="H8802" s="42">
        <v>211</v>
      </c>
    </row>
    <row r="8803" spans="1:8" ht="15" customHeight="1">
      <c r="A8803" s="26">
        <v>900803529</v>
      </c>
      <c r="B8803" s="30" t="s">
        <v>11026</v>
      </c>
      <c r="C8803" s="29" t="s">
        <v>24900</v>
      </c>
      <c r="D8803" s="29" t="s">
        <v>38411</v>
      </c>
      <c r="E8803" s="29" t="s">
        <v>50536</v>
      </c>
      <c r="F8803" s="36" t="s">
        <v>54423</v>
      </c>
      <c r="G8803" s="39">
        <v>53150392</v>
      </c>
      <c r="H8803" s="42">
        <v>211</v>
      </c>
    </row>
    <row r="8804" spans="1:8" ht="15" customHeight="1">
      <c r="A8804" s="26">
        <v>900805304</v>
      </c>
      <c r="B8804" s="30" t="s">
        <v>11027</v>
      </c>
      <c r="C8804" s="29" t="s">
        <v>25070</v>
      </c>
      <c r="D8804" s="29" t="s">
        <v>38412</v>
      </c>
      <c r="E8804" s="29" t="s">
        <v>50537</v>
      </c>
      <c r="F8804" s="36" t="s">
        <v>54402</v>
      </c>
      <c r="G8804" s="39">
        <v>5280292.0199999996</v>
      </c>
      <c r="H8804" s="42">
        <v>211</v>
      </c>
    </row>
    <row r="8805" spans="1:8" ht="15" customHeight="1">
      <c r="A8805" s="26">
        <v>900809300</v>
      </c>
      <c r="B8805" s="30" t="s">
        <v>11028</v>
      </c>
      <c r="C8805" s="29" t="s">
        <v>25071</v>
      </c>
      <c r="D8805" s="29" t="s">
        <v>38413</v>
      </c>
      <c r="E8805" s="29" t="s">
        <v>44960</v>
      </c>
      <c r="F8805" s="36" t="s">
        <v>54401</v>
      </c>
      <c r="G8805" s="39">
        <v>1750835</v>
      </c>
      <c r="H8805" s="42">
        <v>211</v>
      </c>
    </row>
    <row r="8806" spans="1:8" ht="15" customHeight="1">
      <c r="A8806" s="26">
        <v>900810891</v>
      </c>
      <c r="B8806" s="30" t="s">
        <v>11029</v>
      </c>
      <c r="C8806" s="29" t="s">
        <v>25072</v>
      </c>
      <c r="D8806" s="29" t="s">
        <v>38414</v>
      </c>
      <c r="E8806" s="29" t="s">
        <v>50538</v>
      </c>
      <c r="F8806" s="36" t="s">
        <v>54401</v>
      </c>
      <c r="G8806" s="39">
        <v>334378.65999999997</v>
      </c>
      <c r="H8806" s="42">
        <v>211</v>
      </c>
    </row>
    <row r="8807" spans="1:8" ht="15" customHeight="1">
      <c r="A8807" s="26">
        <v>900812427</v>
      </c>
      <c r="B8807" s="30" t="s">
        <v>11030</v>
      </c>
      <c r="C8807" s="29" t="s">
        <v>25073</v>
      </c>
      <c r="D8807" s="29" t="s">
        <v>38415</v>
      </c>
      <c r="E8807" s="29" t="s">
        <v>50539</v>
      </c>
      <c r="F8807" s="36" t="s">
        <v>54412</v>
      </c>
      <c r="G8807" s="39">
        <v>275950.40999999997</v>
      </c>
      <c r="H8807" s="42">
        <v>211</v>
      </c>
    </row>
    <row r="8808" spans="1:8" ht="15" customHeight="1">
      <c r="A8808" s="26">
        <v>900815592</v>
      </c>
      <c r="B8808" s="30" t="s">
        <v>11031</v>
      </c>
      <c r="C8808" s="29" t="s">
        <v>25074</v>
      </c>
      <c r="D8808" s="29" t="s">
        <v>38416</v>
      </c>
      <c r="E8808" s="29" t="s">
        <v>50540</v>
      </c>
      <c r="F8808" s="36" t="s">
        <v>54439</v>
      </c>
      <c r="G8808" s="39">
        <v>3345527.29</v>
      </c>
      <c r="H8808" s="42">
        <v>211</v>
      </c>
    </row>
    <row r="8809" spans="1:8" ht="15" customHeight="1">
      <c r="A8809" s="26">
        <v>900816047</v>
      </c>
      <c r="B8809" s="30" t="s">
        <v>11032</v>
      </c>
      <c r="C8809" s="29" t="s">
        <v>25075</v>
      </c>
      <c r="D8809" s="29" t="s">
        <v>38417</v>
      </c>
      <c r="E8809" s="29" t="s">
        <v>50541</v>
      </c>
      <c r="F8809" s="36" t="s">
        <v>54401</v>
      </c>
      <c r="G8809" s="39">
        <v>195932.67</v>
      </c>
      <c r="H8809" s="42">
        <v>211</v>
      </c>
    </row>
    <row r="8810" spans="1:8" ht="15" customHeight="1">
      <c r="A8810" s="26">
        <v>900824324</v>
      </c>
      <c r="B8810" s="30" t="s">
        <v>11033</v>
      </c>
      <c r="C8810" s="29" t="s">
        <v>25076</v>
      </c>
      <c r="D8810" s="29" t="s">
        <v>38418</v>
      </c>
      <c r="E8810" s="29" t="s">
        <v>50542</v>
      </c>
      <c r="F8810" s="36" t="s">
        <v>54401</v>
      </c>
      <c r="G8810" s="39">
        <v>209313000</v>
      </c>
      <c r="H8810" s="42">
        <v>211</v>
      </c>
    </row>
    <row r="8811" spans="1:8" ht="15" customHeight="1">
      <c r="A8811" s="26">
        <v>900826678</v>
      </c>
      <c r="B8811" s="30" t="s">
        <v>11034</v>
      </c>
      <c r="C8811" s="29" t="s">
        <v>25077</v>
      </c>
      <c r="D8811" s="29" t="s">
        <v>38419</v>
      </c>
      <c r="E8811" s="29" t="s">
        <v>50543</v>
      </c>
      <c r="F8811" s="36" t="s">
        <v>54412</v>
      </c>
      <c r="G8811" s="39">
        <v>72628.34</v>
      </c>
      <c r="H8811" s="42">
        <v>211</v>
      </c>
    </row>
    <row r="8812" spans="1:8" ht="15" customHeight="1">
      <c r="A8812" s="26">
        <v>900838372</v>
      </c>
      <c r="B8812" s="30" t="s">
        <v>11035</v>
      </c>
      <c r="C8812" s="29" t="s">
        <v>24303</v>
      </c>
      <c r="D8812" s="29" t="s">
        <v>38420</v>
      </c>
      <c r="E8812" s="29" t="s">
        <v>43926</v>
      </c>
      <c r="F8812" s="36" t="s">
        <v>54401</v>
      </c>
      <c r="G8812" s="39">
        <v>123157.38</v>
      </c>
      <c r="H8812" s="42">
        <v>211</v>
      </c>
    </row>
    <row r="8813" spans="1:8" ht="15" customHeight="1">
      <c r="A8813" s="26">
        <v>900841093</v>
      </c>
      <c r="B8813" s="30" t="s">
        <v>11036</v>
      </c>
      <c r="C8813" s="26" t="s">
        <v>25078</v>
      </c>
      <c r="D8813" s="26" t="s">
        <v>38421</v>
      </c>
      <c r="E8813" s="26" t="s">
        <v>50544</v>
      </c>
      <c r="F8813" s="37" t="s">
        <v>54402</v>
      </c>
      <c r="G8813" s="39">
        <v>184281.51</v>
      </c>
      <c r="H8813" s="42">
        <v>211</v>
      </c>
    </row>
    <row r="8814" spans="1:8" ht="15" customHeight="1">
      <c r="A8814" s="26">
        <v>900854504</v>
      </c>
      <c r="B8814" s="30" t="s">
        <v>11037</v>
      </c>
      <c r="C8814" s="29" t="s">
        <v>25079</v>
      </c>
      <c r="D8814" s="29" t="s">
        <v>38422</v>
      </c>
      <c r="E8814" s="29" t="s">
        <v>50545</v>
      </c>
      <c r="F8814" s="36" t="s">
        <v>54412</v>
      </c>
      <c r="G8814" s="39">
        <v>297560.84999999998</v>
      </c>
      <c r="H8814" s="42">
        <v>211</v>
      </c>
    </row>
    <row r="8815" spans="1:8" ht="15" customHeight="1">
      <c r="A8815" s="26">
        <v>900855532</v>
      </c>
      <c r="B8815" s="30" t="s">
        <v>11038</v>
      </c>
      <c r="C8815" s="29" t="s">
        <v>25080</v>
      </c>
      <c r="D8815" s="29" t="s">
        <v>38423</v>
      </c>
      <c r="E8815" s="29" t="s">
        <v>50546</v>
      </c>
      <c r="F8815" s="36" t="s">
        <v>54401</v>
      </c>
      <c r="G8815" s="39">
        <v>78565.17</v>
      </c>
      <c r="H8815" s="42">
        <v>211</v>
      </c>
    </row>
    <row r="8816" spans="1:8" ht="15" customHeight="1">
      <c r="A8816" s="26">
        <v>900869939</v>
      </c>
      <c r="B8816" s="30" t="s">
        <v>11039</v>
      </c>
      <c r="C8816" s="29" t="s">
        <v>25081</v>
      </c>
      <c r="D8816" s="29" t="s">
        <v>38424</v>
      </c>
      <c r="E8816" s="29" t="s">
        <v>50547</v>
      </c>
      <c r="F8816" s="36" t="s">
        <v>54401</v>
      </c>
      <c r="G8816" s="39">
        <v>284780.96000000002</v>
      </c>
      <c r="H8816" s="42">
        <v>211</v>
      </c>
    </row>
    <row r="8817" spans="1:8" ht="15" customHeight="1">
      <c r="A8817" s="26">
        <v>900874004</v>
      </c>
      <c r="B8817" s="30" t="s">
        <v>11040</v>
      </c>
      <c r="C8817" s="29" t="s">
        <v>25082</v>
      </c>
      <c r="D8817" s="29" t="s">
        <v>38425</v>
      </c>
      <c r="E8817" s="29" t="s">
        <v>45276</v>
      </c>
      <c r="F8817" s="36" t="s">
        <v>54401</v>
      </c>
      <c r="G8817" s="39">
        <v>1358599.85</v>
      </c>
      <c r="H8817" s="42">
        <v>211</v>
      </c>
    </row>
    <row r="8818" spans="1:8" ht="15" customHeight="1">
      <c r="A8818" s="26">
        <v>900874335</v>
      </c>
      <c r="B8818" s="30" t="s">
        <v>11041</v>
      </c>
      <c r="C8818" s="29" t="s">
        <v>24879</v>
      </c>
      <c r="D8818" s="29" t="s">
        <v>38426</v>
      </c>
      <c r="E8818" s="29" t="s">
        <v>50548</v>
      </c>
      <c r="F8818" s="36" t="s">
        <v>54401</v>
      </c>
      <c r="G8818" s="39">
        <v>3455175</v>
      </c>
      <c r="H8818" s="42">
        <v>211</v>
      </c>
    </row>
    <row r="8819" spans="1:8" ht="15" customHeight="1">
      <c r="A8819" s="26">
        <v>900877067</v>
      </c>
      <c r="B8819" s="30" t="s">
        <v>11042</v>
      </c>
      <c r="C8819" s="29" t="s">
        <v>25083</v>
      </c>
      <c r="D8819" s="29" t="s">
        <v>38427</v>
      </c>
      <c r="E8819" s="29" t="s">
        <v>50549</v>
      </c>
      <c r="F8819" s="36" t="s">
        <v>54401</v>
      </c>
      <c r="G8819" s="39">
        <v>124042.44</v>
      </c>
      <c r="H8819" s="42">
        <v>211</v>
      </c>
    </row>
    <row r="8820" spans="1:8" ht="15" customHeight="1">
      <c r="A8820" s="26">
        <v>900880069</v>
      </c>
      <c r="B8820" s="30" t="s">
        <v>11043</v>
      </c>
      <c r="C8820" s="26" t="s">
        <v>25084</v>
      </c>
      <c r="D8820" s="26" t="s">
        <v>38428</v>
      </c>
      <c r="E8820" s="26" t="s">
        <v>50550</v>
      </c>
      <c r="F8820" s="37" t="s">
        <v>54401</v>
      </c>
      <c r="G8820" s="39">
        <v>137376.46</v>
      </c>
      <c r="H8820" s="42">
        <v>211</v>
      </c>
    </row>
    <row r="8821" spans="1:8" ht="15" customHeight="1">
      <c r="A8821" s="26">
        <v>900882573</v>
      </c>
      <c r="B8821" s="30" t="s">
        <v>11044</v>
      </c>
      <c r="C8821" s="29" t="s">
        <v>25085</v>
      </c>
      <c r="D8821" s="29" t="s">
        <v>38429</v>
      </c>
      <c r="E8821" s="29" t="s">
        <v>50551</v>
      </c>
      <c r="F8821" s="36" t="s">
        <v>54401</v>
      </c>
      <c r="G8821" s="39">
        <v>27504.2</v>
      </c>
      <c r="H8821" s="42">
        <v>211</v>
      </c>
    </row>
    <row r="8822" spans="1:8" ht="15" customHeight="1">
      <c r="A8822" s="26">
        <v>900891535</v>
      </c>
      <c r="B8822" s="30" t="s">
        <v>11045</v>
      </c>
      <c r="C8822" s="29" t="s">
        <v>22182</v>
      </c>
      <c r="D8822" s="29" t="s">
        <v>38430</v>
      </c>
      <c r="E8822" s="29" t="s">
        <v>50552</v>
      </c>
      <c r="F8822" s="36" t="s">
        <v>54401</v>
      </c>
      <c r="G8822" s="39">
        <v>50319.33</v>
      </c>
      <c r="H8822" s="42">
        <v>211</v>
      </c>
    </row>
    <row r="8823" spans="1:8" ht="15" customHeight="1">
      <c r="A8823" s="26">
        <v>900895183</v>
      </c>
      <c r="B8823" s="30" t="s">
        <v>11046</v>
      </c>
      <c r="C8823" s="29" t="s">
        <v>25086</v>
      </c>
      <c r="D8823" s="29" t="s">
        <v>38431</v>
      </c>
      <c r="E8823" s="29" t="s">
        <v>50553</v>
      </c>
      <c r="F8823" s="36" t="s">
        <v>54412</v>
      </c>
      <c r="G8823" s="39">
        <v>3380063</v>
      </c>
      <c r="H8823" s="42">
        <v>211</v>
      </c>
    </row>
    <row r="8824" spans="1:8" ht="15" customHeight="1">
      <c r="A8824" s="26">
        <v>900897102</v>
      </c>
      <c r="B8824" s="30" t="s">
        <v>11047</v>
      </c>
      <c r="C8824" s="29" t="s">
        <v>25087</v>
      </c>
      <c r="D8824" s="29" t="s">
        <v>38432</v>
      </c>
      <c r="E8824" s="29" t="s">
        <v>50554</v>
      </c>
      <c r="F8824" s="36" t="s">
        <v>54412</v>
      </c>
      <c r="G8824" s="39">
        <v>90246.62</v>
      </c>
      <c r="H8824" s="42">
        <v>211</v>
      </c>
    </row>
    <row r="8825" spans="1:8" ht="15" customHeight="1">
      <c r="A8825" s="26">
        <v>900897783</v>
      </c>
      <c r="B8825" s="30" t="s">
        <v>11048</v>
      </c>
      <c r="C8825" s="29" t="s">
        <v>25088</v>
      </c>
      <c r="D8825" s="29" t="s">
        <v>38433</v>
      </c>
      <c r="E8825" s="29" t="s">
        <v>50555</v>
      </c>
      <c r="F8825" s="36" t="s">
        <v>54413</v>
      </c>
      <c r="G8825" s="39">
        <v>4800000</v>
      </c>
      <c r="H8825" s="42">
        <v>211</v>
      </c>
    </row>
    <row r="8826" spans="1:8" ht="15" customHeight="1">
      <c r="A8826" s="26">
        <v>900899944</v>
      </c>
      <c r="B8826" s="30" t="s">
        <v>11049</v>
      </c>
      <c r="C8826" s="29" t="s">
        <v>24762</v>
      </c>
      <c r="D8826" s="29" t="s">
        <v>38434</v>
      </c>
      <c r="E8826" s="29" t="s">
        <v>50556</v>
      </c>
      <c r="F8826" s="36" t="s">
        <v>54401</v>
      </c>
      <c r="G8826" s="39">
        <v>840000</v>
      </c>
      <c r="H8826" s="42">
        <v>211</v>
      </c>
    </row>
    <row r="8827" spans="1:8" ht="15" customHeight="1">
      <c r="A8827" s="26">
        <v>900905553</v>
      </c>
      <c r="B8827" s="30" t="s">
        <v>11050</v>
      </c>
      <c r="C8827" s="29" t="s">
        <v>25089</v>
      </c>
      <c r="D8827" s="29" t="s">
        <v>38435</v>
      </c>
      <c r="E8827" s="29" t="s">
        <v>50557</v>
      </c>
      <c r="F8827" s="36" t="s">
        <v>54412</v>
      </c>
      <c r="G8827" s="39">
        <v>13893689</v>
      </c>
      <c r="H8827" s="42">
        <v>211</v>
      </c>
    </row>
    <row r="8828" spans="1:8" ht="15" customHeight="1">
      <c r="A8828" s="26">
        <v>900914641</v>
      </c>
      <c r="B8828" s="30" t="s">
        <v>11051</v>
      </c>
      <c r="C8828" s="29" t="s">
        <v>22988</v>
      </c>
      <c r="D8828" s="29" t="s">
        <v>36259</v>
      </c>
      <c r="E8828" s="29" t="s">
        <v>46383</v>
      </c>
      <c r="F8828" s="36" t="s">
        <v>54414</v>
      </c>
      <c r="G8828" s="39">
        <v>9549195</v>
      </c>
      <c r="H8828" s="42">
        <v>211</v>
      </c>
    </row>
    <row r="8829" spans="1:8" ht="15" customHeight="1">
      <c r="A8829" s="26">
        <v>900920045</v>
      </c>
      <c r="B8829" s="30" t="s">
        <v>11052</v>
      </c>
      <c r="C8829" s="29" t="s">
        <v>25090</v>
      </c>
      <c r="D8829" s="29" t="s">
        <v>38436</v>
      </c>
      <c r="E8829" s="29" t="s">
        <v>50558</v>
      </c>
      <c r="F8829" s="36" t="s">
        <v>54401</v>
      </c>
      <c r="G8829" s="39">
        <v>307973.78000000003</v>
      </c>
      <c r="H8829" s="42">
        <v>211</v>
      </c>
    </row>
    <row r="8830" spans="1:8" ht="15" customHeight="1">
      <c r="A8830" s="26">
        <v>900921021</v>
      </c>
      <c r="B8830" s="30" t="s">
        <v>11053</v>
      </c>
      <c r="C8830" s="29" t="s">
        <v>25024</v>
      </c>
      <c r="D8830" s="29" t="s">
        <v>38437</v>
      </c>
      <c r="E8830" s="29" t="s">
        <v>45502</v>
      </c>
      <c r="F8830" s="36" t="s">
        <v>54401</v>
      </c>
      <c r="G8830" s="39">
        <v>65193.24</v>
      </c>
      <c r="H8830" s="42">
        <v>211</v>
      </c>
    </row>
    <row r="8831" spans="1:8" ht="15" customHeight="1">
      <c r="A8831" s="26">
        <v>900925111</v>
      </c>
      <c r="B8831" s="30" t="s">
        <v>11054</v>
      </c>
      <c r="C8831" s="29" t="s">
        <v>18742</v>
      </c>
      <c r="D8831" s="29" t="s">
        <v>38438</v>
      </c>
      <c r="E8831" s="29" t="s">
        <v>50559</v>
      </c>
      <c r="F8831" s="36" t="s">
        <v>54401</v>
      </c>
      <c r="G8831" s="39">
        <v>601845.86</v>
      </c>
      <c r="H8831" s="42">
        <v>211</v>
      </c>
    </row>
    <row r="8832" spans="1:8" ht="15" customHeight="1">
      <c r="A8832" s="26">
        <v>900930169</v>
      </c>
      <c r="B8832" s="30" t="s">
        <v>11055</v>
      </c>
      <c r="C8832" s="29" t="s">
        <v>25091</v>
      </c>
      <c r="D8832" s="29" t="s">
        <v>38439</v>
      </c>
      <c r="E8832" s="29" t="s">
        <v>50560</v>
      </c>
      <c r="F8832" s="36" t="s">
        <v>54401</v>
      </c>
      <c r="G8832" s="39">
        <v>109487.39</v>
      </c>
      <c r="H8832" s="42">
        <v>211</v>
      </c>
    </row>
    <row r="8833" spans="1:8" ht="15" customHeight="1">
      <c r="A8833" s="26">
        <v>900930454</v>
      </c>
      <c r="B8833" s="30" t="s">
        <v>11056</v>
      </c>
      <c r="C8833" s="29" t="s">
        <v>25092</v>
      </c>
      <c r="D8833" s="29" t="s">
        <v>38440</v>
      </c>
      <c r="E8833" s="29" t="s">
        <v>50561</v>
      </c>
      <c r="F8833" s="36" t="s">
        <v>54401</v>
      </c>
      <c r="G8833" s="39">
        <v>341162</v>
      </c>
      <c r="H8833" s="42">
        <v>211</v>
      </c>
    </row>
    <row r="8834" spans="1:8" ht="15" customHeight="1">
      <c r="A8834" s="26">
        <v>900932268</v>
      </c>
      <c r="B8834" s="30" t="s">
        <v>11057</v>
      </c>
      <c r="C8834" s="29" t="s">
        <v>25093</v>
      </c>
      <c r="D8834" s="29" t="s">
        <v>38441</v>
      </c>
      <c r="E8834" s="29" t="s">
        <v>50562</v>
      </c>
      <c r="F8834" s="36" t="s">
        <v>54412</v>
      </c>
      <c r="G8834" s="39">
        <v>136870.66</v>
      </c>
      <c r="H8834" s="42">
        <v>211</v>
      </c>
    </row>
    <row r="8835" spans="1:8" ht="15" customHeight="1">
      <c r="A8835" s="26">
        <v>900935869</v>
      </c>
      <c r="B8835" s="30" t="s">
        <v>11058</v>
      </c>
      <c r="C8835" s="29" t="s">
        <v>25094</v>
      </c>
      <c r="D8835" s="29" t="s">
        <v>38442</v>
      </c>
      <c r="E8835" s="29" t="s">
        <v>50563</v>
      </c>
      <c r="F8835" s="36" t="s">
        <v>54409</v>
      </c>
      <c r="G8835" s="39">
        <v>2574085</v>
      </c>
      <c r="H8835" s="42">
        <v>211</v>
      </c>
    </row>
    <row r="8836" spans="1:8" ht="15" customHeight="1">
      <c r="A8836" s="26">
        <v>900938171</v>
      </c>
      <c r="B8836" s="30" t="s">
        <v>11059</v>
      </c>
      <c r="C8836" s="29" t="s">
        <v>22690</v>
      </c>
      <c r="D8836" s="29" t="s">
        <v>38443</v>
      </c>
      <c r="E8836" s="29" t="s">
        <v>50564</v>
      </c>
      <c r="F8836" s="36" t="s">
        <v>54402</v>
      </c>
      <c r="G8836" s="39">
        <v>700184.05</v>
      </c>
      <c r="H8836" s="42">
        <v>211</v>
      </c>
    </row>
    <row r="8837" spans="1:8" ht="15" customHeight="1">
      <c r="A8837" s="26">
        <v>900941060</v>
      </c>
      <c r="B8837" s="30" t="s">
        <v>11060</v>
      </c>
      <c r="C8837" s="29" t="s">
        <v>25095</v>
      </c>
      <c r="D8837" s="29" t="s">
        <v>38444</v>
      </c>
      <c r="E8837" s="29" t="s">
        <v>50565</v>
      </c>
      <c r="F8837" s="36" t="s">
        <v>54412</v>
      </c>
      <c r="G8837" s="39">
        <v>42476.61</v>
      </c>
      <c r="H8837" s="42">
        <v>211</v>
      </c>
    </row>
    <row r="8838" spans="1:8" ht="15" customHeight="1">
      <c r="A8838" s="26">
        <v>900941986</v>
      </c>
      <c r="B8838" s="30" t="s">
        <v>11061</v>
      </c>
      <c r="C8838" s="29" t="s">
        <v>25096</v>
      </c>
      <c r="D8838" s="29" t="s">
        <v>38445</v>
      </c>
      <c r="E8838" s="29" t="s">
        <v>50566</v>
      </c>
      <c r="F8838" s="36" t="s">
        <v>54401</v>
      </c>
      <c r="G8838" s="39">
        <v>171975.32</v>
      </c>
      <c r="H8838" s="42">
        <v>211</v>
      </c>
    </row>
    <row r="8839" spans="1:8" ht="15" customHeight="1">
      <c r="A8839" s="26">
        <v>900943413</v>
      </c>
      <c r="B8839" s="30" t="s">
        <v>11062</v>
      </c>
      <c r="C8839" s="29" t="s">
        <v>25097</v>
      </c>
      <c r="D8839" s="29" t="s">
        <v>38446</v>
      </c>
      <c r="E8839" s="29" t="s">
        <v>50567</v>
      </c>
      <c r="F8839" s="36" t="s">
        <v>54412</v>
      </c>
      <c r="G8839" s="39">
        <v>176048.1</v>
      </c>
      <c r="H8839" s="42">
        <v>211</v>
      </c>
    </row>
    <row r="8840" spans="1:8" ht="15" customHeight="1">
      <c r="A8840" s="26">
        <v>900946665</v>
      </c>
      <c r="B8840" s="30" t="s">
        <v>11063</v>
      </c>
      <c r="C8840" s="29" t="s">
        <v>25098</v>
      </c>
      <c r="D8840" s="29" t="s">
        <v>38447</v>
      </c>
      <c r="E8840" s="29" t="s">
        <v>50568</v>
      </c>
      <c r="F8840" s="36" t="s">
        <v>54401</v>
      </c>
      <c r="G8840" s="39">
        <v>1524911</v>
      </c>
      <c r="H8840" s="42">
        <v>211</v>
      </c>
    </row>
    <row r="8841" spans="1:8" ht="15" customHeight="1">
      <c r="A8841" s="26">
        <v>900957065</v>
      </c>
      <c r="B8841" s="30" t="s">
        <v>11064</v>
      </c>
      <c r="C8841" s="29" t="s">
        <v>20936</v>
      </c>
      <c r="D8841" s="29" t="s">
        <v>34160</v>
      </c>
      <c r="E8841" s="29" t="s">
        <v>50569</v>
      </c>
      <c r="F8841" s="36" t="s">
        <v>54401</v>
      </c>
      <c r="G8841" s="39">
        <v>356012</v>
      </c>
      <c r="H8841" s="42">
        <v>211</v>
      </c>
    </row>
    <row r="8842" spans="1:8" ht="15" customHeight="1">
      <c r="A8842" s="26">
        <v>900957360</v>
      </c>
      <c r="B8842" s="30" t="s">
        <v>11065</v>
      </c>
      <c r="C8842" s="29" t="s">
        <v>25099</v>
      </c>
      <c r="D8842" s="29" t="s">
        <v>38448</v>
      </c>
      <c r="E8842" s="29" t="s">
        <v>50570</v>
      </c>
      <c r="F8842" s="36" t="s">
        <v>54401</v>
      </c>
      <c r="G8842" s="39">
        <v>58146.92</v>
      </c>
      <c r="H8842" s="42">
        <v>211</v>
      </c>
    </row>
    <row r="8843" spans="1:8" ht="15" customHeight="1">
      <c r="A8843" s="26">
        <v>900957961</v>
      </c>
      <c r="B8843" s="30" t="s">
        <v>11066</v>
      </c>
      <c r="C8843" s="29" t="s">
        <v>25100</v>
      </c>
      <c r="D8843" s="29" t="s">
        <v>38449</v>
      </c>
      <c r="E8843" s="29" t="s">
        <v>50571</v>
      </c>
      <c r="F8843" s="36" t="s">
        <v>54401</v>
      </c>
      <c r="G8843" s="39">
        <v>373236</v>
      </c>
      <c r="H8843" s="42">
        <v>211</v>
      </c>
    </row>
    <row r="8844" spans="1:8" ht="15" customHeight="1">
      <c r="A8844" s="26">
        <v>900958819</v>
      </c>
      <c r="B8844" s="30" t="s">
        <v>11067</v>
      </c>
      <c r="C8844" s="29" t="s">
        <v>25101</v>
      </c>
      <c r="D8844" s="29" t="s">
        <v>38450</v>
      </c>
      <c r="E8844" s="29" t="s">
        <v>50572</v>
      </c>
      <c r="F8844" s="36" t="s">
        <v>54401</v>
      </c>
      <c r="G8844" s="39">
        <v>222778.46</v>
      </c>
      <c r="H8844" s="42">
        <v>211</v>
      </c>
    </row>
    <row r="8845" spans="1:8" ht="15" customHeight="1">
      <c r="A8845" s="26">
        <v>900959270</v>
      </c>
      <c r="B8845" s="30" t="s">
        <v>11068</v>
      </c>
      <c r="C8845" s="29" t="s">
        <v>25102</v>
      </c>
      <c r="D8845" s="29" t="s">
        <v>38451</v>
      </c>
      <c r="E8845" s="29" t="s">
        <v>50573</v>
      </c>
      <c r="F8845" s="36" t="s">
        <v>54401</v>
      </c>
      <c r="G8845" s="39">
        <v>147916.56</v>
      </c>
      <c r="H8845" s="42">
        <v>211</v>
      </c>
    </row>
    <row r="8846" spans="1:8" ht="15" customHeight="1">
      <c r="A8846" s="26">
        <v>900959527</v>
      </c>
      <c r="B8846" s="30" t="s">
        <v>11069</v>
      </c>
      <c r="C8846" s="26" t="s">
        <v>25103</v>
      </c>
      <c r="D8846" s="26" t="s">
        <v>38452</v>
      </c>
      <c r="E8846" s="26" t="s">
        <v>50574</v>
      </c>
      <c r="F8846" s="37" t="s">
        <v>54412</v>
      </c>
      <c r="G8846" s="39">
        <v>160950.21</v>
      </c>
      <c r="H8846" s="42">
        <v>211</v>
      </c>
    </row>
    <row r="8847" spans="1:8" ht="15" customHeight="1">
      <c r="A8847" s="26">
        <v>900968108</v>
      </c>
      <c r="B8847" s="30" t="s">
        <v>11070</v>
      </c>
      <c r="C8847" s="29" t="s">
        <v>25104</v>
      </c>
      <c r="D8847" s="29" t="s">
        <v>38453</v>
      </c>
      <c r="E8847" s="29" t="s">
        <v>50575</v>
      </c>
      <c r="F8847" s="36" t="s">
        <v>54401</v>
      </c>
      <c r="G8847" s="39">
        <v>36512.61</v>
      </c>
      <c r="H8847" s="42">
        <v>211</v>
      </c>
    </row>
    <row r="8848" spans="1:8" ht="15" customHeight="1">
      <c r="A8848" s="26">
        <v>900968514</v>
      </c>
      <c r="B8848" s="30" t="s">
        <v>11071</v>
      </c>
      <c r="C8848" s="29" t="s">
        <v>17204</v>
      </c>
      <c r="D8848" s="29" t="s">
        <v>38454</v>
      </c>
      <c r="E8848" s="29" t="s">
        <v>50576</v>
      </c>
      <c r="F8848" s="36" t="s">
        <v>54401</v>
      </c>
      <c r="G8848" s="39">
        <v>1191865.45</v>
      </c>
      <c r="H8848" s="42">
        <v>211</v>
      </c>
    </row>
    <row r="8849" spans="1:8" ht="15" customHeight="1">
      <c r="A8849" s="26">
        <v>900970505</v>
      </c>
      <c r="B8849" s="30" t="s">
        <v>11072</v>
      </c>
      <c r="C8849" s="29" t="s">
        <v>21785</v>
      </c>
      <c r="D8849" s="29" t="s">
        <v>38455</v>
      </c>
      <c r="E8849" s="29" t="s">
        <v>44941</v>
      </c>
      <c r="F8849" s="36" t="s">
        <v>54401</v>
      </c>
      <c r="G8849" s="39">
        <v>464872.01</v>
      </c>
      <c r="H8849" s="42">
        <v>211</v>
      </c>
    </row>
    <row r="8850" spans="1:8" ht="15" customHeight="1">
      <c r="A8850" s="26">
        <v>900971910</v>
      </c>
      <c r="B8850" s="30" t="s">
        <v>11073</v>
      </c>
      <c r="C8850" s="29" t="s">
        <v>25105</v>
      </c>
      <c r="D8850" s="29" t="s">
        <v>38456</v>
      </c>
      <c r="E8850" s="29" t="s">
        <v>50577</v>
      </c>
      <c r="F8850" s="36" t="s">
        <v>54401</v>
      </c>
      <c r="G8850" s="39">
        <v>568461.9</v>
      </c>
      <c r="H8850" s="42">
        <v>211</v>
      </c>
    </row>
    <row r="8851" spans="1:8" ht="15" customHeight="1">
      <c r="A8851" s="26">
        <v>900972671</v>
      </c>
      <c r="B8851" s="30" t="s">
        <v>11074</v>
      </c>
      <c r="C8851" s="29" t="s">
        <v>25106</v>
      </c>
      <c r="D8851" s="29" t="s">
        <v>38457</v>
      </c>
      <c r="E8851" s="29" t="s">
        <v>50578</v>
      </c>
      <c r="F8851" s="36" t="s">
        <v>54412</v>
      </c>
      <c r="G8851" s="39">
        <v>152460.85999999999</v>
      </c>
      <c r="H8851" s="42">
        <v>211</v>
      </c>
    </row>
    <row r="8852" spans="1:8" ht="15" customHeight="1">
      <c r="A8852" s="26">
        <v>900975655</v>
      </c>
      <c r="B8852" s="30" t="s">
        <v>11075</v>
      </c>
      <c r="C8852" s="29" t="s">
        <v>25107</v>
      </c>
      <c r="D8852" s="29" t="s">
        <v>38458</v>
      </c>
      <c r="E8852" s="29" t="s">
        <v>50579</v>
      </c>
      <c r="F8852" s="36" t="s">
        <v>54426</v>
      </c>
      <c r="G8852" s="39">
        <v>179536000</v>
      </c>
      <c r="H8852" s="42">
        <v>211</v>
      </c>
    </row>
    <row r="8853" spans="1:8" ht="15" customHeight="1">
      <c r="A8853" s="26">
        <v>900976764</v>
      </c>
      <c r="B8853" s="30" t="s">
        <v>11076</v>
      </c>
      <c r="C8853" s="29" t="s">
        <v>25108</v>
      </c>
      <c r="D8853" s="29" t="s">
        <v>38459</v>
      </c>
      <c r="E8853" s="29" t="s">
        <v>50580</v>
      </c>
      <c r="F8853" s="36" t="s">
        <v>54402</v>
      </c>
      <c r="G8853" s="39">
        <v>181647.89</v>
      </c>
      <c r="H8853" s="42">
        <v>211</v>
      </c>
    </row>
    <row r="8854" spans="1:8" ht="15" customHeight="1">
      <c r="A8854" s="26">
        <v>900979670</v>
      </c>
      <c r="B8854" s="30" t="s">
        <v>11077</v>
      </c>
      <c r="C8854" s="29" t="s">
        <v>25109</v>
      </c>
      <c r="D8854" s="29" t="s">
        <v>38460</v>
      </c>
      <c r="E8854" s="29" t="s">
        <v>50581</v>
      </c>
      <c r="F8854" s="36" t="s">
        <v>54401</v>
      </c>
      <c r="G8854" s="39">
        <v>29400</v>
      </c>
      <c r="H8854" s="42">
        <v>211</v>
      </c>
    </row>
    <row r="8855" spans="1:8" ht="15" customHeight="1">
      <c r="A8855" s="26">
        <v>900994495</v>
      </c>
      <c r="B8855" s="30" t="s">
        <v>11078</v>
      </c>
      <c r="C8855" s="29" t="s">
        <v>25110</v>
      </c>
      <c r="D8855" s="29" t="s">
        <v>38461</v>
      </c>
      <c r="E8855" s="29" t="s">
        <v>50582</v>
      </c>
      <c r="F8855" s="36" t="s">
        <v>54412</v>
      </c>
      <c r="G8855" s="39">
        <v>2017046</v>
      </c>
      <c r="H8855" s="42">
        <v>211</v>
      </c>
    </row>
    <row r="8856" spans="1:8" ht="15" customHeight="1">
      <c r="A8856" s="26">
        <v>900998272</v>
      </c>
      <c r="B8856" s="30" t="s">
        <v>11079</v>
      </c>
      <c r="C8856" s="29" t="s">
        <v>25111</v>
      </c>
      <c r="D8856" s="29" t="s">
        <v>38462</v>
      </c>
      <c r="E8856" s="29" t="s">
        <v>43926</v>
      </c>
      <c r="F8856" s="36" t="s">
        <v>54401</v>
      </c>
      <c r="G8856" s="39">
        <v>14974.79</v>
      </c>
      <c r="H8856" s="42">
        <v>211</v>
      </c>
    </row>
    <row r="8857" spans="1:8" ht="15" customHeight="1">
      <c r="A8857" s="26">
        <v>901000913</v>
      </c>
      <c r="B8857" s="30" t="s">
        <v>11080</v>
      </c>
      <c r="C8857" s="29" t="s">
        <v>25112</v>
      </c>
      <c r="D8857" s="29" t="s">
        <v>38463</v>
      </c>
      <c r="E8857" s="29" t="s">
        <v>50583</v>
      </c>
      <c r="F8857" s="36" t="s">
        <v>54401</v>
      </c>
      <c r="G8857" s="39">
        <v>484106.36</v>
      </c>
      <c r="H8857" s="42">
        <v>211</v>
      </c>
    </row>
    <row r="8858" spans="1:8" ht="15" customHeight="1">
      <c r="A8858" s="26">
        <v>901004873</v>
      </c>
      <c r="B8858" s="30" t="s">
        <v>11081</v>
      </c>
      <c r="C8858" s="29" t="s">
        <v>25113</v>
      </c>
      <c r="D8858" s="29" t="s">
        <v>38464</v>
      </c>
      <c r="E8858" s="29" t="s">
        <v>44324</v>
      </c>
      <c r="F8858" s="36" t="s">
        <v>54401</v>
      </c>
      <c r="G8858" s="39">
        <v>414977.61</v>
      </c>
      <c r="H8858" s="42">
        <v>211</v>
      </c>
    </row>
    <row r="8859" spans="1:8" ht="15" customHeight="1">
      <c r="A8859" s="26">
        <v>901004994</v>
      </c>
      <c r="B8859" s="30" t="s">
        <v>11082</v>
      </c>
      <c r="C8859" s="29" t="s">
        <v>25114</v>
      </c>
      <c r="D8859" s="29" t="s">
        <v>38465</v>
      </c>
      <c r="E8859" s="29" t="s">
        <v>50584</v>
      </c>
      <c r="F8859" s="36" t="s">
        <v>54412</v>
      </c>
      <c r="G8859" s="39">
        <v>2345754.31</v>
      </c>
      <c r="H8859" s="42">
        <v>211</v>
      </c>
    </row>
    <row r="8860" spans="1:8" ht="15" customHeight="1">
      <c r="A8860" s="26">
        <v>901015274</v>
      </c>
      <c r="B8860" s="30" t="s">
        <v>11083</v>
      </c>
      <c r="C8860" s="29" t="s">
        <v>25115</v>
      </c>
      <c r="D8860" s="29" t="s">
        <v>38466</v>
      </c>
      <c r="E8860" s="29" t="s">
        <v>50585</v>
      </c>
      <c r="F8860" s="36" t="s">
        <v>54401</v>
      </c>
      <c r="G8860" s="39">
        <v>54756.3</v>
      </c>
      <c r="H8860" s="42">
        <v>211</v>
      </c>
    </row>
    <row r="8861" spans="1:8" ht="15" customHeight="1">
      <c r="A8861" s="26">
        <v>901015960</v>
      </c>
      <c r="B8861" s="30" t="s">
        <v>11084</v>
      </c>
      <c r="C8861" s="29" t="s">
        <v>25116</v>
      </c>
      <c r="D8861" s="29" t="s">
        <v>38467</v>
      </c>
      <c r="E8861" s="29" t="s">
        <v>45073</v>
      </c>
      <c r="F8861" s="36" t="s">
        <v>54401</v>
      </c>
      <c r="G8861" s="39">
        <v>451533.29</v>
      </c>
      <c r="H8861" s="42">
        <v>211</v>
      </c>
    </row>
    <row r="8862" spans="1:8" ht="15" customHeight="1">
      <c r="A8862" s="26">
        <v>901018189</v>
      </c>
      <c r="B8862" s="30" t="s">
        <v>11085</v>
      </c>
      <c r="C8862" s="29" t="s">
        <v>25117</v>
      </c>
      <c r="D8862" s="29" t="s">
        <v>38468</v>
      </c>
      <c r="E8862" s="29" t="s">
        <v>50586</v>
      </c>
      <c r="F8862" s="36" t="s">
        <v>54401</v>
      </c>
      <c r="G8862" s="39">
        <v>434363.68</v>
      </c>
      <c r="H8862" s="42">
        <v>211</v>
      </c>
    </row>
    <row r="8863" spans="1:8" ht="15" customHeight="1">
      <c r="A8863" s="26">
        <v>901020992</v>
      </c>
      <c r="B8863" s="30" t="s">
        <v>11086</v>
      </c>
      <c r="C8863" s="29" t="s">
        <v>22755</v>
      </c>
      <c r="D8863" s="29" t="s">
        <v>38469</v>
      </c>
      <c r="E8863" s="29" t="s">
        <v>50587</v>
      </c>
      <c r="F8863" s="36" t="s">
        <v>54401</v>
      </c>
      <c r="G8863" s="39">
        <v>1232454.96</v>
      </c>
      <c r="H8863" s="42">
        <v>211</v>
      </c>
    </row>
    <row r="8864" spans="1:8" ht="15" customHeight="1">
      <c r="A8864" s="26">
        <v>901023297</v>
      </c>
      <c r="B8864" s="30" t="s">
        <v>11087</v>
      </c>
      <c r="C8864" s="29" t="s">
        <v>25118</v>
      </c>
      <c r="D8864" s="29" t="s">
        <v>38470</v>
      </c>
      <c r="E8864" s="29" t="s">
        <v>50588</v>
      </c>
      <c r="F8864" s="36" t="s">
        <v>54412</v>
      </c>
      <c r="G8864" s="39">
        <v>214939.16</v>
      </c>
      <c r="H8864" s="42">
        <v>211</v>
      </c>
    </row>
    <row r="8865" spans="1:8" ht="15" customHeight="1">
      <c r="A8865" s="26">
        <v>901027669</v>
      </c>
      <c r="B8865" s="30" t="s">
        <v>11088</v>
      </c>
      <c r="C8865" s="29" t="s">
        <v>24470</v>
      </c>
      <c r="D8865" s="29" t="s">
        <v>38471</v>
      </c>
      <c r="E8865" s="29" t="s">
        <v>50589</v>
      </c>
      <c r="F8865" s="36" t="s">
        <v>54401</v>
      </c>
      <c r="G8865" s="39">
        <v>285715.7</v>
      </c>
      <c r="H8865" s="42">
        <v>211</v>
      </c>
    </row>
    <row r="8866" spans="1:8" ht="15" customHeight="1">
      <c r="A8866" s="26">
        <v>901037046</v>
      </c>
      <c r="B8866" s="30" t="s">
        <v>11089</v>
      </c>
      <c r="C8866" s="29" t="s">
        <v>25119</v>
      </c>
      <c r="D8866" s="29" t="s">
        <v>38472</v>
      </c>
      <c r="E8866" s="29" t="s">
        <v>50590</v>
      </c>
      <c r="F8866" s="36" t="s">
        <v>54401</v>
      </c>
      <c r="G8866" s="39">
        <v>120976.53</v>
      </c>
      <c r="H8866" s="42">
        <v>211</v>
      </c>
    </row>
    <row r="8867" spans="1:8" ht="15" customHeight="1">
      <c r="A8867" s="26">
        <v>901046216</v>
      </c>
      <c r="B8867" s="30" t="s">
        <v>11090</v>
      </c>
      <c r="C8867" s="29" t="s">
        <v>25120</v>
      </c>
      <c r="D8867" s="29" t="s">
        <v>38473</v>
      </c>
      <c r="E8867" s="29" t="s">
        <v>50591</v>
      </c>
      <c r="F8867" s="36" t="s">
        <v>54401</v>
      </c>
      <c r="G8867" s="39">
        <v>1321231</v>
      </c>
      <c r="H8867" s="42">
        <v>211</v>
      </c>
    </row>
    <row r="8868" spans="1:8" ht="15" customHeight="1">
      <c r="A8868" s="26">
        <v>901048418</v>
      </c>
      <c r="B8868" s="30" t="s">
        <v>11091</v>
      </c>
      <c r="C8868" s="29" t="s">
        <v>25121</v>
      </c>
      <c r="D8868" s="29" t="s">
        <v>38474</v>
      </c>
      <c r="E8868" s="29" t="s">
        <v>50592</v>
      </c>
      <c r="F8868" s="36" t="s">
        <v>54401</v>
      </c>
      <c r="G8868" s="39">
        <v>548899</v>
      </c>
      <c r="H8868" s="42">
        <v>211</v>
      </c>
    </row>
    <row r="8869" spans="1:8" ht="15" customHeight="1">
      <c r="A8869" s="26">
        <v>901048664</v>
      </c>
      <c r="B8869" s="30" t="s">
        <v>11092</v>
      </c>
      <c r="C8869" s="26" t="s">
        <v>25122</v>
      </c>
      <c r="D8869" s="26" t="s">
        <v>38475</v>
      </c>
      <c r="E8869" s="26" t="s">
        <v>50593</v>
      </c>
      <c r="F8869" s="37" t="s">
        <v>54402</v>
      </c>
      <c r="G8869" s="39">
        <v>26403.360000000001</v>
      </c>
      <c r="H8869" s="42">
        <v>211</v>
      </c>
    </row>
    <row r="8870" spans="1:8" ht="15" customHeight="1">
      <c r="A8870" s="26">
        <v>901048992</v>
      </c>
      <c r="B8870" s="30" t="s">
        <v>11093</v>
      </c>
      <c r="C8870" s="29" t="s">
        <v>25123</v>
      </c>
      <c r="D8870" s="29" t="s">
        <v>34113</v>
      </c>
      <c r="E8870" s="29" t="s">
        <v>50594</v>
      </c>
      <c r="F8870" s="36" t="s">
        <v>54401</v>
      </c>
      <c r="G8870" s="39">
        <v>5122836</v>
      </c>
      <c r="H8870" s="42">
        <v>211</v>
      </c>
    </row>
    <row r="8871" spans="1:8" ht="15" customHeight="1">
      <c r="A8871" s="26">
        <v>901051056</v>
      </c>
      <c r="B8871" s="30" t="s">
        <v>11094</v>
      </c>
      <c r="C8871" s="29" t="s">
        <v>25124</v>
      </c>
      <c r="D8871" s="29" t="s">
        <v>38476</v>
      </c>
      <c r="E8871" s="29" t="s">
        <v>50595</v>
      </c>
      <c r="F8871" s="36" t="s">
        <v>54412</v>
      </c>
      <c r="G8871" s="39">
        <v>2453730.96</v>
      </c>
      <c r="H8871" s="42">
        <v>211</v>
      </c>
    </row>
    <row r="8872" spans="1:8" ht="15" customHeight="1">
      <c r="A8872" s="26">
        <v>901051278</v>
      </c>
      <c r="B8872" s="30" t="s">
        <v>11095</v>
      </c>
      <c r="C8872" s="29" t="s">
        <v>24762</v>
      </c>
      <c r="D8872" s="29" t="s">
        <v>38477</v>
      </c>
      <c r="E8872" s="29" t="s">
        <v>50596</v>
      </c>
      <c r="F8872" s="36" t="s">
        <v>54401</v>
      </c>
      <c r="G8872" s="39">
        <v>1050000</v>
      </c>
      <c r="H8872" s="42">
        <v>211</v>
      </c>
    </row>
    <row r="8873" spans="1:8" ht="15" customHeight="1">
      <c r="A8873" s="26">
        <v>901051712</v>
      </c>
      <c r="B8873" s="30" t="s">
        <v>11096</v>
      </c>
      <c r="C8873" s="29" t="s">
        <v>23463</v>
      </c>
      <c r="D8873" s="29" t="s">
        <v>38478</v>
      </c>
      <c r="E8873" s="29" t="s">
        <v>50597</v>
      </c>
      <c r="F8873" s="36" t="s">
        <v>54401</v>
      </c>
      <c r="G8873" s="39">
        <v>3885721</v>
      </c>
      <c r="H8873" s="42">
        <v>211</v>
      </c>
    </row>
    <row r="8874" spans="1:8" ht="15" customHeight="1">
      <c r="A8874" s="26">
        <v>901052246</v>
      </c>
      <c r="B8874" s="30" t="s">
        <v>11097</v>
      </c>
      <c r="C8874" s="29" t="s">
        <v>23271</v>
      </c>
      <c r="D8874" s="29" t="s">
        <v>38479</v>
      </c>
      <c r="E8874" s="29" t="s">
        <v>50598</v>
      </c>
      <c r="F8874" s="36" t="s">
        <v>54401</v>
      </c>
      <c r="G8874" s="39">
        <v>7698395</v>
      </c>
      <c r="H8874" s="42">
        <v>211</v>
      </c>
    </row>
    <row r="8875" spans="1:8" ht="15" customHeight="1">
      <c r="A8875" s="26">
        <v>901056714</v>
      </c>
      <c r="B8875" s="30" t="s">
        <v>11098</v>
      </c>
      <c r="C8875" s="29" t="s">
        <v>23838</v>
      </c>
      <c r="D8875" s="29" t="s">
        <v>38480</v>
      </c>
      <c r="E8875" s="29" t="s">
        <v>50599</v>
      </c>
      <c r="F8875" s="36" t="s">
        <v>54401</v>
      </c>
      <c r="G8875" s="39">
        <v>35519.25</v>
      </c>
      <c r="H8875" s="42">
        <v>211</v>
      </c>
    </row>
    <row r="8876" spans="1:8" ht="15" customHeight="1">
      <c r="A8876" s="26">
        <v>901058961</v>
      </c>
      <c r="B8876" s="30" t="s">
        <v>11099</v>
      </c>
      <c r="C8876" s="26" t="s">
        <v>25125</v>
      </c>
      <c r="D8876" s="26" t="s">
        <v>38481</v>
      </c>
      <c r="E8876" s="26" t="s">
        <v>50600</v>
      </c>
      <c r="F8876" s="37" t="s">
        <v>54412</v>
      </c>
      <c r="G8876" s="39">
        <v>89263</v>
      </c>
      <c r="H8876" s="42">
        <v>211</v>
      </c>
    </row>
    <row r="8877" spans="1:8" ht="15" customHeight="1">
      <c r="A8877" s="26">
        <v>901061566</v>
      </c>
      <c r="B8877" s="30" t="s">
        <v>11100</v>
      </c>
      <c r="C8877" s="29" t="s">
        <v>25126</v>
      </c>
      <c r="D8877" s="29" t="s">
        <v>38482</v>
      </c>
      <c r="E8877" s="29" t="s">
        <v>50601</v>
      </c>
      <c r="F8877" s="36" t="s">
        <v>54401</v>
      </c>
      <c r="G8877" s="39">
        <v>89749.21</v>
      </c>
      <c r="H8877" s="42">
        <v>211</v>
      </c>
    </row>
    <row r="8878" spans="1:8" ht="15" customHeight="1">
      <c r="A8878" s="26">
        <v>901062604</v>
      </c>
      <c r="B8878" s="30" t="s">
        <v>11101</v>
      </c>
      <c r="C8878" s="29" t="s">
        <v>25127</v>
      </c>
      <c r="D8878" s="29" t="s">
        <v>38483</v>
      </c>
      <c r="E8878" s="29" t="s">
        <v>50602</v>
      </c>
      <c r="F8878" s="36" t="s">
        <v>54413</v>
      </c>
      <c r="G8878" s="39">
        <v>6391123.79</v>
      </c>
      <c r="H8878" s="42">
        <v>211</v>
      </c>
    </row>
    <row r="8879" spans="1:8" ht="15" customHeight="1">
      <c r="A8879" s="26">
        <v>901072518</v>
      </c>
      <c r="B8879" s="30" t="s">
        <v>11102</v>
      </c>
      <c r="C8879" s="29" t="s">
        <v>25128</v>
      </c>
      <c r="D8879" s="29" t="s">
        <v>38484</v>
      </c>
      <c r="E8879" s="29" t="s">
        <v>50603</v>
      </c>
      <c r="F8879" s="36" t="s">
        <v>54409</v>
      </c>
      <c r="G8879" s="39">
        <v>132763000</v>
      </c>
      <c r="H8879" s="42">
        <v>211</v>
      </c>
    </row>
    <row r="8880" spans="1:8" ht="15" customHeight="1">
      <c r="A8880" s="26">
        <v>901073561</v>
      </c>
      <c r="B8880" s="30" t="s">
        <v>11103</v>
      </c>
      <c r="C8880" s="29" t="s">
        <v>25129</v>
      </c>
      <c r="D8880" s="29" t="s">
        <v>38485</v>
      </c>
      <c r="E8880" s="29" t="s">
        <v>50604</v>
      </c>
      <c r="F8880" s="36" t="s">
        <v>54401</v>
      </c>
      <c r="G8880" s="39">
        <v>698488.85</v>
      </c>
      <c r="H8880" s="42">
        <v>211</v>
      </c>
    </row>
    <row r="8881" spans="1:8" ht="15" customHeight="1">
      <c r="A8881" s="26">
        <v>901077220</v>
      </c>
      <c r="B8881" s="30" t="s">
        <v>11104</v>
      </c>
      <c r="C8881" s="29" t="s">
        <v>25130</v>
      </c>
      <c r="D8881" s="29" t="s">
        <v>38486</v>
      </c>
      <c r="E8881" s="29" t="s">
        <v>50605</v>
      </c>
      <c r="F8881" s="36" t="s">
        <v>54423</v>
      </c>
      <c r="G8881" s="39">
        <v>465240</v>
      </c>
      <c r="H8881" s="42">
        <v>211</v>
      </c>
    </row>
    <row r="8882" spans="1:8" ht="15" customHeight="1">
      <c r="A8882" s="26">
        <v>901078163</v>
      </c>
      <c r="B8882" s="30" t="s">
        <v>11105</v>
      </c>
      <c r="C8882" s="29" t="s">
        <v>25131</v>
      </c>
      <c r="D8882" s="29" t="s">
        <v>38487</v>
      </c>
      <c r="E8882" s="29" t="s">
        <v>50606</v>
      </c>
      <c r="F8882" s="36" t="s">
        <v>54401</v>
      </c>
      <c r="G8882" s="39">
        <v>79867.7</v>
      </c>
      <c r="H8882" s="42">
        <v>211</v>
      </c>
    </row>
    <row r="8883" spans="1:8" ht="15" customHeight="1">
      <c r="A8883" s="26">
        <v>901081319</v>
      </c>
      <c r="B8883" s="30" t="s">
        <v>11106</v>
      </c>
      <c r="C8883" s="29" t="s">
        <v>25132</v>
      </c>
      <c r="D8883" s="29" t="s">
        <v>38488</v>
      </c>
      <c r="E8883" s="29" t="s">
        <v>50607</v>
      </c>
      <c r="F8883" s="36" t="s">
        <v>54401</v>
      </c>
      <c r="G8883" s="39">
        <v>266983.19</v>
      </c>
      <c r="H8883" s="42">
        <v>211</v>
      </c>
    </row>
    <row r="8884" spans="1:8" ht="15" customHeight="1">
      <c r="A8884" s="26">
        <v>901086676</v>
      </c>
      <c r="B8884" s="30" t="s">
        <v>11107</v>
      </c>
      <c r="C8884" s="29" t="s">
        <v>25133</v>
      </c>
      <c r="D8884" s="29" t="s">
        <v>38489</v>
      </c>
      <c r="E8884" s="29" t="s">
        <v>50608</v>
      </c>
      <c r="F8884" s="36" t="s">
        <v>54401</v>
      </c>
      <c r="G8884" s="39">
        <v>665699.56999999995</v>
      </c>
      <c r="H8884" s="42">
        <v>211</v>
      </c>
    </row>
    <row r="8885" spans="1:8" ht="15" customHeight="1">
      <c r="A8885" s="26">
        <v>901088744</v>
      </c>
      <c r="B8885" s="30" t="s">
        <v>11108</v>
      </c>
      <c r="C8885" s="29" t="s">
        <v>25134</v>
      </c>
      <c r="D8885" s="29" t="s">
        <v>38490</v>
      </c>
      <c r="E8885" s="29" t="s">
        <v>50609</v>
      </c>
      <c r="F8885" s="36" t="s">
        <v>54401</v>
      </c>
      <c r="G8885" s="39">
        <v>8162887</v>
      </c>
      <c r="H8885" s="42">
        <v>211</v>
      </c>
    </row>
    <row r="8886" spans="1:8" ht="15" customHeight="1">
      <c r="A8886" s="26">
        <v>901091151</v>
      </c>
      <c r="B8886" s="30" t="s">
        <v>11109</v>
      </c>
      <c r="C8886" s="29" t="s">
        <v>25135</v>
      </c>
      <c r="D8886" s="29" t="s">
        <v>38491</v>
      </c>
      <c r="E8886" s="29" t="s">
        <v>50610</v>
      </c>
      <c r="F8886" s="36" t="s">
        <v>54401</v>
      </c>
      <c r="G8886" s="39">
        <v>49159.66</v>
      </c>
      <c r="H8886" s="42">
        <v>211</v>
      </c>
    </row>
    <row r="8887" spans="1:8" ht="15" customHeight="1">
      <c r="A8887" s="26">
        <v>901092418</v>
      </c>
      <c r="B8887" s="30" t="s">
        <v>11110</v>
      </c>
      <c r="C8887" s="29" t="s">
        <v>17204</v>
      </c>
      <c r="D8887" s="29" t="s">
        <v>38492</v>
      </c>
      <c r="E8887" s="29" t="s">
        <v>50611</v>
      </c>
      <c r="F8887" s="36" t="s">
        <v>54401</v>
      </c>
      <c r="G8887" s="39">
        <v>1003818.24</v>
      </c>
      <c r="H8887" s="42">
        <v>211</v>
      </c>
    </row>
    <row r="8888" spans="1:8" ht="15" customHeight="1">
      <c r="A8888" s="26">
        <v>901093901</v>
      </c>
      <c r="B8888" s="30" t="s">
        <v>11111</v>
      </c>
      <c r="C8888" s="29" t="s">
        <v>25136</v>
      </c>
      <c r="D8888" s="29" t="s">
        <v>38493</v>
      </c>
      <c r="E8888" s="29" t="s">
        <v>50612</v>
      </c>
      <c r="F8888" s="36" t="s">
        <v>54401</v>
      </c>
      <c r="G8888" s="39">
        <v>399150.48</v>
      </c>
      <c r="H8888" s="42">
        <v>211</v>
      </c>
    </row>
    <row r="8889" spans="1:8" ht="15" customHeight="1">
      <c r="A8889" s="26">
        <v>901096559</v>
      </c>
      <c r="B8889" s="30" t="s">
        <v>11112</v>
      </c>
      <c r="C8889" s="29" t="s">
        <v>25137</v>
      </c>
      <c r="D8889" s="29" t="s">
        <v>38494</v>
      </c>
      <c r="E8889" s="29" t="s">
        <v>50613</v>
      </c>
      <c r="F8889" s="36" t="s">
        <v>54401</v>
      </c>
      <c r="G8889" s="39">
        <v>2367032.48</v>
      </c>
      <c r="H8889" s="42">
        <v>211</v>
      </c>
    </row>
    <row r="8890" spans="1:8" ht="15" customHeight="1">
      <c r="A8890" s="26">
        <v>901097378</v>
      </c>
      <c r="B8890" s="30" t="s">
        <v>11113</v>
      </c>
      <c r="C8890" s="29" t="s">
        <v>25138</v>
      </c>
      <c r="D8890" s="29" t="s">
        <v>38495</v>
      </c>
      <c r="E8890" s="29" t="s">
        <v>50614</v>
      </c>
      <c r="F8890" s="36" t="s">
        <v>54401</v>
      </c>
      <c r="G8890" s="39">
        <v>9100</v>
      </c>
      <c r="H8890" s="42">
        <v>211</v>
      </c>
    </row>
    <row r="8891" spans="1:8" ht="15" customHeight="1">
      <c r="A8891" s="26">
        <v>901099386</v>
      </c>
      <c r="B8891" s="30" t="s">
        <v>11114</v>
      </c>
      <c r="C8891" s="29" t="s">
        <v>19586</v>
      </c>
      <c r="D8891" s="29" t="s">
        <v>38496</v>
      </c>
      <c r="E8891" s="29" t="s">
        <v>50615</v>
      </c>
      <c r="F8891" s="36" t="s">
        <v>54401</v>
      </c>
      <c r="G8891" s="39">
        <v>12966.39</v>
      </c>
      <c r="H8891" s="42">
        <v>211</v>
      </c>
    </row>
    <row r="8892" spans="1:8" ht="15" customHeight="1">
      <c r="A8892" s="26">
        <v>901099450</v>
      </c>
      <c r="B8892" s="30" t="s">
        <v>11115</v>
      </c>
      <c r="C8892" s="29" t="s">
        <v>24968</v>
      </c>
      <c r="D8892" s="29" t="s">
        <v>38497</v>
      </c>
      <c r="E8892" s="29" t="s">
        <v>48450</v>
      </c>
      <c r="F8892" s="36" t="s">
        <v>54401</v>
      </c>
      <c r="G8892" s="39">
        <v>153770.29999999999</v>
      </c>
      <c r="H8892" s="42">
        <v>211</v>
      </c>
    </row>
    <row r="8893" spans="1:8" ht="15" customHeight="1">
      <c r="A8893" s="26">
        <v>901100559</v>
      </c>
      <c r="B8893" s="30" t="s">
        <v>11116</v>
      </c>
      <c r="C8893" s="29" t="s">
        <v>25139</v>
      </c>
      <c r="D8893" s="29" t="s">
        <v>38498</v>
      </c>
      <c r="E8893" s="29" t="s">
        <v>50616</v>
      </c>
      <c r="F8893" s="36" t="s">
        <v>54401</v>
      </c>
      <c r="G8893" s="39">
        <v>829830</v>
      </c>
      <c r="H8893" s="42">
        <v>211</v>
      </c>
    </row>
    <row r="8894" spans="1:8" ht="15" customHeight="1">
      <c r="A8894" s="26">
        <v>901104415</v>
      </c>
      <c r="B8894" s="30" t="s">
        <v>11117</v>
      </c>
      <c r="C8894" s="29" t="s">
        <v>25140</v>
      </c>
      <c r="D8894" s="29" t="s">
        <v>38499</v>
      </c>
      <c r="E8894" s="29" t="s">
        <v>50617</v>
      </c>
      <c r="F8894" s="36" t="s">
        <v>54412</v>
      </c>
      <c r="G8894" s="39">
        <v>13385.96</v>
      </c>
      <c r="H8894" s="42">
        <v>211</v>
      </c>
    </row>
    <row r="8895" spans="1:8" ht="15" customHeight="1">
      <c r="A8895" s="26">
        <v>901107879</v>
      </c>
      <c r="B8895" s="30" t="s">
        <v>11118</v>
      </c>
      <c r="C8895" s="29" t="s">
        <v>25141</v>
      </c>
      <c r="D8895" s="29" t="s">
        <v>38500</v>
      </c>
      <c r="E8895" s="29" t="s">
        <v>50618</v>
      </c>
      <c r="F8895" s="36" t="s">
        <v>54401</v>
      </c>
      <c r="G8895" s="39">
        <v>776036.77</v>
      </c>
      <c r="H8895" s="42">
        <v>211</v>
      </c>
    </row>
    <row r="8896" spans="1:8" ht="15" customHeight="1">
      <c r="A8896" s="26">
        <v>901110797</v>
      </c>
      <c r="B8896" s="30" t="s">
        <v>11119</v>
      </c>
      <c r="C8896" s="29" t="s">
        <v>19185</v>
      </c>
      <c r="D8896" s="29" t="s">
        <v>38501</v>
      </c>
      <c r="E8896" s="29" t="s">
        <v>50619</v>
      </c>
      <c r="F8896" s="36" t="s">
        <v>54428</v>
      </c>
      <c r="G8896" s="39">
        <v>105888.52</v>
      </c>
      <c r="H8896" s="42">
        <v>211</v>
      </c>
    </row>
    <row r="8897" spans="1:8" ht="15" customHeight="1">
      <c r="A8897" s="26">
        <v>901112668</v>
      </c>
      <c r="B8897" s="30" t="s">
        <v>11120</v>
      </c>
      <c r="C8897" s="29" t="s">
        <v>25142</v>
      </c>
      <c r="D8897" s="29" t="s">
        <v>38502</v>
      </c>
      <c r="E8897" s="29" t="s">
        <v>50620</v>
      </c>
      <c r="F8897" s="36" t="s">
        <v>54401</v>
      </c>
      <c r="G8897" s="39">
        <v>31481.79</v>
      </c>
      <c r="H8897" s="42">
        <v>211</v>
      </c>
    </row>
    <row r="8898" spans="1:8" ht="15" customHeight="1">
      <c r="A8898" s="26">
        <v>901112920</v>
      </c>
      <c r="B8898" s="30" t="s">
        <v>11121</v>
      </c>
      <c r="C8898" s="29" t="s">
        <v>25143</v>
      </c>
      <c r="D8898" s="29" t="s">
        <v>38503</v>
      </c>
      <c r="E8898" s="29" t="s">
        <v>50621</v>
      </c>
      <c r="F8898" s="36" t="s">
        <v>54401</v>
      </c>
      <c r="G8898" s="39">
        <v>486640</v>
      </c>
      <c r="H8898" s="42">
        <v>211</v>
      </c>
    </row>
    <row r="8899" spans="1:8" ht="15" customHeight="1">
      <c r="A8899" s="26">
        <v>901113750</v>
      </c>
      <c r="B8899" s="30" t="s">
        <v>11122</v>
      </c>
      <c r="C8899" s="29" t="s">
        <v>25144</v>
      </c>
      <c r="D8899" s="29" t="s">
        <v>38504</v>
      </c>
      <c r="E8899" s="29" t="s">
        <v>50622</v>
      </c>
      <c r="F8899" s="36" t="s">
        <v>54401</v>
      </c>
      <c r="G8899" s="39">
        <v>122785.09</v>
      </c>
      <c r="H8899" s="42">
        <v>211</v>
      </c>
    </row>
    <row r="8900" spans="1:8" ht="15" customHeight="1">
      <c r="A8900" s="26">
        <v>901116254</v>
      </c>
      <c r="B8900" s="30" t="s">
        <v>11123</v>
      </c>
      <c r="C8900" s="26" t="s">
        <v>25145</v>
      </c>
      <c r="D8900" s="26" t="s">
        <v>38505</v>
      </c>
      <c r="E8900" s="26" t="s">
        <v>50623</v>
      </c>
      <c r="F8900" s="37" t="s">
        <v>54407</v>
      </c>
      <c r="G8900" s="39">
        <v>12773.11</v>
      </c>
      <c r="H8900" s="42">
        <v>211</v>
      </c>
    </row>
    <row r="8901" spans="1:8" ht="15" customHeight="1">
      <c r="A8901" s="26">
        <v>901117245</v>
      </c>
      <c r="B8901" s="30" t="s">
        <v>11124</v>
      </c>
      <c r="C8901" s="29" t="s">
        <v>25146</v>
      </c>
      <c r="D8901" s="29" t="s">
        <v>38506</v>
      </c>
      <c r="E8901" s="29" t="s">
        <v>50624</v>
      </c>
      <c r="F8901" s="36" t="s">
        <v>54401</v>
      </c>
      <c r="G8901" s="39">
        <v>12238262</v>
      </c>
      <c r="H8901" s="42">
        <v>211</v>
      </c>
    </row>
    <row r="8902" spans="1:8" ht="15" customHeight="1">
      <c r="A8902" s="26">
        <v>901117369</v>
      </c>
      <c r="B8902" s="30" t="s">
        <v>11125</v>
      </c>
      <c r="C8902" s="29" t="s">
        <v>25147</v>
      </c>
      <c r="D8902" s="29" t="s">
        <v>38507</v>
      </c>
      <c r="E8902" s="29" t="s">
        <v>50625</v>
      </c>
      <c r="F8902" s="36" t="s">
        <v>54401</v>
      </c>
      <c r="G8902" s="39">
        <v>131182.70000000001</v>
      </c>
      <c r="H8902" s="42">
        <v>211</v>
      </c>
    </row>
    <row r="8903" spans="1:8" ht="15" customHeight="1">
      <c r="A8903" s="26">
        <v>901117376</v>
      </c>
      <c r="B8903" s="30" t="s">
        <v>11126</v>
      </c>
      <c r="C8903" s="29" t="s">
        <v>24332</v>
      </c>
      <c r="D8903" s="29" t="s">
        <v>38507</v>
      </c>
      <c r="E8903" s="29" t="s">
        <v>50626</v>
      </c>
      <c r="F8903" s="36" t="s">
        <v>54401</v>
      </c>
      <c r="G8903" s="39">
        <v>1323659</v>
      </c>
      <c r="H8903" s="42">
        <v>211</v>
      </c>
    </row>
    <row r="8904" spans="1:8" ht="15" customHeight="1">
      <c r="A8904" s="26">
        <v>901122823</v>
      </c>
      <c r="B8904" s="30" t="s">
        <v>11127</v>
      </c>
      <c r="C8904" s="29" t="s">
        <v>25148</v>
      </c>
      <c r="D8904" s="29" t="s">
        <v>38508</v>
      </c>
      <c r="E8904" s="29" t="s">
        <v>50627</v>
      </c>
      <c r="F8904" s="36" t="s">
        <v>54401</v>
      </c>
      <c r="G8904" s="39">
        <v>905783</v>
      </c>
      <c r="H8904" s="42">
        <v>211</v>
      </c>
    </row>
    <row r="8905" spans="1:8" ht="15" customHeight="1">
      <c r="A8905" s="26">
        <v>901124250</v>
      </c>
      <c r="B8905" s="30" t="s">
        <v>11128</v>
      </c>
      <c r="C8905" s="29" t="s">
        <v>25149</v>
      </c>
      <c r="D8905" s="29" t="s">
        <v>38509</v>
      </c>
      <c r="E8905" s="29" t="s">
        <v>43926</v>
      </c>
      <c r="F8905" s="36" t="s">
        <v>54403</v>
      </c>
      <c r="G8905" s="39">
        <v>260630.25</v>
      </c>
      <c r="H8905" s="42">
        <v>211</v>
      </c>
    </row>
    <row r="8906" spans="1:8" ht="15" customHeight="1">
      <c r="A8906" s="26">
        <v>901127537</v>
      </c>
      <c r="B8906" s="30" t="s">
        <v>11129</v>
      </c>
      <c r="C8906" s="29" t="s">
        <v>17412</v>
      </c>
      <c r="D8906" s="29" t="s">
        <v>38510</v>
      </c>
      <c r="E8906" s="29" t="s">
        <v>50628</v>
      </c>
      <c r="F8906" s="36" t="s">
        <v>54401</v>
      </c>
      <c r="G8906" s="39">
        <v>942379.18</v>
      </c>
      <c r="H8906" s="42">
        <v>211</v>
      </c>
    </row>
    <row r="8907" spans="1:8" ht="15" customHeight="1">
      <c r="A8907" s="26">
        <v>901128649</v>
      </c>
      <c r="B8907" s="30" t="s">
        <v>11130</v>
      </c>
      <c r="C8907" s="29" t="s">
        <v>25150</v>
      </c>
      <c r="D8907" s="29" t="s">
        <v>38511</v>
      </c>
      <c r="E8907" s="29" t="s">
        <v>50629</v>
      </c>
      <c r="F8907" s="36" t="s">
        <v>54401</v>
      </c>
      <c r="G8907" s="39">
        <v>627495.80000000005</v>
      </c>
      <c r="H8907" s="42">
        <v>211</v>
      </c>
    </row>
    <row r="8908" spans="1:8" ht="15" customHeight="1">
      <c r="A8908" s="26">
        <v>901128909</v>
      </c>
      <c r="B8908" s="30" t="s">
        <v>11131</v>
      </c>
      <c r="C8908" s="29" t="s">
        <v>25151</v>
      </c>
      <c r="D8908" s="29" t="s">
        <v>38512</v>
      </c>
      <c r="E8908" s="29" t="s">
        <v>50630</v>
      </c>
      <c r="F8908" s="36" t="s">
        <v>54401</v>
      </c>
      <c r="G8908" s="39">
        <v>93873.94</v>
      </c>
      <c r="H8908" s="42">
        <v>211</v>
      </c>
    </row>
    <row r="8909" spans="1:8" ht="15" customHeight="1">
      <c r="A8909" s="26">
        <v>901130426</v>
      </c>
      <c r="B8909" s="30" t="s">
        <v>11132</v>
      </c>
      <c r="C8909" s="29" t="s">
        <v>25152</v>
      </c>
      <c r="D8909" s="29" t="s">
        <v>38513</v>
      </c>
      <c r="E8909" s="29" t="s">
        <v>50631</v>
      </c>
      <c r="F8909" s="36" t="s">
        <v>54402</v>
      </c>
      <c r="G8909" s="39">
        <v>262607.2</v>
      </c>
      <c r="H8909" s="42">
        <v>211</v>
      </c>
    </row>
    <row r="8910" spans="1:8" ht="15" customHeight="1">
      <c r="A8910" s="26">
        <v>901132175</v>
      </c>
      <c r="B8910" s="30" t="s">
        <v>11133</v>
      </c>
      <c r="C8910" s="29" t="s">
        <v>25153</v>
      </c>
      <c r="D8910" s="29" t="s">
        <v>38514</v>
      </c>
      <c r="E8910" s="29" t="s">
        <v>50632</v>
      </c>
      <c r="F8910" s="36" t="s">
        <v>54401</v>
      </c>
      <c r="G8910" s="39">
        <v>1258375</v>
      </c>
      <c r="H8910" s="42">
        <v>211</v>
      </c>
    </row>
    <row r="8911" spans="1:8" ht="15" customHeight="1">
      <c r="A8911" s="26">
        <v>901133017</v>
      </c>
      <c r="B8911" s="30" t="s">
        <v>11134</v>
      </c>
      <c r="C8911" s="29" t="s">
        <v>25154</v>
      </c>
      <c r="D8911" s="29" t="s">
        <v>38515</v>
      </c>
      <c r="E8911" s="29" t="s">
        <v>44942</v>
      </c>
      <c r="F8911" s="36" t="s">
        <v>54401</v>
      </c>
      <c r="G8911" s="39">
        <v>494134</v>
      </c>
      <c r="H8911" s="42">
        <v>211</v>
      </c>
    </row>
    <row r="8912" spans="1:8" ht="15" customHeight="1">
      <c r="A8912" s="26">
        <v>901133768</v>
      </c>
      <c r="B8912" s="30" t="s">
        <v>11135</v>
      </c>
      <c r="C8912" s="29" t="s">
        <v>25155</v>
      </c>
      <c r="D8912" s="29" t="s">
        <v>38516</v>
      </c>
      <c r="E8912" s="29" t="s">
        <v>44574</v>
      </c>
      <c r="F8912" s="36" t="s">
        <v>54401</v>
      </c>
      <c r="G8912" s="39">
        <v>500000</v>
      </c>
      <c r="H8912" s="42">
        <v>211</v>
      </c>
    </row>
    <row r="8913" spans="1:8" ht="15" customHeight="1">
      <c r="A8913" s="26">
        <v>901136022</v>
      </c>
      <c r="B8913" s="30" t="s">
        <v>11136</v>
      </c>
      <c r="C8913" s="29" t="s">
        <v>25156</v>
      </c>
      <c r="D8913" s="29" t="s">
        <v>30452</v>
      </c>
      <c r="E8913" s="29" t="s">
        <v>50633</v>
      </c>
      <c r="F8913" s="36" t="s">
        <v>54416</v>
      </c>
      <c r="G8913" s="39">
        <v>623815.24</v>
      </c>
      <c r="H8913" s="42">
        <v>211</v>
      </c>
    </row>
    <row r="8914" spans="1:8" ht="15" customHeight="1">
      <c r="A8914" s="26">
        <v>901138748</v>
      </c>
      <c r="B8914" s="30" t="s">
        <v>11137</v>
      </c>
      <c r="C8914" s="29" t="s">
        <v>22127</v>
      </c>
      <c r="D8914" s="29" t="s">
        <v>38517</v>
      </c>
      <c r="E8914" s="29" t="s">
        <v>50634</v>
      </c>
      <c r="F8914" s="36" t="s">
        <v>54401</v>
      </c>
      <c r="G8914" s="39">
        <v>107849.12</v>
      </c>
      <c r="H8914" s="42">
        <v>211</v>
      </c>
    </row>
    <row r="8915" spans="1:8" ht="15" customHeight="1">
      <c r="A8915" s="26">
        <v>901143204</v>
      </c>
      <c r="B8915" s="30" t="s">
        <v>11138</v>
      </c>
      <c r="C8915" s="29" t="s">
        <v>25157</v>
      </c>
      <c r="D8915" s="29" t="s">
        <v>38518</v>
      </c>
      <c r="E8915" s="29" t="s">
        <v>50635</v>
      </c>
      <c r="F8915" s="36" t="s">
        <v>54412</v>
      </c>
      <c r="G8915" s="39">
        <v>1688591</v>
      </c>
      <c r="H8915" s="42">
        <v>211</v>
      </c>
    </row>
    <row r="8916" spans="1:8" ht="15" customHeight="1">
      <c r="A8916" s="26">
        <v>901148780</v>
      </c>
      <c r="B8916" s="30" t="s">
        <v>11139</v>
      </c>
      <c r="C8916" s="29" t="s">
        <v>25158</v>
      </c>
      <c r="D8916" s="29" t="s">
        <v>38519</v>
      </c>
      <c r="E8916" s="29" t="s">
        <v>50636</v>
      </c>
      <c r="F8916" s="36" t="s">
        <v>54401</v>
      </c>
      <c r="G8916" s="39">
        <v>928527.73</v>
      </c>
      <c r="H8916" s="42">
        <v>211</v>
      </c>
    </row>
    <row r="8917" spans="1:8" ht="15" customHeight="1">
      <c r="A8917" s="26">
        <v>901149042</v>
      </c>
      <c r="B8917" s="30" t="s">
        <v>11140</v>
      </c>
      <c r="C8917" s="29" t="s">
        <v>22374</v>
      </c>
      <c r="D8917" s="29" t="s">
        <v>38520</v>
      </c>
      <c r="E8917" s="29" t="s">
        <v>50637</v>
      </c>
      <c r="F8917" s="36" t="s">
        <v>54407</v>
      </c>
      <c r="G8917" s="39">
        <v>6501408.2999999998</v>
      </c>
      <c r="H8917" s="42">
        <v>211</v>
      </c>
    </row>
    <row r="8918" spans="1:8" ht="15" customHeight="1">
      <c r="A8918" s="26">
        <v>901149994</v>
      </c>
      <c r="B8918" s="30" t="s">
        <v>11141</v>
      </c>
      <c r="C8918" s="29" t="s">
        <v>25107</v>
      </c>
      <c r="D8918" s="29" t="s">
        <v>38458</v>
      </c>
      <c r="E8918" s="29" t="s">
        <v>50638</v>
      </c>
      <c r="F8918" s="36" t="s">
        <v>54444</v>
      </c>
      <c r="G8918" s="39">
        <v>14643000</v>
      </c>
      <c r="H8918" s="42">
        <v>211</v>
      </c>
    </row>
    <row r="8919" spans="1:8" ht="15" customHeight="1">
      <c r="A8919" s="26">
        <v>901150013</v>
      </c>
      <c r="B8919" s="30" t="s">
        <v>11142</v>
      </c>
      <c r="C8919" s="29" t="s">
        <v>25159</v>
      </c>
      <c r="D8919" s="29" t="s">
        <v>38521</v>
      </c>
      <c r="E8919" s="29" t="s">
        <v>50639</v>
      </c>
      <c r="F8919" s="36" t="s">
        <v>54401</v>
      </c>
      <c r="G8919" s="39">
        <v>5646197</v>
      </c>
      <c r="H8919" s="42">
        <v>211</v>
      </c>
    </row>
    <row r="8920" spans="1:8" ht="15" customHeight="1">
      <c r="A8920" s="26">
        <v>901152390</v>
      </c>
      <c r="B8920" s="30" t="s">
        <v>11143</v>
      </c>
      <c r="C8920" s="29" t="s">
        <v>25160</v>
      </c>
      <c r="D8920" s="29" t="s">
        <v>38522</v>
      </c>
      <c r="E8920" s="29" t="s">
        <v>50640</v>
      </c>
      <c r="F8920" s="36" t="s">
        <v>54401</v>
      </c>
      <c r="G8920" s="39">
        <v>49140</v>
      </c>
      <c r="H8920" s="42">
        <v>211</v>
      </c>
    </row>
    <row r="8921" spans="1:8" ht="15" customHeight="1">
      <c r="A8921" s="26">
        <v>901154205</v>
      </c>
      <c r="B8921" s="30" t="s">
        <v>11144</v>
      </c>
      <c r="C8921" s="29" t="s">
        <v>21785</v>
      </c>
      <c r="D8921" s="29" t="s">
        <v>38523</v>
      </c>
      <c r="E8921" s="29" t="s">
        <v>50641</v>
      </c>
      <c r="F8921" s="36" t="s">
        <v>54401</v>
      </c>
      <c r="G8921" s="39">
        <v>105476.23</v>
      </c>
      <c r="H8921" s="42">
        <v>211</v>
      </c>
    </row>
    <row r="8922" spans="1:8" ht="15" customHeight="1">
      <c r="A8922" s="26">
        <v>901154392</v>
      </c>
      <c r="B8922" s="30" t="s">
        <v>11145</v>
      </c>
      <c r="C8922" s="29" t="s">
        <v>25161</v>
      </c>
      <c r="D8922" s="29" t="s">
        <v>38524</v>
      </c>
      <c r="E8922" s="29" t="s">
        <v>50642</v>
      </c>
      <c r="F8922" s="36" t="s">
        <v>54412</v>
      </c>
      <c r="G8922" s="39">
        <v>100000</v>
      </c>
      <c r="H8922" s="42">
        <v>211</v>
      </c>
    </row>
    <row r="8923" spans="1:8" ht="15" customHeight="1">
      <c r="A8923" s="26">
        <v>901159390</v>
      </c>
      <c r="B8923" s="30" t="s">
        <v>11146</v>
      </c>
      <c r="C8923" s="29" t="s">
        <v>17204</v>
      </c>
      <c r="D8923" s="29" t="s">
        <v>38522</v>
      </c>
      <c r="E8923" s="29" t="s">
        <v>44377</v>
      </c>
      <c r="F8923" s="36" t="s">
        <v>54401</v>
      </c>
      <c r="G8923" s="39">
        <v>19728.29</v>
      </c>
      <c r="H8923" s="42">
        <v>211</v>
      </c>
    </row>
    <row r="8924" spans="1:8" ht="15" customHeight="1">
      <c r="A8924" s="26">
        <v>901162599</v>
      </c>
      <c r="B8924" s="30" t="s">
        <v>11147</v>
      </c>
      <c r="C8924" s="29" t="s">
        <v>25162</v>
      </c>
      <c r="D8924" s="29" t="s">
        <v>38525</v>
      </c>
      <c r="E8924" s="29" t="s">
        <v>50643</v>
      </c>
      <c r="F8924" s="36" t="s">
        <v>54447</v>
      </c>
      <c r="G8924" s="39">
        <v>4831620</v>
      </c>
      <c r="H8924" s="42">
        <v>211</v>
      </c>
    </row>
    <row r="8925" spans="1:8" ht="15" customHeight="1">
      <c r="A8925" s="26">
        <v>901162983</v>
      </c>
      <c r="B8925" s="30" t="s">
        <v>11148</v>
      </c>
      <c r="C8925" s="29" t="s">
        <v>25163</v>
      </c>
      <c r="D8925" s="29" t="s">
        <v>38526</v>
      </c>
      <c r="E8925" s="29" t="s">
        <v>50644</v>
      </c>
      <c r="F8925" s="36" t="s">
        <v>54401</v>
      </c>
      <c r="G8925" s="39">
        <v>21058.82</v>
      </c>
      <c r="H8925" s="42">
        <v>211</v>
      </c>
    </row>
    <row r="8926" spans="1:8" ht="15" customHeight="1">
      <c r="A8926" s="26">
        <v>901163962</v>
      </c>
      <c r="B8926" s="30" t="s">
        <v>11149</v>
      </c>
      <c r="C8926" s="29" t="s">
        <v>25164</v>
      </c>
      <c r="D8926" s="29" t="s">
        <v>38527</v>
      </c>
      <c r="E8926" s="29" t="s">
        <v>50645</v>
      </c>
      <c r="F8926" s="36" t="s">
        <v>54401</v>
      </c>
      <c r="G8926" s="39">
        <v>4019213</v>
      </c>
      <c r="H8926" s="42">
        <v>211</v>
      </c>
    </row>
    <row r="8927" spans="1:8" ht="15" customHeight="1">
      <c r="A8927" s="26">
        <v>901168483</v>
      </c>
      <c r="B8927" s="30" t="s">
        <v>11150</v>
      </c>
      <c r="C8927" s="29" t="s">
        <v>25165</v>
      </c>
      <c r="D8927" s="29" t="s">
        <v>38528</v>
      </c>
      <c r="E8927" s="29" t="s">
        <v>50646</v>
      </c>
      <c r="F8927" s="36" t="s">
        <v>54413</v>
      </c>
      <c r="G8927" s="39">
        <v>1467596.31</v>
      </c>
      <c r="H8927" s="42">
        <v>211</v>
      </c>
    </row>
    <row r="8928" spans="1:8" ht="15" customHeight="1">
      <c r="A8928" s="26">
        <v>901169158</v>
      </c>
      <c r="B8928" s="30" t="s">
        <v>11151</v>
      </c>
      <c r="C8928" s="26" t="s">
        <v>17204</v>
      </c>
      <c r="D8928" s="26" t="s">
        <v>38529</v>
      </c>
      <c r="E8928" s="26" t="s">
        <v>43926</v>
      </c>
      <c r="F8928" s="37" t="s">
        <v>54401</v>
      </c>
      <c r="G8928" s="39">
        <v>19504.22</v>
      </c>
      <c r="H8928" s="42">
        <v>211</v>
      </c>
    </row>
    <row r="8929" spans="1:8" ht="15" customHeight="1">
      <c r="A8929" s="26">
        <v>901170145</v>
      </c>
      <c r="B8929" s="30" t="s">
        <v>11152</v>
      </c>
      <c r="C8929" s="26" t="s">
        <v>25166</v>
      </c>
      <c r="D8929" s="26" t="s">
        <v>38530</v>
      </c>
      <c r="E8929" s="26" t="s">
        <v>50647</v>
      </c>
      <c r="F8929" s="37" t="s">
        <v>54401</v>
      </c>
      <c r="G8929" s="39">
        <v>184697.47</v>
      </c>
      <c r="H8929" s="42">
        <v>211</v>
      </c>
    </row>
    <row r="8930" spans="1:8" ht="15" customHeight="1">
      <c r="A8930" s="26">
        <v>901176271</v>
      </c>
      <c r="B8930" s="30" t="s">
        <v>11153</v>
      </c>
      <c r="C8930" s="29" t="s">
        <v>25167</v>
      </c>
      <c r="D8930" s="29" t="s">
        <v>38531</v>
      </c>
      <c r="E8930" s="29" t="s">
        <v>50648</v>
      </c>
      <c r="F8930" s="36" t="s">
        <v>54412</v>
      </c>
      <c r="G8930" s="39">
        <v>194450.05</v>
      </c>
      <c r="H8930" s="42">
        <v>211</v>
      </c>
    </row>
    <row r="8931" spans="1:8" ht="15" customHeight="1">
      <c r="A8931" s="26">
        <v>901180003</v>
      </c>
      <c r="B8931" s="30" t="s">
        <v>11154</v>
      </c>
      <c r="C8931" s="29" t="s">
        <v>25168</v>
      </c>
      <c r="D8931" s="29" t="s">
        <v>38532</v>
      </c>
      <c r="E8931" s="29" t="s">
        <v>50649</v>
      </c>
      <c r="F8931" s="36" t="s">
        <v>54412</v>
      </c>
      <c r="G8931" s="39">
        <v>37070.68</v>
      </c>
      <c r="H8931" s="42">
        <v>211</v>
      </c>
    </row>
    <row r="8932" spans="1:8" ht="15" customHeight="1">
      <c r="A8932" s="26">
        <v>901181506</v>
      </c>
      <c r="B8932" s="30" t="s">
        <v>11155</v>
      </c>
      <c r="C8932" s="29" t="s">
        <v>25169</v>
      </c>
      <c r="D8932" s="29" t="s">
        <v>38533</v>
      </c>
      <c r="E8932" s="29" t="s">
        <v>50650</v>
      </c>
      <c r="F8932" s="36" t="s">
        <v>54401</v>
      </c>
      <c r="G8932" s="39">
        <v>692381.59</v>
      </c>
      <c r="H8932" s="42">
        <v>211</v>
      </c>
    </row>
    <row r="8933" spans="1:8" ht="15" customHeight="1">
      <c r="A8933" s="26">
        <v>901185667</v>
      </c>
      <c r="B8933" s="30" t="s">
        <v>11156</v>
      </c>
      <c r="C8933" s="29" t="s">
        <v>25170</v>
      </c>
      <c r="D8933" s="29" t="s">
        <v>38534</v>
      </c>
      <c r="E8933" s="29" t="s">
        <v>50651</v>
      </c>
      <c r="F8933" s="36" t="s">
        <v>54401</v>
      </c>
      <c r="G8933" s="39">
        <v>16693171</v>
      </c>
      <c r="H8933" s="42">
        <v>211</v>
      </c>
    </row>
    <row r="8934" spans="1:8" ht="15" customHeight="1">
      <c r="A8934" s="26">
        <v>901185849</v>
      </c>
      <c r="B8934" s="30" t="s">
        <v>11157</v>
      </c>
      <c r="C8934" s="29" t="s">
        <v>25171</v>
      </c>
      <c r="D8934" s="29" t="s">
        <v>38535</v>
      </c>
      <c r="E8934" s="29" t="s">
        <v>50652</v>
      </c>
      <c r="F8934" s="36" t="s">
        <v>54412</v>
      </c>
      <c r="G8934" s="39">
        <v>946562.08</v>
      </c>
      <c r="H8934" s="42">
        <v>211</v>
      </c>
    </row>
    <row r="8935" spans="1:8" ht="15" customHeight="1">
      <c r="A8935" s="26">
        <v>901187480</v>
      </c>
      <c r="B8935" s="30" t="s">
        <v>11158</v>
      </c>
      <c r="C8935" s="29" t="s">
        <v>25172</v>
      </c>
      <c r="D8935" s="29" t="s">
        <v>38536</v>
      </c>
      <c r="E8935" s="29" t="s">
        <v>50653</v>
      </c>
      <c r="F8935" s="36" t="s">
        <v>54401</v>
      </c>
      <c r="G8935" s="39">
        <v>2496470.59</v>
      </c>
      <c r="H8935" s="42">
        <v>211</v>
      </c>
    </row>
    <row r="8936" spans="1:8" ht="15" customHeight="1">
      <c r="A8936" s="26">
        <v>901189398</v>
      </c>
      <c r="B8936" s="30" t="s">
        <v>11159</v>
      </c>
      <c r="C8936" s="29" t="s">
        <v>25173</v>
      </c>
      <c r="D8936" s="29" t="s">
        <v>38537</v>
      </c>
      <c r="E8936" s="29" t="s">
        <v>50654</v>
      </c>
      <c r="F8936" s="36" t="s">
        <v>54401</v>
      </c>
      <c r="G8936" s="39">
        <v>29184.87</v>
      </c>
      <c r="H8936" s="42">
        <v>211</v>
      </c>
    </row>
    <row r="8937" spans="1:8" ht="15" customHeight="1">
      <c r="A8937" s="26">
        <v>901193481</v>
      </c>
      <c r="B8937" s="30" t="s">
        <v>11160</v>
      </c>
      <c r="C8937" s="29" t="s">
        <v>25174</v>
      </c>
      <c r="D8937" s="29" t="s">
        <v>38538</v>
      </c>
      <c r="E8937" s="29" t="s">
        <v>50655</v>
      </c>
      <c r="F8937" s="36" t="s">
        <v>54402</v>
      </c>
      <c r="G8937" s="39">
        <v>173323000</v>
      </c>
      <c r="H8937" s="42">
        <v>211</v>
      </c>
    </row>
    <row r="8938" spans="1:8" ht="15" customHeight="1">
      <c r="A8938" s="26">
        <v>901198285</v>
      </c>
      <c r="B8938" s="30" t="s">
        <v>11161</v>
      </c>
      <c r="C8938" s="29" t="s">
        <v>25175</v>
      </c>
      <c r="D8938" s="29" t="s">
        <v>38539</v>
      </c>
      <c r="E8938" s="29" t="s">
        <v>45123</v>
      </c>
      <c r="F8938" s="36" t="s">
        <v>54401</v>
      </c>
      <c r="G8938" s="39">
        <v>718117.52</v>
      </c>
      <c r="H8938" s="42">
        <v>211</v>
      </c>
    </row>
    <row r="8939" spans="1:8" ht="15" customHeight="1">
      <c r="A8939" s="26">
        <v>901200274</v>
      </c>
      <c r="B8939" s="30" t="s">
        <v>11162</v>
      </c>
      <c r="C8939" s="29" t="s">
        <v>25176</v>
      </c>
      <c r="D8939" s="29" t="s">
        <v>38540</v>
      </c>
      <c r="E8939" s="29" t="s">
        <v>50656</v>
      </c>
      <c r="F8939" s="36" t="s">
        <v>54401</v>
      </c>
      <c r="G8939" s="39">
        <v>157773.04999999999</v>
      </c>
      <c r="H8939" s="42">
        <v>211</v>
      </c>
    </row>
    <row r="8940" spans="1:8" ht="15" customHeight="1">
      <c r="A8940" s="26">
        <v>901209370</v>
      </c>
      <c r="B8940" s="30" t="s">
        <v>11163</v>
      </c>
      <c r="C8940" s="29" t="s">
        <v>25177</v>
      </c>
      <c r="D8940" s="29" t="s">
        <v>38541</v>
      </c>
      <c r="E8940" s="29" t="s">
        <v>50657</v>
      </c>
      <c r="F8940" s="36" t="s">
        <v>54401</v>
      </c>
      <c r="G8940" s="39">
        <v>8730067</v>
      </c>
      <c r="H8940" s="42">
        <v>211</v>
      </c>
    </row>
    <row r="8941" spans="1:8" ht="15" customHeight="1">
      <c r="A8941" s="26">
        <v>901211112</v>
      </c>
      <c r="B8941" s="30" t="s">
        <v>11164</v>
      </c>
      <c r="C8941" s="29" t="s">
        <v>25178</v>
      </c>
      <c r="D8941" s="29" t="s">
        <v>38542</v>
      </c>
      <c r="E8941" s="29" t="s">
        <v>50658</v>
      </c>
      <c r="F8941" s="36" t="s">
        <v>54401</v>
      </c>
      <c r="G8941" s="39">
        <v>19999257</v>
      </c>
      <c r="H8941" s="42">
        <v>211</v>
      </c>
    </row>
    <row r="8942" spans="1:8" ht="15" customHeight="1">
      <c r="A8942" s="26">
        <v>901212992</v>
      </c>
      <c r="B8942" s="30" t="s">
        <v>11165</v>
      </c>
      <c r="C8942" s="29" t="s">
        <v>25179</v>
      </c>
      <c r="D8942" s="29" t="s">
        <v>38543</v>
      </c>
      <c r="E8942" s="29" t="s">
        <v>50659</v>
      </c>
      <c r="F8942" s="36" t="s">
        <v>54401</v>
      </c>
      <c r="G8942" s="39">
        <v>125008.4</v>
      </c>
      <c r="H8942" s="42">
        <v>211</v>
      </c>
    </row>
    <row r="8943" spans="1:8" ht="15" customHeight="1">
      <c r="A8943" s="26">
        <v>901215882</v>
      </c>
      <c r="B8943" s="30" t="s">
        <v>11166</v>
      </c>
      <c r="C8943" s="29" t="s">
        <v>25180</v>
      </c>
      <c r="D8943" s="29" t="s">
        <v>38544</v>
      </c>
      <c r="E8943" s="29" t="s">
        <v>50660</v>
      </c>
      <c r="F8943" s="36" t="s">
        <v>54412</v>
      </c>
      <c r="G8943" s="39">
        <v>12436.96</v>
      </c>
      <c r="H8943" s="42">
        <v>211</v>
      </c>
    </row>
    <row r="8944" spans="1:8" ht="15" customHeight="1">
      <c r="A8944" s="26">
        <v>901222334</v>
      </c>
      <c r="B8944" s="30" t="s">
        <v>11167</v>
      </c>
      <c r="C8944" s="29" t="s">
        <v>25181</v>
      </c>
      <c r="D8944" s="29" t="s">
        <v>38545</v>
      </c>
      <c r="E8944" s="29" t="s">
        <v>44205</v>
      </c>
      <c r="F8944" s="36" t="s">
        <v>54472</v>
      </c>
      <c r="G8944" s="39">
        <v>17176.48</v>
      </c>
      <c r="H8944" s="42">
        <v>211</v>
      </c>
    </row>
    <row r="8945" spans="1:8" ht="15" customHeight="1">
      <c r="A8945" s="26">
        <v>901236507</v>
      </c>
      <c r="B8945" s="30" t="s">
        <v>11168</v>
      </c>
      <c r="C8945" s="29" t="s">
        <v>17204</v>
      </c>
      <c r="D8945" s="29" t="s">
        <v>38546</v>
      </c>
      <c r="E8945" s="29" t="s">
        <v>50661</v>
      </c>
      <c r="F8945" s="36" t="s">
        <v>54401</v>
      </c>
      <c r="G8945" s="39">
        <v>75925.289999999994</v>
      </c>
      <c r="H8945" s="42">
        <v>211</v>
      </c>
    </row>
    <row r="8946" spans="1:8" ht="15" customHeight="1">
      <c r="A8946" s="26">
        <v>901237153</v>
      </c>
      <c r="B8946" s="30" t="s">
        <v>11169</v>
      </c>
      <c r="C8946" s="29" t="s">
        <v>25182</v>
      </c>
      <c r="D8946" s="29" t="s">
        <v>38547</v>
      </c>
      <c r="E8946" s="29" t="s">
        <v>50662</v>
      </c>
      <c r="F8946" s="36" t="s">
        <v>54401</v>
      </c>
      <c r="G8946" s="39">
        <v>390073</v>
      </c>
      <c r="H8946" s="42">
        <v>211</v>
      </c>
    </row>
    <row r="8947" spans="1:8" ht="15" customHeight="1">
      <c r="A8947" s="26">
        <v>901238207</v>
      </c>
      <c r="B8947" s="30" t="s">
        <v>11170</v>
      </c>
      <c r="C8947" s="29" t="s">
        <v>25183</v>
      </c>
      <c r="D8947" s="29" t="s">
        <v>38548</v>
      </c>
      <c r="E8947" s="29" t="s">
        <v>50663</v>
      </c>
      <c r="F8947" s="36" t="s">
        <v>54401</v>
      </c>
      <c r="G8947" s="39">
        <v>632343</v>
      </c>
      <c r="H8947" s="42">
        <v>211</v>
      </c>
    </row>
    <row r="8948" spans="1:8" ht="15" customHeight="1">
      <c r="A8948" s="26">
        <v>901239832</v>
      </c>
      <c r="B8948" s="30" t="s">
        <v>11171</v>
      </c>
      <c r="C8948" s="29" t="s">
        <v>25184</v>
      </c>
      <c r="D8948" s="29" t="s">
        <v>38549</v>
      </c>
      <c r="E8948" s="29" t="s">
        <v>50664</v>
      </c>
      <c r="F8948" s="36" t="s">
        <v>54412</v>
      </c>
      <c r="G8948" s="39">
        <v>2318908.19</v>
      </c>
      <c r="H8948" s="42">
        <v>211</v>
      </c>
    </row>
    <row r="8949" spans="1:8" ht="15" customHeight="1">
      <c r="A8949" s="26">
        <v>901241091</v>
      </c>
      <c r="B8949" s="30" t="s">
        <v>11172</v>
      </c>
      <c r="C8949" s="29" t="s">
        <v>25185</v>
      </c>
      <c r="D8949" s="29" t="s">
        <v>38550</v>
      </c>
      <c r="E8949" s="29" t="s">
        <v>50665</v>
      </c>
      <c r="F8949" s="36" t="s">
        <v>54473</v>
      </c>
      <c r="G8949" s="39">
        <v>13411.76</v>
      </c>
      <c r="H8949" s="42">
        <v>211</v>
      </c>
    </row>
    <row r="8950" spans="1:8" ht="15" customHeight="1">
      <c r="A8950" s="26">
        <v>901241683</v>
      </c>
      <c r="B8950" s="30" t="s">
        <v>11173</v>
      </c>
      <c r="C8950" s="29" t="s">
        <v>25186</v>
      </c>
      <c r="D8950" s="29" t="s">
        <v>38551</v>
      </c>
      <c r="E8950" s="29" t="s">
        <v>50666</v>
      </c>
      <c r="F8950" s="36" t="s">
        <v>54474</v>
      </c>
      <c r="G8950" s="39">
        <v>1211184.75</v>
      </c>
      <c r="H8950" s="42">
        <v>211</v>
      </c>
    </row>
    <row r="8951" spans="1:8" ht="15" customHeight="1">
      <c r="A8951" s="26">
        <v>901241684</v>
      </c>
      <c r="B8951" s="30" t="s">
        <v>11174</v>
      </c>
      <c r="C8951" s="29" t="s">
        <v>25187</v>
      </c>
      <c r="D8951" s="29" t="s">
        <v>38552</v>
      </c>
      <c r="E8951" s="29" t="s">
        <v>49689</v>
      </c>
      <c r="F8951" s="36" t="s">
        <v>54401</v>
      </c>
      <c r="G8951" s="39">
        <v>3233782</v>
      </c>
      <c r="H8951" s="42">
        <v>211</v>
      </c>
    </row>
    <row r="8952" spans="1:8" ht="15" customHeight="1">
      <c r="A8952" s="26">
        <v>901245113</v>
      </c>
      <c r="B8952" s="30" t="s">
        <v>11175</v>
      </c>
      <c r="C8952" s="29" t="s">
        <v>25188</v>
      </c>
      <c r="D8952" s="29" t="s">
        <v>38553</v>
      </c>
      <c r="E8952" s="29" t="s">
        <v>50667</v>
      </c>
      <c r="F8952" s="36" t="s">
        <v>54401</v>
      </c>
      <c r="G8952" s="39">
        <v>512383</v>
      </c>
      <c r="H8952" s="42">
        <v>211</v>
      </c>
    </row>
    <row r="8953" spans="1:8" ht="15" customHeight="1">
      <c r="A8953" s="26">
        <v>901248096</v>
      </c>
      <c r="B8953" s="30" t="s">
        <v>11176</v>
      </c>
      <c r="C8953" s="29" t="s">
        <v>25189</v>
      </c>
      <c r="D8953" s="29" t="s">
        <v>38554</v>
      </c>
      <c r="E8953" s="29" t="s">
        <v>50668</v>
      </c>
      <c r="F8953" s="36" t="s">
        <v>54401</v>
      </c>
      <c r="G8953" s="39">
        <v>338132.16</v>
      </c>
      <c r="H8953" s="42">
        <v>211</v>
      </c>
    </row>
    <row r="8954" spans="1:8" ht="15" customHeight="1">
      <c r="A8954" s="26">
        <v>901249308</v>
      </c>
      <c r="B8954" s="30" t="s">
        <v>11177</v>
      </c>
      <c r="C8954" s="29" t="s">
        <v>25190</v>
      </c>
      <c r="D8954" s="29" t="s">
        <v>38555</v>
      </c>
      <c r="E8954" s="29" t="s">
        <v>50669</v>
      </c>
      <c r="F8954" s="36" t="s">
        <v>54412</v>
      </c>
      <c r="G8954" s="39">
        <v>679486.51</v>
      </c>
      <c r="H8954" s="42">
        <v>211</v>
      </c>
    </row>
    <row r="8955" spans="1:8" ht="15" customHeight="1">
      <c r="A8955" s="26">
        <v>901251928</v>
      </c>
      <c r="B8955" s="30" t="s">
        <v>11178</v>
      </c>
      <c r="C8955" s="29" t="s">
        <v>19377</v>
      </c>
      <c r="D8955" s="29" t="s">
        <v>38556</v>
      </c>
      <c r="E8955" s="29" t="s">
        <v>50670</v>
      </c>
      <c r="F8955" s="36" t="s">
        <v>54401</v>
      </c>
      <c r="G8955" s="39">
        <v>2124693.39</v>
      </c>
      <c r="H8955" s="42">
        <v>211</v>
      </c>
    </row>
    <row r="8956" spans="1:8" ht="15" customHeight="1">
      <c r="A8956" s="26">
        <v>901254114</v>
      </c>
      <c r="B8956" s="30" t="s">
        <v>11179</v>
      </c>
      <c r="C8956" s="29" t="s">
        <v>19254</v>
      </c>
      <c r="D8956" s="29" t="s">
        <v>38557</v>
      </c>
      <c r="E8956" s="29" t="s">
        <v>50124</v>
      </c>
      <c r="F8956" s="36" t="s">
        <v>54401</v>
      </c>
      <c r="G8956" s="39">
        <v>1109130</v>
      </c>
      <c r="H8956" s="42">
        <v>211</v>
      </c>
    </row>
    <row r="8957" spans="1:8" ht="15" customHeight="1">
      <c r="A8957" s="26">
        <v>901255499</v>
      </c>
      <c r="B8957" s="30" t="s">
        <v>11180</v>
      </c>
      <c r="C8957" s="29" t="s">
        <v>25191</v>
      </c>
      <c r="D8957" s="29" t="s">
        <v>38558</v>
      </c>
      <c r="E8957" s="29" t="s">
        <v>50671</v>
      </c>
      <c r="F8957" s="36" t="s">
        <v>54412</v>
      </c>
      <c r="G8957" s="39">
        <v>36937.81</v>
      </c>
      <c r="H8957" s="42">
        <v>211</v>
      </c>
    </row>
    <row r="8958" spans="1:8" ht="15" customHeight="1">
      <c r="A8958" s="26">
        <v>901258044</v>
      </c>
      <c r="B8958" s="30" t="s">
        <v>11181</v>
      </c>
      <c r="C8958" s="29" t="s">
        <v>25192</v>
      </c>
      <c r="D8958" s="29" t="s">
        <v>38559</v>
      </c>
      <c r="E8958" s="29" t="s">
        <v>50672</v>
      </c>
      <c r="F8958" s="36" t="s">
        <v>54401</v>
      </c>
      <c r="G8958" s="39">
        <v>1779090.38</v>
      </c>
      <c r="H8958" s="42">
        <v>211</v>
      </c>
    </row>
    <row r="8959" spans="1:8" ht="15" customHeight="1">
      <c r="A8959" s="26">
        <v>901258243</v>
      </c>
      <c r="B8959" s="30" t="s">
        <v>11182</v>
      </c>
      <c r="C8959" s="29" t="s">
        <v>25193</v>
      </c>
      <c r="D8959" s="29" t="s">
        <v>38560</v>
      </c>
      <c r="E8959" s="29" t="s">
        <v>50673</v>
      </c>
      <c r="F8959" s="36" t="s">
        <v>54401</v>
      </c>
      <c r="G8959" s="39">
        <v>864067.72</v>
      </c>
      <c r="H8959" s="42">
        <v>211</v>
      </c>
    </row>
    <row r="8960" spans="1:8" ht="15" customHeight="1">
      <c r="A8960" s="26">
        <v>901258909</v>
      </c>
      <c r="B8960" s="30" t="s">
        <v>11183</v>
      </c>
      <c r="C8960" s="29" t="s">
        <v>25194</v>
      </c>
      <c r="D8960" s="29" t="s">
        <v>38561</v>
      </c>
      <c r="E8960" s="29" t="s">
        <v>49069</v>
      </c>
      <c r="F8960" s="36" t="s">
        <v>54401</v>
      </c>
      <c r="G8960" s="39">
        <v>699418</v>
      </c>
      <c r="H8960" s="42">
        <v>211</v>
      </c>
    </row>
    <row r="8961" spans="1:8" ht="15" customHeight="1">
      <c r="A8961" s="26">
        <v>901259855</v>
      </c>
      <c r="B8961" s="30" t="s">
        <v>11184</v>
      </c>
      <c r="C8961" s="29" t="s">
        <v>25195</v>
      </c>
      <c r="D8961" s="29" t="s">
        <v>38562</v>
      </c>
      <c r="E8961" s="29" t="s">
        <v>50674</v>
      </c>
      <c r="F8961" s="36" t="s">
        <v>54401</v>
      </c>
      <c r="G8961" s="39">
        <v>4674370.13</v>
      </c>
      <c r="H8961" s="42">
        <v>211</v>
      </c>
    </row>
    <row r="8962" spans="1:8" ht="15" customHeight="1">
      <c r="A8962" s="26">
        <v>901262810</v>
      </c>
      <c r="B8962" s="30" t="s">
        <v>11185</v>
      </c>
      <c r="C8962" s="29" t="s">
        <v>25196</v>
      </c>
      <c r="D8962" s="29" t="s">
        <v>38563</v>
      </c>
      <c r="E8962" s="29" t="s">
        <v>50675</v>
      </c>
      <c r="F8962" s="36" t="s">
        <v>54401</v>
      </c>
      <c r="G8962" s="39">
        <v>3065269</v>
      </c>
      <c r="H8962" s="42">
        <v>211</v>
      </c>
    </row>
    <row r="8963" spans="1:8" ht="15" customHeight="1">
      <c r="A8963" s="26">
        <v>901266060</v>
      </c>
      <c r="B8963" s="30" t="s">
        <v>11186</v>
      </c>
      <c r="C8963" s="26" t="s">
        <v>25197</v>
      </c>
      <c r="D8963" s="26" t="s">
        <v>38564</v>
      </c>
      <c r="E8963" s="26" t="s">
        <v>50676</v>
      </c>
      <c r="F8963" s="37" t="s">
        <v>54401</v>
      </c>
      <c r="G8963" s="39">
        <v>1113479.54</v>
      </c>
      <c r="H8963" s="42">
        <v>211</v>
      </c>
    </row>
    <row r="8964" spans="1:8" ht="15" customHeight="1">
      <c r="A8964" s="26">
        <v>901268872</v>
      </c>
      <c r="B8964" s="30" t="s">
        <v>11187</v>
      </c>
      <c r="C8964" s="29" t="s">
        <v>25198</v>
      </c>
      <c r="D8964" s="29" t="s">
        <v>38565</v>
      </c>
      <c r="E8964" s="29" t="s">
        <v>50677</v>
      </c>
      <c r="F8964" s="36" t="s">
        <v>54422</v>
      </c>
      <c r="G8964" s="39">
        <v>658127.63</v>
      </c>
      <c r="H8964" s="42">
        <v>211</v>
      </c>
    </row>
    <row r="8965" spans="1:8" ht="15" customHeight="1">
      <c r="A8965" s="26">
        <v>901271025</v>
      </c>
      <c r="B8965" s="30" t="s">
        <v>11188</v>
      </c>
      <c r="C8965" s="29" t="s">
        <v>25199</v>
      </c>
      <c r="D8965" s="29" t="s">
        <v>38566</v>
      </c>
      <c r="E8965" s="29" t="s">
        <v>50678</v>
      </c>
      <c r="F8965" s="36" t="s">
        <v>54401</v>
      </c>
      <c r="G8965" s="39">
        <v>96459.29</v>
      </c>
      <c r="H8965" s="42">
        <v>211</v>
      </c>
    </row>
    <row r="8966" spans="1:8" ht="15" customHeight="1">
      <c r="A8966" s="26">
        <v>901272898</v>
      </c>
      <c r="B8966" s="30" t="s">
        <v>11189</v>
      </c>
      <c r="C8966" s="29" t="s">
        <v>25200</v>
      </c>
      <c r="D8966" s="29" t="s">
        <v>38567</v>
      </c>
      <c r="E8966" s="29" t="s">
        <v>43926</v>
      </c>
      <c r="F8966" s="36" t="s">
        <v>54401</v>
      </c>
      <c r="G8966" s="39">
        <v>2127711.37</v>
      </c>
      <c r="H8966" s="42">
        <v>211</v>
      </c>
    </row>
    <row r="8967" spans="1:8" ht="15" customHeight="1">
      <c r="A8967" s="26">
        <v>901274696</v>
      </c>
      <c r="B8967" s="30" t="s">
        <v>11190</v>
      </c>
      <c r="C8967" s="29" t="s">
        <v>25201</v>
      </c>
      <c r="D8967" s="29" t="s">
        <v>38568</v>
      </c>
      <c r="E8967" s="29" t="s">
        <v>44377</v>
      </c>
      <c r="F8967" s="36" t="s">
        <v>54401</v>
      </c>
      <c r="G8967" s="39">
        <v>957814</v>
      </c>
      <c r="H8967" s="42">
        <v>211</v>
      </c>
    </row>
    <row r="8968" spans="1:8" ht="15" customHeight="1">
      <c r="A8968" s="26">
        <v>901274910</v>
      </c>
      <c r="B8968" s="30" t="s">
        <v>11191</v>
      </c>
      <c r="C8968" s="29" t="s">
        <v>25024</v>
      </c>
      <c r="D8968" s="29" t="s">
        <v>38569</v>
      </c>
      <c r="E8968" s="29" t="s">
        <v>50679</v>
      </c>
      <c r="F8968" s="36" t="s">
        <v>54401</v>
      </c>
      <c r="G8968" s="39">
        <v>164657.54999999999</v>
      </c>
      <c r="H8968" s="42">
        <v>211</v>
      </c>
    </row>
    <row r="8969" spans="1:8" ht="15" customHeight="1">
      <c r="A8969" s="26">
        <v>901275490</v>
      </c>
      <c r="B8969" s="30" t="s">
        <v>11192</v>
      </c>
      <c r="C8969" s="29" t="s">
        <v>25202</v>
      </c>
      <c r="D8969" s="29" t="s">
        <v>38570</v>
      </c>
      <c r="E8969" s="29" t="s">
        <v>50680</v>
      </c>
      <c r="F8969" s="36" t="s">
        <v>54412</v>
      </c>
      <c r="G8969" s="39">
        <v>71477.31</v>
      </c>
      <c r="H8969" s="42">
        <v>211</v>
      </c>
    </row>
    <row r="8970" spans="1:8" ht="15" customHeight="1">
      <c r="A8970" s="26">
        <v>901275566</v>
      </c>
      <c r="B8970" s="30" t="s">
        <v>11193</v>
      </c>
      <c r="C8970" s="29" t="s">
        <v>25203</v>
      </c>
      <c r="D8970" s="29" t="s">
        <v>38571</v>
      </c>
      <c r="E8970" s="29" t="s">
        <v>50681</v>
      </c>
      <c r="F8970" s="36" t="s">
        <v>54401</v>
      </c>
      <c r="G8970" s="39">
        <v>557874.28</v>
      </c>
      <c r="H8970" s="42">
        <v>211</v>
      </c>
    </row>
    <row r="8971" spans="1:8" ht="15" customHeight="1">
      <c r="A8971" s="26">
        <v>901280663</v>
      </c>
      <c r="B8971" s="30" t="s">
        <v>11194</v>
      </c>
      <c r="C8971" s="26" t="s">
        <v>19522</v>
      </c>
      <c r="D8971" s="26" t="s">
        <v>38572</v>
      </c>
      <c r="E8971" s="26" t="s">
        <v>50682</v>
      </c>
      <c r="F8971" s="37" t="s">
        <v>54401</v>
      </c>
      <c r="G8971" s="39">
        <v>229986.48</v>
      </c>
      <c r="H8971" s="42">
        <v>211</v>
      </c>
    </row>
    <row r="8972" spans="1:8" ht="15" customHeight="1">
      <c r="A8972" s="26">
        <v>901283235</v>
      </c>
      <c r="B8972" s="30" t="s">
        <v>11195</v>
      </c>
      <c r="C8972" s="29" t="s">
        <v>25204</v>
      </c>
      <c r="D8972" s="29" t="s">
        <v>38573</v>
      </c>
      <c r="E8972" s="29" t="s">
        <v>46588</v>
      </c>
      <c r="F8972" s="36" t="s">
        <v>54401</v>
      </c>
      <c r="G8972" s="39">
        <v>777700.01</v>
      </c>
      <c r="H8972" s="42">
        <v>211</v>
      </c>
    </row>
    <row r="8973" spans="1:8" ht="15" customHeight="1">
      <c r="A8973" s="26">
        <v>901283996</v>
      </c>
      <c r="B8973" s="30" t="s">
        <v>11196</v>
      </c>
      <c r="C8973" s="29" t="s">
        <v>25205</v>
      </c>
      <c r="D8973" s="29" t="s">
        <v>38574</v>
      </c>
      <c r="E8973" s="29" t="s">
        <v>50245</v>
      </c>
      <c r="F8973" s="36" t="s">
        <v>54401</v>
      </c>
      <c r="G8973" s="39">
        <v>2285287</v>
      </c>
      <c r="H8973" s="42">
        <v>211</v>
      </c>
    </row>
    <row r="8974" spans="1:8" ht="15" customHeight="1">
      <c r="A8974" s="26">
        <v>901285506</v>
      </c>
      <c r="B8974" s="30" t="s">
        <v>11197</v>
      </c>
      <c r="C8974" s="29" t="s">
        <v>25206</v>
      </c>
      <c r="D8974" s="29" t="s">
        <v>38575</v>
      </c>
      <c r="E8974" s="29" t="s">
        <v>50683</v>
      </c>
      <c r="F8974" s="36" t="s">
        <v>54401</v>
      </c>
      <c r="G8974" s="39">
        <v>2683822.39</v>
      </c>
      <c r="H8974" s="42">
        <v>211</v>
      </c>
    </row>
    <row r="8975" spans="1:8" ht="15" customHeight="1">
      <c r="A8975" s="26">
        <v>901288114</v>
      </c>
      <c r="B8975" s="30" t="s">
        <v>11198</v>
      </c>
      <c r="C8975" s="29" t="s">
        <v>25207</v>
      </c>
      <c r="D8975" s="29" t="s">
        <v>38576</v>
      </c>
      <c r="E8975" s="29" t="s">
        <v>50684</v>
      </c>
      <c r="F8975" s="36" t="s">
        <v>54401</v>
      </c>
      <c r="G8975" s="39">
        <v>5981091</v>
      </c>
      <c r="H8975" s="42">
        <v>211</v>
      </c>
    </row>
    <row r="8976" spans="1:8" ht="15" customHeight="1">
      <c r="A8976" s="26">
        <v>901288220</v>
      </c>
      <c r="B8976" s="30" t="s">
        <v>11199</v>
      </c>
      <c r="C8976" s="29" t="s">
        <v>25208</v>
      </c>
      <c r="D8976" s="29" t="s">
        <v>38577</v>
      </c>
      <c r="E8976" s="29" t="s">
        <v>46082</v>
      </c>
      <c r="F8976" s="36" t="s">
        <v>54401</v>
      </c>
      <c r="G8976" s="39">
        <v>1337513</v>
      </c>
      <c r="H8976" s="42">
        <v>211</v>
      </c>
    </row>
    <row r="8977" spans="1:8" ht="15" customHeight="1">
      <c r="A8977" s="26">
        <v>901290338</v>
      </c>
      <c r="B8977" s="30" t="s">
        <v>11200</v>
      </c>
      <c r="C8977" s="29" t="s">
        <v>17204</v>
      </c>
      <c r="D8977" s="29" t="s">
        <v>38578</v>
      </c>
      <c r="E8977" s="29" t="s">
        <v>43926</v>
      </c>
      <c r="F8977" s="36" t="s">
        <v>54401</v>
      </c>
      <c r="G8977" s="39">
        <v>1811629.51</v>
      </c>
      <c r="H8977" s="42">
        <v>211</v>
      </c>
    </row>
    <row r="8978" spans="1:8" ht="15" customHeight="1">
      <c r="A8978" s="26">
        <v>901290640</v>
      </c>
      <c r="B8978" s="30" t="s">
        <v>11201</v>
      </c>
      <c r="C8978" s="29" t="s">
        <v>25209</v>
      </c>
      <c r="D8978" s="29" t="s">
        <v>38579</v>
      </c>
      <c r="E8978" s="29" t="s">
        <v>50685</v>
      </c>
      <c r="F8978" s="36" t="s">
        <v>54401</v>
      </c>
      <c r="G8978" s="39">
        <v>206047.95</v>
      </c>
      <c r="H8978" s="42">
        <v>211</v>
      </c>
    </row>
    <row r="8979" spans="1:8" ht="15" customHeight="1">
      <c r="A8979" s="26">
        <v>901293343</v>
      </c>
      <c r="B8979" s="30" t="s">
        <v>11202</v>
      </c>
      <c r="C8979" s="29" t="s">
        <v>25210</v>
      </c>
      <c r="D8979" s="29" t="s">
        <v>38580</v>
      </c>
      <c r="E8979" s="29" t="s">
        <v>44377</v>
      </c>
      <c r="F8979" s="36" t="s">
        <v>54401</v>
      </c>
      <c r="G8979" s="39">
        <v>447008.54</v>
      </c>
      <c r="H8979" s="42">
        <v>211</v>
      </c>
    </row>
    <row r="8980" spans="1:8" ht="15" customHeight="1">
      <c r="A8980" s="26">
        <v>901294601</v>
      </c>
      <c r="B8980" s="30" t="s">
        <v>11203</v>
      </c>
      <c r="C8980" s="26" t="s">
        <v>25211</v>
      </c>
      <c r="D8980" s="26" t="s">
        <v>38581</v>
      </c>
      <c r="E8980" s="26" t="s">
        <v>50686</v>
      </c>
      <c r="F8980" s="37" t="s">
        <v>54402</v>
      </c>
      <c r="G8980" s="39">
        <v>593832</v>
      </c>
      <c r="H8980" s="42">
        <v>211</v>
      </c>
    </row>
    <row r="8981" spans="1:8" ht="15" customHeight="1">
      <c r="A8981" s="26">
        <v>901298933</v>
      </c>
      <c r="B8981" s="30" t="s">
        <v>11204</v>
      </c>
      <c r="C8981" s="29" t="s">
        <v>25212</v>
      </c>
      <c r="D8981" s="29" t="s">
        <v>38582</v>
      </c>
      <c r="E8981" s="29" t="s">
        <v>43926</v>
      </c>
      <c r="F8981" s="36" t="s">
        <v>54401</v>
      </c>
      <c r="G8981" s="39">
        <v>233865.57</v>
      </c>
      <c r="H8981" s="42">
        <v>211</v>
      </c>
    </row>
    <row r="8982" spans="1:8" ht="15" customHeight="1">
      <c r="A8982" s="26">
        <v>901300776</v>
      </c>
      <c r="B8982" s="30" t="s">
        <v>11205</v>
      </c>
      <c r="C8982" s="29" t="s">
        <v>25213</v>
      </c>
      <c r="D8982" s="29" t="s">
        <v>38583</v>
      </c>
      <c r="E8982" s="29" t="s">
        <v>50687</v>
      </c>
      <c r="F8982" s="36" t="s">
        <v>54401</v>
      </c>
      <c r="G8982" s="39">
        <v>1053306.22</v>
      </c>
      <c r="H8982" s="42">
        <v>211</v>
      </c>
    </row>
    <row r="8983" spans="1:8" ht="15" customHeight="1">
      <c r="A8983" s="26">
        <v>901301102</v>
      </c>
      <c r="B8983" s="30" t="s">
        <v>11206</v>
      </c>
      <c r="C8983" s="29" t="s">
        <v>25214</v>
      </c>
      <c r="D8983" s="29" t="s">
        <v>38584</v>
      </c>
      <c r="E8983" s="29" t="s">
        <v>50688</v>
      </c>
      <c r="F8983" s="36" t="s">
        <v>54412</v>
      </c>
      <c r="G8983" s="39">
        <v>23575000</v>
      </c>
      <c r="H8983" s="42">
        <v>211</v>
      </c>
    </row>
    <row r="8984" spans="1:8" ht="15" customHeight="1">
      <c r="A8984" s="26">
        <v>901303870</v>
      </c>
      <c r="B8984" s="30" t="s">
        <v>11207</v>
      </c>
      <c r="C8984" s="29" t="s">
        <v>25215</v>
      </c>
      <c r="D8984" s="29" t="s">
        <v>38585</v>
      </c>
      <c r="E8984" s="29" t="s">
        <v>50689</v>
      </c>
      <c r="F8984" s="36" t="s">
        <v>54413</v>
      </c>
      <c r="G8984" s="39">
        <v>865536</v>
      </c>
      <c r="H8984" s="42">
        <v>211</v>
      </c>
    </row>
    <row r="8985" spans="1:8" ht="15" customHeight="1">
      <c r="A8985" s="26">
        <v>901304623</v>
      </c>
      <c r="B8985" s="30" t="s">
        <v>11208</v>
      </c>
      <c r="C8985" s="29" t="s">
        <v>25216</v>
      </c>
      <c r="D8985" s="29" t="s">
        <v>38586</v>
      </c>
      <c r="E8985" s="29" t="s">
        <v>46385</v>
      </c>
      <c r="F8985" s="36" t="s">
        <v>54401</v>
      </c>
      <c r="G8985" s="39">
        <v>119299.76</v>
      </c>
      <c r="H8985" s="42">
        <v>211</v>
      </c>
    </row>
    <row r="8986" spans="1:8" ht="15" customHeight="1">
      <c r="A8986" s="26">
        <v>901308150</v>
      </c>
      <c r="B8986" s="30" t="s">
        <v>11209</v>
      </c>
      <c r="C8986" s="29" t="s">
        <v>25217</v>
      </c>
      <c r="D8986" s="29" t="s">
        <v>38587</v>
      </c>
      <c r="E8986" s="29" t="s">
        <v>50690</v>
      </c>
      <c r="F8986" s="36" t="s">
        <v>54401</v>
      </c>
      <c r="G8986" s="39">
        <v>12206644</v>
      </c>
      <c r="H8986" s="42">
        <v>211</v>
      </c>
    </row>
    <row r="8987" spans="1:8" ht="15" customHeight="1">
      <c r="A8987" s="26">
        <v>901309751</v>
      </c>
      <c r="B8987" s="30" t="s">
        <v>11210</v>
      </c>
      <c r="C8987" s="29" t="s">
        <v>25218</v>
      </c>
      <c r="D8987" s="29" t="s">
        <v>38588</v>
      </c>
      <c r="E8987" s="29" t="s">
        <v>50691</v>
      </c>
      <c r="F8987" s="36" t="s">
        <v>54412</v>
      </c>
      <c r="G8987" s="39">
        <v>116571.43</v>
      </c>
      <c r="H8987" s="42">
        <v>211</v>
      </c>
    </row>
    <row r="8988" spans="1:8" ht="15" customHeight="1">
      <c r="A8988" s="26">
        <v>901310603</v>
      </c>
      <c r="B8988" s="30" t="s">
        <v>11211</v>
      </c>
      <c r="C8988" s="29" t="s">
        <v>25219</v>
      </c>
      <c r="D8988" s="29" t="s">
        <v>38589</v>
      </c>
      <c r="E8988" s="29" t="s">
        <v>50692</v>
      </c>
      <c r="F8988" s="36" t="s">
        <v>54401</v>
      </c>
      <c r="G8988" s="39">
        <v>65291.32</v>
      </c>
      <c r="H8988" s="42">
        <v>211</v>
      </c>
    </row>
    <row r="8989" spans="1:8" ht="15" customHeight="1">
      <c r="A8989" s="26">
        <v>901316073</v>
      </c>
      <c r="B8989" s="30" t="s">
        <v>11212</v>
      </c>
      <c r="C8989" s="29" t="s">
        <v>25220</v>
      </c>
      <c r="D8989" s="29" t="s">
        <v>38590</v>
      </c>
      <c r="E8989" s="29" t="s">
        <v>50693</v>
      </c>
      <c r="F8989" s="36" t="s">
        <v>54401</v>
      </c>
      <c r="G8989" s="39">
        <v>3030633.97</v>
      </c>
      <c r="H8989" s="42">
        <v>211</v>
      </c>
    </row>
    <row r="8990" spans="1:8" ht="15" customHeight="1">
      <c r="A8990" s="26">
        <v>901316929</v>
      </c>
      <c r="B8990" s="30" t="s">
        <v>11213</v>
      </c>
      <c r="C8990" s="29" t="s">
        <v>25221</v>
      </c>
      <c r="D8990" s="29" t="s">
        <v>38591</v>
      </c>
      <c r="E8990" s="29" t="s">
        <v>715</v>
      </c>
      <c r="F8990" s="36" t="s">
        <v>54401</v>
      </c>
      <c r="G8990" s="39">
        <v>673700.64</v>
      </c>
      <c r="H8990" s="42">
        <v>211</v>
      </c>
    </row>
    <row r="8991" spans="1:8" ht="15" customHeight="1">
      <c r="A8991" s="26">
        <v>901321984</v>
      </c>
      <c r="B8991" s="30" t="s">
        <v>11214</v>
      </c>
      <c r="C8991" s="29" t="s">
        <v>25222</v>
      </c>
      <c r="D8991" s="29" t="s">
        <v>38592</v>
      </c>
      <c r="E8991" s="29" t="s">
        <v>50694</v>
      </c>
      <c r="F8991" s="36" t="s">
        <v>54401</v>
      </c>
      <c r="G8991" s="39">
        <v>394461.25</v>
      </c>
      <c r="H8991" s="42">
        <v>211</v>
      </c>
    </row>
    <row r="8992" spans="1:8" ht="15" customHeight="1">
      <c r="A8992" s="26">
        <v>901324134</v>
      </c>
      <c r="B8992" s="30" t="s">
        <v>11215</v>
      </c>
      <c r="C8992" s="29" t="s">
        <v>25223</v>
      </c>
      <c r="D8992" s="29" t="s">
        <v>38593</v>
      </c>
      <c r="E8992" s="29" t="s">
        <v>50695</v>
      </c>
      <c r="F8992" s="36" t="s">
        <v>54401</v>
      </c>
      <c r="G8992" s="39">
        <v>445929.81</v>
      </c>
      <c r="H8992" s="42">
        <v>211</v>
      </c>
    </row>
    <row r="8993" spans="1:8" ht="15" customHeight="1">
      <c r="A8993" s="26">
        <v>901327216</v>
      </c>
      <c r="B8993" s="30" t="s">
        <v>11216</v>
      </c>
      <c r="C8993" s="29" t="s">
        <v>25224</v>
      </c>
      <c r="D8993" s="29" t="s">
        <v>38594</v>
      </c>
      <c r="E8993" s="29" t="s">
        <v>50696</v>
      </c>
      <c r="F8993" s="36" t="s">
        <v>54401</v>
      </c>
      <c r="G8993" s="39">
        <v>3500000</v>
      </c>
      <c r="H8993" s="42">
        <v>211</v>
      </c>
    </row>
    <row r="8994" spans="1:8" ht="15" customHeight="1">
      <c r="A8994" s="26">
        <v>901334952</v>
      </c>
      <c r="B8994" s="30" t="s">
        <v>11217</v>
      </c>
      <c r="C8994" s="29" t="s">
        <v>25225</v>
      </c>
      <c r="D8994" s="29" t="s">
        <v>38595</v>
      </c>
      <c r="E8994" s="29" t="s">
        <v>50697</v>
      </c>
      <c r="F8994" s="36" t="s">
        <v>54401</v>
      </c>
      <c r="G8994" s="39">
        <v>1390441.81</v>
      </c>
      <c r="H8994" s="42">
        <v>211</v>
      </c>
    </row>
    <row r="8995" spans="1:8" ht="15" customHeight="1">
      <c r="A8995" s="26">
        <v>901335327</v>
      </c>
      <c r="B8995" s="30" t="s">
        <v>11218</v>
      </c>
      <c r="C8995" s="26" t="s">
        <v>24684</v>
      </c>
      <c r="D8995" s="26" t="s">
        <v>38596</v>
      </c>
      <c r="E8995" s="26" t="s">
        <v>50698</v>
      </c>
      <c r="F8995" s="37" t="s">
        <v>54401</v>
      </c>
      <c r="G8995" s="39">
        <v>94194.29</v>
      </c>
      <c r="H8995" s="42">
        <v>211</v>
      </c>
    </row>
    <row r="8996" spans="1:8" ht="15" customHeight="1">
      <c r="A8996" s="26">
        <v>901338264</v>
      </c>
      <c r="B8996" s="30" t="s">
        <v>11219</v>
      </c>
      <c r="C8996" s="29" t="s">
        <v>25226</v>
      </c>
      <c r="D8996" s="29" t="s">
        <v>38597</v>
      </c>
      <c r="E8996" s="29" t="s">
        <v>46167</v>
      </c>
      <c r="F8996" s="36" t="s">
        <v>54401</v>
      </c>
      <c r="G8996" s="39">
        <v>700000</v>
      </c>
      <c r="H8996" s="42">
        <v>211</v>
      </c>
    </row>
    <row r="8997" spans="1:8" ht="15" customHeight="1">
      <c r="A8997" s="26">
        <v>901341050</v>
      </c>
      <c r="B8997" s="30" t="s">
        <v>11220</v>
      </c>
      <c r="C8997" s="29" t="s">
        <v>25227</v>
      </c>
      <c r="D8997" s="29" t="s">
        <v>38598</v>
      </c>
      <c r="E8997" s="29" t="s">
        <v>748</v>
      </c>
      <c r="F8997" s="36" t="s">
        <v>54407</v>
      </c>
      <c r="G8997" s="39">
        <v>172399.78</v>
      </c>
      <c r="H8997" s="42">
        <v>211</v>
      </c>
    </row>
    <row r="8998" spans="1:8" ht="15" customHeight="1">
      <c r="A8998" s="26">
        <v>901344804</v>
      </c>
      <c r="B8998" s="26" t="s">
        <v>11221</v>
      </c>
      <c r="C8998" s="32"/>
      <c r="D8998" s="32"/>
      <c r="E8998" s="26" t="s">
        <v>50699</v>
      </c>
      <c r="F8998" s="26" t="s">
        <v>54402</v>
      </c>
      <c r="G8998" s="41">
        <v>2829300</v>
      </c>
      <c r="H8998" s="26">
        <v>4729</v>
      </c>
    </row>
    <row r="8999" spans="1:8" ht="15" customHeight="1">
      <c r="A8999" s="26">
        <v>901346331</v>
      </c>
      <c r="B8999" s="30" t="s">
        <v>11222</v>
      </c>
      <c r="C8999" s="29" t="s">
        <v>25228</v>
      </c>
      <c r="D8999" s="29" t="s">
        <v>38599</v>
      </c>
      <c r="E8999" s="29" t="s">
        <v>50700</v>
      </c>
      <c r="F8999" s="36" t="s">
        <v>54423</v>
      </c>
      <c r="G8999" s="39">
        <v>448285.71</v>
      </c>
      <c r="H8999" s="42">
        <v>211</v>
      </c>
    </row>
    <row r="9000" spans="1:8" ht="15" customHeight="1">
      <c r="A9000" s="26">
        <v>901350353</v>
      </c>
      <c r="B9000" s="30" t="s">
        <v>11223</v>
      </c>
      <c r="C9000" s="29" t="s">
        <v>25229</v>
      </c>
      <c r="D9000" s="29" t="s">
        <v>38600</v>
      </c>
      <c r="E9000" s="29" t="s">
        <v>50701</v>
      </c>
      <c r="F9000" s="36" t="s">
        <v>54412</v>
      </c>
      <c r="G9000" s="39">
        <v>42352.94</v>
      </c>
      <c r="H9000" s="42">
        <v>211</v>
      </c>
    </row>
    <row r="9001" spans="1:8" ht="15" customHeight="1">
      <c r="A9001" s="26">
        <v>901352764</v>
      </c>
      <c r="B9001" s="30" t="s">
        <v>11224</v>
      </c>
      <c r="C9001" s="29" t="s">
        <v>25230</v>
      </c>
      <c r="D9001" s="29" t="s">
        <v>38601</v>
      </c>
      <c r="E9001" s="29" t="s">
        <v>50702</v>
      </c>
      <c r="F9001" s="36" t="s">
        <v>54401</v>
      </c>
      <c r="G9001" s="39">
        <f>9213772.05+59260</f>
        <v>9273032.0500000007</v>
      </c>
      <c r="H9001" s="42">
        <v>211</v>
      </c>
    </row>
    <row r="9002" spans="1:8" ht="15" customHeight="1">
      <c r="A9002" s="26">
        <v>901357226</v>
      </c>
      <c r="B9002" s="30" t="s">
        <v>11225</v>
      </c>
      <c r="C9002" s="29" t="s">
        <v>25231</v>
      </c>
      <c r="D9002" s="29" t="s">
        <v>38602</v>
      </c>
      <c r="E9002" s="29" t="s">
        <v>50703</v>
      </c>
      <c r="F9002" s="36" t="s">
        <v>54401</v>
      </c>
      <c r="G9002" s="39">
        <v>51174.43</v>
      </c>
      <c r="H9002" s="42">
        <v>211</v>
      </c>
    </row>
    <row r="9003" spans="1:8" ht="15" customHeight="1">
      <c r="A9003" s="26">
        <v>901357923</v>
      </c>
      <c r="B9003" s="30" t="s">
        <v>11226</v>
      </c>
      <c r="C9003" s="29" t="s">
        <v>25232</v>
      </c>
      <c r="D9003" s="29" t="s">
        <v>38603</v>
      </c>
      <c r="E9003" s="29" t="s">
        <v>50704</v>
      </c>
      <c r="F9003" s="36" t="s">
        <v>54401</v>
      </c>
      <c r="G9003" s="39">
        <v>2790287</v>
      </c>
      <c r="H9003" s="42">
        <v>211</v>
      </c>
    </row>
    <row r="9004" spans="1:8" ht="15" customHeight="1">
      <c r="A9004" s="26">
        <v>901357987</v>
      </c>
      <c r="B9004" s="30" t="s">
        <v>11227</v>
      </c>
      <c r="C9004" s="29" t="s">
        <v>25233</v>
      </c>
      <c r="D9004" s="29" t="s">
        <v>38604</v>
      </c>
      <c r="E9004" s="29" t="s">
        <v>50705</v>
      </c>
      <c r="F9004" s="36" t="s">
        <v>54406</v>
      </c>
      <c r="G9004" s="39">
        <v>5661328.7999999998</v>
      </c>
      <c r="H9004" s="42">
        <v>211</v>
      </c>
    </row>
    <row r="9005" spans="1:8" ht="15" customHeight="1">
      <c r="A9005" s="26">
        <v>901358726</v>
      </c>
      <c r="B9005" s="30" t="s">
        <v>11228</v>
      </c>
      <c r="C9005" s="29" t="s">
        <v>25234</v>
      </c>
      <c r="D9005" s="29" t="s">
        <v>38605</v>
      </c>
      <c r="E9005" s="29" t="s">
        <v>50706</v>
      </c>
      <c r="F9005" s="36" t="s">
        <v>54401</v>
      </c>
      <c r="G9005" s="39">
        <v>11366709.949999999</v>
      </c>
      <c r="H9005" s="42">
        <v>211</v>
      </c>
    </row>
    <row r="9006" spans="1:8" ht="15" customHeight="1">
      <c r="A9006" s="26">
        <v>901359378</v>
      </c>
      <c r="B9006" s="30" t="s">
        <v>11229</v>
      </c>
      <c r="C9006" s="29" t="s">
        <v>25235</v>
      </c>
      <c r="D9006" s="29" t="s">
        <v>38606</v>
      </c>
      <c r="E9006" s="29" t="s">
        <v>50707</v>
      </c>
      <c r="F9006" s="36" t="s">
        <v>54401</v>
      </c>
      <c r="G9006" s="39">
        <v>31103.64</v>
      </c>
      <c r="H9006" s="42">
        <v>211</v>
      </c>
    </row>
    <row r="9007" spans="1:8" ht="15" customHeight="1">
      <c r="A9007" s="26">
        <v>901364892</v>
      </c>
      <c r="B9007" s="30" t="s">
        <v>11230</v>
      </c>
      <c r="C9007" s="29" t="s">
        <v>25236</v>
      </c>
      <c r="D9007" s="29" t="s">
        <v>38607</v>
      </c>
      <c r="E9007" s="29" t="s">
        <v>43926</v>
      </c>
      <c r="F9007" s="36" t="s">
        <v>54412</v>
      </c>
      <c r="G9007" s="39">
        <v>127523.52</v>
      </c>
      <c r="H9007" s="42">
        <v>211</v>
      </c>
    </row>
    <row r="9008" spans="1:8" ht="15" customHeight="1">
      <c r="A9008" s="26">
        <v>901367916</v>
      </c>
      <c r="B9008" s="30" t="s">
        <v>11231</v>
      </c>
      <c r="C9008" s="29" t="s">
        <v>25237</v>
      </c>
      <c r="D9008" s="29" t="s">
        <v>38608</v>
      </c>
      <c r="E9008" s="29" t="s">
        <v>50708</v>
      </c>
      <c r="F9008" s="36" t="s">
        <v>54409</v>
      </c>
      <c r="G9008" s="39">
        <v>1799879.89</v>
      </c>
      <c r="H9008" s="42">
        <v>211</v>
      </c>
    </row>
    <row r="9009" spans="1:8" ht="15" customHeight="1">
      <c r="A9009" s="26">
        <v>901369728</v>
      </c>
      <c r="B9009" s="30" t="s">
        <v>11232</v>
      </c>
      <c r="C9009" s="29" t="s">
        <v>25238</v>
      </c>
      <c r="D9009" s="29" t="s">
        <v>38609</v>
      </c>
      <c r="E9009" s="29" t="s">
        <v>50709</v>
      </c>
      <c r="F9009" s="36" t="s">
        <v>54412</v>
      </c>
      <c r="G9009" s="39">
        <v>90042.01</v>
      </c>
      <c r="H9009" s="42">
        <v>211</v>
      </c>
    </row>
    <row r="9010" spans="1:8" ht="15" customHeight="1">
      <c r="A9010" s="26">
        <v>901372516</v>
      </c>
      <c r="B9010" s="30" t="s">
        <v>11233</v>
      </c>
      <c r="C9010" s="29" t="s">
        <v>25239</v>
      </c>
      <c r="D9010" s="29" t="s">
        <v>38610</v>
      </c>
      <c r="E9010" s="29" t="s">
        <v>50710</v>
      </c>
      <c r="F9010" s="36" t="s">
        <v>54458</v>
      </c>
      <c r="G9010" s="39">
        <v>423446</v>
      </c>
      <c r="H9010" s="42">
        <v>211</v>
      </c>
    </row>
    <row r="9011" spans="1:8" ht="15" customHeight="1">
      <c r="A9011" s="26">
        <v>901372612</v>
      </c>
      <c r="B9011" s="30" t="s">
        <v>11234</v>
      </c>
      <c r="C9011" s="29" t="s">
        <v>25240</v>
      </c>
      <c r="D9011" s="29" t="s">
        <v>38611</v>
      </c>
      <c r="E9011" s="29" t="s">
        <v>50711</v>
      </c>
      <c r="F9011" s="36" t="s">
        <v>54475</v>
      </c>
      <c r="G9011" s="39">
        <v>2285196.69</v>
      </c>
      <c r="H9011" s="42">
        <v>211</v>
      </c>
    </row>
    <row r="9012" spans="1:8" ht="15" customHeight="1">
      <c r="A9012" s="26">
        <v>901379628</v>
      </c>
      <c r="B9012" s="30" t="s">
        <v>11235</v>
      </c>
      <c r="C9012" s="29" t="s">
        <v>25241</v>
      </c>
      <c r="D9012" s="29" t="s">
        <v>38612</v>
      </c>
      <c r="E9012" s="29" t="s">
        <v>45963</v>
      </c>
      <c r="F9012" s="36" t="s">
        <v>54401</v>
      </c>
      <c r="G9012" s="39">
        <v>8598446.1400000006</v>
      </c>
      <c r="H9012" s="42">
        <v>211</v>
      </c>
    </row>
    <row r="9013" spans="1:8" ht="15" customHeight="1">
      <c r="A9013" s="26">
        <v>901382807</v>
      </c>
      <c r="B9013" s="30" t="s">
        <v>11236</v>
      </c>
      <c r="C9013" s="29" t="s">
        <v>25242</v>
      </c>
      <c r="D9013" s="29" t="s">
        <v>38613</v>
      </c>
      <c r="E9013" s="29" t="s">
        <v>50712</v>
      </c>
      <c r="F9013" s="36" t="s">
        <v>54401</v>
      </c>
      <c r="G9013" s="39">
        <v>4621.8500000000004</v>
      </c>
      <c r="H9013" s="42">
        <v>211</v>
      </c>
    </row>
    <row r="9014" spans="1:8" ht="15" customHeight="1">
      <c r="A9014" s="26">
        <v>901383243</v>
      </c>
      <c r="B9014" s="30" t="s">
        <v>11237</v>
      </c>
      <c r="C9014" s="26" t="s">
        <v>25243</v>
      </c>
      <c r="D9014" s="26" t="s">
        <v>38614</v>
      </c>
      <c r="E9014" s="26" t="s">
        <v>50713</v>
      </c>
      <c r="F9014" s="37" t="s">
        <v>54401</v>
      </c>
      <c r="G9014" s="39">
        <v>98634.95</v>
      </c>
      <c r="H9014" s="42">
        <v>211</v>
      </c>
    </row>
    <row r="9015" spans="1:8" ht="15" customHeight="1">
      <c r="A9015" s="26">
        <v>901383783</v>
      </c>
      <c r="B9015" s="30" t="s">
        <v>11238</v>
      </c>
      <c r="C9015" s="29" t="s">
        <v>17204</v>
      </c>
      <c r="D9015" s="29" t="s">
        <v>38615</v>
      </c>
      <c r="E9015" s="29" t="s">
        <v>50251</v>
      </c>
      <c r="F9015" s="36" t="s">
        <v>54401</v>
      </c>
      <c r="G9015" s="39">
        <v>3233381</v>
      </c>
      <c r="H9015" s="42">
        <v>211</v>
      </c>
    </row>
    <row r="9016" spans="1:8" ht="15" customHeight="1">
      <c r="A9016" s="26">
        <v>901392026</v>
      </c>
      <c r="B9016" s="30" t="s">
        <v>11239</v>
      </c>
      <c r="C9016" s="29" t="s">
        <v>25244</v>
      </c>
      <c r="D9016" s="29" t="s">
        <v>38616</v>
      </c>
      <c r="E9016" s="29" t="s">
        <v>50714</v>
      </c>
      <c r="F9016" s="36" t="s">
        <v>54412</v>
      </c>
      <c r="G9016" s="39">
        <v>1200000</v>
      </c>
      <c r="H9016" s="42">
        <v>211</v>
      </c>
    </row>
    <row r="9017" spans="1:8" ht="15" customHeight="1">
      <c r="A9017" s="26">
        <v>901395454</v>
      </c>
      <c r="B9017" s="30" t="s">
        <v>11240</v>
      </c>
      <c r="C9017" s="29" t="s">
        <v>25245</v>
      </c>
      <c r="D9017" s="29" t="s">
        <v>38617</v>
      </c>
      <c r="E9017" s="29" t="s">
        <v>50715</v>
      </c>
      <c r="F9017" s="36" t="s">
        <v>54476</v>
      </c>
      <c r="G9017" s="39">
        <v>2435080</v>
      </c>
      <c r="H9017" s="42">
        <v>211</v>
      </c>
    </row>
    <row r="9018" spans="1:8" ht="15" customHeight="1">
      <c r="A9018" s="26">
        <v>901396546</v>
      </c>
      <c r="B9018" s="30" t="s">
        <v>11241</v>
      </c>
      <c r="C9018" s="29" t="s">
        <v>25246</v>
      </c>
      <c r="D9018" s="29" t="s">
        <v>38618</v>
      </c>
      <c r="E9018" s="29" t="s">
        <v>50716</v>
      </c>
      <c r="F9018" s="36" t="s">
        <v>54401</v>
      </c>
      <c r="G9018" s="39">
        <v>9041981.7200000007</v>
      </c>
      <c r="H9018" s="42">
        <v>211</v>
      </c>
    </row>
    <row r="9019" spans="1:8" ht="15" customHeight="1">
      <c r="A9019" s="26">
        <v>901397058</v>
      </c>
      <c r="B9019" s="30" t="s">
        <v>11242</v>
      </c>
      <c r="C9019" s="29" t="s">
        <v>25247</v>
      </c>
      <c r="D9019" s="29" t="s">
        <v>38619</v>
      </c>
      <c r="E9019" s="29" t="s">
        <v>50717</v>
      </c>
      <c r="F9019" s="36" t="s">
        <v>54418</v>
      </c>
      <c r="G9019" s="39">
        <v>968444.62</v>
      </c>
      <c r="H9019" s="42">
        <v>211</v>
      </c>
    </row>
    <row r="9020" spans="1:8" ht="15" customHeight="1">
      <c r="A9020" s="26">
        <v>901400186</v>
      </c>
      <c r="B9020" s="30" t="s">
        <v>11243</v>
      </c>
      <c r="C9020" s="29" t="s">
        <v>25248</v>
      </c>
      <c r="D9020" s="29" t="s">
        <v>38620</v>
      </c>
      <c r="E9020" s="29" t="s">
        <v>50718</v>
      </c>
      <c r="F9020" s="36" t="s">
        <v>54401</v>
      </c>
      <c r="G9020" s="39">
        <v>2809656</v>
      </c>
      <c r="H9020" s="42">
        <v>211</v>
      </c>
    </row>
    <row r="9021" spans="1:8" ht="15" customHeight="1">
      <c r="A9021" s="26">
        <v>901402351</v>
      </c>
      <c r="B9021" s="30" t="s">
        <v>11244</v>
      </c>
      <c r="C9021" s="29" t="s">
        <v>25249</v>
      </c>
      <c r="D9021" s="29" t="s">
        <v>38621</v>
      </c>
      <c r="E9021" s="29" t="s">
        <v>50719</v>
      </c>
      <c r="F9021" s="36" t="s">
        <v>54413</v>
      </c>
      <c r="G9021" s="39">
        <v>1611252.27</v>
      </c>
      <c r="H9021" s="42">
        <v>211</v>
      </c>
    </row>
    <row r="9022" spans="1:8" ht="15" customHeight="1">
      <c r="A9022" s="26">
        <v>901403243</v>
      </c>
      <c r="B9022" s="30" t="s">
        <v>11245</v>
      </c>
      <c r="C9022" s="29" t="s">
        <v>25250</v>
      </c>
      <c r="D9022" s="29" t="s">
        <v>38622</v>
      </c>
      <c r="E9022" s="29" t="s">
        <v>50720</v>
      </c>
      <c r="F9022" s="36" t="s">
        <v>54401</v>
      </c>
      <c r="G9022" s="39">
        <v>162339.9</v>
      </c>
      <c r="H9022" s="42">
        <v>211</v>
      </c>
    </row>
    <row r="9023" spans="1:8" ht="15" customHeight="1">
      <c r="A9023" s="26">
        <v>901403271</v>
      </c>
      <c r="B9023" s="30" t="s">
        <v>11246</v>
      </c>
      <c r="C9023" s="29" t="s">
        <v>25251</v>
      </c>
      <c r="D9023" s="29" t="s">
        <v>38623</v>
      </c>
      <c r="E9023" s="29" t="s">
        <v>50721</v>
      </c>
      <c r="F9023" s="36" t="s">
        <v>54401</v>
      </c>
      <c r="G9023" s="39">
        <v>48300.28</v>
      </c>
      <c r="H9023" s="42">
        <v>211</v>
      </c>
    </row>
    <row r="9024" spans="1:8" ht="15" customHeight="1">
      <c r="A9024" s="26">
        <v>901405920</v>
      </c>
      <c r="B9024" s="30" t="s">
        <v>11247</v>
      </c>
      <c r="C9024" s="29" t="s">
        <v>25252</v>
      </c>
      <c r="D9024" s="29" t="s">
        <v>38624</v>
      </c>
      <c r="E9024" s="29" t="s">
        <v>50722</v>
      </c>
      <c r="F9024" s="36" t="s">
        <v>54401</v>
      </c>
      <c r="G9024" s="39">
        <v>310609.26</v>
      </c>
      <c r="H9024" s="42">
        <v>211</v>
      </c>
    </row>
    <row r="9025" spans="1:8" ht="15" customHeight="1">
      <c r="A9025" s="26">
        <v>901409419</v>
      </c>
      <c r="B9025" s="30" t="s">
        <v>11248</v>
      </c>
      <c r="C9025" s="29" t="s">
        <v>17204</v>
      </c>
      <c r="D9025" s="29" t="s">
        <v>38625</v>
      </c>
      <c r="E9025" s="29" t="s">
        <v>50723</v>
      </c>
      <c r="F9025" s="36" t="s">
        <v>54401</v>
      </c>
      <c r="G9025" s="39">
        <v>378218.49</v>
      </c>
      <c r="H9025" s="42">
        <v>211</v>
      </c>
    </row>
    <row r="9026" spans="1:8" ht="15" customHeight="1">
      <c r="A9026" s="26">
        <v>901411006</v>
      </c>
      <c r="B9026" s="30" t="s">
        <v>11249</v>
      </c>
      <c r="C9026" s="29" t="s">
        <v>25253</v>
      </c>
      <c r="D9026" s="29" t="s">
        <v>38626</v>
      </c>
      <c r="E9026" s="29" t="s">
        <v>50724</v>
      </c>
      <c r="F9026" s="36" t="s">
        <v>54401</v>
      </c>
      <c r="G9026" s="39">
        <v>12280276</v>
      </c>
      <c r="H9026" s="42">
        <v>211</v>
      </c>
    </row>
    <row r="9027" spans="1:8" ht="15" customHeight="1">
      <c r="A9027" s="26">
        <v>901411807</v>
      </c>
      <c r="B9027" s="30" t="s">
        <v>11250</v>
      </c>
      <c r="C9027" s="29" t="s">
        <v>25254</v>
      </c>
      <c r="D9027" s="29" t="s">
        <v>38627</v>
      </c>
      <c r="E9027" s="29" t="s">
        <v>50515</v>
      </c>
      <c r="F9027" s="36" t="s">
        <v>54401</v>
      </c>
      <c r="G9027" s="39">
        <v>573211.77</v>
      </c>
      <c r="H9027" s="42">
        <v>211</v>
      </c>
    </row>
    <row r="9028" spans="1:8" ht="15" customHeight="1">
      <c r="A9028" s="26">
        <v>901412314</v>
      </c>
      <c r="B9028" s="30" t="s">
        <v>11251</v>
      </c>
      <c r="C9028" s="29" t="s">
        <v>24989</v>
      </c>
      <c r="D9028" s="29" t="s">
        <v>38628</v>
      </c>
      <c r="E9028" s="29" t="s">
        <v>50725</v>
      </c>
      <c r="F9028" s="36" t="s">
        <v>54413</v>
      </c>
      <c r="G9028" s="39">
        <v>150000</v>
      </c>
      <c r="H9028" s="42">
        <v>211</v>
      </c>
    </row>
    <row r="9029" spans="1:8" ht="15" customHeight="1">
      <c r="A9029" s="26">
        <v>901414409</v>
      </c>
      <c r="B9029" s="30" t="s">
        <v>11252</v>
      </c>
      <c r="C9029" s="29" t="s">
        <v>25255</v>
      </c>
      <c r="D9029" s="29" t="s">
        <v>38629</v>
      </c>
      <c r="E9029" s="29" t="s">
        <v>50726</v>
      </c>
      <c r="F9029" s="36" t="s">
        <v>54401</v>
      </c>
      <c r="G9029" s="39">
        <v>383926.77</v>
      </c>
      <c r="H9029" s="42">
        <v>211</v>
      </c>
    </row>
    <row r="9030" spans="1:8" ht="15" customHeight="1">
      <c r="A9030" s="26">
        <v>901415943</v>
      </c>
      <c r="B9030" s="30" t="s">
        <v>11253</v>
      </c>
      <c r="C9030" s="29" t="s">
        <v>25256</v>
      </c>
      <c r="D9030" s="29" t="s">
        <v>38630</v>
      </c>
      <c r="E9030" s="29" t="s">
        <v>50727</v>
      </c>
      <c r="F9030" s="36" t="s">
        <v>54401</v>
      </c>
      <c r="G9030" s="39">
        <v>501538.16</v>
      </c>
      <c r="H9030" s="42">
        <v>211</v>
      </c>
    </row>
    <row r="9031" spans="1:8" ht="15" customHeight="1">
      <c r="A9031" s="26">
        <v>901417150</v>
      </c>
      <c r="B9031" s="30" t="s">
        <v>11254</v>
      </c>
      <c r="C9031" s="29" t="s">
        <v>18080</v>
      </c>
      <c r="D9031" s="29" t="s">
        <v>38631</v>
      </c>
      <c r="E9031" s="29" t="s">
        <v>50728</v>
      </c>
      <c r="F9031" s="36" t="s">
        <v>54401</v>
      </c>
      <c r="G9031" s="39">
        <v>337752.94</v>
      </c>
      <c r="H9031" s="42">
        <v>211</v>
      </c>
    </row>
    <row r="9032" spans="1:8" ht="15" customHeight="1">
      <c r="A9032" s="26">
        <v>901424337</v>
      </c>
      <c r="B9032" s="30" t="s">
        <v>11255</v>
      </c>
      <c r="C9032" s="29" t="s">
        <v>19362</v>
      </c>
      <c r="D9032" s="29" t="s">
        <v>38632</v>
      </c>
      <c r="E9032" s="29" t="s">
        <v>50729</v>
      </c>
      <c r="F9032" s="36" t="s">
        <v>54406</v>
      </c>
      <c r="G9032" s="39">
        <v>72563.03</v>
      </c>
      <c r="H9032" s="42">
        <v>211</v>
      </c>
    </row>
    <row r="9033" spans="1:8" ht="15" customHeight="1">
      <c r="A9033" s="26">
        <v>901426476</v>
      </c>
      <c r="B9033" s="30" t="s">
        <v>11256</v>
      </c>
      <c r="C9033" s="29" t="s">
        <v>25257</v>
      </c>
      <c r="D9033" s="29" t="s">
        <v>38633</v>
      </c>
      <c r="E9033" s="29" t="s">
        <v>50730</v>
      </c>
      <c r="F9033" s="36" t="s">
        <v>54401</v>
      </c>
      <c r="G9033" s="39">
        <v>1419241</v>
      </c>
      <c r="H9033" s="42">
        <v>211</v>
      </c>
    </row>
    <row r="9034" spans="1:8" ht="15" customHeight="1">
      <c r="A9034" s="26">
        <v>901428374</v>
      </c>
      <c r="B9034" s="30" t="s">
        <v>11257</v>
      </c>
      <c r="C9034" s="29" t="s">
        <v>25258</v>
      </c>
      <c r="D9034" s="29" t="s">
        <v>38634</v>
      </c>
      <c r="E9034" s="29" t="s">
        <v>50204</v>
      </c>
      <c r="F9034" s="36" t="s">
        <v>54401</v>
      </c>
      <c r="G9034" s="39">
        <v>8805760.4199999999</v>
      </c>
      <c r="H9034" s="42">
        <v>211</v>
      </c>
    </row>
    <row r="9035" spans="1:8" ht="15" customHeight="1">
      <c r="A9035" s="26">
        <v>901429589</v>
      </c>
      <c r="B9035" s="30" t="s">
        <v>11258</v>
      </c>
      <c r="C9035" s="29" t="s">
        <v>25259</v>
      </c>
      <c r="D9035" s="29" t="s">
        <v>38635</v>
      </c>
      <c r="E9035" s="29" t="s">
        <v>50731</v>
      </c>
      <c r="F9035" s="36" t="s">
        <v>54401</v>
      </c>
      <c r="G9035" s="39">
        <v>1282183.1599999999</v>
      </c>
      <c r="H9035" s="42">
        <v>211</v>
      </c>
    </row>
    <row r="9036" spans="1:8" ht="15" customHeight="1">
      <c r="A9036" s="26">
        <v>901435619</v>
      </c>
      <c r="B9036" s="30" t="s">
        <v>11259</v>
      </c>
      <c r="C9036" s="29" t="s">
        <v>25260</v>
      </c>
      <c r="D9036" s="29" t="s">
        <v>38636</v>
      </c>
      <c r="E9036" s="29" t="s">
        <v>50732</v>
      </c>
      <c r="F9036" s="36" t="s">
        <v>54401</v>
      </c>
      <c r="G9036" s="39">
        <v>324428.57</v>
      </c>
      <c r="H9036" s="42">
        <v>211</v>
      </c>
    </row>
    <row r="9037" spans="1:8" ht="15" customHeight="1">
      <c r="A9037" s="26">
        <v>901440129</v>
      </c>
      <c r="B9037" s="30" t="s">
        <v>11260</v>
      </c>
      <c r="C9037" s="29" t="s">
        <v>25261</v>
      </c>
      <c r="D9037" s="29" t="s">
        <v>38637</v>
      </c>
      <c r="E9037" s="29" t="s">
        <v>50733</v>
      </c>
      <c r="F9037" s="36" t="s">
        <v>54401</v>
      </c>
      <c r="G9037" s="39">
        <v>4850000</v>
      </c>
      <c r="H9037" s="42">
        <v>211</v>
      </c>
    </row>
    <row r="9038" spans="1:8" ht="15" customHeight="1">
      <c r="A9038" s="26">
        <v>901441383</v>
      </c>
      <c r="B9038" s="30" t="s">
        <v>11261</v>
      </c>
      <c r="C9038" s="29" t="s">
        <v>25262</v>
      </c>
      <c r="D9038" s="29" t="s">
        <v>38638</v>
      </c>
      <c r="E9038" s="29" t="s">
        <v>50734</v>
      </c>
      <c r="F9038" s="36" t="s">
        <v>54401</v>
      </c>
      <c r="G9038" s="39">
        <v>2717973.88</v>
      </c>
      <c r="H9038" s="42">
        <v>211</v>
      </c>
    </row>
    <row r="9039" spans="1:8" ht="15" customHeight="1">
      <c r="A9039" s="26">
        <v>901445095</v>
      </c>
      <c r="B9039" s="30" t="s">
        <v>11262</v>
      </c>
      <c r="C9039" s="29" t="s">
        <v>25263</v>
      </c>
      <c r="D9039" s="29" t="s">
        <v>38639</v>
      </c>
      <c r="E9039" s="29" t="s">
        <v>50735</v>
      </c>
      <c r="F9039" s="36" t="s">
        <v>54401</v>
      </c>
      <c r="G9039" s="39">
        <v>1046959</v>
      </c>
      <c r="H9039" s="42">
        <v>211</v>
      </c>
    </row>
    <row r="9040" spans="1:8" ht="15" customHeight="1">
      <c r="A9040" s="26">
        <v>901445454</v>
      </c>
      <c r="B9040" s="30" t="s">
        <v>11263</v>
      </c>
      <c r="C9040" s="29" t="s">
        <v>25264</v>
      </c>
      <c r="D9040" s="29" t="s">
        <v>38640</v>
      </c>
      <c r="E9040" s="29" t="s">
        <v>45822</v>
      </c>
      <c r="F9040" s="36" t="s">
        <v>54401</v>
      </c>
      <c r="G9040" s="39">
        <v>1356264.83</v>
      </c>
      <c r="H9040" s="42">
        <v>211</v>
      </c>
    </row>
    <row r="9041" spans="1:8" ht="15" customHeight="1">
      <c r="A9041" s="26">
        <v>901445701</v>
      </c>
      <c r="B9041" s="30" t="s">
        <v>11264</v>
      </c>
      <c r="C9041" s="29" t="s">
        <v>25265</v>
      </c>
      <c r="D9041" s="29" t="s">
        <v>38641</v>
      </c>
      <c r="E9041" s="29" t="s">
        <v>50736</v>
      </c>
      <c r="F9041" s="36" t="s">
        <v>54412</v>
      </c>
      <c r="G9041" s="39">
        <v>2261576.2000000002</v>
      </c>
      <c r="H9041" s="42">
        <v>211</v>
      </c>
    </row>
    <row r="9042" spans="1:8" ht="15" customHeight="1">
      <c r="A9042" s="26">
        <v>901446730</v>
      </c>
      <c r="B9042" s="30" t="s">
        <v>11265</v>
      </c>
      <c r="C9042" s="29" t="s">
        <v>25266</v>
      </c>
      <c r="D9042" s="29" t="s">
        <v>38642</v>
      </c>
      <c r="E9042" s="29" t="s">
        <v>50737</v>
      </c>
      <c r="F9042" s="36" t="s">
        <v>54401</v>
      </c>
      <c r="G9042" s="39">
        <v>320895.19</v>
      </c>
      <c r="H9042" s="42">
        <v>211</v>
      </c>
    </row>
    <row r="9043" spans="1:8" ht="15" customHeight="1">
      <c r="A9043" s="26">
        <v>901447838</v>
      </c>
      <c r="B9043" s="30" t="s">
        <v>11266</v>
      </c>
      <c r="C9043" s="29" t="s">
        <v>25267</v>
      </c>
      <c r="D9043" s="29" t="s">
        <v>38643</v>
      </c>
      <c r="E9043" s="29" t="s">
        <v>50738</v>
      </c>
      <c r="F9043" s="36" t="s">
        <v>54420</v>
      </c>
      <c r="G9043" s="39">
        <v>57520857</v>
      </c>
      <c r="H9043" s="42">
        <v>211</v>
      </c>
    </row>
    <row r="9044" spans="1:8" ht="15" customHeight="1">
      <c r="A9044" s="26">
        <v>901448346</v>
      </c>
      <c r="B9044" s="30" t="s">
        <v>11267</v>
      </c>
      <c r="C9044" s="29" t="s">
        <v>25268</v>
      </c>
      <c r="D9044" s="29" t="s">
        <v>38644</v>
      </c>
      <c r="E9044" s="29" t="s">
        <v>50739</v>
      </c>
      <c r="F9044" s="36" t="s">
        <v>54401</v>
      </c>
      <c r="G9044" s="39">
        <v>427841.17</v>
      </c>
      <c r="H9044" s="42">
        <v>211</v>
      </c>
    </row>
    <row r="9045" spans="1:8" ht="15" customHeight="1">
      <c r="A9045" s="26">
        <v>901449345</v>
      </c>
      <c r="B9045" s="30" t="s">
        <v>11268</v>
      </c>
      <c r="C9045" s="29" t="s">
        <v>25269</v>
      </c>
      <c r="D9045" s="29" t="s">
        <v>38645</v>
      </c>
      <c r="E9045" s="29" t="s">
        <v>50740</v>
      </c>
      <c r="F9045" s="36" t="s">
        <v>54401</v>
      </c>
      <c r="G9045" s="39">
        <v>113151.36</v>
      </c>
      <c r="H9045" s="42">
        <v>211</v>
      </c>
    </row>
    <row r="9046" spans="1:8" ht="15" customHeight="1">
      <c r="A9046" s="26">
        <v>901450876</v>
      </c>
      <c r="B9046" s="30" t="s">
        <v>11269</v>
      </c>
      <c r="C9046" s="29" t="s">
        <v>25270</v>
      </c>
      <c r="D9046" s="29" t="s">
        <v>38646</v>
      </c>
      <c r="E9046" s="29" t="s">
        <v>50741</v>
      </c>
      <c r="F9046" s="36" t="s">
        <v>54402</v>
      </c>
      <c r="G9046" s="39">
        <v>352785.88</v>
      </c>
      <c r="H9046" s="42">
        <v>211</v>
      </c>
    </row>
    <row r="9047" spans="1:8" ht="15" customHeight="1">
      <c r="A9047" s="26">
        <v>901451278</v>
      </c>
      <c r="B9047" s="30" t="s">
        <v>11270</v>
      </c>
      <c r="C9047" s="29" t="s">
        <v>25018</v>
      </c>
      <c r="D9047" s="29" t="s">
        <v>38647</v>
      </c>
      <c r="E9047" s="29" t="s">
        <v>50742</v>
      </c>
      <c r="F9047" s="36" t="s">
        <v>54401</v>
      </c>
      <c r="G9047" s="39">
        <v>3104789.33</v>
      </c>
      <c r="H9047" s="42">
        <v>211</v>
      </c>
    </row>
    <row r="9048" spans="1:8" ht="15" customHeight="1">
      <c r="A9048" s="26">
        <v>901454147</v>
      </c>
      <c r="B9048" s="30" t="s">
        <v>11271</v>
      </c>
      <c r="C9048" s="29" t="s">
        <v>17204</v>
      </c>
      <c r="D9048" s="29" t="s">
        <v>38648</v>
      </c>
      <c r="E9048" s="29" t="s">
        <v>50743</v>
      </c>
      <c r="F9048" s="36" t="s">
        <v>54414</v>
      </c>
      <c r="G9048" s="39">
        <v>197296.84</v>
      </c>
      <c r="H9048" s="42">
        <v>211</v>
      </c>
    </row>
    <row r="9049" spans="1:8" ht="15" customHeight="1">
      <c r="A9049" s="26">
        <v>901456044</v>
      </c>
      <c r="B9049" s="30" t="s">
        <v>11272</v>
      </c>
      <c r="C9049" s="29" t="s">
        <v>25271</v>
      </c>
      <c r="D9049" s="29" t="s">
        <v>38649</v>
      </c>
      <c r="E9049" s="29" t="s">
        <v>50744</v>
      </c>
      <c r="F9049" s="36" t="s">
        <v>54429</v>
      </c>
      <c r="G9049" s="39">
        <v>9339442</v>
      </c>
      <c r="H9049" s="42">
        <v>211</v>
      </c>
    </row>
    <row r="9050" spans="1:8" ht="15" customHeight="1">
      <c r="A9050" s="26">
        <v>901457406</v>
      </c>
      <c r="B9050" s="30" t="s">
        <v>11273</v>
      </c>
      <c r="C9050" s="29" t="s">
        <v>25272</v>
      </c>
      <c r="D9050" s="29" t="s">
        <v>38650</v>
      </c>
      <c r="E9050" s="29" t="s">
        <v>50745</v>
      </c>
      <c r="F9050" s="36" t="s">
        <v>54401</v>
      </c>
      <c r="G9050" s="39">
        <v>517759</v>
      </c>
      <c r="H9050" s="42">
        <v>211</v>
      </c>
    </row>
    <row r="9051" spans="1:8" ht="15" customHeight="1">
      <c r="A9051" s="26">
        <v>901459714</v>
      </c>
      <c r="B9051" s="30" t="s">
        <v>11274</v>
      </c>
      <c r="C9051" s="29" t="s">
        <v>25273</v>
      </c>
      <c r="D9051" s="29" t="s">
        <v>38651</v>
      </c>
      <c r="E9051" s="29" t="s">
        <v>50746</v>
      </c>
      <c r="F9051" s="36" t="s">
        <v>54414</v>
      </c>
      <c r="G9051" s="39">
        <v>48245.24</v>
      </c>
      <c r="H9051" s="42">
        <v>211</v>
      </c>
    </row>
    <row r="9052" spans="1:8" ht="15" customHeight="1">
      <c r="A9052" s="26">
        <v>901460354</v>
      </c>
      <c r="B9052" s="30" t="s">
        <v>11275</v>
      </c>
      <c r="C9052" s="29" t="s">
        <v>25274</v>
      </c>
      <c r="D9052" s="29" t="s">
        <v>38652</v>
      </c>
      <c r="E9052" s="29" t="s">
        <v>50747</v>
      </c>
      <c r="F9052" s="36" t="s">
        <v>54429</v>
      </c>
      <c r="G9052" s="39">
        <v>4121601.05</v>
      </c>
      <c r="H9052" s="42">
        <v>211</v>
      </c>
    </row>
    <row r="9053" spans="1:8" ht="15" customHeight="1">
      <c r="A9053" s="26">
        <v>901460719</v>
      </c>
      <c r="B9053" s="30" t="s">
        <v>11276</v>
      </c>
      <c r="C9053" s="29" t="s">
        <v>25275</v>
      </c>
      <c r="D9053" s="29" t="s">
        <v>38653</v>
      </c>
      <c r="E9053" s="29" t="s">
        <v>50748</v>
      </c>
      <c r="F9053" s="36" t="s">
        <v>54412</v>
      </c>
      <c r="G9053" s="39">
        <v>570408</v>
      </c>
      <c r="H9053" s="42">
        <v>211</v>
      </c>
    </row>
    <row r="9054" spans="1:8" ht="15" customHeight="1">
      <c r="A9054" s="26">
        <v>901460901</v>
      </c>
      <c r="B9054" s="30" t="s">
        <v>11277</v>
      </c>
      <c r="C9054" s="29" t="s">
        <v>25276</v>
      </c>
      <c r="D9054" s="29" t="s">
        <v>38654</v>
      </c>
      <c r="E9054" s="29" t="s">
        <v>43926</v>
      </c>
      <c r="F9054" s="36" t="s">
        <v>54401</v>
      </c>
      <c r="G9054" s="39">
        <v>140950.47</v>
      </c>
      <c r="H9054" s="42">
        <v>211</v>
      </c>
    </row>
    <row r="9055" spans="1:8" ht="15" customHeight="1">
      <c r="A9055" s="26">
        <v>901464784</v>
      </c>
      <c r="B9055" s="30" t="s">
        <v>11278</v>
      </c>
      <c r="C9055" s="29" t="s">
        <v>25277</v>
      </c>
      <c r="D9055" s="29" t="s">
        <v>38655</v>
      </c>
      <c r="E9055" s="29" t="s">
        <v>50749</v>
      </c>
      <c r="F9055" s="36" t="s">
        <v>54401</v>
      </c>
      <c r="G9055" s="39">
        <v>316707.75</v>
      </c>
      <c r="H9055" s="42">
        <v>211</v>
      </c>
    </row>
    <row r="9056" spans="1:8" ht="15" customHeight="1">
      <c r="A9056" s="26">
        <v>901470008</v>
      </c>
      <c r="B9056" s="30" t="s">
        <v>11279</v>
      </c>
      <c r="C9056" s="29" t="s">
        <v>25278</v>
      </c>
      <c r="D9056" s="29" t="s">
        <v>38656</v>
      </c>
      <c r="E9056" s="29" t="s">
        <v>50750</v>
      </c>
      <c r="F9056" s="36" t="s">
        <v>54413</v>
      </c>
      <c r="G9056" s="39">
        <v>3902281</v>
      </c>
      <c r="H9056" s="42">
        <v>211</v>
      </c>
    </row>
    <row r="9057" spans="1:8" ht="15" customHeight="1">
      <c r="A9057" s="26">
        <v>901472137</v>
      </c>
      <c r="B9057" s="30" t="s">
        <v>11280</v>
      </c>
      <c r="C9057" s="29" t="s">
        <v>17271</v>
      </c>
      <c r="D9057" s="29" t="s">
        <v>38657</v>
      </c>
      <c r="E9057" s="29" t="s">
        <v>50751</v>
      </c>
      <c r="F9057" s="36" t="s">
        <v>54401</v>
      </c>
      <c r="G9057" s="39">
        <v>239075</v>
      </c>
      <c r="H9057" s="42">
        <v>211</v>
      </c>
    </row>
    <row r="9058" spans="1:8" ht="15" customHeight="1">
      <c r="A9058" s="26">
        <v>901475376</v>
      </c>
      <c r="B9058" s="30" t="s">
        <v>11281</v>
      </c>
      <c r="C9058" s="29" t="s">
        <v>17204</v>
      </c>
      <c r="D9058" s="29" t="s">
        <v>38658</v>
      </c>
      <c r="E9058" s="29" t="s">
        <v>50752</v>
      </c>
      <c r="F9058" s="36" t="s">
        <v>54402</v>
      </c>
      <c r="G9058" s="39">
        <v>865767.06</v>
      </c>
      <c r="H9058" s="42">
        <v>211</v>
      </c>
    </row>
    <row r="9059" spans="1:8" ht="15" customHeight="1">
      <c r="A9059" s="26">
        <v>901481447</v>
      </c>
      <c r="B9059" s="30" t="s">
        <v>11282</v>
      </c>
      <c r="C9059" s="29" t="s">
        <v>25279</v>
      </c>
      <c r="D9059" s="29" t="s">
        <v>38659</v>
      </c>
      <c r="E9059" s="29" t="s">
        <v>50753</v>
      </c>
      <c r="F9059" s="36" t="s">
        <v>54412</v>
      </c>
      <c r="G9059" s="39">
        <v>2410325</v>
      </c>
      <c r="H9059" s="42">
        <v>211</v>
      </c>
    </row>
    <row r="9060" spans="1:8" ht="15" customHeight="1">
      <c r="A9060" s="26">
        <v>901483405</v>
      </c>
      <c r="B9060" s="30" t="s">
        <v>11283</v>
      </c>
      <c r="C9060" s="29" t="s">
        <v>25173</v>
      </c>
      <c r="D9060" s="29" t="s">
        <v>38660</v>
      </c>
      <c r="E9060" s="29" t="s">
        <v>50754</v>
      </c>
      <c r="F9060" s="36" t="s">
        <v>54401</v>
      </c>
      <c r="G9060" s="39">
        <v>25546.22</v>
      </c>
      <c r="H9060" s="42">
        <v>211</v>
      </c>
    </row>
    <row r="9061" spans="1:8" ht="15" customHeight="1">
      <c r="A9061" s="26">
        <v>901495603</v>
      </c>
      <c r="B9061" s="30" t="s">
        <v>11284</v>
      </c>
      <c r="C9061" s="29" t="s">
        <v>23290</v>
      </c>
      <c r="D9061" s="29" t="s">
        <v>38661</v>
      </c>
      <c r="E9061" s="29" t="s">
        <v>50755</v>
      </c>
      <c r="F9061" s="36" t="s">
        <v>54401</v>
      </c>
      <c r="G9061" s="39">
        <v>875844</v>
      </c>
      <c r="H9061" s="42">
        <v>211</v>
      </c>
    </row>
    <row r="9062" spans="1:8" ht="15" customHeight="1">
      <c r="A9062" s="26">
        <v>901496267</v>
      </c>
      <c r="B9062" s="30" t="s">
        <v>11285</v>
      </c>
      <c r="C9062" s="26" t="s">
        <v>25280</v>
      </c>
      <c r="D9062" s="26" t="s">
        <v>38662</v>
      </c>
      <c r="E9062" s="26" t="s">
        <v>50756</v>
      </c>
      <c r="F9062" s="37" t="s">
        <v>54401</v>
      </c>
      <c r="G9062" s="39">
        <v>810501.67</v>
      </c>
      <c r="H9062" s="42">
        <v>211</v>
      </c>
    </row>
    <row r="9063" spans="1:8" ht="15" customHeight="1">
      <c r="A9063" s="26">
        <v>901501153</v>
      </c>
      <c r="B9063" s="30" t="s">
        <v>11286</v>
      </c>
      <c r="C9063" s="29" t="s">
        <v>21785</v>
      </c>
      <c r="D9063" s="29" t="s">
        <v>38523</v>
      </c>
      <c r="E9063" s="29" t="s">
        <v>50757</v>
      </c>
      <c r="F9063" s="36" t="s">
        <v>54401</v>
      </c>
      <c r="G9063" s="39">
        <v>110274.56</v>
      </c>
      <c r="H9063" s="42">
        <v>211</v>
      </c>
    </row>
    <row r="9064" spans="1:8" ht="15" customHeight="1">
      <c r="A9064" s="26">
        <v>901504058</v>
      </c>
      <c r="B9064" s="30" t="s">
        <v>11287</v>
      </c>
      <c r="C9064" s="29" t="s">
        <v>25281</v>
      </c>
      <c r="D9064" s="29" t="s">
        <v>38663</v>
      </c>
      <c r="E9064" s="29" t="s">
        <v>50758</v>
      </c>
      <c r="F9064" s="36" t="s">
        <v>54401</v>
      </c>
      <c r="G9064" s="39">
        <v>2091680.67</v>
      </c>
      <c r="H9064" s="42">
        <v>211</v>
      </c>
    </row>
    <row r="9065" spans="1:8" ht="15" customHeight="1">
      <c r="A9065" s="26">
        <v>901508366</v>
      </c>
      <c r="B9065" s="30" t="s">
        <v>11288</v>
      </c>
      <c r="C9065" s="29" t="s">
        <v>25024</v>
      </c>
      <c r="D9065" s="29" t="s">
        <v>38664</v>
      </c>
      <c r="E9065" s="29" t="s">
        <v>48430</v>
      </c>
      <c r="F9065" s="36" t="s">
        <v>54401</v>
      </c>
      <c r="G9065" s="39">
        <v>6806.72</v>
      </c>
      <c r="H9065" s="42">
        <v>211</v>
      </c>
    </row>
    <row r="9066" spans="1:8" ht="15" customHeight="1">
      <c r="A9066" s="26">
        <v>901512422</v>
      </c>
      <c r="B9066" s="30" t="s">
        <v>11289</v>
      </c>
      <c r="C9066" s="29" t="s">
        <v>21735</v>
      </c>
      <c r="D9066" s="29" t="s">
        <v>34961</v>
      </c>
      <c r="E9066" s="29" t="s">
        <v>50759</v>
      </c>
      <c r="F9066" s="36" t="s">
        <v>54401</v>
      </c>
      <c r="G9066" s="39">
        <v>3716941</v>
      </c>
      <c r="H9066" s="42">
        <v>211</v>
      </c>
    </row>
    <row r="9067" spans="1:8" ht="15" customHeight="1">
      <c r="A9067" s="26">
        <v>901513131</v>
      </c>
      <c r="B9067" s="30" t="s">
        <v>11290</v>
      </c>
      <c r="C9067" s="29" t="s">
        <v>25282</v>
      </c>
      <c r="D9067" s="29" t="s">
        <v>38665</v>
      </c>
      <c r="E9067" s="29" t="s">
        <v>50760</v>
      </c>
      <c r="F9067" s="36" t="s">
        <v>54401</v>
      </c>
      <c r="G9067" s="39">
        <v>7639531</v>
      </c>
      <c r="H9067" s="42">
        <v>211</v>
      </c>
    </row>
    <row r="9068" spans="1:8" ht="15" customHeight="1">
      <c r="A9068" s="26">
        <v>901514553</v>
      </c>
      <c r="B9068" s="30" t="s">
        <v>11291</v>
      </c>
      <c r="C9068" s="29" t="s">
        <v>25283</v>
      </c>
      <c r="D9068" s="29" t="s">
        <v>38666</v>
      </c>
      <c r="E9068" s="29" t="s">
        <v>50761</v>
      </c>
      <c r="F9068" s="36" t="s">
        <v>54412</v>
      </c>
      <c r="G9068" s="39">
        <v>310512.99</v>
      </c>
      <c r="H9068" s="42">
        <v>211</v>
      </c>
    </row>
    <row r="9069" spans="1:8" ht="15" customHeight="1">
      <c r="A9069" s="26">
        <v>901516826</v>
      </c>
      <c r="B9069" s="30" t="s">
        <v>11292</v>
      </c>
      <c r="C9069" s="26" t="s">
        <v>25284</v>
      </c>
      <c r="D9069" s="26" t="s">
        <v>38667</v>
      </c>
      <c r="E9069" s="26" t="s">
        <v>50762</v>
      </c>
      <c r="F9069" s="37" t="s">
        <v>54401</v>
      </c>
      <c r="G9069" s="39">
        <v>513400</v>
      </c>
      <c r="H9069" s="42">
        <v>211</v>
      </c>
    </row>
    <row r="9070" spans="1:8" ht="15" customHeight="1">
      <c r="A9070" s="26">
        <v>901524454</v>
      </c>
      <c r="B9070" s="30" t="s">
        <v>11293</v>
      </c>
      <c r="C9070" s="29" t="s">
        <v>25285</v>
      </c>
      <c r="D9070" s="29" t="s">
        <v>38668</v>
      </c>
      <c r="E9070" s="29" t="s">
        <v>50763</v>
      </c>
      <c r="F9070" s="36" t="s">
        <v>54401</v>
      </c>
      <c r="G9070" s="39">
        <v>563146.04</v>
      </c>
      <c r="H9070" s="42">
        <v>211</v>
      </c>
    </row>
    <row r="9071" spans="1:8" ht="15" customHeight="1">
      <c r="A9071" s="26">
        <v>901526889</v>
      </c>
      <c r="B9071" s="30" t="s">
        <v>11294</v>
      </c>
      <c r="C9071" s="29" t="s">
        <v>25286</v>
      </c>
      <c r="D9071" s="29" t="s">
        <v>38669</v>
      </c>
      <c r="E9071" s="29" t="s">
        <v>50764</v>
      </c>
      <c r="F9071" s="36" t="s">
        <v>54401</v>
      </c>
      <c r="G9071" s="39">
        <v>38487.4</v>
      </c>
      <c r="H9071" s="42">
        <v>211</v>
      </c>
    </row>
    <row r="9072" spans="1:8" ht="15" customHeight="1">
      <c r="A9072" s="26">
        <v>901528125</v>
      </c>
      <c r="B9072" s="30" t="s">
        <v>11295</v>
      </c>
      <c r="C9072" s="29" t="s">
        <v>25287</v>
      </c>
      <c r="D9072" s="29" t="s">
        <v>38670</v>
      </c>
      <c r="E9072" s="29" t="s">
        <v>50765</v>
      </c>
      <c r="F9072" s="36" t="s">
        <v>54401</v>
      </c>
      <c r="G9072" s="39">
        <v>855280.97</v>
      </c>
      <c r="H9072" s="42">
        <v>211</v>
      </c>
    </row>
    <row r="9073" spans="1:8" ht="15" customHeight="1">
      <c r="A9073" s="26">
        <v>901530073</v>
      </c>
      <c r="B9073" s="30" t="s">
        <v>11296</v>
      </c>
      <c r="C9073" s="29" t="s">
        <v>21785</v>
      </c>
      <c r="D9073" s="29" t="s">
        <v>38523</v>
      </c>
      <c r="E9073" s="29" t="s">
        <v>50766</v>
      </c>
      <c r="F9073" s="36" t="s">
        <v>54401</v>
      </c>
      <c r="G9073" s="39">
        <v>77829.17</v>
      </c>
      <c r="H9073" s="42">
        <v>211</v>
      </c>
    </row>
    <row r="9074" spans="1:8" ht="15" customHeight="1">
      <c r="A9074" s="26">
        <v>901530143</v>
      </c>
      <c r="B9074" s="30" t="s">
        <v>11297</v>
      </c>
      <c r="C9074" s="29" t="s">
        <v>25288</v>
      </c>
      <c r="D9074" s="29" t="s">
        <v>38671</v>
      </c>
      <c r="E9074" s="29" t="s">
        <v>50767</v>
      </c>
      <c r="F9074" s="36" t="s">
        <v>54401</v>
      </c>
      <c r="G9074" s="39">
        <v>178589.45</v>
      </c>
      <c r="H9074" s="42">
        <v>211</v>
      </c>
    </row>
    <row r="9075" spans="1:8" ht="15" customHeight="1">
      <c r="A9075" s="26">
        <v>901535125</v>
      </c>
      <c r="B9075" s="30" t="s">
        <v>11298</v>
      </c>
      <c r="C9075" s="26" t="s">
        <v>25122</v>
      </c>
      <c r="D9075" s="26" t="s">
        <v>38672</v>
      </c>
      <c r="E9075" s="26" t="s">
        <v>50768</v>
      </c>
      <c r="F9075" s="37" t="s">
        <v>54401</v>
      </c>
      <c r="G9075" s="39">
        <v>64672.27</v>
      </c>
      <c r="H9075" s="42">
        <v>211</v>
      </c>
    </row>
    <row r="9076" spans="1:8" ht="15" customHeight="1">
      <c r="A9076" s="26">
        <v>901536943</v>
      </c>
      <c r="B9076" s="30" t="s">
        <v>11299</v>
      </c>
      <c r="C9076" s="26" t="s">
        <v>25289</v>
      </c>
      <c r="D9076" s="26" t="s">
        <v>38673</v>
      </c>
      <c r="E9076" s="26" t="s">
        <v>50769</v>
      </c>
      <c r="F9076" s="37" t="s">
        <v>54401</v>
      </c>
      <c r="G9076" s="39">
        <v>986544</v>
      </c>
      <c r="H9076" s="42">
        <v>211</v>
      </c>
    </row>
    <row r="9077" spans="1:8" ht="15" customHeight="1">
      <c r="A9077" s="26">
        <v>901541718</v>
      </c>
      <c r="B9077" s="30" t="s">
        <v>11300</v>
      </c>
      <c r="C9077" s="29" t="s">
        <v>25290</v>
      </c>
      <c r="D9077" s="29" t="s">
        <v>38674</v>
      </c>
      <c r="E9077" s="29" t="s">
        <v>50770</v>
      </c>
      <c r="F9077" s="36" t="s">
        <v>54401</v>
      </c>
      <c r="G9077" s="39">
        <v>2540874</v>
      </c>
      <c r="H9077" s="42">
        <v>211</v>
      </c>
    </row>
    <row r="9078" spans="1:8" ht="15" customHeight="1">
      <c r="A9078" s="26">
        <v>901542030</v>
      </c>
      <c r="B9078" s="30" t="s">
        <v>11301</v>
      </c>
      <c r="C9078" s="29" t="s">
        <v>25291</v>
      </c>
      <c r="D9078" s="29" t="s">
        <v>38675</v>
      </c>
      <c r="E9078" s="29" t="s">
        <v>50771</v>
      </c>
      <c r="F9078" s="36" t="s">
        <v>54401</v>
      </c>
      <c r="G9078" s="39">
        <v>33720</v>
      </c>
      <c r="H9078" s="42">
        <v>211</v>
      </c>
    </row>
    <row r="9079" spans="1:8" ht="15" customHeight="1">
      <c r="A9079" s="26">
        <v>901542284</v>
      </c>
      <c r="B9079" s="26" t="s">
        <v>11302</v>
      </c>
      <c r="C9079" s="32"/>
      <c r="D9079" s="32"/>
      <c r="E9079" s="26" t="s">
        <v>50772</v>
      </c>
      <c r="F9079" s="26" t="s">
        <v>54402</v>
      </c>
      <c r="G9079" s="41">
        <v>1464146</v>
      </c>
      <c r="H9079" s="26">
        <v>4729</v>
      </c>
    </row>
    <row r="9080" spans="1:8" ht="15" customHeight="1">
      <c r="A9080" s="26">
        <v>901543587</v>
      </c>
      <c r="B9080" s="30" t="s">
        <v>11303</v>
      </c>
      <c r="C9080" s="26" t="s">
        <v>25292</v>
      </c>
      <c r="D9080" s="26" t="s">
        <v>38676</v>
      </c>
      <c r="E9080" s="26" t="s">
        <v>50773</v>
      </c>
      <c r="F9080" s="37" t="s">
        <v>54401</v>
      </c>
      <c r="G9080" s="39">
        <v>27260.5</v>
      </c>
      <c r="H9080" s="42">
        <v>211</v>
      </c>
    </row>
    <row r="9081" spans="1:8" ht="15" customHeight="1">
      <c r="A9081" s="26">
        <v>901544138</v>
      </c>
      <c r="B9081" s="30" t="s">
        <v>11304</v>
      </c>
      <c r="C9081" s="29" t="s">
        <v>25293</v>
      </c>
      <c r="D9081" s="29" t="s">
        <v>38677</v>
      </c>
      <c r="E9081" s="29" t="s">
        <v>50774</v>
      </c>
      <c r="F9081" s="36" t="s">
        <v>54401</v>
      </c>
      <c r="G9081" s="39">
        <v>204126</v>
      </c>
      <c r="H9081" s="42">
        <v>211</v>
      </c>
    </row>
    <row r="9082" spans="1:8" ht="15" customHeight="1">
      <c r="A9082" s="26">
        <v>901544301</v>
      </c>
      <c r="B9082" s="30" t="s">
        <v>11305</v>
      </c>
      <c r="C9082" s="29" t="s">
        <v>25294</v>
      </c>
      <c r="D9082" s="29" t="s">
        <v>38678</v>
      </c>
      <c r="E9082" s="29" t="s">
        <v>50775</v>
      </c>
      <c r="F9082" s="36" t="s">
        <v>54401</v>
      </c>
      <c r="G9082" s="39">
        <v>317130.40000000002</v>
      </c>
      <c r="H9082" s="42">
        <v>211</v>
      </c>
    </row>
    <row r="9083" spans="1:8" ht="15" customHeight="1">
      <c r="A9083" s="26">
        <v>901557316</v>
      </c>
      <c r="B9083" s="30" t="s">
        <v>11306</v>
      </c>
      <c r="C9083" s="29" t="s">
        <v>25295</v>
      </c>
      <c r="D9083" s="29" t="s">
        <v>38679</v>
      </c>
      <c r="E9083" s="29" t="s">
        <v>50776</v>
      </c>
      <c r="F9083" s="36" t="s">
        <v>54412</v>
      </c>
      <c r="G9083" s="39">
        <v>2815.13</v>
      </c>
      <c r="H9083" s="42">
        <v>211</v>
      </c>
    </row>
    <row r="9084" spans="1:8" ht="15" customHeight="1">
      <c r="A9084" s="26">
        <v>901557750</v>
      </c>
      <c r="B9084" s="30" t="s">
        <v>11307</v>
      </c>
      <c r="C9084" s="29" t="s">
        <v>25296</v>
      </c>
      <c r="D9084" s="29" t="s">
        <v>38680</v>
      </c>
      <c r="E9084" s="29" t="s">
        <v>50777</v>
      </c>
      <c r="F9084" s="36" t="s">
        <v>54401</v>
      </c>
      <c r="G9084" s="39">
        <v>4685249.3099999996</v>
      </c>
      <c r="H9084" s="42">
        <v>211</v>
      </c>
    </row>
    <row r="9085" spans="1:8" ht="15" customHeight="1">
      <c r="A9085" s="26">
        <v>901561266</v>
      </c>
      <c r="B9085" s="30" t="s">
        <v>11308</v>
      </c>
      <c r="C9085" s="29" t="s">
        <v>25297</v>
      </c>
      <c r="D9085" s="29" t="s">
        <v>38681</v>
      </c>
      <c r="E9085" s="29" t="s">
        <v>43926</v>
      </c>
      <c r="F9085" s="36" t="s">
        <v>54401</v>
      </c>
      <c r="G9085" s="39">
        <v>218970</v>
      </c>
      <c r="H9085" s="42">
        <v>211</v>
      </c>
    </row>
    <row r="9086" spans="1:8" ht="15" customHeight="1">
      <c r="A9086" s="26">
        <v>901561616</v>
      </c>
      <c r="B9086" s="30" t="s">
        <v>11309</v>
      </c>
      <c r="C9086" s="29" t="s">
        <v>25298</v>
      </c>
      <c r="D9086" s="29" t="s">
        <v>38682</v>
      </c>
      <c r="E9086" s="29" t="s">
        <v>50778</v>
      </c>
      <c r="F9086" s="36" t="s">
        <v>54401</v>
      </c>
      <c r="G9086" s="39">
        <v>348063.51</v>
      </c>
      <c r="H9086" s="42">
        <v>211</v>
      </c>
    </row>
    <row r="9087" spans="1:8" ht="15" customHeight="1">
      <c r="A9087" s="26">
        <v>901570479</v>
      </c>
      <c r="B9087" s="30" t="s">
        <v>11310</v>
      </c>
      <c r="C9087" s="29" t="s">
        <v>25299</v>
      </c>
      <c r="D9087" s="29" t="s">
        <v>38683</v>
      </c>
      <c r="E9087" s="29" t="s">
        <v>48959</v>
      </c>
      <c r="F9087" s="36" t="s">
        <v>54401</v>
      </c>
      <c r="G9087" s="39">
        <v>2373363.7999999998</v>
      </c>
      <c r="H9087" s="42">
        <v>211</v>
      </c>
    </row>
    <row r="9088" spans="1:8" ht="15" customHeight="1">
      <c r="A9088" s="26">
        <v>901571227</v>
      </c>
      <c r="B9088" s="30" t="s">
        <v>11311</v>
      </c>
      <c r="C9088" s="29" t="s">
        <v>24960</v>
      </c>
      <c r="D9088" s="29" t="s">
        <v>38684</v>
      </c>
      <c r="E9088" s="29" t="s">
        <v>50779</v>
      </c>
      <c r="F9088" s="36" t="s">
        <v>54401</v>
      </c>
      <c r="G9088" s="39">
        <v>120000</v>
      </c>
      <c r="H9088" s="42">
        <v>211</v>
      </c>
    </row>
    <row r="9089" spans="1:8" ht="15" customHeight="1">
      <c r="A9089" s="26">
        <v>901576138</v>
      </c>
      <c r="B9089" s="30" t="s">
        <v>11312</v>
      </c>
      <c r="C9089" s="29" t="s">
        <v>21973</v>
      </c>
      <c r="D9089" s="29" t="s">
        <v>38685</v>
      </c>
      <c r="E9089" s="29" t="s">
        <v>50780</v>
      </c>
      <c r="F9089" s="36" t="s">
        <v>54401</v>
      </c>
      <c r="G9089" s="39">
        <v>435610</v>
      </c>
      <c r="H9089" s="42">
        <v>211</v>
      </c>
    </row>
    <row r="9090" spans="1:8" ht="15" customHeight="1">
      <c r="A9090" s="26">
        <v>901576423</v>
      </c>
      <c r="B9090" s="30" t="s">
        <v>11313</v>
      </c>
      <c r="C9090" s="29" t="s">
        <v>25300</v>
      </c>
      <c r="D9090" s="29" t="s">
        <v>38686</v>
      </c>
      <c r="E9090" s="29" t="s">
        <v>50781</v>
      </c>
      <c r="F9090" s="36" t="s">
        <v>54401</v>
      </c>
      <c r="G9090" s="39">
        <v>510614</v>
      </c>
      <c r="H9090" s="42">
        <v>211</v>
      </c>
    </row>
    <row r="9091" spans="1:8" ht="15" customHeight="1">
      <c r="A9091" s="26">
        <v>901577713</v>
      </c>
      <c r="B9091" s="30" t="s">
        <v>11314</v>
      </c>
      <c r="C9091" s="29" t="s">
        <v>17204</v>
      </c>
      <c r="D9091" s="29" t="s">
        <v>38687</v>
      </c>
      <c r="E9091" s="29" t="s">
        <v>50782</v>
      </c>
      <c r="F9091" s="36" t="s">
        <v>54402</v>
      </c>
      <c r="G9091" s="39">
        <v>65436.97</v>
      </c>
      <c r="H9091" s="42">
        <v>211</v>
      </c>
    </row>
    <row r="9092" spans="1:8" ht="15" customHeight="1">
      <c r="A9092" s="26">
        <v>901579829</v>
      </c>
      <c r="B9092" s="30" t="s">
        <v>11315</v>
      </c>
      <c r="C9092" s="29" t="s">
        <v>17204</v>
      </c>
      <c r="D9092" s="29" t="s">
        <v>33699</v>
      </c>
      <c r="E9092" s="29" t="s">
        <v>43926</v>
      </c>
      <c r="F9092" s="36" t="s">
        <v>54401</v>
      </c>
      <c r="G9092" s="39">
        <v>2079890</v>
      </c>
      <c r="H9092" s="42">
        <v>211</v>
      </c>
    </row>
    <row r="9093" spans="1:8" ht="15" customHeight="1">
      <c r="A9093" s="26">
        <v>901582583</v>
      </c>
      <c r="B9093" s="30" t="s">
        <v>11316</v>
      </c>
      <c r="C9093" s="29" t="s">
        <v>25301</v>
      </c>
      <c r="D9093" s="29" t="s">
        <v>38688</v>
      </c>
      <c r="E9093" s="29" t="s">
        <v>50783</v>
      </c>
      <c r="F9093" s="36" t="s">
        <v>54413</v>
      </c>
      <c r="G9093" s="39">
        <v>788230.19</v>
      </c>
      <c r="H9093" s="42">
        <v>211</v>
      </c>
    </row>
    <row r="9094" spans="1:8" ht="15" customHeight="1">
      <c r="A9094" s="26">
        <v>901586895</v>
      </c>
      <c r="B9094" s="30" t="s">
        <v>11317</v>
      </c>
      <c r="C9094" s="29" t="s">
        <v>25302</v>
      </c>
      <c r="D9094" s="29" t="s">
        <v>38689</v>
      </c>
      <c r="E9094" s="29" t="s">
        <v>50784</v>
      </c>
      <c r="F9094" s="36" t="s">
        <v>54401</v>
      </c>
      <c r="G9094" s="39">
        <v>76260.5</v>
      </c>
      <c r="H9094" s="42">
        <v>211</v>
      </c>
    </row>
    <row r="9095" spans="1:8" ht="15" customHeight="1">
      <c r="A9095" s="26">
        <v>901589096</v>
      </c>
      <c r="B9095" s="30" t="s">
        <v>11318</v>
      </c>
      <c r="C9095" s="29" t="s">
        <v>25303</v>
      </c>
      <c r="D9095" s="29" t="s">
        <v>38690</v>
      </c>
      <c r="E9095" s="29" t="s">
        <v>50785</v>
      </c>
      <c r="F9095" s="36" t="s">
        <v>54412</v>
      </c>
      <c r="G9095" s="39">
        <v>1031184</v>
      </c>
      <c r="H9095" s="42">
        <v>211</v>
      </c>
    </row>
    <row r="9096" spans="1:8" ht="15" customHeight="1">
      <c r="A9096" s="26">
        <v>901589959</v>
      </c>
      <c r="B9096" s="30" t="s">
        <v>11319</v>
      </c>
      <c r="C9096" s="29" t="s">
        <v>25304</v>
      </c>
      <c r="D9096" s="29" t="s">
        <v>38691</v>
      </c>
      <c r="E9096" s="29" t="s">
        <v>50786</v>
      </c>
      <c r="F9096" s="36" t="s">
        <v>54401</v>
      </c>
      <c r="G9096" s="39">
        <v>2426459</v>
      </c>
      <c r="H9096" s="42">
        <v>211</v>
      </c>
    </row>
    <row r="9097" spans="1:8" ht="15" customHeight="1">
      <c r="A9097" s="26">
        <v>901590491</v>
      </c>
      <c r="B9097" s="30" t="s">
        <v>11320</v>
      </c>
      <c r="C9097" s="29" t="s">
        <v>25305</v>
      </c>
      <c r="D9097" s="29" t="s">
        <v>38692</v>
      </c>
      <c r="E9097" s="29" t="s">
        <v>50787</v>
      </c>
      <c r="F9097" s="36" t="s">
        <v>54409</v>
      </c>
      <c r="G9097" s="39">
        <v>3827585</v>
      </c>
      <c r="H9097" s="42">
        <v>211</v>
      </c>
    </row>
    <row r="9098" spans="1:8" ht="15" customHeight="1">
      <c r="A9098" s="26">
        <v>901591926</v>
      </c>
      <c r="B9098" s="30" t="s">
        <v>11321</v>
      </c>
      <c r="C9098" s="29" t="s">
        <v>25306</v>
      </c>
      <c r="D9098" s="29" t="s">
        <v>38693</v>
      </c>
      <c r="E9098" s="29" t="s">
        <v>50788</v>
      </c>
      <c r="F9098" s="36" t="s">
        <v>54401</v>
      </c>
      <c r="G9098" s="39">
        <v>2540389</v>
      </c>
      <c r="H9098" s="42">
        <v>211</v>
      </c>
    </row>
    <row r="9099" spans="1:8" ht="15" customHeight="1">
      <c r="A9099" s="26">
        <v>901593404</v>
      </c>
      <c r="B9099" s="30" t="s">
        <v>11322</v>
      </c>
      <c r="C9099" s="29" t="s">
        <v>25307</v>
      </c>
      <c r="D9099" s="29" t="s">
        <v>38694</v>
      </c>
      <c r="E9099" s="29" t="s">
        <v>50419</v>
      </c>
      <c r="F9099" s="36" t="s">
        <v>54401</v>
      </c>
      <c r="G9099" s="39">
        <v>4057729.91</v>
      </c>
      <c r="H9099" s="42">
        <v>211</v>
      </c>
    </row>
    <row r="9100" spans="1:8" ht="15" customHeight="1">
      <c r="A9100" s="26">
        <v>901599344</v>
      </c>
      <c r="B9100" s="30" t="s">
        <v>11323</v>
      </c>
      <c r="C9100" s="29" t="s">
        <v>25308</v>
      </c>
      <c r="D9100" s="29" t="s">
        <v>38695</v>
      </c>
      <c r="E9100" s="29" t="s">
        <v>50789</v>
      </c>
      <c r="F9100" s="36" t="s">
        <v>54402</v>
      </c>
      <c r="G9100" s="39">
        <v>66576.58</v>
      </c>
      <c r="H9100" s="42">
        <v>211</v>
      </c>
    </row>
    <row r="9101" spans="1:8" ht="15" customHeight="1">
      <c r="A9101" s="26">
        <v>901609241</v>
      </c>
      <c r="B9101" s="30" t="s">
        <v>11324</v>
      </c>
      <c r="C9101" s="29" t="s">
        <v>25309</v>
      </c>
      <c r="D9101" s="29" t="s">
        <v>38696</v>
      </c>
      <c r="E9101" s="29" t="s">
        <v>50790</v>
      </c>
      <c r="F9101" s="36" t="s">
        <v>54401</v>
      </c>
      <c r="G9101" s="39">
        <v>610759.14</v>
      </c>
      <c r="H9101" s="42">
        <v>211</v>
      </c>
    </row>
    <row r="9102" spans="1:8" ht="15" customHeight="1">
      <c r="A9102" s="26">
        <v>901609639</v>
      </c>
      <c r="B9102" s="30" t="s">
        <v>11325</v>
      </c>
      <c r="C9102" s="29" t="s">
        <v>25310</v>
      </c>
      <c r="D9102" s="29" t="s">
        <v>38697</v>
      </c>
      <c r="E9102" s="29" t="s">
        <v>50791</v>
      </c>
      <c r="F9102" s="36" t="s">
        <v>54401</v>
      </c>
      <c r="G9102" s="39">
        <v>472270.39</v>
      </c>
      <c r="H9102" s="42">
        <v>211</v>
      </c>
    </row>
    <row r="9103" spans="1:8" ht="15" customHeight="1">
      <c r="A9103" s="26">
        <v>901610339</v>
      </c>
      <c r="B9103" s="30" t="s">
        <v>11326</v>
      </c>
      <c r="C9103" s="29" t="s">
        <v>25311</v>
      </c>
      <c r="D9103" s="29" t="s">
        <v>38698</v>
      </c>
      <c r="E9103" s="29" t="s">
        <v>50792</v>
      </c>
      <c r="F9103" s="36" t="s">
        <v>54401</v>
      </c>
      <c r="G9103" s="39">
        <v>183623.79</v>
      </c>
      <c r="H9103" s="42">
        <v>211</v>
      </c>
    </row>
    <row r="9104" spans="1:8" ht="15" customHeight="1">
      <c r="A9104" s="26">
        <v>901617320</v>
      </c>
      <c r="B9104" s="30" t="s">
        <v>11327</v>
      </c>
      <c r="C9104" s="29" t="s">
        <v>25312</v>
      </c>
      <c r="D9104" s="29" t="s">
        <v>38699</v>
      </c>
      <c r="E9104" s="29" t="s">
        <v>43926</v>
      </c>
      <c r="F9104" s="36" t="s">
        <v>54401</v>
      </c>
      <c r="G9104" s="39">
        <v>376269.35</v>
      </c>
      <c r="H9104" s="42">
        <v>211</v>
      </c>
    </row>
    <row r="9105" spans="1:8" ht="15" customHeight="1">
      <c r="A9105" s="26">
        <v>901620793</v>
      </c>
      <c r="B9105" s="30" t="s">
        <v>11328</v>
      </c>
      <c r="C9105" s="29" t="s">
        <v>25313</v>
      </c>
      <c r="D9105" s="29" t="s">
        <v>38700</v>
      </c>
      <c r="E9105" s="29" t="s">
        <v>50793</v>
      </c>
      <c r="F9105" s="36" t="s">
        <v>54401</v>
      </c>
      <c r="G9105" s="39">
        <v>287044.11</v>
      </c>
      <c r="H9105" s="42">
        <v>211</v>
      </c>
    </row>
    <row r="9106" spans="1:8" ht="15" customHeight="1">
      <c r="A9106" s="26">
        <v>901621708</v>
      </c>
      <c r="B9106" s="30" t="s">
        <v>11329</v>
      </c>
      <c r="C9106" s="29" t="s">
        <v>25314</v>
      </c>
      <c r="D9106" s="29" t="s">
        <v>38701</v>
      </c>
      <c r="E9106" s="29" t="s">
        <v>50794</v>
      </c>
      <c r="F9106" s="36" t="s">
        <v>54427</v>
      </c>
      <c r="G9106" s="39">
        <v>17579.84</v>
      </c>
      <c r="H9106" s="42">
        <v>211</v>
      </c>
    </row>
    <row r="9107" spans="1:8" ht="15" customHeight="1">
      <c r="A9107" s="26">
        <v>901622336</v>
      </c>
      <c r="B9107" s="30" t="s">
        <v>11330</v>
      </c>
      <c r="C9107" s="29" t="s">
        <v>25315</v>
      </c>
      <c r="D9107" s="29" t="s">
        <v>38702</v>
      </c>
      <c r="E9107" s="29" t="s">
        <v>50795</v>
      </c>
      <c r="F9107" s="36" t="s">
        <v>54401</v>
      </c>
      <c r="G9107" s="39">
        <v>999480</v>
      </c>
      <c r="H9107" s="42">
        <v>211</v>
      </c>
    </row>
    <row r="9108" spans="1:8" ht="15" customHeight="1">
      <c r="A9108" s="26">
        <v>901622878</v>
      </c>
      <c r="B9108" s="30" t="s">
        <v>11331</v>
      </c>
      <c r="C9108" s="29" t="s">
        <v>25316</v>
      </c>
      <c r="D9108" s="29" t="s">
        <v>38703</v>
      </c>
      <c r="E9108" s="29" t="s">
        <v>50796</v>
      </c>
      <c r="F9108" s="36" t="s">
        <v>54426</v>
      </c>
      <c r="G9108" s="39">
        <v>3829087</v>
      </c>
      <c r="H9108" s="42">
        <v>211</v>
      </c>
    </row>
    <row r="9109" spans="1:8" ht="15" customHeight="1">
      <c r="A9109" s="26">
        <v>901624693</v>
      </c>
      <c r="B9109" s="30" t="s">
        <v>11332</v>
      </c>
      <c r="C9109" s="29" t="s">
        <v>25317</v>
      </c>
      <c r="D9109" s="29" t="s">
        <v>38704</v>
      </c>
      <c r="E9109" s="29" t="s">
        <v>50797</v>
      </c>
      <c r="F9109" s="36" t="s">
        <v>54477</v>
      </c>
      <c r="G9109" s="39">
        <v>2640545.5299999998</v>
      </c>
      <c r="H9109" s="42">
        <v>211</v>
      </c>
    </row>
    <row r="9110" spans="1:8" ht="15" customHeight="1">
      <c r="A9110" s="26">
        <v>901627281</v>
      </c>
      <c r="B9110" s="30" t="s">
        <v>11333</v>
      </c>
      <c r="C9110" s="29" t="s">
        <v>25318</v>
      </c>
      <c r="D9110" s="29" t="s">
        <v>35859</v>
      </c>
      <c r="E9110" s="29" t="s">
        <v>50798</v>
      </c>
      <c r="F9110" s="36" t="s">
        <v>54401</v>
      </c>
      <c r="G9110" s="39">
        <v>171942.19</v>
      </c>
      <c r="H9110" s="42">
        <v>211</v>
      </c>
    </row>
    <row r="9111" spans="1:8" ht="15" customHeight="1">
      <c r="A9111" s="26">
        <v>901627588</v>
      </c>
      <c r="B9111" s="30" t="s">
        <v>11334</v>
      </c>
      <c r="C9111" s="29" t="s">
        <v>17204</v>
      </c>
      <c r="D9111" s="29" t="s">
        <v>38705</v>
      </c>
      <c r="E9111" s="29" t="s">
        <v>50799</v>
      </c>
      <c r="F9111" s="36" t="s">
        <v>54401</v>
      </c>
      <c r="G9111" s="39">
        <v>217521.18</v>
      </c>
      <c r="H9111" s="42">
        <v>211</v>
      </c>
    </row>
    <row r="9112" spans="1:8" ht="15" customHeight="1">
      <c r="A9112" s="26">
        <v>901633277</v>
      </c>
      <c r="B9112" s="30" t="s">
        <v>11335</v>
      </c>
      <c r="C9112" s="29" t="s">
        <v>25319</v>
      </c>
      <c r="D9112" s="29" t="s">
        <v>38706</v>
      </c>
      <c r="E9112" s="29" t="s">
        <v>50800</v>
      </c>
      <c r="F9112" s="36" t="s">
        <v>54401</v>
      </c>
      <c r="G9112" s="39">
        <v>413953.59</v>
      </c>
      <c r="H9112" s="42">
        <v>211</v>
      </c>
    </row>
    <row r="9113" spans="1:8" ht="15" customHeight="1">
      <c r="A9113" s="26">
        <v>901633820</v>
      </c>
      <c r="B9113" s="30" t="s">
        <v>11336</v>
      </c>
      <c r="C9113" s="29" t="s">
        <v>25320</v>
      </c>
      <c r="D9113" s="29" t="s">
        <v>38707</v>
      </c>
      <c r="E9113" s="29" t="s">
        <v>43926</v>
      </c>
      <c r="F9113" s="36" t="s">
        <v>54401</v>
      </c>
      <c r="G9113" s="39">
        <v>515831.63</v>
      </c>
      <c r="H9113" s="42">
        <v>211</v>
      </c>
    </row>
    <row r="9114" spans="1:8" ht="15" customHeight="1">
      <c r="A9114" s="26">
        <v>901635356</v>
      </c>
      <c r="B9114" s="30" t="s">
        <v>11337</v>
      </c>
      <c r="C9114" s="29" t="s">
        <v>25321</v>
      </c>
      <c r="D9114" s="29" t="s">
        <v>38708</v>
      </c>
      <c r="E9114" s="29" t="s">
        <v>50801</v>
      </c>
      <c r="F9114" s="36" t="s">
        <v>54416</v>
      </c>
      <c r="G9114" s="39">
        <v>1402336.7</v>
      </c>
      <c r="H9114" s="42">
        <v>211</v>
      </c>
    </row>
    <row r="9115" spans="1:8" ht="15" customHeight="1">
      <c r="A9115" s="26">
        <v>901635716</v>
      </c>
      <c r="B9115" s="30" t="s">
        <v>11338</v>
      </c>
      <c r="C9115" s="29" t="s">
        <v>25322</v>
      </c>
      <c r="D9115" s="29" t="s">
        <v>38709</v>
      </c>
      <c r="E9115" s="29" t="s">
        <v>50802</v>
      </c>
      <c r="F9115" s="36" t="s">
        <v>54401</v>
      </c>
      <c r="G9115" s="39">
        <v>98066.559999999998</v>
      </c>
      <c r="H9115" s="42">
        <v>211</v>
      </c>
    </row>
    <row r="9116" spans="1:8" ht="15" customHeight="1">
      <c r="A9116" s="26">
        <v>901637353</v>
      </c>
      <c r="B9116" s="30" t="s">
        <v>11339</v>
      </c>
      <c r="C9116" s="29" t="s">
        <v>25323</v>
      </c>
      <c r="D9116" s="29" t="s">
        <v>38710</v>
      </c>
      <c r="E9116" s="29" t="s">
        <v>50803</v>
      </c>
      <c r="F9116" s="36" t="s">
        <v>54413</v>
      </c>
      <c r="G9116" s="39">
        <v>36532419.060000002</v>
      </c>
      <c r="H9116" s="42">
        <v>211</v>
      </c>
    </row>
    <row r="9117" spans="1:8" ht="15" customHeight="1">
      <c r="A9117" s="26">
        <v>901639224</v>
      </c>
      <c r="B9117" s="30" t="s">
        <v>11340</v>
      </c>
      <c r="C9117" s="29" t="s">
        <v>25324</v>
      </c>
      <c r="D9117" s="29" t="s">
        <v>38711</v>
      </c>
      <c r="E9117" s="29" t="s">
        <v>50804</v>
      </c>
      <c r="F9117" s="36" t="s">
        <v>54401</v>
      </c>
      <c r="G9117" s="39">
        <v>13529.41</v>
      </c>
      <c r="H9117" s="42">
        <v>211</v>
      </c>
    </row>
    <row r="9118" spans="1:8" ht="15" customHeight="1">
      <c r="A9118" s="26">
        <v>901639699</v>
      </c>
      <c r="B9118" s="30" t="s">
        <v>11341</v>
      </c>
      <c r="C9118" s="29" t="s">
        <v>25325</v>
      </c>
      <c r="D9118" s="29" t="s">
        <v>38712</v>
      </c>
      <c r="E9118" s="29" t="s">
        <v>50805</v>
      </c>
      <c r="F9118" s="36" t="s">
        <v>54401</v>
      </c>
      <c r="G9118" s="39">
        <v>739673</v>
      </c>
      <c r="H9118" s="42">
        <v>211</v>
      </c>
    </row>
    <row r="9119" spans="1:8" ht="15" customHeight="1">
      <c r="A9119" s="26">
        <v>901641129</v>
      </c>
      <c r="B9119" s="30" t="s">
        <v>11342</v>
      </c>
      <c r="C9119" s="29" t="s">
        <v>25326</v>
      </c>
      <c r="D9119" s="29" t="s">
        <v>38713</v>
      </c>
      <c r="E9119" s="29" t="s">
        <v>50806</v>
      </c>
      <c r="F9119" s="36" t="s">
        <v>54401</v>
      </c>
      <c r="G9119" s="39">
        <v>213258.34</v>
      </c>
      <c r="H9119" s="42">
        <v>211</v>
      </c>
    </row>
    <row r="9120" spans="1:8" ht="15" customHeight="1">
      <c r="A9120" s="26">
        <v>901642003</v>
      </c>
      <c r="B9120" s="30" t="s">
        <v>11343</v>
      </c>
      <c r="C9120" s="29" t="s">
        <v>25327</v>
      </c>
      <c r="D9120" s="29" t="s">
        <v>38714</v>
      </c>
      <c r="E9120" s="29" t="s">
        <v>50807</v>
      </c>
      <c r="F9120" s="36" t="s">
        <v>54428</v>
      </c>
      <c r="G9120" s="39">
        <v>370789.66</v>
      </c>
      <c r="H9120" s="42">
        <v>211</v>
      </c>
    </row>
    <row r="9121" spans="1:8" ht="15" customHeight="1">
      <c r="A9121" s="26">
        <v>901647237</v>
      </c>
      <c r="B9121" s="30" t="s">
        <v>11344</v>
      </c>
      <c r="C9121" s="29" t="s">
        <v>25328</v>
      </c>
      <c r="D9121" s="29" t="s">
        <v>38715</v>
      </c>
      <c r="E9121" s="29" t="s">
        <v>50808</v>
      </c>
      <c r="F9121" s="36" t="s">
        <v>54401</v>
      </c>
      <c r="G9121" s="39">
        <v>796659.35</v>
      </c>
      <c r="H9121" s="42">
        <v>211</v>
      </c>
    </row>
    <row r="9122" spans="1:8" ht="15" customHeight="1">
      <c r="A9122" s="26">
        <v>901648362</v>
      </c>
      <c r="B9122" s="30" t="s">
        <v>11345</v>
      </c>
      <c r="C9122" s="29" t="s">
        <v>25329</v>
      </c>
      <c r="D9122" s="29" t="s">
        <v>38716</v>
      </c>
      <c r="E9122" s="29" t="s">
        <v>50809</v>
      </c>
      <c r="F9122" s="36" t="s">
        <v>54401</v>
      </c>
      <c r="G9122" s="39">
        <v>895832.71</v>
      </c>
      <c r="H9122" s="42">
        <v>211</v>
      </c>
    </row>
    <row r="9123" spans="1:8" ht="15" customHeight="1">
      <c r="A9123" s="26">
        <v>901653138</v>
      </c>
      <c r="B9123" s="30" t="s">
        <v>11346</v>
      </c>
      <c r="C9123" s="29" t="s">
        <v>24730</v>
      </c>
      <c r="D9123" s="29" t="s">
        <v>38034</v>
      </c>
      <c r="E9123" s="29" t="s">
        <v>50810</v>
      </c>
      <c r="F9123" s="36" t="s">
        <v>54401</v>
      </c>
      <c r="G9123" s="39">
        <v>27778.1</v>
      </c>
      <c r="H9123" s="42">
        <v>211</v>
      </c>
    </row>
    <row r="9124" spans="1:8" ht="15" customHeight="1">
      <c r="A9124" s="26">
        <v>901653652</v>
      </c>
      <c r="B9124" s="30" t="s">
        <v>11347</v>
      </c>
      <c r="C9124" s="29" t="s">
        <v>17204</v>
      </c>
      <c r="D9124" s="29" t="s">
        <v>38717</v>
      </c>
      <c r="E9124" s="29" t="s">
        <v>50811</v>
      </c>
      <c r="F9124" s="36" t="s">
        <v>54412</v>
      </c>
      <c r="G9124" s="39">
        <v>337986.55</v>
      </c>
      <c r="H9124" s="42">
        <v>211</v>
      </c>
    </row>
    <row r="9125" spans="1:8" ht="15" customHeight="1">
      <c r="A9125" s="26">
        <v>901660889</v>
      </c>
      <c r="B9125" s="30" t="s">
        <v>11348</v>
      </c>
      <c r="C9125" s="29" t="s">
        <v>25330</v>
      </c>
      <c r="D9125" s="29" t="s">
        <v>38718</v>
      </c>
      <c r="E9125" s="29" t="s">
        <v>50812</v>
      </c>
      <c r="F9125" s="36" t="s">
        <v>54401</v>
      </c>
      <c r="G9125" s="39">
        <v>846712.66</v>
      </c>
      <c r="H9125" s="42">
        <v>211</v>
      </c>
    </row>
    <row r="9126" spans="1:8" ht="15" customHeight="1">
      <c r="A9126" s="26">
        <v>901661058</v>
      </c>
      <c r="B9126" s="30" t="s">
        <v>11349</v>
      </c>
      <c r="C9126" s="29" t="s">
        <v>25331</v>
      </c>
      <c r="D9126" s="29" t="s">
        <v>38719</v>
      </c>
      <c r="E9126" s="29" t="s">
        <v>43926</v>
      </c>
      <c r="F9126" s="36" t="s">
        <v>54401</v>
      </c>
      <c r="G9126" s="39">
        <v>289309</v>
      </c>
      <c r="H9126" s="42">
        <v>211</v>
      </c>
    </row>
    <row r="9127" spans="1:8" ht="15" customHeight="1">
      <c r="A9127" s="26">
        <v>901667464</v>
      </c>
      <c r="B9127" s="30" t="s">
        <v>11350</v>
      </c>
      <c r="C9127" s="29" t="s">
        <v>25332</v>
      </c>
      <c r="D9127" s="29" t="s">
        <v>38720</v>
      </c>
      <c r="E9127" s="29" t="s">
        <v>50813</v>
      </c>
      <c r="F9127" s="36" t="s">
        <v>54401</v>
      </c>
      <c r="G9127" s="39">
        <v>4104084</v>
      </c>
      <c r="H9127" s="42">
        <v>211</v>
      </c>
    </row>
    <row r="9128" spans="1:8" ht="15" customHeight="1">
      <c r="A9128" s="26">
        <v>901668793</v>
      </c>
      <c r="B9128" s="30" t="s">
        <v>11351</v>
      </c>
      <c r="C9128" s="26" t="s">
        <v>25333</v>
      </c>
      <c r="D9128" s="26" t="s">
        <v>38721</v>
      </c>
      <c r="E9128" s="26" t="s">
        <v>50814</v>
      </c>
      <c r="F9128" s="37" t="s">
        <v>54412</v>
      </c>
      <c r="G9128" s="39">
        <v>1909710.92</v>
      </c>
      <c r="H9128" s="42">
        <v>211</v>
      </c>
    </row>
    <row r="9129" spans="1:8" ht="15" customHeight="1">
      <c r="A9129" s="26">
        <v>901672111</v>
      </c>
      <c r="B9129" s="30" t="s">
        <v>11352</v>
      </c>
      <c r="C9129" s="29" t="s">
        <v>25334</v>
      </c>
      <c r="D9129" s="29" t="s">
        <v>38722</v>
      </c>
      <c r="E9129" s="29" t="s">
        <v>50815</v>
      </c>
      <c r="F9129" s="36" t="s">
        <v>54401</v>
      </c>
      <c r="G9129" s="39">
        <v>725344</v>
      </c>
      <c r="H9129" s="42">
        <v>211</v>
      </c>
    </row>
    <row r="9130" spans="1:8" ht="15" customHeight="1">
      <c r="A9130" s="26">
        <v>901677095</v>
      </c>
      <c r="B9130" s="30" t="s">
        <v>11353</v>
      </c>
      <c r="C9130" s="29" t="s">
        <v>25335</v>
      </c>
      <c r="D9130" s="29" t="s">
        <v>38723</v>
      </c>
      <c r="E9130" s="29" t="s">
        <v>47344</v>
      </c>
      <c r="F9130" s="36" t="s">
        <v>54401</v>
      </c>
      <c r="G9130" s="39">
        <v>687759.93</v>
      </c>
      <c r="H9130" s="42">
        <v>211</v>
      </c>
    </row>
    <row r="9131" spans="1:8" ht="15" customHeight="1">
      <c r="A9131" s="26">
        <v>901678138</v>
      </c>
      <c r="B9131" s="30" t="s">
        <v>11354</v>
      </c>
      <c r="C9131" s="29" t="s">
        <v>25336</v>
      </c>
      <c r="D9131" s="29" t="s">
        <v>38724</v>
      </c>
      <c r="E9131" s="29" t="s">
        <v>50816</v>
      </c>
      <c r="F9131" s="36" t="s">
        <v>54401</v>
      </c>
      <c r="G9131" s="39">
        <v>3879717.2</v>
      </c>
      <c r="H9131" s="42">
        <v>211</v>
      </c>
    </row>
    <row r="9132" spans="1:8" ht="15" customHeight="1">
      <c r="A9132" s="26">
        <v>901678236</v>
      </c>
      <c r="B9132" s="30" t="s">
        <v>11355</v>
      </c>
      <c r="C9132" s="29" t="s">
        <v>25337</v>
      </c>
      <c r="D9132" s="29" t="s">
        <v>38725</v>
      </c>
      <c r="E9132" s="29" t="s">
        <v>47812</v>
      </c>
      <c r="F9132" s="36" t="s">
        <v>54401</v>
      </c>
      <c r="G9132" s="39">
        <v>1820374.99</v>
      </c>
      <c r="H9132" s="42">
        <v>211</v>
      </c>
    </row>
    <row r="9133" spans="1:8" ht="15" customHeight="1">
      <c r="A9133" s="26">
        <v>901679359</v>
      </c>
      <c r="B9133" s="30" t="s">
        <v>11356</v>
      </c>
      <c r="C9133" s="29" t="s">
        <v>17204</v>
      </c>
      <c r="D9133" s="29" t="s">
        <v>38726</v>
      </c>
      <c r="E9133" s="29" t="s">
        <v>43926</v>
      </c>
      <c r="F9133" s="36" t="s">
        <v>54406</v>
      </c>
      <c r="G9133" s="39">
        <v>94873.95</v>
      </c>
      <c r="H9133" s="42">
        <v>211</v>
      </c>
    </row>
    <row r="9134" spans="1:8" ht="15" customHeight="1">
      <c r="A9134" s="26">
        <v>901679689</v>
      </c>
      <c r="B9134" s="30" t="s">
        <v>11357</v>
      </c>
      <c r="C9134" s="29" t="s">
        <v>25338</v>
      </c>
      <c r="D9134" s="29" t="s">
        <v>38727</v>
      </c>
      <c r="E9134" s="29" t="s">
        <v>50817</v>
      </c>
      <c r="F9134" s="36" t="s">
        <v>54401</v>
      </c>
      <c r="G9134" s="39">
        <v>3535368</v>
      </c>
      <c r="H9134" s="42">
        <v>211</v>
      </c>
    </row>
    <row r="9135" spans="1:8" ht="15" customHeight="1">
      <c r="A9135" s="26">
        <v>901683808</v>
      </c>
      <c r="B9135" s="30" t="s">
        <v>11358</v>
      </c>
      <c r="C9135" s="29" t="s">
        <v>25339</v>
      </c>
      <c r="D9135" s="29" t="s">
        <v>38728</v>
      </c>
      <c r="E9135" s="29" t="s">
        <v>50818</v>
      </c>
      <c r="F9135" s="36" t="s">
        <v>54419</v>
      </c>
      <c r="G9135" s="39">
        <v>2100947</v>
      </c>
      <c r="H9135" s="42">
        <v>211</v>
      </c>
    </row>
    <row r="9136" spans="1:8" ht="15" customHeight="1">
      <c r="A9136" s="26">
        <v>901684047</v>
      </c>
      <c r="B9136" s="30" t="s">
        <v>11359</v>
      </c>
      <c r="C9136" s="29" t="s">
        <v>17204</v>
      </c>
      <c r="D9136" s="29" t="s">
        <v>38729</v>
      </c>
      <c r="E9136" s="29" t="s">
        <v>43926</v>
      </c>
      <c r="F9136" s="36" t="s">
        <v>54401</v>
      </c>
      <c r="G9136" s="39">
        <v>293169.75</v>
      </c>
      <c r="H9136" s="42">
        <v>211</v>
      </c>
    </row>
    <row r="9137" spans="1:8" ht="15" customHeight="1">
      <c r="A9137" s="26">
        <v>901686275</v>
      </c>
      <c r="B9137" s="30" t="s">
        <v>11360</v>
      </c>
      <c r="C9137" s="29" t="s">
        <v>25340</v>
      </c>
      <c r="D9137" s="29" t="s">
        <v>38730</v>
      </c>
      <c r="E9137" s="29" t="s">
        <v>50819</v>
      </c>
      <c r="F9137" s="36" t="s">
        <v>54401</v>
      </c>
      <c r="G9137" s="39">
        <v>515851.98</v>
      </c>
      <c r="H9137" s="42">
        <v>211</v>
      </c>
    </row>
    <row r="9138" spans="1:8" ht="15" customHeight="1">
      <c r="A9138" s="26">
        <v>901687065</v>
      </c>
      <c r="B9138" s="30" t="s">
        <v>11361</v>
      </c>
      <c r="C9138" s="29" t="s">
        <v>25341</v>
      </c>
      <c r="D9138" s="29" t="s">
        <v>38731</v>
      </c>
      <c r="E9138" s="29" t="s">
        <v>50820</v>
      </c>
      <c r="F9138" s="36" t="s">
        <v>54401</v>
      </c>
      <c r="G9138" s="39">
        <v>829217</v>
      </c>
      <c r="H9138" s="42">
        <v>211</v>
      </c>
    </row>
    <row r="9139" spans="1:8" ht="15" customHeight="1">
      <c r="A9139" s="26">
        <v>901687908</v>
      </c>
      <c r="B9139" s="30" t="s">
        <v>11362</v>
      </c>
      <c r="C9139" s="29" t="s">
        <v>25342</v>
      </c>
      <c r="D9139" s="29" t="s">
        <v>38732</v>
      </c>
      <c r="E9139" s="29" t="s">
        <v>50821</v>
      </c>
      <c r="F9139" s="36" t="s">
        <v>54401</v>
      </c>
      <c r="G9139" s="39">
        <v>103731.09</v>
      </c>
      <c r="H9139" s="42">
        <v>211</v>
      </c>
    </row>
    <row r="9140" spans="1:8" ht="15" customHeight="1">
      <c r="A9140" s="26">
        <v>901694668</v>
      </c>
      <c r="B9140" s="30" t="s">
        <v>11363</v>
      </c>
      <c r="C9140" s="29" t="s">
        <v>25343</v>
      </c>
      <c r="D9140" s="29" t="s">
        <v>38733</v>
      </c>
      <c r="E9140" s="29" t="s">
        <v>50822</v>
      </c>
      <c r="F9140" s="36" t="s">
        <v>54401</v>
      </c>
      <c r="G9140" s="39">
        <v>745934.99</v>
      </c>
      <c r="H9140" s="42">
        <v>211</v>
      </c>
    </row>
    <row r="9141" spans="1:8" ht="15" customHeight="1">
      <c r="A9141" s="26">
        <v>901696767</v>
      </c>
      <c r="B9141" s="30" t="s">
        <v>11364</v>
      </c>
      <c r="C9141" s="29" t="s">
        <v>25344</v>
      </c>
      <c r="D9141" s="29" t="s">
        <v>38734</v>
      </c>
      <c r="E9141" s="29" t="s">
        <v>50823</v>
      </c>
      <c r="F9141" s="36" t="s">
        <v>54401</v>
      </c>
      <c r="G9141" s="39">
        <v>1346472.23</v>
      </c>
      <c r="H9141" s="42">
        <v>211</v>
      </c>
    </row>
    <row r="9142" spans="1:8" ht="15" customHeight="1">
      <c r="A9142" s="26">
        <v>901702038</v>
      </c>
      <c r="B9142" s="30" t="s">
        <v>11365</v>
      </c>
      <c r="C9142" s="29" t="s">
        <v>25345</v>
      </c>
      <c r="D9142" s="29" t="s">
        <v>38735</v>
      </c>
      <c r="E9142" s="29" t="s">
        <v>50824</v>
      </c>
      <c r="F9142" s="36" t="s">
        <v>54478</v>
      </c>
      <c r="G9142" s="39">
        <v>69437.41</v>
      </c>
      <c r="H9142" s="42">
        <v>211</v>
      </c>
    </row>
    <row r="9143" spans="1:8" ht="15" customHeight="1">
      <c r="A9143" s="26">
        <v>901703192</v>
      </c>
      <c r="B9143" s="30" t="s">
        <v>11366</v>
      </c>
      <c r="C9143" s="29" t="s">
        <v>25346</v>
      </c>
      <c r="D9143" s="29" t="s">
        <v>38736</v>
      </c>
      <c r="E9143" s="29" t="s">
        <v>50825</v>
      </c>
      <c r="F9143" s="36" t="s">
        <v>54401</v>
      </c>
      <c r="G9143" s="39">
        <v>196521.19</v>
      </c>
      <c r="H9143" s="42">
        <v>211</v>
      </c>
    </row>
    <row r="9144" spans="1:8" ht="15" customHeight="1">
      <c r="A9144" s="26">
        <v>901709571</v>
      </c>
      <c r="B9144" s="30" t="s">
        <v>11367</v>
      </c>
      <c r="C9144" s="29" t="s">
        <v>25347</v>
      </c>
      <c r="D9144" s="29" t="s">
        <v>38737</v>
      </c>
      <c r="E9144" s="29" t="s">
        <v>50826</v>
      </c>
      <c r="F9144" s="36" t="s">
        <v>54401</v>
      </c>
      <c r="G9144" s="39">
        <v>1770703</v>
      </c>
      <c r="H9144" s="42">
        <v>211</v>
      </c>
    </row>
    <row r="9145" spans="1:8" ht="15" customHeight="1">
      <c r="A9145" s="26">
        <v>901713311</v>
      </c>
      <c r="B9145" s="30" t="s">
        <v>11368</v>
      </c>
      <c r="C9145" s="29" t="s">
        <v>25348</v>
      </c>
      <c r="D9145" s="29" t="s">
        <v>38738</v>
      </c>
      <c r="E9145" s="29" t="s">
        <v>45019</v>
      </c>
      <c r="F9145" s="36" t="s">
        <v>54401</v>
      </c>
      <c r="G9145" s="39">
        <v>86503.69</v>
      </c>
      <c r="H9145" s="42">
        <v>211</v>
      </c>
    </row>
    <row r="9146" spans="1:8" ht="15" customHeight="1">
      <c r="A9146" s="26">
        <v>901713753</v>
      </c>
      <c r="B9146" s="30" t="s">
        <v>11369</v>
      </c>
      <c r="C9146" s="29" t="s">
        <v>25349</v>
      </c>
      <c r="D9146" s="29" t="s">
        <v>38739</v>
      </c>
      <c r="E9146" s="29" t="s">
        <v>50827</v>
      </c>
      <c r="F9146" s="36" t="s">
        <v>54401</v>
      </c>
      <c r="G9146" s="39">
        <v>731999.66</v>
      </c>
      <c r="H9146" s="42">
        <v>211</v>
      </c>
    </row>
    <row r="9147" spans="1:8" ht="15" customHeight="1">
      <c r="A9147" s="26">
        <v>901716110</v>
      </c>
      <c r="B9147" s="30" t="s">
        <v>11370</v>
      </c>
      <c r="C9147" s="29" t="s">
        <v>17204</v>
      </c>
      <c r="D9147" s="29" t="s">
        <v>31784</v>
      </c>
      <c r="E9147" s="29" t="s">
        <v>50828</v>
      </c>
      <c r="F9147" s="36" t="s">
        <v>54401</v>
      </c>
      <c r="G9147" s="39">
        <v>199822.17</v>
      </c>
      <c r="H9147" s="42">
        <v>211</v>
      </c>
    </row>
    <row r="9148" spans="1:8" ht="15" customHeight="1">
      <c r="A9148" s="26">
        <v>901718104</v>
      </c>
      <c r="B9148" s="30" t="s">
        <v>11371</v>
      </c>
      <c r="C9148" s="29" t="s">
        <v>25350</v>
      </c>
      <c r="D9148" s="29" t="s">
        <v>38740</v>
      </c>
      <c r="E9148" s="29" t="s">
        <v>50829</v>
      </c>
      <c r="F9148" s="36" t="s">
        <v>54401</v>
      </c>
      <c r="G9148" s="39">
        <v>549665.14</v>
      </c>
      <c r="H9148" s="42">
        <v>211</v>
      </c>
    </row>
    <row r="9149" spans="1:8" ht="15" customHeight="1">
      <c r="A9149" s="26">
        <v>901723990</v>
      </c>
      <c r="B9149" s="30" t="s">
        <v>11372</v>
      </c>
      <c r="C9149" s="29" t="s">
        <v>25351</v>
      </c>
      <c r="D9149" s="29" t="s">
        <v>38741</v>
      </c>
      <c r="E9149" s="29" t="s">
        <v>50830</v>
      </c>
      <c r="F9149" s="36" t="s">
        <v>54401</v>
      </c>
      <c r="G9149" s="39">
        <v>2036960</v>
      </c>
      <c r="H9149" s="42">
        <v>211</v>
      </c>
    </row>
    <row r="9150" spans="1:8" ht="15" customHeight="1">
      <c r="A9150" s="26">
        <v>901724159</v>
      </c>
      <c r="B9150" s="30" t="s">
        <v>11373</v>
      </c>
      <c r="C9150" s="29" t="s">
        <v>25352</v>
      </c>
      <c r="D9150" s="29" t="s">
        <v>38742</v>
      </c>
      <c r="E9150" s="29" t="s">
        <v>50831</v>
      </c>
      <c r="F9150" s="36" t="s">
        <v>54401</v>
      </c>
      <c r="G9150" s="39">
        <v>9403079</v>
      </c>
      <c r="H9150" s="42">
        <v>211</v>
      </c>
    </row>
    <row r="9151" spans="1:8" ht="15" customHeight="1">
      <c r="A9151" s="26">
        <v>901724763</v>
      </c>
      <c r="B9151" s="30" t="s">
        <v>11374</v>
      </c>
      <c r="C9151" s="29" t="s">
        <v>25353</v>
      </c>
      <c r="D9151" s="29" t="s">
        <v>38743</v>
      </c>
      <c r="E9151" s="29" t="s">
        <v>50832</v>
      </c>
      <c r="F9151" s="36" t="s">
        <v>54401</v>
      </c>
      <c r="G9151" s="39">
        <v>272792.11</v>
      </c>
      <c r="H9151" s="42">
        <v>211</v>
      </c>
    </row>
    <row r="9152" spans="1:8" ht="15" customHeight="1">
      <c r="A9152" s="26">
        <v>901725198</v>
      </c>
      <c r="B9152" s="30" t="s">
        <v>11375</v>
      </c>
      <c r="C9152" s="29" t="s">
        <v>25354</v>
      </c>
      <c r="D9152" s="29" t="s">
        <v>38744</v>
      </c>
      <c r="E9152" s="29" t="s">
        <v>50833</v>
      </c>
      <c r="F9152" s="36" t="s">
        <v>54401</v>
      </c>
      <c r="G9152" s="39">
        <v>5832231</v>
      </c>
      <c r="H9152" s="42">
        <v>211</v>
      </c>
    </row>
    <row r="9153" spans="1:8" ht="15" customHeight="1">
      <c r="A9153" s="26">
        <v>901730450</v>
      </c>
      <c r="B9153" s="30" t="s">
        <v>11376</v>
      </c>
      <c r="C9153" s="29" t="s">
        <v>25355</v>
      </c>
      <c r="D9153" s="29" t="s">
        <v>38745</v>
      </c>
      <c r="E9153" s="29" t="s">
        <v>50218</v>
      </c>
      <c r="F9153" s="36" t="s">
        <v>54401</v>
      </c>
      <c r="G9153" s="39">
        <v>5111191</v>
      </c>
      <c r="H9153" s="42">
        <v>211</v>
      </c>
    </row>
    <row r="9154" spans="1:8" ht="15" customHeight="1">
      <c r="A9154" s="26">
        <v>901731459</v>
      </c>
      <c r="B9154" s="30" t="s">
        <v>11377</v>
      </c>
      <c r="C9154" s="29" t="s">
        <v>24098</v>
      </c>
      <c r="D9154" s="29" t="s">
        <v>38746</v>
      </c>
      <c r="E9154" s="29" t="s">
        <v>50834</v>
      </c>
      <c r="F9154" s="36" t="s">
        <v>54401</v>
      </c>
      <c r="G9154" s="39">
        <v>970373</v>
      </c>
      <c r="H9154" s="42">
        <v>211</v>
      </c>
    </row>
    <row r="9155" spans="1:8" ht="15" customHeight="1">
      <c r="A9155" s="26">
        <v>901732269</v>
      </c>
      <c r="B9155" s="30" t="s">
        <v>11378</v>
      </c>
      <c r="C9155" s="29" t="s">
        <v>24502</v>
      </c>
      <c r="D9155" s="29" t="s">
        <v>37789</v>
      </c>
      <c r="E9155" s="29" t="s">
        <v>748</v>
      </c>
      <c r="F9155" s="36" t="s">
        <v>54407</v>
      </c>
      <c r="G9155" s="39">
        <v>857259.35</v>
      </c>
      <c r="H9155" s="42">
        <v>211</v>
      </c>
    </row>
    <row r="9156" spans="1:8" ht="15" customHeight="1">
      <c r="A9156" s="26">
        <v>901732488</v>
      </c>
      <c r="B9156" s="30" t="s">
        <v>11379</v>
      </c>
      <c r="C9156" s="29" t="s">
        <v>17204</v>
      </c>
      <c r="D9156" s="29" t="s">
        <v>38747</v>
      </c>
      <c r="E9156" s="29" t="s">
        <v>50835</v>
      </c>
      <c r="F9156" s="36" t="s">
        <v>54401</v>
      </c>
      <c r="G9156" s="39">
        <v>1289453.82</v>
      </c>
      <c r="H9156" s="42">
        <v>211</v>
      </c>
    </row>
    <row r="9157" spans="1:8" ht="15" customHeight="1">
      <c r="A9157" s="26">
        <v>901732679</v>
      </c>
      <c r="B9157" s="30" t="s">
        <v>11380</v>
      </c>
      <c r="C9157" s="29" t="s">
        <v>25356</v>
      </c>
      <c r="D9157" s="29" t="s">
        <v>38748</v>
      </c>
      <c r="E9157" s="29" t="s">
        <v>50836</v>
      </c>
      <c r="F9157" s="36" t="s">
        <v>54401</v>
      </c>
      <c r="G9157" s="39">
        <v>1035445</v>
      </c>
      <c r="H9157" s="42">
        <v>211</v>
      </c>
    </row>
    <row r="9158" spans="1:8" ht="15" customHeight="1">
      <c r="A9158" s="26">
        <v>901737009</v>
      </c>
      <c r="B9158" s="30" t="s">
        <v>11381</v>
      </c>
      <c r="C9158" s="29" t="s">
        <v>25357</v>
      </c>
      <c r="D9158" s="29" t="s">
        <v>38749</v>
      </c>
      <c r="E9158" s="29" t="s">
        <v>50837</v>
      </c>
      <c r="F9158" s="36" t="s">
        <v>54479</v>
      </c>
      <c r="G9158" s="39">
        <v>18000</v>
      </c>
      <c r="H9158" s="42">
        <v>211</v>
      </c>
    </row>
    <row r="9159" spans="1:8" ht="15" customHeight="1">
      <c r="A9159" s="26">
        <v>901737636</v>
      </c>
      <c r="B9159" s="30" t="s">
        <v>11382</v>
      </c>
      <c r="C9159" s="29" t="s">
        <v>25358</v>
      </c>
      <c r="D9159" s="29" t="s">
        <v>38750</v>
      </c>
      <c r="E9159" s="29" t="s">
        <v>50838</v>
      </c>
      <c r="F9159" s="36" t="s">
        <v>54423</v>
      </c>
      <c r="G9159" s="39">
        <v>11682761.51</v>
      </c>
      <c r="H9159" s="42">
        <v>211</v>
      </c>
    </row>
    <row r="9160" spans="1:8" ht="15" customHeight="1">
      <c r="A9160" s="26">
        <v>901738460</v>
      </c>
      <c r="B9160" s="30" t="s">
        <v>11383</v>
      </c>
      <c r="C9160" s="26" t="s">
        <v>17204</v>
      </c>
      <c r="D9160" s="26" t="s">
        <v>38751</v>
      </c>
      <c r="E9160" s="26" t="s">
        <v>43926</v>
      </c>
      <c r="F9160" s="37" t="s">
        <v>54401</v>
      </c>
      <c r="G9160" s="39">
        <v>296912.39</v>
      </c>
      <c r="H9160" s="42">
        <v>211</v>
      </c>
    </row>
    <row r="9161" spans="1:8" ht="15" customHeight="1">
      <c r="A9161" s="26">
        <v>901739228</v>
      </c>
      <c r="B9161" s="30" t="s">
        <v>11384</v>
      </c>
      <c r="C9161" s="29" t="s">
        <v>25359</v>
      </c>
      <c r="D9161" s="29" t="s">
        <v>38752</v>
      </c>
      <c r="E9161" s="29" t="s">
        <v>50839</v>
      </c>
      <c r="F9161" s="36" t="s">
        <v>54401</v>
      </c>
      <c r="G9161" s="39">
        <v>226277.91</v>
      </c>
      <c r="H9161" s="42">
        <v>211</v>
      </c>
    </row>
    <row r="9162" spans="1:8" ht="15" customHeight="1">
      <c r="A9162" s="26">
        <v>901739663</v>
      </c>
      <c r="B9162" s="30" t="s">
        <v>11385</v>
      </c>
      <c r="C9162" s="29" t="s">
        <v>25360</v>
      </c>
      <c r="D9162" s="29" t="s">
        <v>38753</v>
      </c>
      <c r="E9162" s="29" t="s">
        <v>44616</v>
      </c>
      <c r="F9162" s="36" t="s">
        <v>54401</v>
      </c>
      <c r="G9162" s="39">
        <v>558149.67000000004</v>
      </c>
      <c r="H9162" s="42">
        <v>211</v>
      </c>
    </row>
    <row r="9163" spans="1:8" ht="15" customHeight="1">
      <c r="A9163" s="26">
        <v>901743702</v>
      </c>
      <c r="B9163" s="30" t="s">
        <v>11386</v>
      </c>
      <c r="C9163" s="29" t="s">
        <v>25361</v>
      </c>
      <c r="D9163" s="29" t="s">
        <v>38754</v>
      </c>
      <c r="E9163" s="29" t="s">
        <v>50840</v>
      </c>
      <c r="F9163" s="36" t="s">
        <v>54401</v>
      </c>
      <c r="G9163" s="39">
        <v>10400897</v>
      </c>
      <c r="H9163" s="42">
        <v>211</v>
      </c>
    </row>
    <row r="9164" spans="1:8" ht="15" customHeight="1">
      <c r="A9164" s="26">
        <v>901748555</v>
      </c>
      <c r="B9164" s="30" t="s">
        <v>11387</v>
      </c>
      <c r="C9164" s="29" t="s">
        <v>22690</v>
      </c>
      <c r="D9164" s="29" t="s">
        <v>38755</v>
      </c>
      <c r="E9164" s="29" t="s">
        <v>50841</v>
      </c>
      <c r="F9164" s="36" t="s">
        <v>54402</v>
      </c>
      <c r="G9164" s="39">
        <v>274703.59999999998</v>
      </c>
      <c r="H9164" s="42">
        <v>211</v>
      </c>
    </row>
    <row r="9165" spans="1:8" ht="15" customHeight="1">
      <c r="A9165" s="26">
        <v>901749491</v>
      </c>
      <c r="B9165" s="30" t="s">
        <v>11388</v>
      </c>
      <c r="C9165" s="29" t="s">
        <v>25362</v>
      </c>
      <c r="D9165" s="29" t="s">
        <v>38756</v>
      </c>
      <c r="E9165" s="29" t="s">
        <v>50842</v>
      </c>
      <c r="F9165" s="36" t="s">
        <v>54401</v>
      </c>
      <c r="G9165" s="39">
        <v>774106.92</v>
      </c>
      <c r="H9165" s="42">
        <v>211</v>
      </c>
    </row>
    <row r="9166" spans="1:8" ht="15" customHeight="1">
      <c r="A9166" s="26">
        <v>901749525</v>
      </c>
      <c r="B9166" s="30" t="s">
        <v>11389</v>
      </c>
      <c r="C9166" s="29" t="s">
        <v>25363</v>
      </c>
      <c r="D9166" s="29" t="s">
        <v>38757</v>
      </c>
      <c r="E9166" s="29" t="s">
        <v>50843</v>
      </c>
      <c r="F9166" s="36" t="s">
        <v>54401</v>
      </c>
      <c r="G9166" s="39">
        <v>23512.6</v>
      </c>
      <c r="H9166" s="42">
        <v>211</v>
      </c>
    </row>
    <row r="9167" spans="1:8" ht="15" customHeight="1">
      <c r="A9167" s="26">
        <v>901750382</v>
      </c>
      <c r="B9167" s="30" t="s">
        <v>11390</v>
      </c>
      <c r="C9167" s="29" t="s">
        <v>19202</v>
      </c>
      <c r="D9167" s="29" t="s">
        <v>38758</v>
      </c>
      <c r="E9167" s="29" t="s">
        <v>50844</v>
      </c>
      <c r="F9167" s="36" t="s">
        <v>54401</v>
      </c>
      <c r="G9167" s="39">
        <v>1100551.1399999999</v>
      </c>
      <c r="H9167" s="42">
        <v>211</v>
      </c>
    </row>
    <row r="9168" spans="1:8" ht="15" customHeight="1">
      <c r="A9168" s="26">
        <v>901752170</v>
      </c>
      <c r="B9168" s="30" t="s">
        <v>11391</v>
      </c>
      <c r="C9168" s="29" t="s">
        <v>17716</v>
      </c>
      <c r="D9168" s="29" t="s">
        <v>38759</v>
      </c>
      <c r="E9168" s="29" t="s">
        <v>50845</v>
      </c>
      <c r="F9168" s="36" t="s">
        <v>54401</v>
      </c>
      <c r="G9168" s="39">
        <v>1043056.79</v>
      </c>
      <c r="H9168" s="42">
        <v>211</v>
      </c>
    </row>
    <row r="9169" spans="1:8" ht="15" customHeight="1">
      <c r="A9169" s="26">
        <v>901759506</v>
      </c>
      <c r="B9169" s="30" t="s">
        <v>11392</v>
      </c>
      <c r="C9169" s="29" t="s">
        <v>25364</v>
      </c>
      <c r="D9169" s="29" t="s">
        <v>38760</v>
      </c>
      <c r="E9169" s="29" t="s">
        <v>50846</v>
      </c>
      <c r="F9169" s="36" t="s">
        <v>54480</v>
      </c>
      <c r="G9169" s="39">
        <v>1010519.52</v>
      </c>
      <c r="H9169" s="42">
        <v>211</v>
      </c>
    </row>
    <row r="9170" spans="1:8" ht="15" customHeight="1">
      <c r="A9170" s="26">
        <v>901761868</v>
      </c>
      <c r="B9170" s="30" t="s">
        <v>11393</v>
      </c>
      <c r="C9170" s="29" t="s">
        <v>17204</v>
      </c>
      <c r="D9170" s="29" t="s">
        <v>38761</v>
      </c>
      <c r="E9170" s="29" t="s">
        <v>50847</v>
      </c>
      <c r="F9170" s="36" t="s">
        <v>54412</v>
      </c>
      <c r="G9170" s="39">
        <v>448430.9</v>
      </c>
      <c r="H9170" s="42">
        <v>211</v>
      </c>
    </row>
    <row r="9171" spans="1:8" ht="15" customHeight="1">
      <c r="A9171" s="26">
        <v>901764146</v>
      </c>
      <c r="B9171" s="30" t="s">
        <v>11394</v>
      </c>
      <c r="C9171" s="29" t="s">
        <v>17204</v>
      </c>
      <c r="D9171" s="29" t="s">
        <v>38762</v>
      </c>
      <c r="E9171" s="29" t="s">
        <v>50848</v>
      </c>
      <c r="F9171" s="36" t="s">
        <v>54412</v>
      </c>
      <c r="G9171" s="39">
        <v>50959.66</v>
      </c>
      <c r="H9171" s="42">
        <v>211</v>
      </c>
    </row>
    <row r="9172" spans="1:8" ht="15" customHeight="1">
      <c r="A9172" s="26">
        <v>901764183</v>
      </c>
      <c r="B9172" s="30" t="s">
        <v>11395</v>
      </c>
      <c r="C9172" s="29" t="s">
        <v>25365</v>
      </c>
      <c r="D9172" s="29" t="s">
        <v>38763</v>
      </c>
      <c r="E9172" s="29" t="s">
        <v>50849</v>
      </c>
      <c r="F9172" s="36" t="s">
        <v>54401</v>
      </c>
      <c r="G9172" s="39">
        <v>145362.18</v>
      </c>
      <c r="H9172" s="42">
        <v>211</v>
      </c>
    </row>
    <row r="9173" spans="1:8" ht="15" customHeight="1">
      <c r="A9173" s="26">
        <v>901766879</v>
      </c>
      <c r="B9173" s="30" t="s">
        <v>11396</v>
      </c>
      <c r="C9173" s="29" t="s">
        <v>25366</v>
      </c>
      <c r="D9173" s="29" t="s">
        <v>38764</v>
      </c>
      <c r="E9173" s="29" t="s">
        <v>50850</v>
      </c>
      <c r="F9173" s="36" t="s">
        <v>54412</v>
      </c>
      <c r="G9173" s="39">
        <v>2101101.92</v>
      </c>
      <c r="H9173" s="42">
        <v>211</v>
      </c>
    </row>
    <row r="9174" spans="1:8" ht="15" customHeight="1">
      <c r="A9174" s="26">
        <v>901767381</v>
      </c>
      <c r="B9174" s="30" t="s">
        <v>11397</v>
      </c>
      <c r="C9174" s="29" t="s">
        <v>17396</v>
      </c>
      <c r="D9174" s="29" t="s">
        <v>38765</v>
      </c>
      <c r="E9174" s="29" t="s">
        <v>50851</v>
      </c>
      <c r="F9174" s="36" t="s">
        <v>54422</v>
      </c>
      <c r="G9174" s="39">
        <v>1737580.41</v>
      </c>
      <c r="H9174" s="42">
        <v>211</v>
      </c>
    </row>
    <row r="9175" spans="1:8" ht="15" customHeight="1">
      <c r="A9175" s="26">
        <v>901768306</v>
      </c>
      <c r="B9175" s="30" t="s">
        <v>11398</v>
      </c>
      <c r="C9175" s="29" t="s">
        <v>25367</v>
      </c>
      <c r="D9175" s="29" t="s">
        <v>38766</v>
      </c>
      <c r="E9175" s="29" t="s">
        <v>50852</v>
      </c>
      <c r="F9175" s="36" t="s">
        <v>54401</v>
      </c>
      <c r="G9175" s="39">
        <v>3660458</v>
      </c>
      <c r="H9175" s="42">
        <v>211</v>
      </c>
    </row>
    <row r="9176" spans="1:8" ht="15" customHeight="1">
      <c r="A9176" s="26">
        <v>901772012</v>
      </c>
      <c r="B9176" s="30" t="s">
        <v>11399</v>
      </c>
      <c r="C9176" s="29" t="s">
        <v>17204</v>
      </c>
      <c r="D9176" s="29" t="s">
        <v>38767</v>
      </c>
      <c r="E9176" s="29" t="s">
        <v>43926</v>
      </c>
      <c r="F9176" s="36" t="s">
        <v>54401</v>
      </c>
      <c r="G9176" s="39">
        <v>646879.24</v>
      </c>
      <c r="H9176" s="42">
        <v>211</v>
      </c>
    </row>
    <row r="9177" spans="1:8" ht="15" customHeight="1">
      <c r="A9177" s="26">
        <v>901772589</v>
      </c>
      <c r="B9177" s="30" t="s">
        <v>11400</v>
      </c>
      <c r="C9177" s="29" t="s">
        <v>25368</v>
      </c>
      <c r="D9177" s="29" t="s">
        <v>38768</v>
      </c>
      <c r="E9177" s="29" t="s">
        <v>50853</v>
      </c>
      <c r="F9177" s="36" t="s">
        <v>54401</v>
      </c>
      <c r="G9177" s="39">
        <v>370584.88</v>
      </c>
      <c r="H9177" s="42">
        <v>211</v>
      </c>
    </row>
    <row r="9178" spans="1:8" ht="15" customHeight="1">
      <c r="A9178" s="26">
        <v>901773035</v>
      </c>
      <c r="B9178" s="30" t="s">
        <v>11401</v>
      </c>
      <c r="C9178" s="29" t="s">
        <v>25369</v>
      </c>
      <c r="D9178" s="29" t="s">
        <v>38769</v>
      </c>
      <c r="E9178" s="29" t="s">
        <v>50854</v>
      </c>
      <c r="F9178" s="36" t="s">
        <v>54401</v>
      </c>
      <c r="G9178" s="39">
        <v>1235021.2</v>
      </c>
      <c r="H9178" s="42">
        <v>211</v>
      </c>
    </row>
    <row r="9179" spans="1:8" ht="15" customHeight="1">
      <c r="A9179" s="26">
        <v>901773117</v>
      </c>
      <c r="B9179" s="30" t="s">
        <v>11402</v>
      </c>
      <c r="C9179" s="29" t="s">
        <v>25370</v>
      </c>
      <c r="D9179" s="29" t="s">
        <v>38770</v>
      </c>
      <c r="E9179" s="29" t="s">
        <v>50855</v>
      </c>
      <c r="F9179" s="36" t="s">
        <v>54401</v>
      </c>
      <c r="G9179" s="39">
        <v>3553654</v>
      </c>
      <c r="H9179" s="42">
        <v>211</v>
      </c>
    </row>
    <row r="9180" spans="1:8" ht="15" customHeight="1">
      <c r="A9180" s="26">
        <v>901776767</v>
      </c>
      <c r="B9180" s="30" t="s">
        <v>11403</v>
      </c>
      <c r="C9180" s="29" t="s">
        <v>25371</v>
      </c>
      <c r="D9180" s="29" t="s">
        <v>38771</v>
      </c>
      <c r="E9180" s="29" t="s">
        <v>50856</v>
      </c>
      <c r="F9180" s="36" t="s">
        <v>54401</v>
      </c>
      <c r="G9180" s="39">
        <v>751369.73</v>
      </c>
      <c r="H9180" s="42">
        <v>211</v>
      </c>
    </row>
    <row r="9181" spans="1:8" ht="15" customHeight="1">
      <c r="A9181" s="26">
        <v>901778440</v>
      </c>
      <c r="B9181" s="30" t="s">
        <v>11404</v>
      </c>
      <c r="C9181" s="29" t="s">
        <v>25372</v>
      </c>
      <c r="D9181" s="29" t="s">
        <v>38772</v>
      </c>
      <c r="E9181" s="29" t="s">
        <v>50857</v>
      </c>
      <c r="F9181" s="36" t="s">
        <v>54401</v>
      </c>
      <c r="G9181" s="39">
        <v>1079989.48</v>
      </c>
      <c r="H9181" s="42">
        <v>211</v>
      </c>
    </row>
    <row r="9182" spans="1:8" ht="15" customHeight="1">
      <c r="A9182" s="26">
        <v>901778458</v>
      </c>
      <c r="B9182" s="30" t="s">
        <v>11405</v>
      </c>
      <c r="C9182" s="29" t="s">
        <v>17204</v>
      </c>
      <c r="D9182" s="29" t="s">
        <v>38773</v>
      </c>
      <c r="E9182" s="29" t="s">
        <v>43926</v>
      </c>
      <c r="F9182" s="36" t="s">
        <v>54401</v>
      </c>
      <c r="G9182" s="39">
        <v>147651.20000000001</v>
      </c>
      <c r="H9182" s="42">
        <v>211</v>
      </c>
    </row>
    <row r="9183" spans="1:8" ht="15" customHeight="1">
      <c r="A9183" s="26">
        <v>901782241</v>
      </c>
      <c r="B9183" s="30" t="s">
        <v>11406</v>
      </c>
      <c r="C9183" s="29" t="s">
        <v>25373</v>
      </c>
      <c r="D9183" s="29" t="s">
        <v>38774</v>
      </c>
      <c r="E9183" s="29" t="s">
        <v>50858</v>
      </c>
      <c r="F9183" s="36" t="s">
        <v>54401</v>
      </c>
      <c r="G9183" s="39">
        <v>452759.07</v>
      </c>
      <c r="H9183" s="42">
        <v>211</v>
      </c>
    </row>
    <row r="9184" spans="1:8" ht="15" customHeight="1">
      <c r="A9184" s="26">
        <v>901782454</v>
      </c>
      <c r="B9184" s="26" t="s">
        <v>11407</v>
      </c>
      <c r="C9184" s="32"/>
      <c r="D9184" s="32"/>
      <c r="E9184" s="26" t="s">
        <v>46801</v>
      </c>
      <c r="F9184" s="26" t="s">
        <v>54402</v>
      </c>
      <c r="G9184" s="41">
        <v>866270</v>
      </c>
      <c r="H9184" s="26">
        <v>4729</v>
      </c>
    </row>
    <row r="9185" spans="1:8" ht="15" customHeight="1">
      <c r="A9185" s="26">
        <v>901783426</v>
      </c>
      <c r="B9185" s="30" t="s">
        <v>11408</v>
      </c>
      <c r="C9185" s="29" t="s">
        <v>25374</v>
      </c>
      <c r="D9185" s="29" t="s">
        <v>38775</v>
      </c>
      <c r="E9185" s="29" t="s">
        <v>50859</v>
      </c>
      <c r="F9185" s="36" t="s">
        <v>54420</v>
      </c>
      <c r="G9185" s="39">
        <v>726166.58</v>
      </c>
      <c r="H9185" s="42">
        <v>211</v>
      </c>
    </row>
    <row r="9186" spans="1:8" ht="15" customHeight="1">
      <c r="A9186" s="26">
        <v>901788279</v>
      </c>
      <c r="B9186" s="30" t="s">
        <v>11409</v>
      </c>
      <c r="C9186" s="29" t="s">
        <v>24915</v>
      </c>
      <c r="D9186" s="29" t="s">
        <v>38776</v>
      </c>
      <c r="E9186" s="29" t="s">
        <v>50860</v>
      </c>
      <c r="F9186" s="36" t="s">
        <v>54401</v>
      </c>
      <c r="G9186" s="39">
        <v>8450998</v>
      </c>
      <c r="H9186" s="42">
        <v>211</v>
      </c>
    </row>
    <row r="9187" spans="1:8" ht="15" customHeight="1">
      <c r="A9187" s="26">
        <v>901788759</v>
      </c>
      <c r="B9187" s="30" t="s">
        <v>11410</v>
      </c>
      <c r="C9187" s="29" t="s">
        <v>25375</v>
      </c>
      <c r="D9187" s="29" t="s">
        <v>38777</v>
      </c>
      <c r="E9187" s="29" t="s">
        <v>50861</v>
      </c>
      <c r="F9187" s="36" t="s">
        <v>54401</v>
      </c>
      <c r="G9187" s="39">
        <v>137946.04</v>
      </c>
      <c r="H9187" s="42">
        <v>211</v>
      </c>
    </row>
    <row r="9188" spans="1:8" ht="15" customHeight="1">
      <c r="A9188" s="26">
        <v>901793541</v>
      </c>
      <c r="B9188" s="30" t="s">
        <v>11411</v>
      </c>
      <c r="C9188" s="29" t="s">
        <v>25376</v>
      </c>
      <c r="D9188" s="29" t="s">
        <v>38778</v>
      </c>
      <c r="E9188" s="29" t="s">
        <v>50862</v>
      </c>
      <c r="F9188" s="36" t="s">
        <v>54401</v>
      </c>
      <c r="G9188" s="39">
        <v>620880.03</v>
      </c>
      <c r="H9188" s="42">
        <v>211</v>
      </c>
    </row>
    <row r="9189" spans="1:8" ht="15" customHeight="1">
      <c r="A9189" s="26">
        <v>901794597</v>
      </c>
      <c r="B9189" s="30" t="s">
        <v>11412</v>
      </c>
      <c r="C9189" s="29" t="s">
        <v>25377</v>
      </c>
      <c r="D9189" s="29" t="s">
        <v>38779</v>
      </c>
      <c r="E9189" s="29" t="s">
        <v>707</v>
      </c>
      <c r="F9189" s="36" t="s">
        <v>54401</v>
      </c>
      <c r="G9189" s="39">
        <v>686172.52</v>
      </c>
      <c r="H9189" s="42">
        <v>211</v>
      </c>
    </row>
    <row r="9190" spans="1:8" ht="15" customHeight="1">
      <c r="A9190" s="26">
        <v>901795156</v>
      </c>
      <c r="B9190" s="30" t="s">
        <v>11413</v>
      </c>
      <c r="C9190" s="29" t="s">
        <v>25378</v>
      </c>
      <c r="D9190" s="29" t="s">
        <v>38780</v>
      </c>
      <c r="E9190" s="29" t="s">
        <v>50863</v>
      </c>
      <c r="F9190" s="36" t="s">
        <v>54402</v>
      </c>
      <c r="G9190" s="39">
        <v>153793.28</v>
      </c>
      <c r="H9190" s="42">
        <v>211</v>
      </c>
    </row>
    <row r="9191" spans="1:8" ht="15" customHeight="1">
      <c r="A9191" s="26">
        <v>901800544</v>
      </c>
      <c r="B9191" s="30" t="s">
        <v>11414</v>
      </c>
      <c r="C9191" s="29" t="s">
        <v>25379</v>
      </c>
      <c r="D9191" s="29" t="s">
        <v>38781</v>
      </c>
      <c r="E9191" s="29" t="s">
        <v>46322</v>
      </c>
      <c r="F9191" s="36" t="s">
        <v>54401</v>
      </c>
      <c r="G9191" s="39">
        <v>21176.47</v>
      </c>
      <c r="H9191" s="42">
        <v>211</v>
      </c>
    </row>
    <row r="9192" spans="1:8" ht="15" customHeight="1">
      <c r="A9192" s="26">
        <v>901803612</v>
      </c>
      <c r="B9192" s="30" t="s">
        <v>11415</v>
      </c>
      <c r="C9192" s="29" t="s">
        <v>25380</v>
      </c>
      <c r="D9192" s="29" t="s">
        <v>38782</v>
      </c>
      <c r="E9192" s="29" t="s">
        <v>50864</v>
      </c>
      <c r="F9192" s="36" t="s">
        <v>54409</v>
      </c>
      <c r="G9192" s="39">
        <v>8886029</v>
      </c>
      <c r="H9192" s="42">
        <v>211</v>
      </c>
    </row>
    <row r="9193" spans="1:8" ht="15" customHeight="1">
      <c r="A9193" s="26">
        <v>901803756</v>
      </c>
      <c r="B9193" s="30" t="s">
        <v>11416</v>
      </c>
      <c r="C9193" s="29" t="s">
        <v>17204</v>
      </c>
      <c r="D9193" s="29" t="s">
        <v>38783</v>
      </c>
      <c r="E9193" s="29" t="s">
        <v>50865</v>
      </c>
      <c r="F9193" s="36" t="s">
        <v>54401</v>
      </c>
      <c r="G9193" s="39">
        <v>54163.5</v>
      </c>
      <c r="H9193" s="42">
        <v>211</v>
      </c>
    </row>
    <row r="9194" spans="1:8" ht="15" customHeight="1">
      <c r="A9194" s="26">
        <v>901804054</v>
      </c>
      <c r="B9194" s="30" t="s">
        <v>11417</v>
      </c>
      <c r="C9194" s="29" t="s">
        <v>25381</v>
      </c>
      <c r="D9194" s="29" t="s">
        <v>38784</v>
      </c>
      <c r="E9194" s="29" t="s">
        <v>50866</v>
      </c>
      <c r="F9194" s="36" t="s">
        <v>54401</v>
      </c>
      <c r="G9194" s="39">
        <v>427827.4</v>
      </c>
      <c r="H9194" s="42">
        <v>211</v>
      </c>
    </row>
    <row r="9195" spans="1:8" ht="15" customHeight="1">
      <c r="A9195" s="26">
        <v>901804698</v>
      </c>
      <c r="B9195" s="30" t="s">
        <v>11418</v>
      </c>
      <c r="C9195" s="29" t="s">
        <v>25382</v>
      </c>
      <c r="D9195" s="29" t="s">
        <v>38785</v>
      </c>
      <c r="E9195" s="29" t="s">
        <v>50867</v>
      </c>
      <c r="F9195" s="36" t="s">
        <v>54401</v>
      </c>
      <c r="G9195" s="39">
        <v>8266330</v>
      </c>
      <c r="H9195" s="42">
        <v>211</v>
      </c>
    </row>
    <row r="9196" spans="1:8" ht="15" customHeight="1">
      <c r="A9196" s="26">
        <v>901805136</v>
      </c>
      <c r="B9196" s="30" t="s">
        <v>11419</v>
      </c>
      <c r="C9196" s="29" t="s">
        <v>25383</v>
      </c>
      <c r="D9196" s="29" t="s">
        <v>38786</v>
      </c>
      <c r="E9196" s="29" t="s">
        <v>50868</v>
      </c>
      <c r="F9196" s="36" t="s">
        <v>54401</v>
      </c>
      <c r="G9196" s="39">
        <v>635045.46</v>
      </c>
      <c r="H9196" s="42">
        <v>211</v>
      </c>
    </row>
    <row r="9197" spans="1:8" ht="15" customHeight="1">
      <c r="A9197" s="26">
        <v>901805255</v>
      </c>
      <c r="B9197" s="30" t="s">
        <v>11420</v>
      </c>
      <c r="C9197" s="26" t="s">
        <v>25384</v>
      </c>
      <c r="D9197" s="26" t="s">
        <v>38787</v>
      </c>
      <c r="E9197" s="26" t="s">
        <v>50869</v>
      </c>
      <c r="F9197" s="37" t="s">
        <v>54423</v>
      </c>
      <c r="G9197" s="39">
        <v>264979.77</v>
      </c>
      <c r="H9197" s="42">
        <v>211</v>
      </c>
    </row>
    <row r="9198" spans="1:8" ht="15" customHeight="1">
      <c r="A9198" s="26">
        <v>901807018</v>
      </c>
      <c r="B9198" s="30" t="s">
        <v>11421</v>
      </c>
      <c r="C9198" s="29" t="s">
        <v>25385</v>
      </c>
      <c r="D9198" s="29" t="s">
        <v>38788</v>
      </c>
      <c r="E9198" s="29" t="s">
        <v>50870</v>
      </c>
      <c r="F9198" s="36" t="s">
        <v>54401</v>
      </c>
      <c r="G9198" s="39">
        <v>219584.7</v>
      </c>
      <c r="H9198" s="42">
        <v>211</v>
      </c>
    </row>
    <row r="9199" spans="1:8" ht="15" customHeight="1">
      <c r="A9199" s="26">
        <v>901809269</v>
      </c>
      <c r="B9199" s="30" t="s">
        <v>11422</v>
      </c>
      <c r="C9199" s="29" t="s">
        <v>25386</v>
      </c>
      <c r="D9199" s="29" t="s">
        <v>38789</v>
      </c>
      <c r="E9199" s="29" t="s">
        <v>50871</v>
      </c>
      <c r="F9199" s="36" t="s">
        <v>54409</v>
      </c>
      <c r="G9199" s="39">
        <v>1082333.58</v>
      </c>
      <c r="H9199" s="42">
        <v>211</v>
      </c>
    </row>
    <row r="9200" spans="1:8" ht="15" customHeight="1">
      <c r="A9200" s="26">
        <v>901811315</v>
      </c>
      <c r="B9200" s="30" t="s">
        <v>11423</v>
      </c>
      <c r="C9200" s="29" t="s">
        <v>24446</v>
      </c>
      <c r="D9200" s="29" t="s">
        <v>37729</v>
      </c>
      <c r="E9200" s="29" t="s">
        <v>50872</v>
      </c>
      <c r="F9200" s="36" t="s">
        <v>54401</v>
      </c>
      <c r="G9200" s="39">
        <v>66621.850000000006</v>
      </c>
      <c r="H9200" s="42">
        <v>211</v>
      </c>
    </row>
    <row r="9201" spans="1:8" ht="15" customHeight="1">
      <c r="A9201" s="26">
        <v>901811373</v>
      </c>
      <c r="B9201" s="30" t="s">
        <v>11424</v>
      </c>
      <c r="C9201" s="29" t="s">
        <v>25387</v>
      </c>
      <c r="D9201" s="29" t="s">
        <v>38790</v>
      </c>
      <c r="E9201" s="29" t="s">
        <v>50873</v>
      </c>
      <c r="F9201" s="36" t="s">
        <v>54402</v>
      </c>
      <c r="G9201" s="39">
        <v>55932.77</v>
      </c>
      <c r="H9201" s="42">
        <v>211</v>
      </c>
    </row>
    <row r="9202" spans="1:8" ht="15" customHeight="1">
      <c r="A9202" s="26">
        <v>901813797</v>
      </c>
      <c r="B9202" s="30" t="s">
        <v>11425</v>
      </c>
      <c r="C9202" s="29" t="s">
        <v>25388</v>
      </c>
      <c r="D9202" s="29" t="s">
        <v>38791</v>
      </c>
      <c r="E9202" s="29" t="s">
        <v>50874</v>
      </c>
      <c r="F9202" s="36" t="s">
        <v>54401</v>
      </c>
      <c r="G9202" s="39">
        <v>694242.59</v>
      </c>
      <c r="H9202" s="42">
        <v>211</v>
      </c>
    </row>
    <row r="9203" spans="1:8" ht="15" customHeight="1">
      <c r="A9203" s="26">
        <v>901814488</v>
      </c>
      <c r="B9203" s="30" t="s">
        <v>11426</v>
      </c>
      <c r="C9203" s="29" t="s">
        <v>25389</v>
      </c>
      <c r="D9203" s="29" t="s">
        <v>38792</v>
      </c>
      <c r="E9203" s="29" t="s">
        <v>49112</v>
      </c>
      <c r="F9203" s="36" t="s">
        <v>54401</v>
      </c>
      <c r="G9203" s="39">
        <v>1464288.14</v>
      </c>
      <c r="H9203" s="42">
        <v>211</v>
      </c>
    </row>
    <row r="9204" spans="1:8" ht="15" customHeight="1">
      <c r="A9204" s="26">
        <v>901817381</v>
      </c>
      <c r="B9204" s="30" t="s">
        <v>11427</v>
      </c>
      <c r="C9204" s="29" t="s">
        <v>25390</v>
      </c>
      <c r="D9204" s="29" t="s">
        <v>38793</v>
      </c>
      <c r="E9204" s="29" t="s">
        <v>45856</v>
      </c>
      <c r="F9204" s="36" t="s">
        <v>54401</v>
      </c>
      <c r="G9204" s="39">
        <v>4556132</v>
      </c>
      <c r="H9204" s="42">
        <v>211</v>
      </c>
    </row>
    <row r="9205" spans="1:8" ht="15" customHeight="1">
      <c r="A9205" s="26">
        <v>901818329</v>
      </c>
      <c r="B9205" s="30" t="s">
        <v>11428</v>
      </c>
      <c r="C9205" s="29" t="s">
        <v>25391</v>
      </c>
      <c r="D9205" s="29" t="s">
        <v>38794</v>
      </c>
      <c r="E9205" s="29" t="s">
        <v>50875</v>
      </c>
      <c r="F9205" s="36" t="s">
        <v>54401</v>
      </c>
      <c r="G9205" s="39">
        <v>1744824</v>
      </c>
      <c r="H9205" s="42">
        <v>211</v>
      </c>
    </row>
    <row r="9206" spans="1:8" ht="15" customHeight="1">
      <c r="A9206" s="26">
        <v>901820994</v>
      </c>
      <c r="B9206" s="30" t="s">
        <v>11429</v>
      </c>
      <c r="C9206" s="29" t="s">
        <v>25392</v>
      </c>
      <c r="D9206" s="29" t="s">
        <v>38795</v>
      </c>
      <c r="E9206" s="29" t="s">
        <v>50876</v>
      </c>
      <c r="F9206" s="36" t="s">
        <v>54401</v>
      </c>
      <c r="G9206" s="39">
        <v>62118.720000000001</v>
      </c>
      <c r="H9206" s="42">
        <v>211</v>
      </c>
    </row>
    <row r="9207" spans="1:8" ht="15" customHeight="1">
      <c r="A9207" s="26">
        <v>901823257</v>
      </c>
      <c r="B9207" s="30" t="s">
        <v>11430</v>
      </c>
      <c r="C9207" s="29" t="s">
        <v>25393</v>
      </c>
      <c r="D9207" s="29" t="s">
        <v>38796</v>
      </c>
      <c r="E9207" s="29" t="s">
        <v>44960</v>
      </c>
      <c r="F9207" s="36" t="s">
        <v>54401</v>
      </c>
      <c r="G9207" s="39">
        <v>1107422.92</v>
      </c>
      <c r="H9207" s="42">
        <v>211</v>
      </c>
    </row>
    <row r="9208" spans="1:8" ht="15" customHeight="1">
      <c r="A9208" s="26">
        <v>901825617</v>
      </c>
      <c r="B9208" s="30" t="s">
        <v>11431</v>
      </c>
      <c r="C9208" s="29" t="s">
        <v>25394</v>
      </c>
      <c r="D9208" s="29" t="s">
        <v>38797</v>
      </c>
      <c r="E9208" s="29" t="s">
        <v>50877</v>
      </c>
      <c r="F9208" s="36" t="s">
        <v>54401</v>
      </c>
      <c r="G9208" s="39">
        <v>230320.47</v>
      </c>
      <c r="H9208" s="42">
        <v>211</v>
      </c>
    </row>
    <row r="9209" spans="1:8" ht="15" customHeight="1">
      <c r="A9209" s="26">
        <v>901826514</v>
      </c>
      <c r="B9209" s="30" t="s">
        <v>11432</v>
      </c>
      <c r="C9209" s="29" t="s">
        <v>25395</v>
      </c>
      <c r="D9209" s="29" t="s">
        <v>38798</v>
      </c>
      <c r="E9209" s="29" t="s">
        <v>50878</v>
      </c>
      <c r="F9209" s="36" t="s">
        <v>54401</v>
      </c>
      <c r="G9209" s="39">
        <v>756381.62</v>
      </c>
      <c r="H9209" s="42">
        <v>211</v>
      </c>
    </row>
    <row r="9210" spans="1:8" ht="15" customHeight="1">
      <c r="A9210" s="26">
        <v>901827768</v>
      </c>
      <c r="B9210" s="30" t="s">
        <v>11433</v>
      </c>
      <c r="C9210" s="29" t="s">
        <v>25396</v>
      </c>
      <c r="D9210" s="29" t="s">
        <v>38799</v>
      </c>
      <c r="E9210" s="29" t="s">
        <v>50879</v>
      </c>
      <c r="F9210" s="36" t="s">
        <v>54401</v>
      </c>
      <c r="G9210" s="39">
        <v>3580503</v>
      </c>
      <c r="H9210" s="42">
        <v>211</v>
      </c>
    </row>
    <row r="9211" spans="1:8" ht="15" customHeight="1">
      <c r="A9211" s="26">
        <v>901828177</v>
      </c>
      <c r="B9211" s="30" t="s">
        <v>11434</v>
      </c>
      <c r="C9211" s="29" t="s">
        <v>25397</v>
      </c>
      <c r="D9211" s="29" t="s">
        <v>38800</v>
      </c>
      <c r="E9211" s="29" t="s">
        <v>50880</v>
      </c>
      <c r="F9211" s="36" t="s">
        <v>54401</v>
      </c>
      <c r="G9211" s="39">
        <v>168429.66</v>
      </c>
      <c r="H9211" s="42">
        <v>211</v>
      </c>
    </row>
    <row r="9212" spans="1:8" ht="15" customHeight="1">
      <c r="A9212" s="26">
        <v>901836633</v>
      </c>
      <c r="B9212" s="30" t="s">
        <v>11435</v>
      </c>
      <c r="C9212" s="29" t="s">
        <v>23499</v>
      </c>
      <c r="D9212" s="29" t="s">
        <v>38801</v>
      </c>
      <c r="E9212" s="29" t="s">
        <v>43926</v>
      </c>
      <c r="F9212" s="36" t="s">
        <v>54401</v>
      </c>
      <c r="G9212" s="39">
        <v>1821791</v>
      </c>
      <c r="H9212" s="42">
        <v>211</v>
      </c>
    </row>
    <row r="9213" spans="1:8" ht="15" customHeight="1">
      <c r="A9213" s="26">
        <v>901839206</v>
      </c>
      <c r="B9213" s="30" t="s">
        <v>11436</v>
      </c>
      <c r="C9213" s="29" t="s">
        <v>21785</v>
      </c>
      <c r="D9213" s="29" t="s">
        <v>38802</v>
      </c>
      <c r="E9213" s="29" t="s">
        <v>50881</v>
      </c>
      <c r="F9213" s="36" t="s">
        <v>54401</v>
      </c>
      <c r="G9213" s="39">
        <v>81852.58</v>
      </c>
      <c r="H9213" s="42">
        <v>211</v>
      </c>
    </row>
    <row r="9214" spans="1:8" ht="15" customHeight="1">
      <c r="A9214" s="26">
        <v>901843167</v>
      </c>
      <c r="B9214" s="30" t="s">
        <v>11437</v>
      </c>
      <c r="C9214" s="29" t="s">
        <v>25398</v>
      </c>
      <c r="D9214" s="29" t="s">
        <v>38803</v>
      </c>
      <c r="E9214" s="29" t="s">
        <v>43926</v>
      </c>
      <c r="F9214" s="36" t="s">
        <v>54412</v>
      </c>
      <c r="G9214" s="39">
        <v>1022401.53</v>
      </c>
      <c r="H9214" s="42">
        <v>211</v>
      </c>
    </row>
    <row r="9215" spans="1:8" ht="15" customHeight="1">
      <c r="A9215" s="26">
        <v>901843889</v>
      </c>
      <c r="B9215" s="30" t="s">
        <v>11438</v>
      </c>
      <c r="C9215" s="26" t="s">
        <v>25399</v>
      </c>
      <c r="D9215" s="26" t="s">
        <v>38804</v>
      </c>
      <c r="E9215" s="26" t="s">
        <v>50882</v>
      </c>
      <c r="F9215" s="37" t="s">
        <v>54401</v>
      </c>
      <c r="G9215" s="39">
        <v>3858154.71</v>
      </c>
      <c r="H9215" s="42">
        <v>211</v>
      </c>
    </row>
    <row r="9216" spans="1:8" ht="15" customHeight="1">
      <c r="A9216" s="26">
        <v>901843971</v>
      </c>
      <c r="B9216" s="30" t="s">
        <v>11439</v>
      </c>
      <c r="C9216" s="29" t="s">
        <v>25024</v>
      </c>
      <c r="D9216" s="29" t="s">
        <v>38805</v>
      </c>
      <c r="E9216" s="29" t="s">
        <v>50883</v>
      </c>
      <c r="F9216" s="36" t="s">
        <v>54401</v>
      </c>
      <c r="G9216" s="39">
        <v>82830.23</v>
      </c>
      <c r="H9216" s="42">
        <v>211</v>
      </c>
    </row>
    <row r="9217" spans="1:8" ht="15" customHeight="1">
      <c r="A9217" s="26">
        <v>901844137</v>
      </c>
      <c r="B9217" s="30" t="s">
        <v>11440</v>
      </c>
      <c r="C9217" s="29" t="s">
        <v>25400</v>
      </c>
      <c r="D9217" s="29" t="s">
        <v>38806</v>
      </c>
      <c r="E9217" s="29" t="s">
        <v>50884</v>
      </c>
      <c r="F9217" s="36" t="s">
        <v>54401</v>
      </c>
      <c r="G9217" s="39">
        <v>354146.79</v>
      </c>
      <c r="H9217" s="42">
        <v>211</v>
      </c>
    </row>
    <row r="9218" spans="1:8" ht="15" customHeight="1">
      <c r="A9218" s="26">
        <v>901846911</v>
      </c>
      <c r="B9218" s="30" t="s">
        <v>11441</v>
      </c>
      <c r="C9218" s="29" t="s">
        <v>25401</v>
      </c>
      <c r="D9218" s="29" t="s">
        <v>38807</v>
      </c>
      <c r="E9218" s="29" t="s">
        <v>44417</v>
      </c>
      <c r="F9218" s="36" t="s">
        <v>54401</v>
      </c>
      <c r="G9218" s="39">
        <v>294086.82</v>
      </c>
      <c r="H9218" s="42">
        <v>211</v>
      </c>
    </row>
    <row r="9219" spans="1:8" ht="15" customHeight="1">
      <c r="A9219" s="26">
        <v>901848720</v>
      </c>
      <c r="B9219" s="30" t="s">
        <v>11442</v>
      </c>
      <c r="C9219" s="29" t="s">
        <v>25402</v>
      </c>
      <c r="D9219" s="29" t="s">
        <v>38808</v>
      </c>
      <c r="E9219" s="29" t="s">
        <v>50885</v>
      </c>
      <c r="F9219" s="36" t="s">
        <v>54401</v>
      </c>
      <c r="G9219" s="39">
        <v>3757794</v>
      </c>
      <c r="H9219" s="42">
        <v>211</v>
      </c>
    </row>
    <row r="9220" spans="1:8" ht="15" customHeight="1">
      <c r="A9220" s="26">
        <v>901848899</v>
      </c>
      <c r="B9220" s="30" t="s">
        <v>11443</v>
      </c>
      <c r="C9220" s="29" t="s">
        <v>18991</v>
      </c>
      <c r="D9220" s="29" t="s">
        <v>32155</v>
      </c>
      <c r="E9220" s="29" t="s">
        <v>50886</v>
      </c>
      <c r="F9220" s="36" t="s">
        <v>54401</v>
      </c>
      <c r="G9220" s="39">
        <v>164271.03</v>
      </c>
      <c r="H9220" s="42">
        <v>211</v>
      </c>
    </row>
    <row r="9221" spans="1:8" ht="15" customHeight="1">
      <c r="A9221" s="26">
        <v>901849582</v>
      </c>
      <c r="B9221" s="30" t="s">
        <v>11444</v>
      </c>
      <c r="C9221" s="29" t="s">
        <v>25403</v>
      </c>
      <c r="D9221" s="29" t="s">
        <v>38809</v>
      </c>
      <c r="E9221" s="29" t="s">
        <v>50887</v>
      </c>
      <c r="F9221" s="36" t="s">
        <v>54401</v>
      </c>
      <c r="G9221" s="39">
        <v>1917650</v>
      </c>
      <c r="H9221" s="42">
        <v>211</v>
      </c>
    </row>
    <row r="9222" spans="1:8" ht="15" customHeight="1">
      <c r="A9222" s="26">
        <v>901850215</v>
      </c>
      <c r="B9222" s="30" t="s">
        <v>11445</v>
      </c>
      <c r="C9222" s="29" t="s">
        <v>25404</v>
      </c>
      <c r="D9222" s="29" t="s">
        <v>38810</v>
      </c>
      <c r="E9222" s="29" t="s">
        <v>50888</v>
      </c>
      <c r="F9222" s="36" t="s">
        <v>54401</v>
      </c>
      <c r="G9222" s="39">
        <v>237339.15</v>
      </c>
      <c r="H9222" s="42">
        <v>211</v>
      </c>
    </row>
    <row r="9223" spans="1:8" ht="15" customHeight="1">
      <c r="A9223" s="26">
        <v>901850573</v>
      </c>
      <c r="B9223" s="30" t="s">
        <v>11446</v>
      </c>
      <c r="C9223" s="29" t="s">
        <v>25405</v>
      </c>
      <c r="D9223" s="29" t="s">
        <v>38811</v>
      </c>
      <c r="E9223" s="29" t="s">
        <v>50889</v>
      </c>
      <c r="F9223" s="36" t="s">
        <v>54412</v>
      </c>
      <c r="G9223" s="39">
        <v>237109</v>
      </c>
      <c r="H9223" s="42">
        <v>211</v>
      </c>
    </row>
    <row r="9224" spans="1:8" ht="15" customHeight="1">
      <c r="A9224" s="26">
        <v>901853815</v>
      </c>
      <c r="B9224" s="30" t="s">
        <v>11447</v>
      </c>
      <c r="C9224" s="29" t="s">
        <v>25406</v>
      </c>
      <c r="D9224" s="29" t="s">
        <v>38812</v>
      </c>
      <c r="E9224" s="29" t="s">
        <v>50890</v>
      </c>
      <c r="F9224" s="36" t="s">
        <v>54401</v>
      </c>
      <c r="G9224" s="39">
        <v>8740547</v>
      </c>
      <c r="H9224" s="42">
        <v>211</v>
      </c>
    </row>
    <row r="9225" spans="1:8" ht="15" customHeight="1">
      <c r="A9225" s="26">
        <v>901854395</v>
      </c>
      <c r="B9225" s="30" t="s">
        <v>11448</v>
      </c>
      <c r="C9225" s="29" t="s">
        <v>25407</v>
      </c>
      <c r="D9225" s="29" t="s">
        <v>38813</v>
      </c>
      <c r="E9225" s="29" t="s">
        <v>50891</v>
      </c>
      <c r="F9225" s="36" t="s">
        <v>54401</v>
      </c>
      <c r="G9225" s="39">
        <v>260116.97</v>
      </c>
      <c r="H9225" s="42">
        <v>211</v>
      </c>
    </row>
    <row r="9226" spans="1:8" ht="15" customHeight="1">
      <c r="A9226" s="26">
        <v>901857389</v>
      </c>
      <c r="B9226" s="30" t="s">
        <v>11449</v>
      </c>
      <c r="C9226" s="29" t="s">
        <v>17204</v>
      </c>
      <c r="D9226" s="29" t="s">
        <v>38814</v>
      </c>
      <c r="E9226" s="29" t="s">
        <v>43926</v>
      </c>
      <c r="F9226" s="36" t="s">
        <v>54401</v>
      </c>
      <c r="G9226" s="39">
        <v>143869.82999999999</v>
      </c>
      <c r="H9226" s="42">
        <v>211</v>
      </c>
    </row>
    <row r="9227" spans="1:8" ht="15" customHeight="1">
      <c r="A9227" s="26">
        <v>901858878</v>
      </c>
      <c r="B9227" s="30" t="s">
        <v>11450</v>
      </c>
      <c r="C9227" s="29" t="s">
        <v>25408</v>
      </c>
      <c r="D9227" s="29" t="s">
        <v>38815</v>
      </c>
      <c r="E9227" s="29" t="s">
        <v>50892</v>
      </c>
      <c r="F9227" s="36" t="s">
        <v>54401</v>
      </c>
      <c r="G9227" s="39">
        <v>1143281.32</v>
      </c>
      <c r="H9227" s="42">
        <v>211</v>
      </c>
    </row>
    <row r="9228" spans="1:8" ht="15" customHeight="1">
      <c r="A9228" s="26">
        <v>901860793</v>
      </c>
      <c r="B9228" s="30" t="s">
        <v>11451</v>
      </c>
      <c r="C9228" s="29" t="s">
        <v>25409</v>
      </c>
      <c r="D9228" s="29" t="s">
        <v>38816</v>
      </c>
      <c r="E9228" s="29" t="s">
        <v>50893</v>
      </c>
      <c r="F9228" s="36" t="s">
        <v>54401</v>
      </c>
      <c r="G9228" s="39">
        <v>7574741.0499999998</v>
      </c>
      <c r="H9228" s="42">
        <v>211</v>
      </c>
    </row>
    <row r="9229" spans="1:8" ht="15" customHeight="1">
      <c r="A9229" s="26">
        <v>901863544</v>
      </c>
      <c r="B9229" s="30" t="s">
        <v>11452</v>
      </c>
      <c r="C9229" s="29" t="s">
        <v>25410</v>
      </c>
      <c r="D9229" s="29" t="s">
        <v>38817</v>
      </c>
      <c r="E9229" s="29" t="s">
        <v>50894</v>
      </c>
      <c r="F9229" s="36" t="s">
        <v>54401</v>
      </c>
      <c r="G9229" s="39">
        <v>86323.96</v>
      </c>
      <c r="H9229" s="42">
        <v>211</v>
      </c>
    </row>
    <row r="9230" spans="1:8" ht="15" customHeight="1">
      <c r="A9230" s="26">
        <v>901864224</v>
      </c>
      <c r="B9230" s="30" t="s">
        <v>11453</v>
      </c>
      <c r="C9230" s="29" t="s">
        <v>25411</v>
      </c>
      <c r="D9230" s="29" t="s">
        <v>38818</v>
      </c>
      <c r="E9230" s="29" t="s">
        <v>50895</v>
      </c>
      <c r="F9230" s="36" t="s">
        <v>54401</v>
      </c>
      <c r="G9230" s="39">
        <v>1309764.18</v>
      </c>
      <c r="H9230" s="42">
        <v>211</v>
      </c>
    </row>
    <row r="9231" spans="1:8" ht="15" customHeight="1">
      <c r="A9231" s="26">
        <v>901866111</v>
      </c>
      <c r="B9231" s="30" t="s">
        <v>11454</v>
      </c>
      <c r="C9231" s="26" t="s">
        <v>19616</v>
      </c>
      <c r="D9231" s="26" t="s">
        <v>38819</v>
      </c>
      <c r="E9231" s="26" t="s">
        <v>50896</v>
      </c>
      <c r="F9231" s="37" t="s">
        <v>54401</v>
      </c>
      <c r="G9231" s="39">
        <v>31687.39</v>
      </c>
      <c r="H9231" s="42">
        <v>211</v>
      </c>
    </row>
    <row r="9232" spans="1:8" ht="15" customHeight="1">
      <c r="A9232" s="26">
        <v>901868749</v>
      </c>
      <c r="B9232" s="30" t="s">
        <v>11455</v>
      </c>
      <c r="C9232" s="29" t="s">
        <v>25412</v>
      </c>
      <c r="D9232" s="29" t="s">
        <v>38820</v>
      </c>
      <c r="E9232" s="29" t="s">
        <v>50897</v>
      </c>
      <c r="F9232" s="36" t="s">
        <v>54401</v>
      </c>
      <c r="G9232" s="39">
        <v>63789.17</v>
      </c>
      <c r="H9232" s="42">
        <v>211</v>
      </c>
    </row>
    <row r="9233" spans="1:8" ht="15" customHeight="1">
      <c r="A9233" s="26">
        <v>901871130</v>
      </c>
      <c r="B9233" s="30" t="s">
        <v>11456</v>
      </c>
      <c r="C9233" s="26" t="s">
        <v>25413</v>
      </c>
      <c r="D9233" s="26" t="s">
        <v>38821</v>
      </c>
      <c r="E9233" s="26" t="s">
        <v>50898</v>
      </c>
      <c r="F9233" s="37" t="s">
        <v>54401</v>
      </c>
      <c r="G9233" s="39">
        <v>210894.45</v>
      </c>
      <c r="H9233" s="42">
        <v>211</v>
      </c>
    </row>
    <row r="9234" spans="1:8" ht="15" customHeight="1">
      <c r="A9234" s="26">
        <v>901872787</v>
      </c>
      <c r="B9234" s="30" t="s">
        <v>11457</v>
      </c>
      <c r="C9234" s="29" t="s">
        <v>17492</v>
      </c>
      <c r="D9234" s="29" t="s">
        <v>38822</v>
      </c>
      <c r="E9234" s="29" t="s">
        <v>44190</v>
      </c>
      <c r="F9234" s="36" t="s">
        <v>54406</v>
      </c>
      <c r="G9234" s="39">
        <v>441850.9</v>
      </c>
      <c r="H9234" s="42">
        <v>211</v>
      </c>
    </row>
    <row r="9235" spans="1:8" ht="15" customHeight="1">
      <c r="A9235" s="26">
        <v>901873083</v>
      </c>
      <c r="B9235" s="30" t="s">
        <v>11458</v>
      </c>
      <c r="C9235" s="29" t="s">
        <v>17204</v>
      </c>
      <c r="D9235" s="29" t="s">
        <v>38823</v>
      </c>
      <c r="E9235" s="29" t="s">
        <v>43926</v>
      </c>
      <c r="F9235" s="36" t="s">
        <v>54401</v>
      </c>
      <c r="G9235" s="39">
        <v>187183.44</v>
      </c>
      <c r="H9235" s="42">
        <v>211</v>
      </c>
    </row>
    <row r="9236" spans="1:8" ht="15" customHeight="1">
      <c r="A9236" s="26">
        <v>901875492</v>
      </c>
      <c r="B9236" s="30" t="s">
        <v>11459</v>
      </c>
      <c r="C9236" s="29" t="s">
        <v>25414</v>
      </c>
      <c r="D9236" s="29" t="s">
        <v>38824</v>
      </c>
      <c r="E9236" s="29" t="s">
        <v>50899</v>
      </c>
      <c r="F9236" s="36" t="s">
        <v>54414</v>
      </c>
      <c r="G9236" s="39">
        <v>260042.02</v>
      </c>
      <c r="H9236" s="42">
        <v>211</v>
      </c>
    </row>
    <row r="9237" spans="1:8" ht="15" customHeight="1">
      <c r="A9237" s="26">
        <v>901882118</v>
      </c>
      <c r="B9237" s="30" t="s">
        <v>11460</v>
      </c>
      <c r="C9237" s="29" t="s">
        <v>17204</v>
      </c>
      <c r="D9237" s="29" t="s">
        <v>38825</v>
      </c>
      <c r="E9237" s="29" t="s">
        <v>43926</v>
      </c>
      <c r="F9237" s="36" t="s">
        <v>54401</v>
      </c>
      <c r="G9237" s="39">
        <v>15630.25</v>
      </c>
      <c r="H9237" s="42">
        <v>211</v>
      </c>
    </row>
    <row r="9238" spans="1:8" ht="15" customHeight="1">
      <c r="A9238" s="26">
        <v>901882949</v>
      </c>
      <c r="B9238" s="30" t="s">
        <v>11461</v>
      </c>
      <c r="C9238" s="29" t="s">
        <v>25415</v>
      </c>
      <c r="D9238" s="29" t="s">
        <v>38826</v>
      </c>
      <c r="E9238" s="29" t="s">
        <v>48486</v>
      </c>
      <c r="F9238" s="36" t="s">
        <v>54401</v>
      </c>
      <c r="G9238" s="39">
        <v>656276.88</v>
      </c>
      <c r="H9238" s="42">
        <v>211</v>
      </c>
    </row>
    <row r="9239" spans="1:8" ht="15" customHeight="1">
      <c r="A9239" s="26">
        <v>901884088</v>
      </c>
      <c r="B9239" s="30" t="s">
        <v>11462</v>
      </c>
      <c r="C9239" s="29" t="s">
        <v>25416</v>
      </c>
      <c r="D9239" s="29" t="s">
        <v>38827</v>
      </c>
      <c r="E9239" s="29" t="s">
        <v>50900</v>
      </c>
      <c r="F9239" s="36" t="s">
        <v>54401</v>
      </c>
      <c r="G9239" s="39">
        <v>43310.91</v>
      </c>
      <c r="H9239" s="42">
        <v>211</v>
      </c>
    </row>
    <row r="9240" spans="1:8" ht="15" customHeight="1">
      <c r="A9240" s="26">
        <v>901886373</v>
      </c>
      <c r="B9240" s="30" t="s">
        <v>11463</v>
      </c>
      <c r="C9240" s="29" t="s">
        <v>25417</v>
      </c>
      <c r="D9240" s="29" t="s">
        <v>38828</v>
      </c>
      <c r="E9240" s="29" t="s">
        <v>50901</v>
      </c>
      <c r="F9240" s="36" t="s">
        <v>54401</v>
      </c>
      <c r="G9240" s="39">
        <v>2111647.9900000002</v>
      </c>
      <c r="H9240" s="42">
        <v>211</v>
      </c>
    </row>
    <row r="9241" spans="1:8" ht="15" customHeight="1">
      <c r="A9241" s="26">
        <v>901892265</v>
      </c>
      <c r="B9241" s="30" t="s">
        <v>11464</v>
      </c>
      <c r="C9241" s="29" t="s">
        <v>17204</v>
      </c>
      <c r="D9241" s="29" t="s">
        <v>38829</v>
      </c>
      <c r="E9241" s="29" t="s">
        <v>43926</v>
      </c>
      <c r="F9241" s="36" t="s">
        <v>54401</v>
      </c>
      <c r="G9241" s="39">
        <v>812625.62</v>
      </c>
      <c r="H9241" s="42">
        <v>211</v>
      </c>
    </row>
    <row r="9242" spans="1:8" ht="15" customHeight="1">
      <c r="A9242" s="26">
        <v>901895406</v>
      </c>
      <c r="B9242" s="30" t="s">
        <v>11465</v>
      </c>
      <c r="C9242" s="29" t="s">
        <v>25418</v>
      </c>
      <c r="D9242" s="29" t="s">
        <v>38830</v>
      </c>
      <c r="E9242" s="29" t="s">
        <v>50902</v>
      </c>
      <c r="F9242" s="36" t="s">
        <v>54401</v>
      </c>
      <c r="G9242" s="39">
        <v>797388</v>
      </c>
      <c r="H9242" s="42">
        <v>211</v>
      </c>
    </row>
    <row r="9243" spans="1:8" ht="15" customHeight="1">
      <c r="A9243" s="26">
        <v>901895999</v>
      </c>
      <c r="B9243" s="30" t="s">
        <v>11466</v>
      </c>
      <c r="C9243" s="29" t="s">
        <v>25419</v>
      </c>
      <c r="D9243" s="29" t="s">
        <v>38831</v>
      </c>
      <c r="E9243" s="29" t="s">
        <v>50903</v>
      </c>
      <c r="F9243" s="36" t="s">
        <v>54401</v>
      </c>
      <c r="G9243" s="39">
        <v>120437.34</v>
      </c>
      <c r="H9243" s="42">
        <v>211</v>
      </c>
    </row>
    <row r="9244" spans="1:8" ht="15" customHeight="1">
      <c r="A9244" s="26">
        <v>901897492</v>
      </c>
      <c r="B9244" s="30" t="s">
        <v>11467</v>
      </c>
      <c r="C9244" s="29" t="s">
        <v>25420</v>
      </c>
      <c r="D9244" s="29" t="s">
        <v>38832</v>
      </c>
      <c r="E9244" s="29" t="s">
        <v>50904</v>
      </c>
      <c r="F9244" s="36" t="s">
        <v>54401</v>
      </c>
      <c r="G9244" s="39">
        <v>184610.26</v>
      </c>
      <c r="H9244" s="42">
        <v>211</v>
      </c>
    </row>
    <row r="9245" spans="1:8" ht="15" customHeight="1">
      <c r="A9245" s="26">
        <v>901898051</v>
      </c>
      <c r="B9245" s="30" t="s">
        <v>11468</v>
      </c>
      <c r="C9245" s="29" t="s">
        <v>25421</v>
      </c>
      <c r="D9245" s="29" t="s">
        <v>38833</v>
      </c>
      <c r="E9245" s="29" t="s">
        <v>50905</v>
      </c>
      <c r="F9245" s="36" t="s">
        <v>54412</v>
      </c>
      <c r="G9245" s="39">
        <v>171815.92</v>
      </c>
      <c r="H9245" s="42">
        <v>211</v>
      </c>
    </row>
    <row r="9246" spans="1:8" ht="15" customHeight="1">
      <c r="A9246" s="26">
        <v>901899453</v>
      </c>
      <c r="B9246" s="30" t="s">
        <v>11469</v>
      </c>
      <c r="C9246" s="29" t="s">
        <v>25071</v>
      </c>
      <c r="D9246" s="29" t="s">
        <v>38413</v>
      </c>
      <c r="E9246" s="29" t="s">
        <v>44168</v>
      </c>
      <c r="F9246" s="36" t="s">
        <v>54401</v>
      </c>
      <c r="G9246" s="39">
        <v>398779.45</v>
      </c>
      <c r="H9246" s="42">
        <v>211</v>
      </c>
    </row>
    <row r="9247" spans="1:8" ht="15" customHeight="1">
      <c r="A9247" s="26">
        <v>901904184</v>
      </c>
      <c r="B9247" s="30" t="s">
        <v>11470</v>
      </c>
      <c r="C9247" s="29" t="s">
        <v>25422</v>
      </c>
      <c r="D9247" s="29" t="s">
        <v>38834</v>
      </c>
      <c r="E9247" s="29" t="s">
        <v>43926</v>
      </c>
      <c r="F9247" s="36" t="s">
        <v>54406</v>
      </c>
      <c r="G9247" s="39">
        <v>2215974.7799999998</v>
      </c>
      <c r="H9247" s="42">
        <v>211</v>
      </c>
    </row>
    <row r="9248" spans="1:8" ht="15" customHeight="1">
      <c r="A9248" s="26">
        <v>901905149</v>
      </c>
      <c r="B9248" s="30" t="s">
        <v>11471</v>
      </c>
      <c r="C9248" s="29" t="s">
        <v>25423</v>
      </c>
      <c r="D9248" s="29" t="s">
        <v>38835</v>
      </c>
      <c r="E9248" s="29" t="s">
        <v>50906</v>
      </c>
      <c r="F9248" s="36" t="s">
        <v>54401</v>
      </c>
      <c r="G9248" s="39">
        <v>24504.2</v>
      </c>
      <c r="H9248" s="42">
        <v>211</v>
      </c>
    </row>
    <row r="9249" spans="1:8" ht="15" customHeight="1">
      <c r="A9249" s="26">
        <v>901905475</v>
      </c>
      <c r="B9249" s="30" t="s">
        <v>11472</v>
      </c>
      <c r="C9249" s="29" t="s">
        <v>17204</v>
      </c>
      <c r="D9249" s="29" t="s">
        <v>38836</v>
      </c>
      <c r="E9249" s="29" t="s">
        <v>43926</v>
      </c>
      <c r="F9249" s="36" t="s">
        <v>54401</v>
      </c>
      <c r="G9249" s="39">
        <v>358913</v>
      </c>
      <c r="H9249" s="42">
        <v>211</v>
      </c>
    </row>
    <row r="9250" spans="1:8" ht="15" customHeight="1">
      <c r="A9250" s="26">
        <v>901907066</v>
      </c>
      <c r="B9250" s="30" t="s">
        <v>11473</v>
      </c>
      <c r="C9250" s="26" t="s">
        <v>25424</v>
      </c>
      <c r="D9250" s="26" t="s">
        <v>38837</v>
      </c>
      <c r="E9250" s="26" t="s">
        <v>50907</v>
      </c>
      <c r="F9250" s="37" t="s">
        <v>54412</v>
      </c>
      <c r="G9250" s="39">
        <v>325453</v>
      </c>
      <c r="H9250" s="42">
        <v>211</v>
      </c>
    </row>
    <row r="9251" spans="1:8" ht="15" customHeight="1">
      <c r="A9251" s="26">
        <v>901907753</v>
      </c>
      <c r="B9251" s="30" t="s">
        <v>11474</v>
      </c>
      <c r="C9251" s="26" t="s">
        <v>23051</v>
      </c>
      <c r="D9251" s="26" t="s">
        <v>36325</v>
      </c>
      <c r="E9251" s="26" t="s">
        <v>50908</v>
      </c>
      <c r="F9251" s="37" t="s">
        <v>54401</v>
      </c>
      <c r="G9251" s="39">
        <v>1913192.88</v>
      </c>
      <c r="H9251" s="42">
        <v>211</v>
      </c>
    </row>
    <row r="9252" spans="1:8" ht="15" customHeight="1">
      <c r="A9252" s="26">
        <v>901909747</v>
      </c>
      <c r="B9252" s="30" t="s">
        <v>11475</v>
      </c>
      <c r="C9252" s="29" t="s">
        <v>25425</v>
      </c>
      <c r="D9252" s="29" t="s">
        <v>38838</v>
      </c>
      <c r="E9252" s="29" t="s">
        <v>50909</v>
      </c>
      <c r="F9252" s="36" t="s">
        <v>54413</v>
      </c>
      <c r="G9252" s="39">
        <v>1785952.39</v>
      </c>
      <c r="H9252" s="42">
        <v>211</v>
      </c>
    </row>
    <row r="9253" spans="1:8" ht="15" customHeight="1">
      <c r="A9253" s="26">
        <v>901910232</v>
      </c>
      <c r="B9253" s="30" t="s">
        <v>11476</v>
      </c>
      <c r="C9253" s="29" t="s">
        <v>25426</v>
      </c>
      <c r="D9253" s="29" t="s">
        <v>38839</v>
      </c>
      <c r="E9253" s="29" t="s">
        <v>50910</v>
      </c>
      <c r="F9253" s="36" t="s">
        <v>54401</v>
      </c>
      <c r="G9253" s="39">
        <v>759974.8</v>
      </c>
      <c r="H9253" s="42">
        <v>211</v>
      </c>
    </row>
    <row r="9254" spans="1:8" ht="15" customHeight="1">
      <c r="A9254" s="26">
        <v>901911148</v>
      </c>
      <c r="B9254" s="30" t="s">
        <v>11477</v>
      </c>
      <c r="C9254" s="29" t="s">
        <v>25427</v>
      </c>
      <c r="D9254" s="29" t="s">
        <v>38840</v>
      </c>
      <c r="E9254" s="29" t="s">
        <v>50911</v>
      </c>
      <c r="F9254" s="36" t="s">
        <v>54401</v>
      </c>
      <c r="G9254" s="39">
        <v>230480.42</v>
      </c>
      <c r="H9254" s="42">
        <v>211</v>
      </c>
    </row>
    <row r="9255" spans="1:8" ht="15" customHeight="1">
      <c r="A9255" s="26">
        <v>901911329</v>
      </c>
      <c r="B9255" s="30" t="s">
        <v>11478</v>
      </c>
      <c r="C9255" s="29" t="s">
        <v>25428</v>
      </c>
      <c r="D9255" s="29" t="s">
        <v>38841</v>
      </c>
      <c r="E9255" s="29" t="s">
        <v>50912</v>
      </c>
      <c r="F9255" s="36" t="s">
        <v>54401</v>
      </c>
      <c r="G9255" s="39">
        <v>248425.98</v>
      </c>
      <c r="H9255" s="42">
        <v>211</v>
      </c>
    </row>
    <row r="9256" spans="1:8" ht="15" customHeight="1">
      <c r="A9256" s="26">
        <v>901911948</v>
      </c>
      <c r="B9256" s="30" t="s">
        <v>11479</v>
      </c>
      <c r="C9256" s="29" t="s">
        <v>25429</v>
      </c>
      <c r="D9256" s="29" t="s">
        <v>38842</v>
      </c>
      <c r="E9256" s="29" t="s">
        <v>43926</v>
      </c>
      <c r="F9256" s="36" t="s">
        <v>54423</v>
      </c>
      <c r="G9256" s="39">
        <v>900000</v>
      </c>
      <c r="H9256" s="42">
        <v>211</v>
      </c>
    </row>
    <row r="9257" spans="1:8" ht="15" customHeight="1">
      <c r="A9257" s="26">
        <v>901912347</v>
      </c>
      <c r="B9257" s="30" t="s">
        <v>11480</v>
      </c>
      <c r="C9257" s="29" t="s">
        <v>17204</v>
      </c>
      <c r="D9257" s="29" t="s">
        <v>38843</v>
      </c>
      <c r="E9257" s="29" t="s">
        <v>47822</v>
      </c>
      <c r="F9257" s="36" t="s">
        <v>54401</v>
      </c>
      <c r="G9257" s="39">
        <v>56067.23</v>
      </c>
      <c r="H9257" s="42">
        <v>211</v>
      </c>
    </row>
    <row r="9258" spans="1:8" ht="15" customHeight="1">
      <c r="A9258" s="26">
        <v>901913231</v>
      </c>
      <c r="B9258" s="30" t="s">
        <v>11481</v>
      </c>
      <c r="C9258" s="29" t="s">
        <v>25430</v>
      </c>
      <c r="D9258" s="29" t="s">
        <v>38844</v>
      </c>
      <c r="E9258" s="29" t="s">
        <v>50913</v>
      </c>
      <c r="F9258" s="36" t="s">
        <v>54401</v>
      </c>
      <c r="G9258" s="39">
        <v>297132.46999999997</v>
      </c>
      <c r="H9258" s="42">
        <v>211</v>
      </c>
    </row>
    <row r="9259" spans="1:8" ht="15" customHeight="1">
      <c r="A9259" s="26">
        <v>901913953</v>
      </c>
      <c r="B9259" s="30" t="s">
        <v>11482</v>
      </c>
      <c r="C9259" s="29" t="s">
        <v>25431</v>
      </c>
      <c r="D9259" s="29" t="s">
        <v>38845</v>
      </c>
      <c r="E9259" s="29" t="s">
        <v>49209</v>
      </c>
      <c r="F9259" s="36" t="s">
        <v>54407</v>
      </c>
      <c r="G9259" s="39">
        <v>2779128.74</v>
      </c>
      <c r="H9259" s="42">
        <v>211</v>
      </c>
    </row>
    <row r="9260" spans="1:8" ht="15" customHeight="1">
      <c r="A9260" s="26">
        <v>901914608</v>
      </c>
      <c r="B9260" s="30" t="s">
        <v>11483</v>
      </c>
      <c r="C9260" s="29" t="s">
        <v>25432</v>
      </c>
      <c r="D9260" s="29" t="s">
        <v>38846</v>
      </c>
      <c r="E9260" s="29" t="s">
        <v>50914</v>
      </c>
      <c r="F9260" s="36" t="s">
        <v>54401</v>
      </c>
      <c r="G9260" s="39">
        <v>160886.67000000001</v>
      </c>
      <c r="H9260" s="42">
        <v>211</v>
      </c>
    </row>
    <row r="9261" spans="1:8" ht="15" customHeight="1">
      <c r="A9261" s="26">
        <v>901914634</v>
      </c>
      <c r="B9261" s="30" t="s">
        <v>11484</v>
      </c>
      <c r="C9261" s="29" t="s">
        <v>25433</v>
      </c>
      <c r="D9261" s="29" t="s">
        <v>38847</v>
      </c>
      <c r="E9261" s="29" t="s">
        <v>50915</v>
      </c>
      <c r="F9261" s="36" t="s">
        <v>54401</v>
      </c>
      <c r="G9261" s="39">
        <v>11042.01</v>
      </c>
      <c r="H9261" s="42">
        <v>211</v>
      </c>
    </row>
    <row r="9262" spans="1:8" ht="15" customHeight="1">
      <c r="A9262" s="26">
        <v>901914756</v>
      </c>
      <c r="B9262" s="30" t="s">
        <v>11485</v>
      </c>
      <c r="C9262" s="29" t="s">
        <v>25434</v>
      </c>
      <c r="D9262" s="29" t="s">
        <v>38848</v>
      </c>
      <c r="E9262" s="29" t="s">
        <v>50916</v>
      </c>
      <c r="F9262" s="36" t="s">
        <v>54401</v>
      </c>
      <c r="G9262" s="39">
        <v>1692191.71</v>
      </c>
      <c r="H9262" s="42">
        <v>211</v>
      </c>
    </row>
    <row r="9263" spans="1:8" ht="15" customHeight="1">
      <c r="A9263" s="26">
        <v>901915400</v>
      </c>
      <c r="B9263" s="30" t="s">
        <v>11486</v>
      </c>
      <c r="C9263" s="29" t="s">
        <v>25435</v>
      </c>
      <c r="D9263" s="29" t="s">
        <v>38849</v>
      </c>
      <c r="E9263" s="29" t="s">
        <v>50917</v>
      </c>
      <c r="F9263" s="36" t="s">
        <v>54401</v>
      </c>
      <c r="G9263" s="39">
        <v>146475.63</v>
      </c>
      <c r="H9263" s="42">
        <v>211</v>
      </c>
    </row>
    <row r="9264" spans="1:8" ht="15" customHeight="1">
      <c r="A9264" s="26">
        <v>901915409</v>
      </c>
      <c r="B9264" s="30" t="s">
        <v>11487</v>
      </c>
      <c r="C9264" s="29" t="s">
        <v>25436</v>
      </c>
      <c r="D9264" s="29" t="s">
        <v>38850</v>
      </c>
      <c r="E9264" s="29" t="s">
        <v>50918</v>
      </c>
      <c r="F9264" s="36" t="s">
        <v>54406</v>
      </c>
      <c r="G9264" s="39">
        <v>3925409.55</v>
      </c>
      <c r="H9264" s="42">
        <v>211</v>
      </c>
    </row>
    <row r="9265" spans="1:8" ht="15" customHeight="1">
      <c r="A9265" s="26">
        <v>901916482</v>
      </c>
      <c r="B9265" s="30" t="s">
        <v>11488</v>
      </c>
      <c r="C9265" s="29" t="s">
        <v>25437</v>
      </c>
      <c r="D9265" s="29" t="s">
        <v>38851</v>
      </c>
      <c r="E9265" s="29" t="s">
        <v>50919</v>
      </c>
      <c r="F9265" s="36" t="s">
        <v>54401</v>
      </c>
      <c r="G9265" s="39">
        <v>137392.46</v>
      </c>
      <c r="H9265" s="42">
        <v>211</v>
      </c>
    </row>
    <row r="9266" spans="1:8" ht="15" customHeight="1">
      <c r="A9266" s="26">
        <v>901922105</v>
      </c>
      <c r="B9266" s="30" t="s">
        <v>11489</v>
      </c>
      <c r="C9266" s="29" t="s">
        <v>21867</v>
      </c>
      <c r="D9266" s="29" t="s">
        <v>38852</v>
      </c>
      <c r="E9266" s="29" t="s">
        <v>50311</v>
      </c>
      <c r="F9266" s="36" t="s">
        <v>54401</v>
      </c>
      <c r="G9266" s="39">
        <v>279865</v>
      </c>
      <c r="H9266" s="42">
        <v>211</v>
      </c>
    </row>
    <row r="9267" spans="1:8" ht="15" customHeight="1">
      <c r="A9267" s="26">
        <v>901922739</v>
      </c>
      <c r="B9267" s="30" t="s">
        <v>11490</v>
      </c>
      <c r="C9267" s="29" t="s">
        <v>17204</v>
      </c>
      <c r="D9267" s="29" t="s">
        <v>38853</v>
      </c>
      <c r="E9267" s="29" t="s">
        <v>43926</v>
      </c>
      <c r="F9267" s="36" t="s">
        <v>54401</v>
      </c>
      <c r="G9267" s="39">
        <v>18655.46</v>
      </c>
      <c r="H9267" s="42">
        <v>211</v>
      </c>
    </row>
    <row r="9268" spans="1:8" ht="15" customHeight="1">
      <c r="A9268" s="26">
        <v>901923259</v>
      </c>
      <c r="B9268" s="30" t="s">
        <v>11491</v>
      </c>
      <c r="C9268" s="29" t="s">
        <v>17204</v>
      </c>
      <c r="D9268" s="29" t="s">
        <v>38854</v>
      </c>
      <c r="E9268" s="29" t="s">
        <v>50920</v>
      </c>
      <c r="F9268" s="36" t="s">
        <v>54401</v>
      </c>
      <c r="G9268" s="39">
        <v>1165112</v>
      </c>
      <c r="H9268" s="42">
        <v>211</v>
      </c>
    </row>
    <row r="9269" spans="1:8" ht="15" customHeight="1">
      <c r="A9269" s="26">
        <v>901926360</v>
      </c>
      <c r="B9269" s="30" t="s">
        <v>11492</v>
      </c>
      <c r="C9269" s="29" t="s">
        <v>25438</v>
      </c>
      <c r="D9269" s="29" t="s">
        <v>38855</v>
      </c>
      <c r="E9269" s="29" t="s">
        <v>50921</v>
      </c>
      <c r="F9269" s="36" t="s">
        <v>54401</v>
      </c>
      <c r="G9269" s="39">
        <v>3068462.6</v>
      </c>
      <c r="H9269" s="42">
        <v>211</v>
      </c>
    </row>
    <row r="9270" spans="1:8" ht="15" customHeight="1">
      <c r="A9270" s="26">
        <v>901928243</v>
      </c>
      <c r="B9270" s="30" t="s">
        <v>11493</v>
      </c>
      <c r="C9270" s="29" t="s">
        <v>22769</v>
      </c>
      <c r="D9270" s="29" t="s">
        <v>38856</v>
      </c>
      <c r="E9270" s="29" t="s">
        <v>48646</v>
      </c>
      <c r="F9270" s="36" t="s">
        <v>54401</v>
      </c>
      <c r="G9270" s="39">
        <v>475560.37</v>
      </c>
      <c r="H9270" s="42">
        <v>211</v>
      </c>
    </row>
    <row r="9271" spans="1:8" ht="15" customHeight="1">
      <c r="A9271" s="26">
        <v>901928958</v>
      </c>
      <c r="B9271" s="30" t="s">
        <v>11494</v>
      </c>
      <c r="C9271" s="26" t="s">
        <v>19163</v>
      </c>
      <c r="D9271" s="26" t="s">
        <v>38857</v>
      </c>
      <c r="E9271" s="26" t="s">
        <v>50922</v>
      </c>
      <c r="F9271" s="37" t="s">
        <v>54401</v>
      </c>
      <c r="G9271" s="39">
        <v>571940</v>
      </c>
      <c r="H9271" s="42">
        <v>211</v>
      </c>
    </row>
    <row r="9272" spans="1:8" ht="15" customHeight="1">
      <c r="A9272" s="26">
        <v>901928997</v>
      </c>
      <c r="B9272" s="30" t="s">
        <v>11495</v>
      </c>
      <c r="C9272" s="26" t="s">
        <v>25439</v>
      </c>
      <c r="D9272" s="26" t="s">
        <v>38858</v>
      </c>
      <c r="E9272" s="26" t="s">
        <v>50923</v>
      </c>
      <c r="F9272" s="37" t="s">
        <v>54401</v>
      </c>
      <c r="G9272" s="39">
        <v>299629</v>
      </c>
      <c r="H9272" s="42">
        <v>211</v>
      </c>
    </row>
    <row r="9273" spans="1:8" ht="15" customHeight="1">
      <c r="A9273" s="26">
        <v>901929854</v>
      </c>
      <c r="B9273" s="30" t="s">
        <v>11496</v>
      </c>
      <c r="C9273" s="29" t="s">
        <v>18454</v>
      </c>
      <c r="D9273" s="29" t="s">
        <v>38859</v>
      </c>
      <c r="E9273" s="29" t="s">
        <v>50924</v>
      </c>
      <c r="F9273" s="36" t="s">
        <v>54401</v>
      </c>
      <c r="G9273" s="39">
        <v>342817.96</v>
      </c>
      <c r="H9273" s="42">
        <v>211</v>
      </c>
    </row>
    <row r="9274" spans="1:8" ht="15" customHeight="1">
      <c r="A9274" s="26">
        <v>901930015</v>
      </c>
      <c r="B9274" s="30" t="s">
        <v>11497</v>
      </c>
      <c r="C9274" s="26" t="s">
        <v>17204</v>
      </c>
      <c r="D9274" s="26" t="s">
        <v>38860</v>
      </c>
      <c r="E9274" s="26" t="s">
        <v>43926</v>
      </c>
      <c r="F9274" s="37" t="s">
        <v>54401</v>
      </c>
      <c r="G9274" s="39">
        <v>10580</v>
      </c>
      <c r="H9274" s="42">
        <v>211</v>
      </c>
    </row>
    <row r="9275" spans="1:8" ht="15" customHeight="1">
      <c r="A9275" s="26">
        <v>901936712</v>
      </c>
      <c r="B9275" s="30" t="s">
        <v>11498</v>
      </c>
      <c r="C9275" s="29" t="s">
        <v>25440</v>
      </c>
      <c r="D9275" s="29" t="s">
        <v>38861</v>
      </c>
      <c r="E9275" s="29" t="s">
        <v>50925</v>
      </c>
      <c r="F9275" s="36" t="s">
        <v>54401</v>
      </c>
      <c r="G9275" s="39">
        <v>491622</v>
      </c>
      <c r="H9275" s="42">
        <v>211</v>
      </c>
    </row>
    <row r="9276" spans="1:8" ht="15" customHeight="1">
      <c r="A9276" s="26">
        <v>901940625</v>
      </c>
      <c r="B9276" s="30" t="s">
        <v>11499</v>
      </c>
      <c r="C9276" s="29" t="s">
        <v>25441</v>
      </c>
      <c r="D9276" s="29" t="s">
        <v>38862</v>
      </c>
      <c r="E9276" s="29" t="s">
        <v>50926</v>
      </c>
      <c r="F9276" s="36" t="s">
        <v>54401</v>
      </c>
      <c r="G9276" s="39">
        <v>534098.53</v>
      </c>
      <c r="H9276" s="42">
        <v>211</v>
      </c>
    </row>
    <row r="9277" spans="1:8" ht="15" customHeight="1">
      <c r="A9277" s="26">
        <v>901941371</v>
      </c>
      <c r="B9277" s="30" t="s">
        <v>11500</v>
      </c>
      <c r="C9277" s="29" t="s">
        <v>25442</v>
      </c>
      <c r="D9277" s="29" t="s">
        <v>38863</v>
      </c>
      <c r="E9277" s="29" t="s">
        <v>50927</v>
      </c>
      <c r="F9277" s="36" t="s">
        <v>54401</v>
      </c>
      <c r="G9277" s="39">
        <v>1767690.72</v>
      </c>
      <c r="H9277" s="42">
        <v>211</v>
      </c>
    </row>
    <row r="9278" spans="1:8" ht="15" customHeight="1">
      <c r="A9278" s="26">
        <v>901945540</v>
      </c>
      <c r="B9278" s="30" t="s">
        <v>11501</v>
      </c>
      <c r="C9278" s="29" t="s">
        <v>25443</v>
      </c>
      <c r="D9278" s="29" t="s">
        <v>38864</v>
      </c>
      <c r="E9278" s="29" t="s">
        <v>50928</v>
      </c>
      <c r="F9278" s="36" t="s">
        <v>54401</v>
      </c>
      <c r="G9278" s="39">
        <v>1286873.82</v>
      </c>
      <c r="H9278" s="42">
        <v>211</v>
      </c>
    </row>
    <row r="9279" spans="1:8" ht="15" customHeight="1">
      <c r="A9279" s="26">
        <v>901945736</v>
      </c>
      <c r="B9279" s="30" t="s">
        <v>11502</v>
      </c>
      <c r="C9279" s="26" t="s">
        <v>25444</v>
      </c>
      <c r="D9279" s="26" t="s">
        <v>38865</v>
      </c>
      <c r="E9279" s="26" t="s">
        <v>50929</v>
      </c>
      <c r="F9279" s="37" t="s">
        <v>54401</v>
      </c>
      <c r="G9279" s="39">
        <v>16041098</v>
      </c>
      <c r="H9279" s="42">
        <v>211</v>
      </c>
    </row>
    <row r="9280" spans="1:8" ht="15" customHeight="1">
      <c r="A9280" s="26">
        <v>901945813</v>
      </c>
      <c r="B9280" s="30" t="s">
        <v>11503</v>
      </c>
      <c r="C9280" s="29" t="s">
        <v>17204</v>
      </c>
      <c r="D9280" s="29" t="s">
        <v>38866</v>
      </c>
      <c r="E9280" s="29" t="s">
        <v>43926</v>
      </c>
      <c r="F9280" s="36" t="s">
        <v>54401</v>
      </c>
      <c r="G9280" s="39">
        <v>40982.620000000003</v>
      </c>
      <c r="H9280" s="42">
        <v>211</v>
      </c>
    </row>
    <row r="9281" spans="1:8" ht="15" customHeight="1">
      <c r="A9281" s="26">
        <v>901947759</v>
      </c>
      <c r="B9281" s="30" t="s">
        <v>11504</v>
      </c>
      <c r="C9281" s="29" t="s">
        <v>25445</v>
      </c>
      <c r="D9281" s="29" t="s">
        <v>38867</v>
      </c>
      <c r="E9281" s="29" t="s">
        <v>50930</v>
      </c>
      <c r="F9281" s="36" t="s">
        <v>54401</v>
      </c>
      <c r="G9281" s="39">
        <v>682886.43</v>
      </c>
      <c r="H9281" s="42">
        <v>211</v>
      </c>
    </row>
    <row r="9282" spans="1:8" ht="15" customHeight="1">
      <c r="A9282" s="26">
        <v>901954372</v>
      </c>
      <c r="B9282" s="30" t="s">
        <v>11505</v>
      </c>
      <c r="C9282" s="29" t="s">
        <v>25446</v>
      </c>
      <c r="D9282" s="29" t="s">
        <v>38868</v>
      </c>
      <c r="E9282" s="29" t="s">
        <v>50931</v>
      </c>
      <c r="F9282" s="36" t="s">
        <v>54401</v>
      </c>
      <c r="G9282" s="39">
        <v>1215040.6100000001</v>
      </c>
      <c r="H9282" s="42">
        <v>211</v>
      </c>
    </row>
    <row r="9283" spans="1:8" ht="15" customHeight="1">
      <c r="A9283" s="26">
        <v>901959430</v>
      </c>
      <c r="B9283" s="30" t="s">
        <v>11506</v>
      </c>
      <c r="C9283" s="26" t="s">
        <v>25447</v>
      </c>
      <c r="D9283" s="26" t="s">
        <v>38869</v>
      </c>
      <c r="E9283" s="26" t="s">
        <v>50932</v>
      </c>
      <c r="F9283" s="37" t="s">
        <v>54401</v>
      </c>
      <c r="G9283" s="39">
        <v>68568.23</v>
      </c>
      <c r="H9283" s="42">
        <v>211</v>
      </c>
    </row>
    <row r="9284" spans="1:8" ht="15" customHeight="1">
      <c r="A9284" s="26">
        <v>901964074</v>
      </c>
      <c r="B9284" s="30" t="s">
        <v>11507</v>
      </c>
      <c r="C9284" s="29" t="s">
        <v>25448</v>
      </c>
      <c r="D9284" s="29" t="s">
        <v>38870</v>
      </c>
      <c r="E9284" s="29" t="s">
        <v>50933</v>
      </c>
      <c r="F9284" s="36" t="s">
        <v>54412</v>
      </c>
      <c r="G9284" s="39">
        <v>120975.5</v>
      </c>
      <c r="H9284" s="42">
        <v>211</v>
      </c>
    </row>
    <row r="9285" spans="1:8" ht="15" customHeight="1">
      <c r="A9285" s="26">
        <v>901966422</v>
      </c>
      <c r="B9285" s="30" t="s">
        <v>11508</v>
      </c>
      <c r="C9285" s="29" t="s">
        <v>25449</v>
      </c>
      <c r="D9285" s="29" t="s">
        <v>38871</v>
      </c>
      <c r="E9285" s="29" t="s">
        <v>50934</v>
      </c>
      <c r="F9285" s="36" t="s">
        <v>54401</v>
      </c>
      <c r="G9285" s="39">
        <v>6840945</v>
      </c>
      <c r="H9285" s="42">
        <v>211</v>
      </c>
    </row>
    <row r="9286" spans="1:8" ht="15" customHeight="1">
      <c r="A9286" s="26">
        <v>901970209</v>
      </c>
      <c r="B9286" s="30" t="s">
        <v>11509</v>
      </c>
      <c r="C9286" s="29" t="s">
        <v>17204</v>
      </c>
      <c r="D9286" s="29" t="s">
        <v>38872</v>
      </c>
      <c r="E9286" s="29" t="s">
        <v>50935</v>
      </c>
      <c r="F9286" s="36" t="s">
        <v>54401</v>
      </c>
      <c r="G9286" s="39">
        <f>2831862+400684</f>
        <v>3232546</v>
      </c>
      <c r="H9286" s="42">
        <v>211</v>
      </c>
    </row>
    <row r="9287" spans="1:8" ht="15" customHeight="1">
      <c r="A9287" s="26">
        <v>901976536</v>
      </c>
      <c r="B9287" s="30" t="s">
        <v>11510</v>
      </c>
      <c r="C9287" s="29" t="s">
        <v>25450</v>
      </c>
      <c r="D9287" s="29" t="s">
        <v>38873</v>
      </c>
      <c r="E9287" s="29" t="s">
        <v>50936</v>
      </c>
      <c r="F9287" s="36" t="s">
        <v>54420</v>
      </c>
      <c r="G9287" s="39">
        <v>2442354.5</v>
      </c>
      <c r="H9287" s="42">
        <v>211</v>
      </c>
    </row>
    <row r="9288" spans="1:8" ht="15" customHeight="1">
      <c r="A9288" s="26">
        <v>901980171</v>
      </c>
      <c r="B9288" s="30" t="s">
        <v>11511</v>
      </c>
      <c r="C9288" s="29" t="s">
        <v>25451</v>
      </c>
      <c r="D9288" s="29" t="s">
        <v>38874</v>
      </c>
      <c r="E9288" s="29" t="s">
        <v>50937</v>
      </c>
      <c r="F9288" s="36" t="s">
        <v>54401</v>
      </c>
      <c r="G9288" s="39">
        <v>118603.42</v>
      </c>
      <c r="H9288" s="42">
        <v>211</v>
      </c>
    </row>
    <row r="9289" spans="1:8" ht="15" customHeight="1">
      <c r="A9289" s="26">
        <v>901983478</v>
      </c>
      <c r="B9289" s="30" t="s">
        <v>11512</v>
      </c>
      <c r="C9289" s="29" t="s">
        <v>25452</v>
      </c>
      <c r="D9289" s="29" t="s">
        <v>38875</v>
      </c>
      <c r="E9289" s="29" t="s">
        <v>50938</v>
      </c>
      <c r="F9289" s="36" t="s">
        <v>54401</v>
      </c>
      <c r="G9289" s="39">
        <v>480000</v>
      </c>
      <c r="H9289" s="42">
        <v>211</v>
      </c>
    </row>
    <row r="9290" spans="1:8" ht="15" customHeight="1">
      <c r="A9290" s="26">
        <v>901990984</v>
      </c>
      <c r="B9290" s="30" t="s">
        <v>11513</v>
      </c>
      <c r="C9290" s="29" t="s">
        <v>25453</v>
      </c>
      <c r="D9290" s="29" t="s">
        <v>38876</v>
      </c>
      <c r="E9290" s="29" t="s">
        <v>50939</v>
      </c>
      <c r="F9290" s="36" t="s">
        <v>54401</v>
      </c>
      <c r="G9290" s="39">
        <v>4980369</v>
      </c>
      <c r="H9290" s="42">
        <v>211</v>
      </c>
    </row>
    <row r="9291" spans="1:8" ht="15" customHeight="1">
      <c r="A9291" s="26">
        <v>901993410</v>
      </c>
      <c r="B9291" s="30" t="s">
        <v>11514</v>
      </c>
      <c r="C9291" s="29" t="s">
        <v>25454</v>
      </c>
      <c r="D9291" s="29" t="s">
        <v>38877</v>
      </c>
      <c r="E9291" s="29" t="s">
        <v>50940</v>
      </c>
      <c r="F9291" s="36" t="s">
        <v>54401</v>
      </c>
      <c r="G9291" s="39">
        <v>1561045.26</v>
      </c>
      <c r="H9291" s="42">
        <v>211</v>
      </c>
    </row>
    <row r="9292" spans="1:8" ht="15" customHeight="1">
      <c r="A9292" s="26">
        <v>902000313</v>
      </c>
      <c r="B9292" s="30" t="s">
        <v>11515</v>
      </c>
      <c r="C9292" s="29" t="s">
        <v>24236</v>
      </c>
      <c r="D9292" s="29" t="s">
        <v>38878</v>
      </c>
      <c r="E9292" s="29" t="s">
        <v>50941</v>
      </c>
      <c r="F9292" s="36" t="s">
        <v>54401</v>
      </c>
      <c r="G9292" s="39">
        <v>61890.75</v>
      </c>
      <c r="H9292" s="42">
        <v>211</v>
      </c>
    </row>
    <row r="9293" spans="1:8" ht="15" customHeight="1">
      <c r="A9293" s="26">
        <v>902001169</v>
      </c>
      <c r="B9293" s="30" t="s">
        <v>11516</v>
      </c>
      <c r="C9293" s="29" t="s">
        <v>25455</v>
      </c>
      <c r="D9293" s="29" t="s">
        <v>38879</v>
      </c>
      <c r="E9293" s="29" t="s">
        <v>50942</v>
      </c>
      <c r="F9293" s="36" t="s">
        <v>54401</v>
      </c>
      <c r="G9293" s="39">
        <v>17092.43</v>
      </c>
      <c r="H9293" s="42">
        <v>211</v>
      </c>
    </row>
    <row r="9294" spans="1:8" ht="15" customHeight="1">
      <c r="A9294" s="26">
        <v>902004465</v>
      </c>
      <c r="B9294" s="30" t="s">
        <v>11517</v>
      </c>
      <c r="C9294" s="29" t="s">
        <v>25456</v>
      </c>
      <c r="D9294" s="29" t="s">
        <v>38186</v>
      </c>
      <c r="E9294" s="29" t="s">
        <v>50943</v>
      </c>
      <c r="F9294" s="36" t="s">
        <v>54401</v>
      </c>
      <c r="G9294" s="39">
        <v>248181.24</v>
      </c>
      <c r="H9294" s="42">
        <v>211</v>
      </c>
    </row>
    <row r="9295" spans="1:8" ht="15" customHeight="1">
      <c r="A9295" s="26">
        <v>902008167</v>
      </c>
      <c r="B9295" s="30" t="s">
        <v>11518</v>
      </c>
      <c r="C9295" s="29" t="s">
        <v>25457</v>
      </c>
      <c r="D9295" s="29" t="s">
        <v>38880</v>
      </c>
      <c r="E9295" s="29" t="s">
        <v>50944</v>
      </c>
      <c r="F9295" s="36" t="s">
        <v>54401</v>
      </c>
      <c r="G9295" s="39">
        <v>75041.320000000007</v>
      </c>
      <c r="H9295" s="42">
        <v>211</v>
      </c>
    </row>
    <row r="9296" spans="1:8" ht="15" customHeight="1">
      <c r="A9296" s="26">
        <v>1000002942</v>
      </c>
      <c r="B9296" s="29" t="s">
        <v>11519</v>
      </c>
      <c r="C9296" s="29" t="s">
        <v>25458</v>
      </c>
      <c r="D9296" s="29" t="s">
        <v>38881</v>
      </c>
      <c r="E9296" s="29" t="s">
        <v>50945</v>
      </c>
      <c r="F9296" s="36" t="s">
        <v>54401</v>
      </c>
      <c r="G9296" s="39">
        <v>46900.98</v>
      </c>
      <c r="H9296" s="42">
        <v>211</v>
      </c>
    </row>
    <row r="9297" spans="1:8" ht="15" customHeight="1">
      <c r="A9297" s="26">
        <v>1000019172</v>
      </c>
      <c r="B9297" s="29" t="s">
        <v>11520</v>
      </c>
      <c r="C9297" s="29" t="s">
        <v>25459</v>
      </c>
      <c r="D9297" s="29" t="s">
        <v>38882</v>
      </c>
      <c r="E9297" s="29" t="s">
        <v>45232</v>
      </c>
      <c r="F9297" s="36" t="s">
        <v>54401</v>
      </c>
      <c r="G9297" s="39">
        <v>366997.94</v>
      </c>
      <c r="H9297" s="42">
        <v>211</v>
      </c>
    </row>
    <row r="9298" spans="1:8" ht="15" customHeight="1">
      <c r="A9298" s="26">
        <v>1000020007</v>
      </c>
      <c r="B9298" s="29" t="s">
        <v>11521</v>
      </c>
      <c r="C9298" s="29" t="s">
        <v>17204</v>
      </c>
      <c r="D9298" s="29" t="s">
        <v>30376</v>
      </c>
      <c r="E9298" s="29" t="s">
        <v>43926</v>
      </c>
      <c r="F9298" s="36" t="s">
        <v>54401</v>
      </c>
      <c r="G9298" s="39">
        <v>704134.48</v>
      </c>
      <c r="H9298" s="42">
        <v>211</v>
      </c>
    </row>
    <row r="9299" spans="1:8" ht="15" customHeight="1">
      <c r="A9299" s="26">
        <v>1000116684</v>
      </c>
      <c r="B9299" s="29" t="s">
        <v>11522</v>
      </c>
      <c r="C9299" s="29" t="s">
        <v>25460</v>
      </c>
      <c r="D9299" s="29" t="s">
        <v>38883</v>
      </c>
      <c r="E9299" s="29" t="s">
        <v>50946</v>
      </c>
      <c r="F9299" s="36" t="s">
        <v>54401</v>
      </c>
      <c r="G9299" s="39">
        <v>382886</v>
      </c>
      <c r="H9299" s="42">
        <v>211</v>
      </c>
    </row>
    <row r="9300" spans="1:8" ht="15" customHeight="1">
      <c r="A9300" s="26">
        <v>1000162358</v>
      </c>
      <c r="B9300" s="29" t="s">
        <v>11523</v>
      </c>
      <c r="C9300" s="29" t="s">
        <v>25461</v>
      </c>
      <c r="D9300" s="29" t="s">
        <v>38884</v>
      </c>
      <c r="E9300" s="29" t="s">
        <v>50947</v>
      </c>
      <c r="F9300" s="36" t="s">
        <v>54401</v>
      </c>
      <c r="G9300" s="39">
        <v>2168497.67</v>
      </c>
      <c r="H9300" s="42">
        <v>211</v>
      </c>
    </row>
    <row r="9301" spans="1:8" ht="15" customHeight="1">
      <c r="A9301" s="26">
        <v>1000319512</v>
      </c>
      <c r="B9301" s="29" t="s">
        <v>11524</v>
      </c>
      <c r="C9301" s="29" t="s">
        <v>25462</v>
      </c>
      <c r="D9301" s="29" t="s">
        <v>38885</v>
      </c>
      <c r="E9301" s="29" t="s">
        <v>50948</v>
      </c>
      <c r="F9301" s="36" t="s">
        <v>54401</v>
      </c>
      <c r="G9301" s="39">
        <v>445530.76</v>
      </c>
      <c r="H9301" s="42">
        <v>211</v>
      </c>
    </row>
    <row r="9302" spans="1:8" ht="15" customHeight="1">
      <c r="A9302" s="26">
        <v>1000366003</v>
      </c>
      <c r="B9302" s="29" t="s">
        <v>11525</v>
      </c>
      <c r="C9302" s="29" t="s">
        <v>25463</v>
      </c>
      <c r="D9302" s="29" t="s">
        <v>38886</v>
      </c>
      <c r="E9302" s="29" t="s">
        <v>50949</v>
      </c>
      <c r="F9302" s="36" t="s">
        <v>54401</v>
      </c>
      <c r="G9302" s="39">
        <v>530530.81000000006</v>
      </c>
      <c r="H9302" s="42">
        <v>211</v>
      </c>
    </row>
    <row r="9303" spans="1:8" ht="15" customHeight="1">
      <c r="A9303" s="26">
        <v>1000473948</v>
      </c>
      <c r="B9303" s="29" t="s">
        <v>11526</v>
      </c>
      <c r="C9303" s="29" t="s">
        <v>25464</v>
      </c>
      <c r="D9303" s="29" t="s">
        <v>38887</v>
      </c>
      <c r="E9303" s="29" t="s">
        <v>50950</v>
      </c>
      <c r="F9303" s="36" t="s">
        <v>54401</v>
      </c>
      <c r="G9303" s="39">
        <v>312116.43</v>
      </c>
      <c r="H9303" s="42">
        <v>211</v>
      </c>
    </row>
    <row r="9304" spans="1:8" ht="15" customHeight="1">
      <c r="A9304" s="29">
        <v>1000494298</v>
      </c>
      <c r="B9304" s="29" t="s">
        <v>11527</v>
      </c>
      <c r="C9304" s="29" t="s">
        <v>25465</v>
      </c>
      <c r="D9304" s="29" t="s">
        <v>38888</v>
      </c>
      <c r="E9304" s="29" t="s">
        <v>50951</v>
      </c>
      <c r="F9304" s="36" t="s">
        <v>54401</v>
      </c>
      <c r="G9304" s="39">
        <v>20283</v>
      </c>
      <c r="H9304" s="42">
        <v>211</v>
      </c>
    </row>
    <row r="9305" spans="1:8" ht="15" customHeight="1">
      <c r="A9305" s="26">
        <v>1000518518</v>
      </c>
      <c r="B9305" s="29" t="s">
        <v>11528</v>
      </c>
      <c r="C9305" s="26" t="s">
        <v>25466</v>
      </c>
      <c r="D9305" s="26" t="s">
        <v>38889</v>
      </c>
      <c r="E9305" s="26" t="s">
        <v>50952</v>
      </c>
      <c r="F9305" s="37" t="s">
        <v>54401</v>
      </c>
      <c r="G9305" s="39">
        <v>44358.29</v>
      </c>
      <c r="H9305" s="42">
        <v>211</v>
      </c>
    </row>
    <row r="9306" spans="1:8" ht="15" customHeight="1">
      <c r="A9306" s="26">
        <v>1000520673</v>
      </c>
      <c r="B9306" s="29" t="s">
        <v>11529</v>
      </c>
      <c r="C9306" s="29" t="s">
        <v>25467</v>
      </c>
      <c r="D9306" s="29" t="s">
        <v>30376</v>
      </c>
      <c r="E9306" s="29" t="s">
        <v>50953</v>
      </c>
      <c r="F9306" s="36" t="s">
        <v>54401</v>
      </c>
      <c r="G9306" s="39">
        <v>315133.18</v>
      </c>
      <c r="H9306" s="42">
        <v>211</v>
      </c>
    </row>
    <row r="9307" spans="1:8" ht="15" customHeight="1">
      <c r="A9307" s="26">
        <v>1000572444</v>
      </c>
      <c r="B9307" s="29" t="s">
        <v>11530</v>
      </c>
      <c r="C9307" s="26" t="s">
        <v>25468</v>
      </c>
      <c r="D9307" s="26" t="s">
        <v>38890</v>
      </c>
      <c r="E9307" s="26" t="s">
        <v>50954</v>
      </c>
      <c r="F9307" s="37" t="s">
        <v>54401</v>
      </c>
      <c r="G9307" s="39">
        <v>15009.52</v>
      </c>
      <c r="H9307" s="42">
        <v>211</v>
      </c>
    </row>
    <row r="9308" spans="1:8" ht="15" customHeight="1">
      <c r="A9308" s="26">
        <v>1000578787</v>
      </c>
      <c r="B9308" s="29" t="s">
        <v>11531</v>
      </c>
      <c r="C9308" s="29" t="s">
        <v>25469</v>
      </c>
      <c r="D9308" s="29" t="s">
        <v>38891</v>
      </c>
      <c r="E9308" s="29" t="s">
        <v>50955</v>
      </c>
      <c r="F9308" s="36" t="s">
        <v>54401</v>
      </c>
      <c r="G9308" s="39">
        <v>74807.73</v>
      </c>
      <c r="H9308" s="42">
        <v>211</v>
      </c>
    </row>
    <row r="9309" spans="1:8" ht="15" customHeight="1">
      <c r="A9309" s="26">
        <v>1000580087</v>
      </c>
      <c r="B9309" s="29" t="s">
        <v>11532</v>
      </c>
      <c r="C9309" s="29" t="s">
        <v>25470</v>
      </c>
      <c r="D9309" s="29" t="s">
        <v>38892</v>
      </c>
      <c r="E9309" s="29" t="s">
        <v>43926</v>
      </c>
      <c r="F9309" s="36" t="s">
        <v>54401</v>
      </c>
      <c r="G9309" s="39">
        <v>280574.28999999998</v>
      </c>
      <c r="H9309" s="42">
        <v>211</v>
      </c>
    </row>
    <row r="9310" spans="1:8" ht="15" customHeight="1">
      <c r="A9310" s="26">
        <v>1000593418</v>
      </c>
      <c r="B9310" s="29" t="s">
        <v>11533</v>
      </c>
      <c r="C9310" s="29" t="s">
        <v>25471</v>
      </c>
      <c r="D9310" s="29" t="s">
        <v>38893</v>
      </c>
      <c r="E9310" s="29" t="s">
        <v>50956</v>
      </c>
      <c r="F9310" s="36" t="s">
        <v>54401</v>
      </c>
      <c r="G9310" s="39">
        <v>74655.47</v>
      </c>
      <c r="H9310" s="42">
        <v>211</v>
      </c>
    </row>
    <row r="9311" spans="1:8" ht="15" customHeight="1">
      <c r="A9311" s="26">
        <v>1000729454</v>
      </c>
      <c r="B9311" s="29" t="s">
        <v>11534</v>
      </c>
      <c r="C9311" s="26" t="s">
        <v>17204</v>
      </c>
      <c r="D9311" s="26" t="s">
        <v>30349</v>
      </c>
      <c r="E9311" s="26" t="s">
        <v>43926</v>
      </c>
      <c r="F9311" s="37" t="s">
        <v>54401</v>
      </c>
      <c r="G9311" s="39">
        <v>1178334.1100000001</v>
      </c>
      <c r="H9311" s="42">
        <v>211</v>
      </c>
    </row>
    <row r="9312" spans="1:8" ht="15" customHeight="1">
      <c r="A9312" s="26">
        <v>1000806652</v>
      </c>
      <c r="B9312" s="29" t="s">
        <v>11535</v>
      </c>
      <c r="C9312" s="29" t="s">
        <v>25472</v>
      </c>
      <c r="D9312" s="29" t="s">
        <v>38894</v>
      </c>
      <c r="E9312" s="29" t="s">
        <v>50957</v>
      </c>
      <c r="F9312" s="36" t="s">
        <v>54401</v>
      </c>
      <c r="G9312" s="39">
        <v>5957788.6299999999</v>
      </c>
      <c r="H9312" s="42">
        <v>211</v>
      </c>
    </row>
    <row r="9313" spans="1:8" ht="15" customHeight="1">
      <c r="A9313" s="26">
        <v>1000860749</v>
      </c>
      <c r="B9313" s="29" t="s">
        <v>11536</v>
      </c>
      <c r="C9313" s="29" t="s">
        <v>25473</v>
      </c>
      <c r="D9313" s="29" t="s">
        <v>38895</v>
      </c>
      <c r="E9313" s="29" t="s">
        <v>50958</v>
      </c>
      <c r="F9313" s="36" t="s">
        <v>54401</v>
      </c>
      <c r="G9313" s="39">
        <v>51789.919999999998</v>
      </c>
      <c r="H9313" s="42">
        <v>211</v>
      </c>
    </row>
    <row r="9314" spans="1:8" ht="15" customHeight="1">
      <c r="A9314" s="26">
        <v>1001063953</v>
      </c>
      <c r="B9314" s="29" t="s">
        <v>11537</v>
      </c>
      <c r="C9314" s="29" t="s">
        <v>25474</v>
      </c>
      <c r="D9314" s="29" t="s">
        <v>38896</v>
      </c>
      <c r="E9314" s="29" t="s">
        <v>50959</v>
      </c>
      <c r="F9314" s="36" t="s">
        <v>54401</v>
      </c>
      <c r="G9314" s="39">
        <v>72565.69</v>
      </c>
      <c r="H9314" s="42">
        <v>211</v>
      </c>
    </row>
    <row r="9315" spans="1:8" ht="15" customHeight="1">
      <c r="A9315" s="26">
        <v>1001097283</v>
      </c>
      <c r="B9315" s="29" t="s">
        <v>11538</v>
      </c>
      <c r="C9315" s="29" t="s">
        <v>25475</v>
      </c>
      <c r="D9315" s="29" t="s">
        <v>38897</v>
      </c>
      <c r="E9315" s="29" t="s">
        <v>50960</v>
      </c>
      <c r="F9315" s="36" t="s">
        <v>54401</v>
      </c>
      <c r="G9315" s="39">
        <v>651000.19999999995</v>
      </c>
      <c r="H9315" s="42">
        <v>211</v>
      </c>
    </row>
    <row r="9316" spans="1:8" ht="15" customHeight="1">
      <c r="A9316" s="26">
        <v>1001098709</v>
      </c>
      <c r="B9316" s="29" t="s">
        <v>11539</v>
      </c>
      <c r="C9316" s="29" t="s">
        <v>25476</v>
      </c>
      <c r="D9316" s="29" t="s">
        <v>38898</v>
      </c>
      <c r="E9316" s="29" t="s">
        <v>44637</v>
      </c>
      <c r="F9316" s="36" t="s">
        <v>54401</v>
      </c>
      <c r="G9316" s="39">
        <v>277605.2</v>
      </c>
      <c r="H9316" s="42">
        <v>211</v>
      </c>
    </row>
    <row r="9317" spans="1:8" ht="15" customHeight="1">
      <c r="A9317" s="26">
        <v>1001116124</v>
      </c>
      <c r="B9317" s="29" t="s">
        <v>11540</v>
      </c>
      <c r="C9317" s="26" t="s">
        <v>25477</v>
      </c>
      <c r="D9317" s="26" t="s">
        <v>38899</v>
      </c>
      <c r="E9317" s="26" t="s">
        <v>50961</v>
      </c>
      <c r="F9317" s="37" t="s">
        <v>54401</v>
      </c>
      <c r="G9317" s="39">
        <v>2397167.2200000002</v>
      </c>
      <c r="H9317" s="42">
        <v>211</v>
      </c>
    </row>
    <row r="9318" spans="1:8" ht="15" customHeight="1">
      <c r="A9318" s="26">
        <v>1001315321</v>
      </c>
      <c r="B9318" s="29" t="s">
        <v>11541</v>
      </c>
      <c r="C9318" s="29" t="s">
        <v>25478</v>
      </c>
      <c r="D9318" s="29" t="s">
        <v>38900</v>
      </c>
      <c r="E9318" s="29" t="s">
        <v>50962</v>
      </c>
      <c r="F9318" s="36" t="s">
        <v>54401</v>
      </c>
      <c r="G9318" s="39">
        <v>2209837.1</v>
      </c>
      <c r="H9318" s="42">
        <v>211</v>
      </c>
    </row>
    <row r="9319" spans="1:8" ht="15" customHeight="1">
      <c r="A9319" s="26">
        <v>1001330459</v>
      </c>
      <c r="B9319" s="29" t="s">
        <v>11542</v>
      </c>
      <c r="C9319" s="26" t="s">
        <v>22512</v>
      </c>
      <c r="D9319" s="26" t="s">
        <v>38901</v>
      </c>
      <c r="E9319" s="26" t="s">
        <v>50963</v>
      </c>
      <c r="F9319" s="37" t="s">
        <v>54409</v>
      </c>
      <c r="G9319" s="39">
        <v>1571963.64</v>
      </c>
      <c r="H9319" s="42">
        <v>211</v>
      </c>
    </row>
    <row r="9320" spans="1:8" ht="15" customHeight="1">
      <c r="A9320" s="27">
        <v>1001340727</v>
      </c>
      <c r="B9320" s="26" t="s">
        <v>11543</v>
      </c>
      <c r="C9320" s="32"/>
      <c r="D9320" s="32"/>
      <c r="E9320" s="26" t="s">
        <v>50964</v>
      </c>
      <c r="F9320" s="26" t="s">
        <v>54462</v>
      </c>
      <c r="G9320" s="41">
        <v>3804000</v>
      </c>
      <c r="H9320" s="26">
        <v>4729</v>
      </c>
    </row>
    <row r="9321" spans="1:8" ht="15" customHeight="1">
      <c r="A9321" s="26">
        <v>1001455102</v>
      </c>
      <c r="B9321" s="29" t="s">
        <v>11544</v>
      </c>
      <c r="C9321" s="29" t="s">
        <v>25479</v>
      </c>
      <c r="D9321" s="29" t="s">
        <v>38902</v>
      </c>
      <c r="E9321" s="29" t="s">
        <v>50965</v>
      </c>
      <c r="F9321" s="36" t="s">
        <v>54401</v>
      </c>
      <c r="G9321" s="39">
        <v>1682944.74</v>
      </c>
      <c r="H9321" s="42">
        <v>211</v>
      </c>
    </row>
    <row r="9322" spans="1:8" ht="15" customHeight="1">
      <c r="A9322" s="26">
        <v>1001778421</v>
      </c>
      <c r="B9322" s="29" t="s">
        <v>11545</v>
      </c>
      <c r="C9322" s="29" t="s">
        <v>25480</v>
      </c>
      <c r="D9322" s="29" t="s">
        <v>38903</v>
      </c>
      <c r="E9322" s="29" t="s">
        <v>50966</v>
      </c>
      <c r="F9322" s="36" t="s">
        <v>54401</v>
      </c>
      <c r="G9322" s="39">
        <v>165698.10999999999</v>
      </c>
      <c r="H9322" s="42">
        <v>211</v>
      </c>
    </row>
    <row r="9323" spans="1:8" ht="15" customHeight="1">
      <c r="A9323" s="26">
        <v>1001780247</v>
      </c>
      <c r="B9323" s="29" t="s">
        <v>11546</v>
      </c>
      <c r="C9323" s="29" t="s">
        <v>25481</v>
      </c>
      <c r="D9323" s="29" t="s">
        <v>38904</v>
      </c>
      <c r="E9323" s="29" t="s">
        <v>50967</v>
      </c>
      <c r="F9323" s="36" t="s">
        <v>54401</v>
      </c>
      <c r="G9323" s="39">
        <v>2520496.81</v>
      </c>
      <c r="H9323" s="42">
        <v>211</v>
      </c>
    </row>
    <row r="9324" spans="1:8" ht="15" customHeight="1">
      <c r="A9324" s="26">
        <v>1002261713</v>
      </c>
      <c r="B9324" s="29" t="s">
        <v>11547</v>
      </c>
      <c r="C9324" s="29" t="s">
        <v>17593</v>
      </c>
      <c r="D9324" s="29" t="s">
        <v>30749</v>
      </c>
      <c r="E9324" s="29" t="s">
        <v>50968</v>
      </c>
      <c r="F9324" s="36" t="s">
        <v>54401</v>
      </c>
      <c r="G9324" s="39">
        <v>2452657.5499999998</v>
      </c>
      <c r="H9324" s="42">
        <v>211</v>
      </c>
    </row>
    <row r="9325" spans="1:8" ht="15" customHeight="1">
      <c r="A9325" s="26">
        <v>1002261717</v>
      </c>
      <c r="B9325" s="29" t="s">
        <v>11548</v>
      </c>
      <c r="C9325" s="29" t="s">
        <v>25482</v>
      </c>
      <c r="D9325" s="29" t="s">
        <v>38905</v>
      </c>
      <c r="E9325" s="29" t="s">
        <v>50969</v>
      </c>
      <c r="F9325" s="36" t="s">
        <v>54401</v>
      </c>
      <c r="G9325" s="39">
        <v>2771211.58</v>
      </c>
      <c r="H9325" s="42">
        <v>211</v>
      </c>
    </row>
    <row r="9326" spans="1:8" ht="15" customHeight="1">
      <c r="A9326" s="26">
        <v>1002269899</v>
      </c>
      <c r="B9326" s="29" t="s">
        <v>11549</v>
      </c>
      <c r="C9326" s="29" t="s">
        <v>25483</v>
      </c>
      <c r="D9326" s="29" t="s">
        <v>38906</v>
      </c>
      <c r="E9326" s="29" t="s">
        <v>50970</v>
      </c>
      <c r="F9326" s="36" t="s">
        <v>54423</v>
      </c>
      <c r="G9326" s="39">
        <v>667904.78</v>
      </c>
      <c r="H9326" s="42">
        <v>211</v>
      </c>
    </row>
    <row r="9327" spans="1:8" ht="15" customHeight="1">
      <c r="A9327" s="26">
        <v>1002270087</v>
      </c>
      <c r="B9327" s="29" t="s">
        <v>11550</v>
      </c>
      <c r="C9327" s="26" t="s">
        <v>25484</v>
      </c>
      <c r="D9327" s="26" t="s">
        <v>38907</v>
      </c>
      <c r="E9327" s="26" t="s">
        <v>50971</v>
      </c>
      <c r="F9327" s="37" t="s">
        <v>54401</v>
      </c>
      <c r="G9327" s="39">
        <v>288673.46999999997</v>
      </c>
      <c r="H9327" s="42">
        <v>211</v>
      </c>
    </row>
    <row r="9328" spans="1:8" ht="15" customHeight="1">
      <c r="A9328" s="26">
        <v>1002290704</v>
      </c>
      <c r="B9328" s="29" t="s">
        <v>11551</v>
      </c>
      <c r="C9328" s="29" t="s">
        <v>25485</v>
      </c>
      <c r="D9328" s="29" t="s">
        <v>38908</v>
      </c>
      <c r="E9328" s="29" t="s">
        <v>50972</v>
      </c>
      <c r="F9328" s="36" t="s">
        <v>54470</v>
      </c>
      <c r="G9328" s="39">
        <v>145953.82999999999</v>
      </c>
      <c r="H9328" s="42">
        <v>211</v>
      </c>
    </row>
    <row r="9329" spans="1:8" ht="15" customHeight="1">
      <c r="A9329" s="26">
        <v>1002300508</v>
      </c>
      <c r="B9329" s="29" t="s">
        <v>11552</v>
      </c>
      <c r="C9329" s="29" t="s">
        <v>25486</v>
      </c>
      <c r="D9329" s="29" t="s">
        <v>38909</v>
      </c>
      <c r="E9329" s="29" t="s">
        <v>50973</v>
      </c>
      <c r="F9329" s="36" t="s">
        <v>54401</v>
      </c>
      <c r="G9329" s="39">
        <v>116470.59</v>
      </c>
      <c r="H9329" s="42">
        <v>211</v>
      </c>
    </row>
    <row r="9330" spans="1:8" ht="15" customHeight="1">
      <c r="A9330" s="26">
        <v>1002300584</v>
      </c>
      <c r="B9330" s="29" t="s">
        <v>11553</v>
      </c>
      <c r="C9330" s="29" t="s">
        <v>25487</v>
      </c>
      <c r="D9330" s="29" t="s">
        <v>38910</v>
      </c>
      <c r="E9330" s="29" t="s">
        <v>43926</v>
      </c>
      <c r="F9330" s="36" t="s">
        <v>54401</v>
      </c>
      <c r="G9330" s="39">
        <v>50025.21</v>
      </c>
      <c r="H9330" s="42">
        <v>211</v>
      </c>
    </row>
    <row r="9331" spans="1:8" ht="15" customHeight="1">
      <c r="A9331" s="26">
        <v>1002300866</v>
      </c>
      <c r="B9331" s="29" t="s">
        <v>11554</v>
      </c>
      <c r="C9331" s="29" t="s">
        <v>25488</v>
      </c>
      <c r="D9331" s="29" t="s">
        <v>38911</v>
      </c>
      <c r="E9331" s="29" t="s">
        <v>50974</v>
      </c>
      <c r="F9331" s="36" t="s">
        <v>54401</v>
      </c>
      <c r="G9331" s="39">
        <v>1092956.7</v>
      </c>
      <c r="H9331" s="42">
        <v>211</v>
      </c>
    </row>
    <row r="9332" spans="1:8" ht="15" customHeight="1">
      <c r="A9332" s="26">
        <v>1002329154</v>
      </c>
      <c r="B9332" s="29" t="s">
        <v>11555</v>
      </c>
      <c r="C9332" s="29" t="s">
        <v>25489</v>
      </c>
      <c r="D9332" s="29" t="s">
        <v>38912</v>
      </c>
      <c r="E9332" s="29" t="s">
        <v>50975</v>
      </c>
      <c r="F9332" s="36" t="s">
        <v>54401</v>
      </c>
      <c r="G9332" s="39">
        <v>138879.16</v>
      </c>
      <c r="H9332" s="42">
        <v>211</v>
      </c>
    </row>
    <row r="9333" spans="1:8" ht="15" customHeight="1">
      <c r="A9333" s="26">
        <v>1002330407</v>
      </c>
      <c r="B9333" s="29" t="s">
        <v>11556</v>
      </c>
      <c r="C9333" s="29" t="s">
        <v>25490</v>
      </c>
      <c r="D9333" s="29" t="s">
        <v>38913</v>
      </c>
      <c r="E9333" s="29" t="s">
        <v>50976</v>
      </c>
      <c r="F9333" s="36" t="s">
        <v>54401</v>
      </c>
      <c r="G9333" s="39">
        <v>4861119.9000000004</v>
      </c>
      <c r="H9333" s="42">
        <v>211</v>
      </c>
    </row>
    <row r="9334" spans="1:8" ht="15" customHeight="1">
      <c r="A9334" s="26">
        <v>1002330415</v>
      </c>
      <c r="B9334" s="29" t="s">
        <v>11557</v>
      </c>
      <c r="C9334" s="29" t="s">
        <v>25491</v>
      </c>
      <c r="D9334" s="29" t="s">
        <v>38914</v>
      </c>
      <c r="E9334" s="29" t="s">
        <v>50977</v>
      </c>
      <c r="F9334" s="36" t="s">
        <v>54402</v>
      </c>
      <c r="G9334" s="39">
        <v>3763959.57</v>
      </c>
      <c r="H9334" s="42">
        <v>211</v>
      </c>
    </row>
    <row r="9335" spans="1:8" ht="15" customHeight="1">
      <c r="A9335" s="26">
        <v>1002330838</v>
      </c>
      <c r="B9335" s="29" t="s">
        <v>11558</v>
      </c>
      <c r="C9335" s="29" t="s">
        <v>25492</v>
      </c>
      <c r="D9335" s="29" t="s">
        <v>30376</v>
      </c>
      <c r="E9335" s="29" t="s">
        <v>50978</v>
      </c>
      <c r="F9335" s="36" t="s">
        <v>54401</v>
      </c>
      <c r="G9335" s="39">
        <v>2842305.24</v>
      </c>
      <c r="H9335" s="42">
        <v>211</v>
      </c>
    </row>
    <row r="9336" spans="1:8" ht="15" customHeight="1">
      <c r="A9336" s="26">
        <v>1002331268</v>
      </c>
      <c r="B9336" s="29" t="s">
        <v>11559</v>
      </c>
      <c r="C9336" s="29" t="s">
        <v>25493</v>
      </c>
      <c r="D9336" s="29" t="s">
        <v>38915</v>
      </c>
      <c r="E9336" s="29" t="s">
        <v>46818</v>
      </c>
      <c r="F9336" s="36" t="s">
        <v>54401</v>
      </c>
      <c r="G9336" s="39">
        <v>30385.79</v>
      </c>
      <c r="H9336" s="42">
        <v>211</v>
      </c>
    </row>
    <row r="9337" spans="1:8" ht="15" customHeight="1">
      <c r="A9337" s="26">
        <v>1002331620</v>
      </c>
      <c r="B9337" s="29" t="s">
        <v>11560</v>
      </c>
      <c r="C9337" s="29" t="s">
        <v>25494</v>
      </c>
      <c r="D9337" s="29" t="s">
        <v>38916</v>
      </c>
      <c r="E9337" s="29" t="s">
        <v>50979</v>
      </c>
      <c r="F9337" s="36" t="s">
        <v>54401</v>
      </c>
      <c r="G9337" s="39">
        <v>584125.85</v>
      </c>
      <c r="H9337" s="42">
        <v>211</v>
      </c>
    </row>
    <row r="9338" spans="1:8" ht="15" customHeight="1">
      <c r="A9338" s="26">
        <v>1002339215</v>
      </c>
      <c r="B9338" s="29" t="s">
        <v>11561</v>
      </c>
      <c r="C9338" s="26" t="s">
        <v>25495</v>
      </c>
      <c r="D9338" s="26" t="s">
        <v>38917</v>
      </c>
      <c r="E9338" s="26" t="s">
        <v>727</v>
      </c>
      <c r="F9338" s="37" t="s">
        <v>54418</v>
      </c>
      <c r="G9338" s="39">
        <v>101190.48</v>
      </c>
      <c r="H9338" s="42">
        <v>211</v>
      </c>
    </row>
    <row r="9339" spans="1:8" ht="15" customHeight="1">
      <c r="A9339" s="26">
        <v>1002355395</v>
      </c>
      <c r="B9339" s="29" t="s">
        <v>11562</v>
      </c>
      <c r="C9339" s="29" t="s">
        <v>25496</v>
      </c>
      <c r="D9339" s="29" t="s">
        <v>38918</v>
      </c>
      <c r="E9339" s="29" t="s">
        <v>50980</v>
      </c>
      <c r="F9339" s="36" t="s">
        <v>54401</v>
      </c>
      <c r="G9339" s="39">
        <v>539270.40000000002</v>
      </c>
      <c r="H9339" s="42">
        <v>211</v>
      </c>
    </row>
    <row r="9340" spans="1:8" ht="15" customHeight="1">
      <c r="A9340" s="26">
        <v>1002365165</v>
      </c>
      <c r="B9340" s="29" t="s">
        <v>11563</v>
      </c>
      <c r="C9340" s="29" t="s">
        <v>17204</v>
      </c>
      <c r="D9340" s="29" t="s">
        <v>38919</v>
      </c>
      <c r="E9340" s="29" t="s">
        <v>43926</v>
      </c>
      <c r="F9340" s="36" t="s">
        <v>54401</v>
      </c>
      <c r="G9340" s="39">
        <v>1141754.8700000001</v>
      </c>
      <c r="H9340" s="42">
        <v>211</v>
      </c>
    </row>
    <row r="9341" spans="1:8" ht="15" customHeight="1">
      <c r="A9341" s="26">
        <v>1002367521</v>
      </c>
      <c r="B9341" s="29" t="s">
        <v>11564</v>
      </c>
      <c r="C9341" s="29" t="s">
        <v>25497</v>
      </c>
      <c r="D9341" s="29" t="s">
        <v>38920</v>
      </c>
      <c r="E9341" s="29" t="s">
        <v>50981</v>
      </c>
      <c r="F9341" s="36" t="s">
        <v>54412</v>
      </c>
      <c r="G9341" s="39">
        <v>136352.37</v>
      </c>
      <c r="H9341" s="42">
        <v>211</v>
      </c>
    </row>
    <row r="9342" spans="1:8" ht="15" customHeight="1">
      <c r="A9342" s="26">
        <v>1002367826</v>
      </c>
      <c r="B9342" s="29" t="s">
        <v>11565</v>
      </c>
      <c r="C9342" s="29" t="s">
        <v>17204</v>
      </c>
      <c r="D9342" s="29" t="s">
        <v>38921</v>
      </c>
      <c r="E9342" s="29" t="s">
        <v>43926</v>
      </c>
      <c r="F9342" s="36" t="s">
        <v>54401</v>
      </c>
      <c r="G9342" s="39">
        <v>1781094.49</v>
      </c>
      <c r="H9342" s="42">
        <v>211</v>
      </c>
    </row>
    <row r="9343" spans="1:8" ht="15" customHeight="1">
      <c r="A9343" s="26">
        <v>1002368251</v>
      </c>
      <c r="B9343" s="29" t="s">
        <v>11566</v>
      </c>
      <c r="C9343" s="29" t="s">
        <v>25498</v>
      </c>
      <c r="D9343" s="29" t="s">
        <v>38922</v>
      </c>
      <c r="E9343" s="29" t="s">
        <v>50982</v>
      </c>
      <c r="F9343" s="36" t="s">
        <v>54401</v>
      </c>
      <c r="G9343" s="39">
        <v>505756.01</v>
      </c>
      <c r="H9343" s="42">
        <v>211</v>
      </c>
    </row>
    <row r="9344" spans="1:8" ht="15" customHeight="1">
      <c r="A9344" s="26">
        <v>1002393614</v>
      </c>
      <c r="B9344" s="29" t="s">
        <v>11567</v>
      </c>
      <c r="C9344" s="29" t="s">
        <v>25499</v>
      </c>
      <c r="D9344" s="29" t="s">
        <v>38923</v>
      </c>
      <c r="E9344" s="29" t="s">
        <v>44970</v>
      </c>
      <c r="F9344" s="36" t="s">
        <v>54401</v>
      </c>
      <c r="G9344" s="39">
        <v>213174.49</v>
      </c>
      <c r="H9344" s="42">
        <v>211</v>
      </c>
    </row>
    <row r="9345" spans="1:8" ht="15" customHeight="1">
      <c r="A9345" s="26">
        <v>1002393617</v>
      </c>
      <c r="B9345" s="29" t="s">
        <v>11568</v>
      </c>
      <c r="C9345" s="29" t="s">
        <v>25500</v>
      </c>
      <c r="D9345" s="29" t="s">
        <v>38924</v>
      </c>
      <c r="E9345" s="29" t="s">
        <v>46335</v>
      </c>
      <c r="F9345" s="36" t="s">
        <v>54401</v>
      </c>
      <c r="G9345" s="39">
        <v>1574005.92</v>
      </c>
      <c r="H9345" s="42">
        <v>211</v>
      </c>
    </row>
    <row r="9346" spans="1:8" ht="15" customHeight="1">
      <c r="A9346" s="26">
        <v>1002393711</v>
      </c>
      <c r="B9346" s="29" t="s">
        <v>11569</v>
      </c>
      <c r="C9346" s="29" t="s">
        <v>17204</v>
      </c>
      <c r="D9346" s="29" t="s">
        <v>30349</v>
      </c>
      <c r="E9346" s="29" t="s">
        <v>43926</v>
      </c>
      <c r="F9346" s="36" t="s">
        <v>54401</v>
      </c>
      <c r="G9346" s="39">
        <v>829128.45</v>
      </c>
      <c r="H9346" s="42">
        <v>211</v>
      </c>
    </row>
    <row r="9347" spans="1:8" ht="15" customHeight="1">
      <c r="A9347" s="26">
        <v>1002395004</v>
      </c>
      <c r="B9347" s="29" t="s">
        <v>11570</v>
      </c>
      <c r="C9347" s="29" t="s">
        <v>25501</v>
      </c>
      <c r="D9347" s="29" t="s">
        <v>38925</v>
      </c>
      <c r="E9347" s="29" t="s">
        <v>50983</v>
      </c>
      <c r="F9347" s="36" t="s">
        <v>54401</v>
      </c>
      <c r="G9347" s="39">
        <v>1089473.2</v>
      </c>
      <c r="H9347" s="42">
        <v>211</v>
      </c>
    </row>
    <row r="9348" spans="1:8" ht="15" customHeight="1">
      <c r="A9348" s="26">
        <v>1002395281</v>
      </c>
      <c r="B9348" s="29" t="s">
        <v>11571</v>
      </c>
      <c r="C9348" s="29" t="s">
        <v>17204</v>
      </c>
      <c r="D9348" s="29" t="s">
        <v>38926</v>
      </c>
      <c r="E9348" s="29" t="s">
        <v>43926</v>
      </c>
      <c r="F9348" s="36" t="s">
        <v>54401</v>
      </c>
      <c r="G9348" s="39">
        <v>2707192.45</v>
      </c>
      <c r="H9348" s="42">
        <v>211</v>
      </c>
    </row>
    <row r="9349" spans="1:8" ht="15" customHeight="1">
      <c r="A9349" s="26">
        <v>1002395374</v>
      </c>
      <c r="B9349" s="29" t="s">
        <v>11572</v>
      </c>
      <c r="C9349" s="29" t="s">
        <v>25502</v>
      </c>
      <c r="D9349" s="29" t="s">
        <v>38927</v>
      </c>
      <c r="E9349" s="29" t="s">
        <v>50984</v>
      </c>
      <c r="F9349" s="36" t="s">
        <v>54412</v>
      </c>
      <c r="G9349" s="39">
        <v>2024486</v>
      </c>
      <c r="H9349" s="42">
        <v>211</v>
      </c>
    </row>
    <row r="9350" spans="1:8" ht="15" customHeight="1">
      <c r="A9350" s="26">
        <v>1002395782</v>
      </c>
      <c r="B9350" s="29" t="s">
        <v>11573</v>
      </c>
      <c r="C9350" s="29" t="s">
        <v>17204</v>
      </c>
      <c r="D9350" s="29" t="s">
        <v>30349</v>
      </c>
      <c r="E9350" s="29" t="s">
        <v>43926</v>
      </c>
      <c r="F9350" s="36" t="s">
        <v>54401</v>
      </c>
      <c r="G9350" s="39">
        <v>545866.34</v>
      </c>
      <c r="H9350" s="42">
        <v>211</v>
      </c>
    </row>
    <row r="9351" spans="1:8" ht="15" customHeight="1">
      <c r="A9351" s="26">
        <v>1002397540</v>
      </c>
      <c r="B9351" s="29" t="s">
        <v>11574</v>
      </c>
      <c r="C9351" s="29" t="s">
        <v>25503</v>
      </c>
      <c r="D9351" s="29" t="s">
        <v>38928</v>
      </c>
      <c r="E9351" s="29" t="s">
        <v>50985</v>
      </c>
      <c r="F9351" s="36" t="s">
        <v>54401</v>
      </c>
      <c r="G9351" s="39">
        <v>1243639.6399999999</v>
      </c>
      <c r="H9351" s="42">
        <v>211</v>
      </c>
    </row>
    <row r="9352" spans="1:8" ht="15" customHeight="1">
      <c r="A9352" s="26">
        <v>1002402961</v>
      </c>
      <c r="B9352" s="29" t="s">
        <v>11575</v>
      </c>
      <c r="C9352" s="29" t="s">
        <v>25504</v>
      </c>
      <c r="D9352" s="29" t="s">
        <v>38929</v>
      </c>
      <c r="E9352" s="29" t="s">
        <v>50986</v>
      </c>
      <c r="F9352" s="36" t="s">
        <v>54401</v>
      </c>
      <c r="G9352" s="39">
        <v>741428.65</v>
      </c>
      <c r="H9352" s="42">
        <v>211</v>
      </c>
    </row>
    <row r="9353" spans="1:8" ht="15" customHeight="1">
      <c r="A9353" s="26">
        <v>1002408264</v>
      </c>
      <c r="B9353" s="29" t="s">
        <v>11576</v>
      </c>
      <c r="C9353" s="29" t="s">
        <v>25505</v>
      </c>
      <c r="D9353" s="29" t="s">
        <v>30532</v>
      </c>
      <c r="E9353" s="29" t="s">
        <v>50987</v>
      </c>
      <c r="F9353" s="36" t="s">
        <v>54401</v>
      </c>
      <c r="G9353" s="39">
        <v>624852.31999999995</v>
      </c>
      <c r="H9353" s="42">
        <v>211</v>
      </c>
    </row>
    <row r="9354" spans="1:8" ht="15" customHeight="1">
      <c r="A9354" s="26">
        <v>1002413652</v>
      </c>
      <c r="B9354" s="29" t="s">
        <v>11577</v>
      </c>
      <c r="C9354" s="29" t="s">
        <v>25506</v>
      </c>
      <c r="D9354" s="29" t="s">
        <v>38930</v>
      </c>
      <c r="E9354" s="29" t="s">
        <v>50988</v>
      </c>
      <c r="F9354" s="36" t="s">
        <v>54401</v>
      </c>
      <c r="G9354" s="39">
        <v>4141109.33</v>
      </c>
      <c r="H9354" s="42">
        <v>211</v>
      </c>
    </row>
    <row r="9355" spans="1:8" ht="15" customHeight="1">
      <c r="A9355" s="26">
        <v>1002414544</v>
      </c>
      <c r="B9355" s="29" t="s">
        <v>11578</v>
      </c>
      <c r="C9355" s="26" t="s">
        <v>17204</v>
      </c>
      <c r="D9355" s="26" t="s">
        <v>30349</v>
      </c>
      <c r="E9355" s="26" t="s">
        <v>43926</v>
      </c>
      <c r="F9355" s="37" t="s">
        <v>54401</v>
      </c>
      <c r="G9355" s="39">
        <v>305794.48</v>
      </c>
      <c r="H9355" s="42">
        <v>211</v>
      </c>
    </row>
    <row r="9356" spans="1:8" ht="15" customHeight="1">
      <c r="A9356" s="26">
        <v>1002414753</v>
      </c>
      <c r="B9356" s="29" t="s">
        <v>11579</v>
      </c>
      <c r="C9356" s="26" t="s">
        <v>17204</v>
      </c>
      <c r="D9356" s="26" t="s">
        <v>38931</v>
      </c>
      <c r="E9356" s="26" t="s">
        <v>43926</v>
      </c>
      <c r="F9356" s="37" t="s">
        <v>54401</v>
      </c>
      <c r="G9356" s="39">
        <v>575418.1</v>
      </c>
      <c r="H9356" s="42">
        <v>211</v>
      </c>
    </row>
    <row r="9357" spans="1:8" ht="15" customHeight="1">
      <c r="A9357" s="26">
        <v>1002414934</v>
      </c>
      <c r="B9357" s="29" t="s">
        <v>11580</v>
      </c>
      <c r="C9357" s="29" t="s">
        <v>25507</v>
      </c>
      <c r="D9357" s="29" t="s">
        <v>38932</v>
      </c>
      <c r="E9357" s="29" t="s">
        <v>49685</v>
      </c>
      <c r="F9357" s="36" t="s">
        <v>54401</v>
      </c>
      <c r="G9357" s="39">
        <v>1198350.53</v>
      </c>
      <c r="H9357" s="42">
        <v>211</v>
      </c>
    </row>
    <row r="9358" spans="1:8" ht="15" customHeight="1">
      <c r="A9358" s="26">
        <v>1002415015</v>
      </c>
      <c r="B9358" s="29" t="s">
        <v>11581</v>
      </c>
      <c r="C9358" s="29" t="s">
        <v>22423</v>
      </c>
      <c r="D9358" s="29" t="s">
        <v>38933</v>
      </c>
      <c r="E9358" s="29" t="s">
        <v>48384</v>
      </c>
      <c r="F9358" s="36" t="s">
        <v>54401</v>
      </c>
      <c r="G9358" s="39">
        <v>5530640.25</v>
      </c>
      <c r="H9358" s="42">
        <v>211</v>
      </c>
    </row>
    <row r="9359" spans="1:8" ht="15" customHeight="1">
      <c r="A9359" s="26">
        <v>1002415069</v>
      </c>
      <c r="B9359" s="29" t="s">
        <v>11582</v>
      </c>
      <c r="C9359" s="29" t="s">
        <v>25508</v>
      </c>
      <c r="D9359" s="29" t="s">
        <v>30376</v>
      </c>
      <c r="E9359" s="29" t="s">
        <v>43926</v>
      </c>
      <c r="F9359" s="36" t="s">
        <v>54401</v>
      </c>
      <c r="G9359" s="39">
        <v>1558247.58</v>
      </c>
      <c r="H9359" s="42">
        <v>211</v>
      </c>
    </row>
    <row r="9360" spans="1:8" ht="15" customHeight="1">
      <c r="A9360" s="26">
        <v>1002436330</v>
      </c>
      <c r="B9360" s="29" t="s">
        <v>11583</v>
      </c>
      <c r="C9360" s="29" t="s">
        <v>25509</v>
      </c>
      <c r="D9360" s="29" t="s">
        <v>38934</v>
      </c>
      <c r="E9360" s="29" t="s">
        <v>44874</v>
      </c>
      <c r="F9360" s="36" t="s">
        <v>54401</v>
      </c>
      <c r="G9360" s="39">
        <v>1739156.01</v>
      </c>
      <c r="H9360" s="42">
        <v>211</v>
      </c>
    </row>
    <row r="9361" spans="1:8" ht="15" customHeight="1">
      <c r="A9361" s="26">
        <v>1002438235</v>
      </c>
      <c r="B9361" s="29" t="s">
        <v>11584</v>
      </c>
      <c r="C9361" s="29" t="s">
        <v>25510</v>
      </c>
      <c r="D9361" s="29" t="s">
        <v>38935</v>
      </c>
      <c r="E9361" s="29" t="s">
        <v>50016</v>
      </c>
      <c r="F9361" s="36" t="s">
        <v>54401</v>
      </c>
      <c r="G9361" s="39">
        <v>4899822.2699999996</v>
      </c>
      <c r="H9361" s="42">
        <v>211</v>
      </c>
    </row>
    <row r="9362" spans="1:8" ht="15" customHeight="1">
      <c r="A9362" s="26">
        <v>1002438236</v>
      </c>
      <c r="B9362" s="29" t="s">
        <v>11585</v>
      </c>
      <c r="C9362" s="29" t="s">
        <v>25511</v>
      </c>
      <c r="D9362" s="29" t="s">
        <v>38936</v>
      </c>
      <c r="E9362" s="29" t="s">
        <v>50989</v>
      </c>
      <c r="F9362" s="36" t="s">
        <v>54401</v>
      </c>
      <c r="G9362" s="39">
        <v>41403.360000000001</v>
      </c>
      <c r="H9362" s="42">
        <v>211</v>
      </c>
    </row>
    <row r="9363" spans="1:8" ht="15" customHeight="1">
      <c r="A9363" s="26">
        <v>1002438375</v>
      </c>
      <c r="B9363" s="29" t="s">
        <v>11586</v>
      </c>
      <c r="C9363" s="29" t="s">
        <v>25512</v>
      </c>
      <c r="D9363" s="29" t="s">
        <v>38937</v>
      </c>
      <c r="E9363" s="29" t="s">
        <v>46670</v>
      </c>
      <c r="F9363" s="36" t="s">
        <v>54423</v>
      </c>
      <c r="G9363" s="39">
        <v>835572.83</v>
      </c>
      <c r="H9363" s="42">
        <v>211</v>
      </c>
    </row>
    <row r="9364" spans="1:8" ht="15" customHeight="1">
      <c r="A9364" s="26">
        <v>1002438401</v>
      </c>
      <c r="B9364" s="29" t="s">
        <v>11587</v>
      </c>
      <c r="C9364" s="29" t="s">
        <v>25513</v>
      </c>
      <c r="D9364" s="29" t="s">
        <v>38938</v>
      </c>
      <c r="E9364" s="29" t="s">
        <v>733</v>
      </c>
      <c r="F9364" s="36" t="s">
        <v>54440</v>
      </c>
      <c r="G9364" s="39">
        <v>76136.12</v>
      </c>
      <c r="H9364" s="42">
        <v>211</v>
      </c>
    </row>
    <row r="9365" spans="1:8" ht="15" customHeight="1">
      <c r="A9365" s="26">
        <v>1002438482</v>
      </c>
      <c r="B9365" s="29" t="s">
        <v>11588</v>
      </c>
      <c r="C9365" s="29" t="s">
        <v>25514</v>
      </c>
      <c r="D9365" s="29" t="s">
        <v>38939</v>
      </c>
      <c r="E9365" s="29" t="s">
        <v>43926</v>
      </c>
      <c r="F9365" s="36" t="s">
        <v>54401</v>
      </c>
      <c r="G9365" s="39">
        <v>4327539</v>
      </c>
      <c r="H9365" s="42">
        <v>211</v>
      </c>
    </row>
    <row r="9366" spans="1:8" ht="15" customHeight="1">
      <c r="A9366" s="26">
        <v>1002454923</v>
      </c>
      <c r="B9366" s="29" t="s">
        <v>11589</v>
      </c>
      <c r="C9366" s="29" t="s">
        <v>25515</v>
      </c>
      <c r="D9366" s="29" t="s">
        <v>38940</v>
      </c>
      <c r="E9366" s="29" t="s">
        <v>43926</v>
      </c>
      <c r="F9366" s="36" t="s">
        <v>54401</v>
      </c>
      <c r="G9366" s="39">
        <v>369627.52</v>
      </c>
      <c r="H9366" s="42">
        <v>211</v>
      </c>
    </row>
    <row r="9367" spans="1:8" ht="15" customHeight="1">
      <c r="A9367" s="26">
        <v>1002454973</v>
      </c>
      <c r="B9367" s="29" t="s">
        <v>11590</v>
      </c>
      <c r="C9367" s="29" t="s">
        <v>17204</v>
      </c>
      <c r="D9367" s="29" t="s">
        <v>30349</v>
      </c>
      <c r="E9367" s="29" t="s">
        <v>43926</v>
      </c>
      <c r="F9367" s="36" t="s">
        <v>54401</v>
      </c>
      <c r="G9367" s="39">
        <v>156630.25</v>
      </c>
      <c r="H9367" s="42">
        <v>211</v>
      </c>
    </row>
    <row r="9368" spans="1:8" ht="15" customHeight="1">
      <c r="A9368" s="26">
        <v>1002455027</v>
      </c>
      <c r="B9368" s="29" t="s">
        <v>11591</v>
      </c>
      <c r="C9368" s="29" t="s">
        <v>25516</v>
      </c>
      <c r="D9368" s="29" t="s">
        <v>37536</v>
      </c>
      <c r="E9368" s="29" t="s">
        <v>43926</v>
      </c>
      <c r="F9368" s="36" t="s">
        <v>54401</v>
      </c>
      <c r="G9368" s="39">
        <v>626037.59</v>
      </c>
      <c r="H9368" s="42">
        <v>211</v>
      </c>
    </row>
    <row r="9369" spans="1:8" ht="15" customHeight="1">
      <c r="A9369" s="26">
        <v>1002455046</v>
      </c>
      <c r="B9369" s="29" t="s">
        <v>11592</v>
      </c>
      <c r="C9369" s="29" t="s">
        <v>25517</v>
      </c>
      <c r="D9369" s="29" t="s">
        <v>38941</v>
      </c>
      <c r="E9369" s="29" t="s">
        <v>50990</v>
      </c>
      <c r="F9369" s="36" t="s">
        <v>54401</v>
      </c>
      <c r="G9369" s="39">
        <v>272225.74</v>
      </c>
      <c r="H9369" s="42">
        <v>211</v>
      </c>
    </row>
    <row r="9370" spans="1:8" ht="15" customHeight="1">
      <c r="A9370" s="26">
        <v>1002455060</v>
      </c>
      <c r="B9370" s="29" t="s">
        <v>11593</v>
      </c>
      <c r="C9370" s="29" t="s">
        <v>25518</v>
      </c>
      <c r="D9370" s="29" t="s">
        <v>38942</v>
      </c>
      <c r="E9370" s="29" t="s">
        <v>1643</v>
      </c>
      <c r="F9370" s="36" t="s">
        <v>54414</v>
      </c>
      <c r="G9370" s="39">
        <v>66142.86</v>
      </c>
      <c r="H9370" s="42">
        <v>211</v>
      </c>
    </row>
    <row r="9371" spans="1:8" ht="15" customHeight="1">
      <c r="A9371" s="26">
        <v>1002455169</v>
      </c>
      <c r="B9371" s="29" t="s">
        <v>11594</v>
      </c>
      <c r="C9371" s="29" t="s">
        <v>25519</v>
      </c>
      <c r="D9371" s="29" t="s">
        <v>38943</v>
      </c>
      <c r="E9371" s="29" t="s">
        <v>43926</v>
      </c>
      <c r="F9371" s="36" t="s">
        <v>54401</v>
      </c>
      <c r="G9371" s="39">
        <v>120980.74</v>
      </c>
      <c r="H9371" s="42">
        <v>211</v>
      </c>
    </row>
    <row r="9372" spans="1:8" ht="15" customHeight="1">
      <c r="A9372" s="26">
        <v>1002455177</v>
      </c>
      <c r="B9372" s="29" t="s">
        <v>11595</v>
      </c>
      <c r="C9372" s="29" t="s">
        <v>25520</v>
      </c>
      <c r="D9372" s="29" t="s">
        <v>38944</v>
      </c>
      <c r="E9372" s="29" t="s">
        <v>46427</v>
      </c>
      <c r="F9372" s="36" t="s">
        <v>54401</v>
      </c>
      <c r="G9372" s="39">
        <v>2798794.9</v>
      </c>
      <c r="H9372" s="42">
        <v>211</v>
      </c>
    </row>
    <row r="9373" spans="1:8" ht="15" customHeight="1">
      <c r="A9373" s="26">
        <v>1002455209</v>
      </c>
      <c r="B9373" s="29" t="s">
        <v>11596</v>
      </c>
      <c r="C9373" s="29" t="s">
        <v>25521</v>
      </c>
      <c r="D9373" s="29" t="s">
        <v>38945</v>
      </c>
      <c r="E9373" s="29" t="s">
        <v>44023</v>
      </c>
      <c r="F9373" s="36" t="s">
        <v>54401</v>
      </c>
      <c r="G9373" s="39">
        <v>407103.52</v>
      </c>
      <c r="H9373" s="42">
        <v>211</v>
      </c>
    </row>
    <row r="9374" spans="1:8" ht="15" customHeight="1">
      <c r="A9374" s="26">
        <v>1002455240</v>
      </c>
      <c r="B9374" s="29" t="s">
        <v>11597</v>
      </c>
      <c r="C9374" s="26" t="s">
        <v>25522</v>
      </c>
      <c r="D9374" s="26" t="s">
        <v>38946</v>
      </c>
      <c r="E9374" s="26" t="s">
        <v>50991</v>
      </c>
      <c r="F9374" s="37" t="s">
        <v>54401</v>
      </c>
      <c r="G9374" s="39">
        <v>679592.38</v>
      </c>
      <c r="H9374" s="42">
        <v>211</v>
      </c>
    </row>
    <row r="9375" spans="1:8" ht="15" customHeight="1">
      <c r="A9375" s="26">
        <v>1002455420</v>
      </c>
      <c r="B9375" s="29" t="s">
        <v>11598</v>
      </c>
      <c r="C9375" s="29" t="s">
        <v>17204</v>
      </c>
      <c r="D9375" s="29" t="s">
        <v>30349</v>
      </c>
      <c r="E9375" s="29" t="s">
        <v>43926</v>
      </c>
      <c r="F9375" s="36" t="s">
        <v>54401</v>
      </c>
      <c r="G9375" s="39">
        <v>318960.59000000003</v>
      </c>
      <c r="H9375" s="42">
        <v>211</v>
      </c>
    </row>
    <row r="9376" spans="1:8" ht="15" customHeight="1">
      <c r="A9376" s="26">
        <v>1002455456</v>
      </c>
      <c r="B9376" s="29" t="s">
        <v>11599</v>
      </c>
      <c r="C9376" s="29" t="s">
        <v>17204</v>
      </c>
      <c r="D9376" s="29" t="s">
        <v>38947</v>
      </c>
      <c r="E9376" s="29" t="s">
        <v>43926</v>
      </c>
      <c r="F9376" s="36" t="s">
        <v>54401</v>
      </c>
      <c r="G9376" s="39">
        <v>369063.82</v>
      </c>
      <c r="H9376" s="42">
        <v>211</v>
      </c>
    </row>
    <row r="9377" spans="1:8" ht="15" customHeight="1">
      <c r="A9377" s="26">
        <v>1002455461</v>
      </c>
      <c r="B9377" s="29" t="s">
        <v>11600</v>
      </c>
      <c r="C9377" s="29" t="s">
        <v>25523</v>
      </c>
      <c r="D9377" s="29" t="s">
        <v>38948</v>
      </c>
      <c r="E9377" s="29" t="s">
        <v>50992</v>
      </c>
      <c r="F9377" s="36" t="s">
        <v>54401</v>
      </c>
      <c r="G9377" s="39">
        <v>118055.17</v>
      </c>
      <c r="H9377" s="42">
        <v>211</v>
      </c>
    </row>
    <row r="9378" spans="1:8" ht="15" customHeight="1">
      <c r="A9378" s="26">
        <v>1002455496</v>
      </c>
      <c r="B9378" s="29" t="s">
        <v>11601</v>
      </c>
      <c r="C9378" s="29" t="s">
        <v>25524</v>
      </c>
      <c r="D9378" s="29" t="s">
        <v>38949</v>
      </c>
      <c r="E9378" s="29" t="s">
        <v>50993</v>
      </c>
      <c r="F9378" s="36" t="s">
        <v>54401</v>
      </c>
      <c r="G9378" s="39">
        <v>1221522.56</v>
      </c>
      <c r="H9378" s="42">
        <v>211</v>
      </c>
    </row>
    <row r="9379" spans="1:8" ht="15" customHeight="1">
      <c r="A9379" s="26">
        <v>1002457154</v>
      </c>
      <c r="B9379" s="29" t="s">
        <v>11602</v>
      </c>
      <c r="C9379" s="29" t="s">
        <v>25525</v>
      </c>
      <c r="D9379" s="29" t="s">
        <v>38950</v>
      </c>
      <c r="E9379" s="29" t="s">
        <v>50994</v>
      </c>
      <c r="F9379" s="36" t="s">
        <v>54401</v>
      </c>
      <c r="G9379" s="39">
        <v>309209.03000000003</v>
      </c>
      <c r="H9379" s="42">
        <v>211</v>
      </c>
    </row>
    <row r="9380" spans="1:8" ht="15" customHeight="1">
      <c r="A9380" s="26">
        <v>1002457169</v>
      </c>
      <c r="B9380" s="29" t="s">
        <v>11603</v>
      </c>
      <c r="C9380" s="26" t="s">
        <v>25526</v>
      </c>
      <c r="D9380" s="26" t="s">
        <v>38951</v>
      </c>
      <c r="E9380" s="26" t="s">
        <v>50995</v>
      </c>
      <c r="F9380" s="37" t="s">
        <v>54401</v>
      </c>
      <c r="G9380" s="39">
        <v>1061740.98</v>
      </c>
      <c r="H9380" s="42">
        <v>211</v>
      </c>
    </row>
    <row r="9381" spans="1:8" ht="15" customHeight="1">
      <c r="A9381" s="26">
        <v>1002457303</v>
      </c>
      <c r="B9381" s="29" t="s">
        <v>11604</v>
      </c>
      <c r="C9381" s="29" t="s">
        <v>25527</v>
      </c>
      <c r="D9381" s="29" t="s">
        <v>38952</v>
      </c>
      <c r="E9381" s="29" t="s">
        <v>50996</v>
      </c>
      <c r="F9381" s="36" t="s">
        <v>54401</v>
      </c>
      <c r="G9381" s="39">
        <v>2325969.29</v>
      </c>
      <c r="H9381" s="42">
        <v>211</v>
      </c>
    </row>
    <row r="9382" spans="1:8" ht="15" customHeight="1">
      <c r="A9382" s="26">
        <v>1002457305</v>
      </c>
      <c r="B9382" s="29" t="s">
        <v>11605</v>
      </c>
      <c r="C9382" s="26" t="s">
        <v>25528</v>
      </c>
      <c r="D9382" s="26" t="s">
        <v>38953</v>
      </c>
      <c r="E9382" s="26" t="s">
        <v>50997</v>
      </c>
      <c r="F9382" s="37" t="s">
        <v>54401</v>
      </c>
      <c r="G9382" s="39">
        <v>2194654.4300000002</v>
      </c>
      <c r="H9382" s="42">
        <v>211</v>
      </c>
    </row>
    <row r="9383" spans="1:8" ht="15" customHeight="1">
      <c r="A9383" s="26">
        <v>1002457324</v>
      </c>
      <c r="B9383" s="29" t="s">
        <v>11606</v>
      </c>
      <c r="C9383" s="29" t="s">
        <v>25529</v>
      </c>
      <c r="D9383" s="29" t="s">
        <v>38954</v>
      </c>
      <c r="E9383" s="29" t="s">
        <v>45006</v>
      </c>
      <c r="F9383" s="36" t="s">
        <v>54401</v>
      </c>
      <c r="G9383" s="39">
        <v>335768.09</v>
      </c>
      <c r="H9383" s="42">
        <v>211</v>
      </c>
    </row>
    <row r="9384" spans="1:8" ht="15" customHeight="1">
      <c r="A9384" s="26">
        <v>1002457338</v>
      </c>
      <c r="B9384" s="29" t="s">
        <v>11607</v>
      </c>
      <c r="C9384" s="26" t="s">
        <v>25530</v>
      </c>
      <c r="D9384" s="26" t="s">
        <v>38955</v>
      </c>
      <c r="E9384" s="26" t="s">
        <v>717</v>
      </c>
      <c r="F9384" s="37" t="s">
        <v>54401</v>
      </c>
      <c r="G9384" s="39">
        <v>249683.62</v>
      </c>
      <c r="H9384" s="42">
        <v>211</v>
      </c>
    </row>
    <row r="9385" spans="1:8" ht="15" customHeight="1">
      <c r="A9385" s="26">
        <v>1002457397</v>
      </c>
      <c r="B9385" s="29" t="s">
        <v>11608</v>
      </c>
      <c r="C9385" s="29" t="s">
        <v>25531</v>
      </c>
      <c r="D9385" s="29" t="s">
        <v>38956</v>
      </c>
      <c r="E9385" s="29" t="s">
        <v>50998</v>
      </c>
      <c r="F9385" s="36" t="s">
        <v>54401</v>
      </c>
      <c r="G9385" s="39">
        <v>101933.08</v>
      </c>
      <c r="H9385" s="42">
        <v>211</v>
      </c>
    </row>
    <row r="9386" spans="1:8" ht="15" customHeight="1">
      <c r="A9386" s="26">
        <v>1002457405</v>
      </c>
      <c r="B9386" s="29" t="s">
        <v>11609</v>
      </c>
      <c r="C9386" s="29" t="s">
        <v>25532</v>
      </c>
      <c r="D9386" s="29" t="s">
        <v>38957</v>
      </c>
      <c r="E9386" s="29" t="s">
        <v>46825</v>
      </c>
      <c r="F9386" s="36" t="s">
        <v>54401</v>
      </c>
      <c r="G9386" s="39">
        <v>217500.81</v>
      </c>
      <c r="H9386" s="42">
        <v>211</v>
      </c>
    </row>
    <row r="9387" spans="1:8" ht="15" customHeight="1">
      <c r="A9387" s="26">
        <v>1002457433</v>
      </c>
      <c r="B9387" s="29" t="s">
        <v>11610</v>
      </c>
      <c r="C9387" s="29" t="s">
        <v>25533</v>
      </c>
      <c r="D9387" s="29" t="s">
        <v>38958</v>
      </c>
      <c r="E9387" s="29" t="s">
        <v>50999</v>
      </c>
      <c r="F9387" s="36" t="s">
        <v>54413</v>
      </c>
      <c r="G9387" s="39">
        <v>4441911.7300000004</v>
      </c>
      <c r="H9387" s="42">
        <v>211</v>
      </c>
    </row>
    <row r="9388" spans="1:8" ht="15" customHeight="1">
      <c r="A9388" s="26">
        <v>1002457486</v>
      </c>
      <c r="B9388" s="29" t="s">
        <v>11611</v>
      </c>
      <c r="C9388" s="26" t="s">
        <v>25534</v>
      </c>
      <c r="D9388" s="26" t="s">
        <v>38959</v>
      </c>
      <c r="E9388" s="26" t="s">
        <v>43926</v>
      </c>
      <c r="F9388" s="37" t="s">
        <v>54401</v>
      </c>
      <c r="G9388" s="39">
        <v>80023.92</v>
      </c>
      <c r="H9388" s="42">
        <v>211</v>
      </c>
    </row>
    <row r="9389" spans="1:8" ht="15" customHeight="1">
      <c r="A9389" s="26">
        <v>1002457495</v>
      </c>
      <c r="B9389" s="29" t="s">
        <v>11612</v>
      </c>
      <c r="C9389" s="29" t="s">
        <v>25535</v>
      </c>
      <c r="D9389" s="29" t="s">
        <v>38960</v>
      </c>
      <c r="E9389" s="29" t="s">
        <v>51000</v>
      </c>
      <c r="F9389" s="36" t="s">
        <v>54401</v>
      </c>
      <c r="G9389" s="39">
        <v>56634.73</v>
      </c>
      <c r="H9389" s="42">
        <v>211</v>
      </c>
    </row>
    <row r="9390" spans="1:8" ht="15" customHeight="1">
      <c r="A9390" s="26">
        <v>1002457511</v>
      </c>
      <c r="B9390" s="29" t="s">
        <v>11613</v>
      </c>
      <c r="C9390" s="29" t="s">
        <v>25536</v>
      </c>
      <c r="D9390" s="29" t="s">
        <v>38961</v>
      </c>
      <c r="E9390" s="29" t="s">
        <v>51001</v>
      </c>
      <c r="F9390" s="36" t="s">
        <v>54401</v>
      </c>
      <c r="G9390" s="39">
        <v>531826.21</v>
      </c>
      <c r="H9390" s="42">
        <v>211</v>
      </c>
    </row>
    <row r="9391" spans="1:8" ht="15" customHeight="1">
      <c r="A9391" s="26">
        <v>1002457541</v>
      </c>
      <c r="B9391" s="29" t="s">
        <v>11614</v>
      </c>
      <c r="C9391" s="29" t="s">
        <v>17204</v>
      </c>
      <c r="D9391" s="29" t="s">
        <v>38962</v>
      </c>
      <c r="E9391" s="29" t="s">
        <v>43926</v>
      </c>
      <c r="F9391" s="36" t="s">
        <v>54401</v>
      </c>
      <c r="G9391" s="39">
        <v>14243.7</v>
      </c>
      <c r="H9391" s="42">
        <v>211</v>
      </c>
    </row>
    <row r="9392" spans="1:8" ht="15" customHeight="1">
      <c r="A9392" s="26">
        <v>1002457551</v>
      </c>
      <c r="B9392" s="29" t="s">
        <v>11615</v>
      </c>
      <c r="C9392" s="29" t="s">
        <v>25537</v>
      </c>
      <c r="D9392" s="29" t="s">
        <v>38963</v>
      </c>
      <c r="E9392" s="29" t="s">
        <v>46413</v>
      </c>
      <c r="F9392" s="36" t="s">
        <v>54401</v>
      </c>
      <c r="G9392" s="39">
        <v>1723046.48</v>
      </c>
      <c r="H9392" s="42">
        <v>211</v>
      </c>
    </row>
    <row r="9393" spans="1:8" ht="15" customHeight="1">
      <c r="A9393" s="26">
        <v>1002457560</v>
      </c>
      <c r="B9393" s="29" t="s">
        <v>11616</v>
      </c>
      <c r="C9393" s="29" t="s">
        <v>25538</v>
      </c>
      <c r="D9393" s="29" t="s">
        <v>38964</v>
      </c>
      <c r="E9393" s="29" t="s">
        <v>43926</v>
      </c>
      <c r="F9393" s="36" t="s">
        <v>54401</v>
      </c>
      <c r="G9393" s="39">
        <v>44831.360000000001</v>
      </c>
      <c r="H9393" s="42">
        <v>211</v>
      </c>
    </row>
    <row r="9394" spans="1:8" ht="15" customHeight="1">
      <c r="A9394" s="26">
        <v>1002457563</v>
      </c>
      <c r="B9394" s="29" t="s">
        <v>11617</v>
      </c>
      <c r="C9394" s="29" t="s">
        <v>25539</v>
      </c>
      <c r="D9394" s="29" t="s">
        <v>38965</v>
      </c>
      <c r="E9394" s="29" t="s">
        <v>51002</v>
      </c>
      <c r="F9394" s="36" t="s">
        <v>54401</v>
      </c>
      <c r="G9394" s="39">
        <v>3941857.75</v>
      </c>
      <c r="H9394" s="42">
        <v>211</v>
      </c>
    </row>
    <row r="9395" spans="1:8" ht="15" customHeight="1">
      <c r="A9395" s="26">
        <v>1002457652</v>
      </c>
      <c r="B9395" s="29" t="s">
        <v>11618</v>
      </c>
      <c r="C9395" s="29" t="s">
        <v>21172</v>
      </c>
      <c r="D9395" s="29" t="s">
        <v>38966</v>
      </c>
      <c r="E9395" s="29" t="s">
        <v>43926</v>
      </c>
      <c r="F9395" s="36" t="s">
        <v>54401</v>
      </c>
      <c r="G9395" s="39">
        <v>1900925.18</v>
      </c>
      <c r="H9395" s="42">
        <v>211</v>
      </c>
    </row>
    <row r="9396" spans="1:8" ht="15" customHeight="1">
      <c r="A9396" s="26">
        <v>1002457716</v>
      </c>
      <c r="B9396" s="29" t="s">
        <v>11619</v>
      </c>
      <c r="C9396" s="29" t="s">
        <v>25540</v>
      </c>
      <c r="D9396" s="29" t="s">
        <v>38967</v>
      </c>
      <c r="E9396" s="29" t="s">
        <v>51003</v>
      </c>
      <c r="F9396" s="36" t="s">
        <v>54401</v>
      </c>
      <c r="G9396" s="39">
        <v>1093595.97</v>
      </c>
      <c r="H9396" s="42">
        <v>211</v>
      </c>
    </row>
    <row r="9397" spans="1:8" ht="15" customHeight="1">
      <c r="A9397" s="26">
        <v>1002457760</v>
      </c>
      <c r="B9397" s="29" t="s">
        <v>11620</v>
      </c>
      <c r="C9397" s="29" t="s">
        <v>25541</v>
      </c>
      <c r="D9397" s="29" t="s">
        <v>38968</v>
      </c>
      <c r="E9397" s="29" t="s">
        <v>51004</v>
      </c>
      <c r="F9397" s="36" t="s">
        <v>54401</v>
      </c>
      <c r="G9397" s="39">
        <v>92825.46</v>
      </c>
      <c r="H9397" s="42">
        <v>211</v>
      </c>
    </row>
    <row r="9398" spans="1:8" ht="15" customHeight="1">
      <c r="A9398" s="26">
        <v>1002457779</v>
      </c>
      <c r="B9398" s="29" t="s">
        <v>11621</v>
      </c>
      <c r="C9398" s="29" t="s">
        <v>25542</v>
      </c>
      <c r="D9398" s="29" t="s">
        <v>38969</v>
      </c>
      <c r="E9398" s="29" t="s">
        <v>51005</v>
      </c>
      <c r="F9398" s="36" t="s">
        <v>54401</v>
      </c>
      <c r="G9398" s="39">
        <v>510277.24</v>
      </c>
      <c r="H9398" s="42">
        <v>211</v>
      </c>
    </row>
    <row r="9399" spans="1:8" ht="15" customHeight="1">
      <c r="A9399" s="26">
        <v>1002457788</v>
      </c>
      <c r="B9399" s="29" t="s">
        <v>11622</v>
      </c>
      <c r="C9399" s="29" t="s">
        <v>25543</v>
      </c>
      <c r="D9399" s="29" t="s">
        <v>38970</v>
      </c>
      <c r="E9399" s="29" t="s">
        <v>51006</v>
      </c>
      <c r="F9399" s="36" t="s">
        <v>54401</v>
      </c>
      <c r="G9399" s="39">
        <v>109511.94</v>
      </c>
      <c r="H9399" s="42">
        <v>211</v>
      </c>
    </row>
    <row r="9400" spans="1:8" ht="15" customHeight="1">
      <c r="A9400" s="26">
        <v>1002457812</v>
      </c>
      <c r="B9400" s="29" t="s">
        <v>11623</v>
      </c>
      <c r="C9400" s="29" t="s">
        <v>25544</v>
      </c>
      <c r="D9400" s="29" t="s">
        <v>38971</v>
      </c>
      <c r="E9400" s="29" t="s">
        <v>46404</v>
      </c>
      <c r="F9400" s="36" t="s">
        <v>54401</v>
      </c>
      <c r="G9400" s="39">
        <v>1480598.74</v>
      </c>
      <c r="H9400" s="42">
        <v>211</v>
      </c>
    </row>
    <row r="9401" spans="1:8" ht="15" customHeight="1">
      <c r="A9401" s="26">
        <v>1002457858</v>
      </c>
      <c r="B9401" s="29" t="s">
        <v>11624</v>
      </c>
      <c r="C9401" s="29" t="s">
        <v>17204</v>
      </c>
      <c r="D9401" s="29" t="s">
        <v>30349</v>
      </c>
      <c r="E9401" s="29" t="s">
        <v>43926</v>
      </c>
      <c r="F9401" s="36" t="s">
        <v>54401</v>
      </c>
      <c r="G9401" s="39">
        <v>342707.19</v>
      </c>
      <c r="H9401" s="42">
        <v>211</v>
      </c>
    </row>
    <row r="9402" spans="1:8" ht="15" customHeight="1">
      <c r="A9402" s="26">
        <v>1002457878</v>
      </c>
      <c r="B9402" s="29" t="s">
        <v>11625</v>
      </c>
      <c r="C9402" s="29" t="s">
        <v>25545</v>
      </c>
      <c r="D9402" s="29" t="s">
        <v>38972</v>
      </c>
      <c r="E9402" s="29" t="s">
        <v>51007</v>
      </c>
      <c r="F9402" s="36" t="s">
        <v>54401</v>
      </c>
      <c r="G9402" s="39">
        <v>426022.09</v>
      </c>
      <c r="H9402" s="42">
        <v>211</v>
      </c>
    </row>
    <row r="9403" spans="1:8" ht="15" customHeight="1">
      <c r="A9403" s="26">
        <v>1002457927</v>
      </c>
      <c r="B9403" s="29" t="s">
        <v>11626</v>
      </c>
      <c r="C9403" s="29" t="s">
        <v>25546</v>
      </c>
      <c r="D9403" s="29" t="s">
        <v>38973</v>
      </c>
      <c r="E9403" s="29" t="s">
        <v>51008</v>
      </c>
      <c r="F9403" s="36" t="s">
        <v>54401</v>
      </c>
      <c r="G9403" s="39">
        <v>260182.04</v>
      </c>
      <c r="H9403" s="42">
        <v>211</v>
      </c>
    </row>
    <row r="9404" spans="1:8" ht="15" customHeight="1">
      <c r="A9404" s="26">
        <v>1002457989</v>
      </c>
      <c r="B9404" s="29" t="s">
        <v>11627</v>
      </c>
      <c r="C9404" s="29" t="s">
        <v>25547</v>
      </c>
      <c r="D9404" s="29" t="s">
        <v>38974</v>
      </c>
      <c r="E9404" s="29" t="s">
        <v>51009</v>
      </c>
      <c r="F9404" s="36" t="s">
        <v>54401</v>
      </c>
      <c r="G9404" s="39">
        <v>740826.38</v>
      </c>
      <c r="H9404" s="42">
        <v>211</v>
      </c>
    </row>
    <row r="9405" spans="1:8" ht="15" customHeight="1">
      <c r="A9405" s="26">
        <v>1002458004</v>
      </c>
      <c r="B9405" s="29" t="s">
        <v>11628</v>
      </c>
      <c r="C9405" s="29" t="s">
        <v>25548</v>
      </c>
      <c r="D9405" s="29" t="s">
        <v>38975</v>
      </c>
      <c r="E9405" s="29" t="s">
        <v>51010</v>
      </c>
      <c r="F9405" s="36" t="s">
        <v>54401</v>
      </c>
      <c r="G9405" s="39">
        <v>13603.36</v>
      </c>
      <c r="H9405" s="42">
        <v>211</v>
      </c>
    </row>
    <row r="9406" spans="1:8" ht="15" customHeight="1">
      <c r="A9406" s="26">
        <v>1002458035</v>
      </c>
      <c r="B9406" s="29" t="s">
        <v>11629</v>
      </c>
      <c r="C9406" s="29" t="s">
        <v>25549</v>
      </c>
      <c r="D9406" s="29" t="s">
        <v>38976</v>
      </c>
      <c r="E9406" s="29" t="s">
        <v>51011</v>
      </c>
      <c r="F9406" s="36" t="s">
        <v>54401</v>
      </c>
      <c r="G9406" s="39">
        <v>2139648.86</v>
      </c>
      <c r="H9406" s="42">
        <v>211</v>
      </c>
    </row>
    <row r="9407" spans="1:8" ht="15" customHeight="1">
      <c r="A9407" s="26">
        <v>1002458081</v>
      </c>
      <c r="B9407" s="29" t="s">
        <v>11630</v>
      </c>
      <c r="C9407" s="26" t="s">
        <v>17204</v>
      </c>
      <c r="D9407" s="26" t="s">
        <v>33329</v>
      </c>
      <c r="E9407" s="26" t="s">
        <v>43926</v>
      </c>
      <c r="F9407" s="37" t="s">
        <v>54401</v>
      </c>
      <c r="G9407" s="39">
        <v>467807.77</v>
      </c>
      <c r="H9407" s="42">
        <v>211</v>
      </c>
    </row>
    <row r="9408" spans="1:8" ht="15" customHeight="1">
      <c r="A9408" s="26">
        <v>1002458092</v>
      </c>
      <c r="B9408" s="29" t="s">
        <v>11631</v>
      </c>
      <c r="C9408" s="29" t="s">
        <v>25550</v>
      </c>
      <c r="D9408" s="29" t="s">
        <v>38977</v>
      </c>
      <c r="E9408" s="29" t="s">
        <v>51012</v>
      </c>
      <c r="F9408" s="36" t="s">
        <v>54401</v>
      </c>
      <c r="G9408" s="39">
        <v>444712.93</v>
      </c>
      <c r="H9408" s="42">
        <v>211</v>
      </c>
    </row>
    <row r="9409" spans="1:8" ht="15" customHeight="1">
      <c r="A9409" s="26">
        <v>1002458099</v>
      </c>
      <c r="B9409" s="29" t="s">
        <v>11632</v>
      </c>
      <c r="C9409" s="29" t="s">
        <v>25551</v>
      </c>
      <c r="D9409" s="29" t="s">
        <v>38978</v>
      </c>
      <c r="E9409" s="29" t="s">
        <v>51013</v>
      </c>
      <c r="F9409" s="36" t="s">
        <v>54401</v>
      </c>
      <c r="G9409" s="39">
        <v>1532938.69</v>
      </c>
      <c r="H9409" s="42">
        <v>211</v>
      </c>
    </row>
    <row r="9410" spans="1:8" ht="15" customHeight="1">
      <c r="A9410" s="26">
        <v>1002458113</v>
      </c>
      <c r="B9410" s="29" t="s">
        <v>11633</v>
      </c>
      <c r="C9410" s="29" t="s">
        <v>25552</v>
      </c>
      <c r="D9410" s="29" t="s">
        <v>38979</v>
      </c>
      <c r="E9410" s="29" t="s">
        <v>51014</v>
      </c>
      <c r="F9410" s="36" t="s">
        <v>54401</v>
      </c>
      <c r="G9410" s="39">
        <v>1584709.86</v>
      </c>
      <c r="H9410" s="42">
        <v>211</v>
      </c>
    </row>
    <row r="9411" spans="1:8" ht="15" customHeight="1">
      <c r="A9411" s="26">
        <v>1002458115</v>
      </c>
      <c r="B9411" s="29" t="s">
        <v>11634</v>
      </c>
      <c r="C9411" s="29" t="s">
        <v>25553</v>
      </c>
      <c r="D9411" s="29" t="s">
        <v>38980</v>
      </c>
      <c r="E9411" s="29" t="s">
        <v>43926</v>
      </c>
      <c r="F9411" s="36" t="s">
        <v>54401</v>
      </c>
      <c r="G9411" s="39">
        <v>52342.86</v>
      </c>
      <c r="H9411" s="42">
        <v>211</v>
      </c>
    </row>
    <row r="9412" spans="1:8" ht="15" customHeight="1">
      <c r="A9412" s="26">
        <v>1002458119</v>
      </c>
      <c r="B9412" s="29" t="s">
        <v>11635</v>
      </c>
      <c r="C9412" s="29" t="s">
        <v>17204</v>
      </c>
      <c r="D9412" s="29" t="s">
        <v>38981</v>
      </c>
      <c r="E9412" s="29" t="s">
        <v>43926</v>
      </c>
      <c r="F9412" s="36" t="s">
        <v>54401</v>
      </c>
      <c r="G9412" s="39">
        <v>1460305.83</v>
      </c>
      <c r="H9412" s="42">
        <v>211</v>
      </c>
    </row>
    <row r="9413" spans="1:8" ht="15" customHeight="1">
      <c r="A9413" s="26">
        <v>1002458121</v>
      </c>
      <c r="B9413" s="29" t="s">
        <v>11636</v>
      </c>
      <c r="C9413" s="29" t="s">
        <v>25554</v>
      </c>
      <c r="D9413" s="29" t="s">
        <v>38982</v>
      </c>
      <c r="E9413" s="29" t="s">
        <v>43926</v>
      </c>
      <c r="F9413" s="36" t="s">
        <v>54401</v>
      </c>
      <c r="G9413" s="39">
        <v>208857.57</v>
      </c>
      <c r="H9413" s="42">
        <v>211</v>
      </c>
    </row>
    <row r="9414" spans="1:8" ht="15" customHeight="1">
      <c r="A9414" s="26">
        <v>1002458139</v>
      </c>
      <c r="B9414" s="29" t="s">
        <v>11637</v>
      </c>
      <c r="C9414" s="29" t="s">
        <v>25555</v>
      </c>
      <c r="D9414" s="29" t="s">
        <v>38983</v>
      </c>
      <c r="E9414" s="29" t="s">
        <v>44512</v>
      </c>
      <c r="F9414" s="36" t="s">
        <v>54401</v>
      </c>
      <c r="G9414" s="39">
        <v>5850852</v>
      </c>
      <c r="H9414" s="42">
        <v>211</v>
      </c>
    </row>
    <row r="9415" spans="1:8" ht="15" customHeight="1">
      <c r="A9415" s="26">
        <v>1002458148</v>
      </c>
      <c r="B9415" s="29" t="s">
        <v>11638</v>
      </c>
      <c r="C9415" s="26" t="s">
        <v>25556</v>
      </c>
      <c r="D9415" s="26" t="s">
        <v>38984</v>
      </c>
      <c r="E9415" s="26" t="s">
        <v>45555</v>
      </c>
      <c r="F9415" s="37" t="s">
        <v>54401</v>
      </c>
      <c r="G9415" s="39">
        <v>1856287</v>
      </c>
      <c r="H9415" s="42">
        <v>211</v>
      </c>
    </row>
    <row r="9416" spans="1:8" ht="15" customHeight="1">
      <c r="A9416" s="26">
        <v>1002458161</v>
      </c>
      <c r="B9416" s="29" t="s">
        <v>11639</v>
      </c>
      <c r="C9416" s="26" t="s">
        <v>25557</v>
      </c>
      <c r="D9416" s="26" t="s">
        <v>38985</v>
      </c>
      <c r="E9416" s="26" t="s">
        <v>51015</v>
      </c>
      <c r="F9416" s="37" t="s">
        <v>54401</v>
      </c>
      <c r="G9416" s="39">
        <v>2068233.58</v>
      </c>
      <c r="H9416" s="42">
        <v>211</v>
      </c>
    </row>
    <row r="9417" spans="1:8" ht="15" customHeight="1">
      <c r="A9417" s="26">
        <v>1002458192</v>
      </c>
      <c r="B9417" s="29" t="s">
        <v>11640</v>
      </c>
      <c r="C9417" s="29" t="s">
        <v>25558</v>
      </c>
      <c r="D9417" s="29" t="s">
        <v>38986</v>
      </c>
      <c r="E9417" s="29" t="s">
        <v>51016</v>
      </c>
      <c r="F9417" s="36" t="s">
        <v>54401</v>
      </c>
      <c r="G9417" s="39">
        <v>267614.68</v>
      </c>
      <c r="H9417" s="42">
        <v>211</v>
      </c>
    </row>
    <row r="9418" spans="1:8" ht="15" customHeight="1">
      <c r="A9418" s="26">
        <v>1002458219</v>
      </c>
      <c r="B9418" s="29" t="s">
        <v>11641</v>
      </c>
      <c r="C9418" s="29" t="s">
        <v>25559</v>
      </c>
      <c r="D9418" s="29" t="s">
        <v>38987</v>
      </c>
      <c r="E9418" s="29" t="s">
        <v>51017</v>
      </c>
      <c r="F9418" s="36" t="s">
        <v>54401</v>
      </c>
      <c r="G9418" s="39">
        <v>306021.90000000002</v>
      </c>
      <c r="H9418" s="42">
        <v>211</v>
      </c>
    </row>
    <row r="9419" spans="1:8" ht="15" customHeight="1">
      <c r="A9419" s="26">
        <v>1002458243</v>
      </c>
      <c r="B9419" s="29" t="s">
        <v>11642</v>
      </c>
      <c r="C9419" s="26" t="s">
        <v>17204</v>
      </c>
      <c r="D9419" s="26" t="s">
        <v>38988</v>
      </c>
      <c r="E9419" s="26" t="s">
        <v>43926</v>
      </c>
      <c r="F9419" s="37" t="s">
        <v>54401</v>
      </c>
      <c r="G9419" s="39">
        <v>165650.26</v>
      </c>
      <c r="H9419" s="42">
        <v>211</v>
      </c>
    </row>
    <row r="9420" spans="1:8" ht="15" customHeight="1">
      <c r="A9420" s="26">
        <v>1002458249</v>
      </c>
      <c r="B9420" s="29" t="s">
        <v>11643</v>
      </c>
      <c r="C9420" s="29" t="s">
        <v>25560</v>
      </c>
      <c r="D9420" s="29" t="s">
        <v>38989</v>
      </c>
      <c r="E9420" s="29" t="s">
        <v>51018</v>
      </c>
      <c r="F9420" s="36" t="s">
        <v>54401</v>
      </c>
      <c r="G9420" s="39">
        <v>15253.53</v>
      </c>
      <c r="H9420" s="42">
        <v>211</v>
      </c>
    </row>
    <row r="9421" spans="1:8" ht="15" customHeight="1">
      <c r="A9421" s="26">
        <v>1002458280</v>
      </c>
      <c r="B9421" s="29" t="s">
        <v>11644</v>
      </c>
      <c r="C9421" s="29" t="s">
        <v>25561</v>
      </c>
      <c r="D9421" s="29" t="s">
        <v>38990</v>
      </c>
      <c r="E9421" s="29" t="s">
        <v>51019</v>
      </c>
      <c r="F9421" s="36" t="s">
        <v>54401</v>
      </c>
      <c r="G9421" s="39">
        <v>872868.06</v>
      </c>
      <c r="H9421" s="42">
        <v>211</v>
      </c>
    </row>
    <row r="9422" spans="1:8" ht="15" customHeight="1">
      <c r="A9422" s="26">
        <v>1002458283</v>
      </c>
      <c r="B9422" s="29" t="s">
        <v>11645</v>
      </c>
      <c r="C9422" s="29" t="s">
        <v>25562</v>
      </c>
      <c r="D9422" s="29" t="s">
        <v>38991</v>
      </c>
      <c r="E9422" s="29" t="s">
        <v>43926</v>
      </c>
      <c r="F9422" s="36" t="s">
        <v>54401</v>
      </c>
      <c r="G9422" s="39">
        <v>2387963.4500000002</v>
      </c>
      <c r="H9422" s="42">
        <v>211</v>
      </c>
    </row>
    <row r="9423" spans="1:8" ht="15" customHeight="1">
      <c r="A9423" s="26">
        <v>1002458299</v>
      </c>
      <c r="B9423" s="29" t="s">
        <v>11646</v>
      </c>
      <c r="C9423" s="29" t="s">
        <v>25563</v>
      </c>
      <c r="D9423" s="29" t="s">
        <v>38992</v>
      </c>
      <c r="E9423" s="29" t="s">
        <v>51020</v>
      </c>
      <c r="F9423" s="36" t="s">
        <v>54401</v>
      </c>
      <c r="G9423" s="39">
        <v>4430796.22</v>
      </c>
      <c r="H9423" s="42">
        <v>211</v>
      </c>
    </row>
    <row r="9424" spans="1:8" ht="15" customHeight="1">
      <c r="A9424" s="26">
        <v>1002458302</v>
      </c>
      <c r="B9424" s="29" t="s">
        <v>11647</v>
      </c>
      <c r="C9424" s="29" t="s">
        <v>25564</v>
      </c>
      <c r="D9424" s="29" t="s">
        <v>38993</v>
      </c>
      <c r="E9424" s="29" t="s">
        <v>51021</v>
      </c>
      <c r="F9424" s="36" t="s">
        <v>54401</v>
      </c>
      <c r="G9424" s="39">
        <v>123093.09</v>
      </c>
      <c r="H9424" s="42">
        <v>211</v>
      </c>
    </row>
    <row r="9425" spans="1:8" ht="15" customHeight="1">
      <c r="A9425" s="26">
        <v>1002458308</v>
      </c>
      <c r="B9425" s="29" t="s">
        <v>11648</v>
      </c>
      <c r="C9425" s="29" t="s">
        <v>25565</v>
      </c>
      <c r="D9425" s="29" t="s">
        <v>38994</v>
      </c>
      <c r="E9425" s="29" t="s">
        <v>51022</v>
      </c>
      <c r="F9425" s="36" t="s">
        <v>54401</v>
      </c>
      <c r="G9425" s="39">
        <v>139883.94</v>
      </c>
      <c r="H9425" s="42">
        <v>211</v>
      </c>
    </row>
    <row r="9426" spans="1:8" ht="15" customHeight="1">
      <c r="A9426" s="26">
        <v>1002458312</v>
      </c>
      <c r="B9426" s="29" t="s">
        <v>11649</v>
      </c>
      <c r="C9426" s="26" t="s">
        <v>17204</v>
      </c>
      <c r="D9426" s="26" t="s">
        <v>38995</v>
      </c>
      <c r="E9426" s="26" t="s">
        <v>43926</v>
      </c>
      <c r="F9426" s="37" t="s">
        <v>54401</v>
      </c>
      <c r="G9426" s="39">
        <v>2132654.0800000001</v>
      </c>
      <c r="H9426" s="42">
        <v>211</v>
      </c>
    </row>
    <row r="9427" spans="1:8" ht="15" customHeight="1">
      <c r="A9427" s="26">
        <v>1002458325</v>
      </c>
      <c r="B9427" s="29" t="s">
        <v>11650</v>
      </c>
      <c r="C9427" s="29" t="s">
        <v>25566</v>
      </c>
      <c r="D9427" s="29" t="s">
        <v>38996</v>
      </c>
      <c r="E9427" s="29" t="s">
        <v>51023</v>
      </c>
      <c r="F9427" s="36" t="s">
        <v>54401</v>
      </c>
      <c r="G9427" s="39">
        <v>1040267.72</v>
      </c>
      <c r="H9427" s="42">
        <v>211</v>
      </c>
    </row>
    <row r="9428" spans="1:8" ht="15" customHeight="1">
      <c r="A9428" s="26">
        <v>1002458371</v>
      </c>
      <c r="B9428" s="29" t="s">
        <v>11651</v>
      </c>
      <c r="C9428" s="29" t="s">
        <v>25567</v>
      </c>
      <c r="D9428" s="29" t="s">
        <v>38997</v>
      </c>
      <c r="E9428" s="29" t="s">
        <v>49474</v>
      </c>
      <c r="F9428" s="36" t="s">
        <v>54401</v>
      </c>
      <c r="G9428" s="39">
        <v>1253657</v>
      </c>
      <c r="H9428" s="42">
        <v>211</v>
      </c>
    </row>
    <row r="9429" spans="1:8" ht="15" customHeight="1">
      <c r="A9429" s="26">
        <v>1002458398</v>
      </c>
      <c r="B9429" s="29" t="s">
        <v>11652</v>
      </c>
      <c r="C9429" s="29" t="s">
        <v>25568</v>
      </c>
      <c r="D9429" s="29" t="s">
        <v>38998</v>
      </c>
      <c r="E9429" s="29" t="s">
        <v>51024</v>
      </c>
      <c r="F9429" s="36" t="s">
        <v>54401</v>
      </c>
      <c r="G9429" s="39">
        <v>489230.98</v>
      </c>
      <c r="H9429" s="42">
        <v>211</v>
      </c>
    </row>
    <row r="9430" spans="1:8" ht="15" customHeight="1">
      <c r="A9430" s="26">
        <v>1002458575</v>
      </c>
      <c r="B9430" s="29" t="s">
        <v>11653</v>
      </c>
      <c r="C9430" s="29" t="s">
        <v>25569</v>
      </c>
      <c r="D9430" s="29" t="s">
        <v>38999</v>
      </c>
      <c r="E9430" s="29" t="s">
        <v>51025</v>
      </c>
      <c r="F9430" s="36" t="s">
        <v>54401</v>
      </c>
      <c r="G9430" s="39">
        <v>835272.6</v>
      </c>
      <c r="H9430" s="42">
        <v>211</v>
      </c>
    </row>
    <row r="9431" spans="1:8" ht="15" customHeight="1">
      <c r="A9431" s="26">
        <v>1002458628</v>
      </c>
      <c r="B9431" s="29" t="s">
        <v>11654</v>
      </c>
      <c r="C9431" s="29" t="s">
        <v>25570</v>
      </c>
      <c r="D9431" s="29" t="s">
        <v>39000</v>
      </c>
      <c r="E9431" s="29" t="s">
        <v>50646</v>
      </c>
      <c r="F9431" s="36" t="s">
        <v>54401</v>
      </c>
      <c r="G9431" s="39">
        <v>1100614.81</v>
      </c>
      <c r="H9431" s="42">
        <v>211</v>
      </c>
    </row>
    <row r="9432" spans="1:8" ht="15" customHeight="1">
      <c r="A9432" s="26">
        <v>1002458660</v>
      </c>
      <c r="B9432" s="29" t="s">
        <v>11655</v>
      </c>
      <c r="C9432" s="29" t="s">
        <v>17204</v>
      </c>
      <c r="D9432" s="29" t="s">
        <v>30349</v>
      </c>
      <c r="E9432" s="29" t="s">
        <v>43926</v>
      </c>
      <c r="F9432" s="36" t="s">
        <v>54401</v>
      </c>
      <c r="G9432" s="39">
        <v>160490.76999999999</v>
      </c>
      <c r="H9432" s="42">
        <v>211</v>
      </c>
    </row>
    <row r="9433" spans="1:8" ht="15" customHeight="1">
      <c r="A9433" s="26">
        <v>1002458704</v>
      </c>
      <c r="B9433" s="29" t="s">
        <v>11656</v>
      </c>
      <c r="C9433" s="29" t="s">
        <v>17204</v>
      </c>
      <c r="D9433" s="29" t="s">
        <v>30349</v>
      </c>
      <c r="E9433" s="29" t="s">
        <v>43926</v>
      </c>
      <c r="F9433" s="36" t="s">
        <v>54401</v>
      </c>
      <c r="G9433" s="39">
        <v>231942.7</v>
      </c>
      <c r="H9433" s="42">
        <v>211</v>
      </c>
    </row>
    <row r="9434" spans="1:8" ht="15" customHeight="1">
      <c r="A9434" s="26">
        <v>1002458738</v>
      </c>
      <c r="B9434" s="29" t="s">
        <v>11657</v>
      </c>
      <c r="C9434" s="29" t="s">
        <v>17204</v>
      </c>
      <c r="D9434" s="29" t="s">
        <v>30349</v>
      </c>
      <c r="E9434" s="29" t="s">
        <v>43926</v>
      </c>
      <c r="F9434" s="36" t="s">
        <v>54401</v>
      </c>
      <c r="G9434" s="39">
        <v>83129.84</v>
      </c>
      <c r="H9434" s="42">
        <v>211</v>
      </c>
    </row>
    <row r="9435" spans="1:8" ht="15" customHeight="1">
      <c r="A9435" s="26">
        <v>1002458740</v>
      </c>
      <c r="B9435" s="29" t="s">
        <v>11658</v>
      </c>
      <c r="C9435" s="26" t="s">
        <v>25571</v>
      </c>
      <c r="D9435" s="26" t="s">
        <v>39001</v>
      </c>
      <c r="E9435" s="26" t="s">
        <v>51026</v>
      </c>
      <c r="F9435" s="37" t="s">
        <v>54401</v>
      </c>
      <c r="G9435" s="39">
        <v>6886280.0099999998</v>
      </c>
      <c r="H9435" s="42">
        <v>211</v>
      </c>
    </row>
    <row r="9436" spans="1:8" ht="15" customHeight="1">
      <c r="A9436" s="26">
        <v>1002458795</v>
      </c>
      <c r="B9436" s="29" t="s">
        <v>11659</v>
      </c>
      <c r="C9436" s="29" t="s">
        <v>25572</v>
      </c>
      <c r="D9436" s="29" t="s">
        <v>39002</v>
      </c>
      <c r="E9436" s="29" t="s">
        <v>51027</v>
      </c>
      <c r="F9436" s="36" t="s">
        <v>54401</v>
      </c>
      <c r="G9436" s="39">
        <v>1301552</v>
      </c>
      <c r="H9436" s="42">
        <v>211</v>
      </c>
    </row>
    <row r="9437" spans="1:8" ht="15" customHeight="1">
      <c r="A9437" s="26">
        <v>1002458855</v>
      </c>
      <c r="B9437" s="29" t="s">
        <v>11660</v>
      </c>
      <c r="C9437" s="29" t="s">
        <v>25573</v>
      </c>
      <c r="D9437" s="29" t="s">
        <v>39003</v>
      </c>
      <c r="E9437" s="29" t="s">
        <v>45218</v>
      </c>
      <c r="F9437" s="36" t="s">
        <v>54401</v>
      </c>
      <c r="G9437" s="39">
        <v>128392.14</v>
      </c>
      <c r="H9437" s="42">
        <v>211</v>
      </c>
    </row>
    <row r="9438" spans="1:8" ht="15" customHeight="1">
      <c r="A9438" s="26">
        <v>1002458885</v>
      </c>
      <c r="B9438" s="29" t="s">
        <v>11661</v>
      </c>
      <c r="C9438" s="29" t="s">
        <v>20300</v>
      </c>
      <c r="D9438" s="29" t="s">
        <v>39004</v>
      </c>
      <c r="E9438" s="29" t="s">
        <v>51028</v>
      </c>
      <c r="F9438" s="36" t="s">
        <v>54401</v>
      </c>
      <c r="G9438" s="39">
        <v>2012079.9</v>
      </c>
      <c r="H9438" s="42">
        <v>211</v>
      </c>
    </row>
    <row r="9439" spans="1:8" ht="15" customHeight="1">
      <c r="A9439" s="26">
        <v>1002458967</v>
      </c>
      <c r="B9439" s="29" t="s">
        <v>11662</v>
      </c>
      <c r="C9439" s="26" t="s">
        <v>25574</v>
      </c>
      <c r="D9439" s="26" t="s">
        <v>39005</v>
      </c>
      <c r="E9439" s="26" t="s">
        <v>43926</v>
      </c>
      <c r="F9439" s="37" t="s">
        <v>54401</v>
      </c>
      <c r="G9439" s="39">
        <v>280865.53000000003</v>
      </c>
      <c r="H9439" s="42">
        <v>211</v>
      </c>
    </row>
    <row r="9440" spans="1:8" ht="15" customHeight="1">
      <c r="A9440" s="26">
        <v>1002458968</v>
      </c>
      <c r="B9440" s="29" t="s">
        <v>11663</v>
      </c>
      <c r="C9440" s="29" t="s">
        <v>25575</v>
      </c>
      <c r="D9440" s="29" t="s">
        <v>39006</v>
      </c>
      <c r="E9440" s="29" t="s">
        <v>51029</v>
      </c>
      <c r="F9440" s="36" t="s">
        <v>54401</v>
      </c>
      <c r="G9440" s="39">
        <v>5461165.2999999998</v>
      </c>
      <c r="H9440" s="42">
        <v>211</v>
      </c>
    </row>
    <row r="9441" spans="1:8" ht="15" customHeight="1">
      <c r="A9441" s="26">
        <v>1002458995</v>
      </c>
      <c r="B9441" s="29" t="s">
        <v>11664</v>
      </c>
      <c r="C9441" s="29" t="s">
        <v>25576</v>
      </c>
      <c r="D9441" s="29" t="s">
        <v>39007</v>
      </c>
      <c r="E9441" s="29" t="s">
        <v>51030</v>
      </c>
      <c r="F9441" s="36" t="s">
        <v>54401</v>
      </c>
      <c r="G9441" s="39">
        <v>2550134.54</v>
      </c>
      <c r="H9441" s="42">
        <v>211</v>
      </c>
    </row>
    <row r="9442" spans="1:8" ht="15" customHeight="1">
      <c r="A9442" s="26">
        <v>1002459044</v>
      </c>
      <c r="B9442" s="29" t="s">
        <v>11665</v>
      </c>
      <c r="C9442" s="29" t="s">
        <v>25577</v>
      </c>
      <c r="D9442" s="29" t="s">
        <v>39008</v>
      </c>
      <c r="E9442" s="29" t="s">
        <v>43926</v>
      </c>
      <c r="F9442" s="36" t="s">
        <v>54401</v>
      </c>
      <c r="G9442" s="39">
        <v>190066.18</v>
      </c>
      <c r="H9442" s="42">
        <v>211</v>
      </c>
    </row>
    <row r="9443" spans="1:8" ht="15" customHeight="1">
      <c r="A9443" s="26">
        <v>1002459063</v>
      </c>
      <c r="B9443" s="29" t="s">
        <v>11666</v>
      </c>
      <c r="C9443" s="29" t="s">
        <v>25578</v>
      </c>
      <c r="D9443" s="29" t="s">
        <v>39009</v>
      </c>
      <c r="E9443" s="29" t="s">
        <v>51031</v>
      </c>
      <c r="F9443" s="36" t="s">
        <v>54401</v>
      </c>
      <c r="G9443" s="39">
        <v>1000764.28</v>
      </c>
      <c r="H9443" s="42">
        <v>211</v>
      </c>
    </row>
    <row r="9444" spans="1:8" ht="15" customHeight="1">
      <c r="A9444" s="26">
        <v>1002459071</v>
      </c>
      <c r="B9444" s="29" t="s">
        <v>11667</v>
      </c>
      <c r="C9444" s="29" t="s">
        <v>25579</v>
      </c>
      <c r="D9444" s="29" t="s">
        <v>39010</v>
      </c>
      <c r="E9444" s="29" t="s">
        <v>51032</v>
      </c>
      <c r="F9444" s="36" t="s">
        <v>54401</v>
      </c>
      <c r="G9444" s="39">
        <v>93201.58</v>
      </c>
      <c r="H9444" s="42">
        <v>211</v>
      </c>
    </row>
    <row r="9445" spans="1:8" ht="15" customHeight="1">
      <c r="A9445" s="26">
        <v>1002459168</v>
      </c>
      <c r="B9445" s="29" t="s">
        <v>11668</v>
      </c>
      <c r="C9445" s="29" t="s">
        <v>25580</v>
      </c>
      <c r="D9445" s="29" t="s">
        <v>39011</v>
      </c>
      <c r="E9445" s="29" t="s">
        <v>51033</v>
      </c>
      <c r="F9445" s="36" t="s">
        <v>54401</v>
      </c>
      <c r="G9445" s="39">
        <v>391739.38</v>
      </c>
      <c r="H9445" s="42">
        <v>211</v>
      </c>
    </row>
    <row r="9446" spans="1:8" ht="15" customHeight="1">
      <c r="A9446" s="26">
        <v>1002459251</v>
      </c>
      <c r="B9446" s="29" t="s">
        <v>11669</v>
      </c>
      <c r="C9446" s="29" t="s">
        <v>25581</v>
      </c>
      <c r="D9446" s="29" t="s">
        <v>39012</v>
      </c>
      <c r="E9446" s="29" t="s">
        <v>51034</v>
      </c>
      <c r="F9446" s="36" t="s">
        <v>54406</v>
      </c>
      <c r="G9446" s="39">
        <v>1473451.91</v>
      </c>
      <c r="H9446" s="42">
        <v>211</v>
      </c>
    </row>
    <row r="9447" spans="1:8" ht="15" customHeight="1">
      <c r="A9447" s="26">
        <v>1002459259</v>
      </c>
      <c r="B9447" s="29" t="s">
        <v>11670</v>
      </c>
      <c r="C9447" s="29" t="s">
        <v>25582</v>
      </c>
      <c r="D9447" s="29" t="s">
        <v>39013</v>
      </c>
      <c r="E9447" s="29" t="s">
        <v>51035</v>
      </c>
      <c r="F9447" s="36" t="s">
        <v>54401</v>
      </c>
      <c r="G9447" s="39">
        <v>604333.38</v>
      </c>
      <c r="H9447" s="42">
        <v>211</v>
      </c>
    </row>
    <row r="9448" spans="1:8" ht="15" customHeight="1">
      <c r="A9448" s="26">
        <v>1002459269</v>
      </c>
      <c r="B9448" s="29" t="s">
        <v>11671</v>
      </c>
      <c r="C9448" s="29" t="s">
        <v>25583</v>
      </c>
      <c r="D9448" s="29" t="s">
        <v>39014</v>
      </c>
      <c r="E9448" s="29" t="s">
        <v>51036</v>
      </c>
      <c r="F9448" s="36" t="s">
        <v>54401</v>
      </c>
      <c r="G9448" s="39">
        <v>1489086</v>
      </c>
      <c r="H9448" s="42">
        <v>211</v>
      </c>
    </row>
    <row r="9449" spans="1:8" ht="15" customHeight="1">
      <c r="A9449" s="26">
        <v>1002459282</v>
      </c>
      <c r="B9449" s="29" t="s">
        <v>11672</v>
      </c>
      <c r="C9449" s="29" t="s">
        <v>25584</v>
      </c>
      <c r="D9449" s="29" t="s">
        <v>39015</v>
      </c>
      <c r="E9449" s="29" t="s">
        <v>43926</v>
      </c>
      <c r="F9449" s="36" t="s">
        <v>54401</v>
      </c>
      <c r="G9449" s="39">
        <v>65446.45</v>
      </c>
      <c r="H9449" s="42">
        <v>211</v>
      </c>
    </row>
    <row r="9450" spans="1:8" ht="15" customHeight="1">
      <c r="A9450" s="26">
        <v>1002459284</v>
      </c>
      <c r="B9450" s="29" t="s">
        <v>11673</v>
      </c>
      <c r="C9450" s="29" t="s">
        <v>17204</v>
      </c>
      <c r="D9450" s="29" t="s">
        <v>30349</v>
      </c>
      <c r="E9450" s="29" t="s">
        <v>43926</v>
      </c>
      <c r="F9450" s="36" t="s">
        <v>54401</v>
      </c>
      <c r="G9450" s="39">
        <v>490411.66</v>
      </c>
      <c r="H9450" s="42">
        <v>211</v>
      </c>
    </row>
    <row r="9451" spans="1:8" ht="15" customHeight="1">
      <c r="A9451" s="26">
        <v>1002459314</v>
      </c>
      <c r="B9451" s="29" t="s">
        <v>11674</v>
      </c>
      <c r="C9451" s="29" t="s">
        <v>25585</v>
      </c>
      <c r="D9451" s="29" t="s">
        <v>39016</v>
      </c>
      <c r="E9451" s="29" t="s">
        <v>51037</v>
      </c>
      <c r="F9451" s="36" t="s">
        <v>54401</v>
      </c>
      <c r="G9451" s="39">
        <v>4507299.28</v>
      </c>
      <c r="H9451" s="42">
        <v>211</v>
      </c>
    </row>
    <row r="9452" spans="1:8" ht="15" customHeight="1">
      <c r="A9452" s="26">
        <v>1002459346</v>
      </c>
      <c r="B9452" s="29" t="s">
        <v>11675</v>
      </c>
      <c r="C9452" s="29" t="s">
        <v>25586</v>
      </c>
      <c r="D9452" s="29" t="s">
        <v>39017</v>
      </c>
      <c r="E9452" s="29" t="s">
        <v>49749</v>
      </c>
      <c r="F9452" s="36" t="s">
        <v>54401</v>
      </c>
      <c r="G9452" s="39">
        <v>2134575.16</v>
      </c>
      <c r="H9452" s="42">
        <v>211</v>
      </c>
    </row>
    <row r="9453" spans="1:8" ht="15" customHeight="1">
      <c r="A9453" s="26">
        <v>1002459362</v>
      </c>
      <c r="B9453" s="29" t="s">
        <v>11676</v>
      </c>
      <c r="C9453" s="29" t="s">
        <v>25587</v>
      </c>
      <c r="D9453" s="29" t="s">
        <v>39018</v>
      </c>
      <c r="E9453" s="29" t="s">
        <v>51038</v>
      </c>
      <c r="F9453" s="36" t="s">
        <v>54401</v>
      </c>
      <c r="G9453" s="39">
        <v>4471433.93</v>
      </c>
      <c r="H9453" s="42">
        <v>211</v>
      </c>
    </row>
    <row r="9454" spans="1:8" ht="15" customHeight="1">
      <c r="A9454" s="26">
        <v>1002459363</v>
      </c>
      <c r="B9454" s="29" t="s">
        <v>11677</v>
      </c>
      <c r="C9454" s="29" t="s">
        <v>25588</v>
      </c>
      <c r="D9454" s="29" t="s">
        <v>39019</v>
      </c>
      <c r="E9454" s="29" t="s">
        <v>51039</v>
      </c>
      <c r="F9454" s="36" t="s">
        <v>54401</v>
      </c>
      <c r="G9454" s="39">
        <v>175754.4</v>
      </c>
      <c r="H9454" s="42">
        <v>211</v>
      </c>
    </row>
    <row r="9455" spans="1:8" ht="15" customHeight="1">
      <c r="A9455" s="26">
        <v>1002459395</v>
      </c>
      <c r="B9455" s="29" t="s">
        <v>11678</v>
      </c>
      <c r="C9455" s="29" t="s">
        <v>25589</v>
      </c>
      <c r="D9455" s="29" t="s">
        <v>39020</v>
      </c>
      <c r="E9455" s="29" t="s">
        <v>51040</v>
      </c>
      <c r="F9455" s="36" t="s">
        <v>54401</v>
      </c>
      <c r="G9455" s="39">
        <v>1729621.44</v>
      </c>
      <c r="H9455" s="42">
        <v>211</v>
      </c>
    </row>
    <row r="9456" spans="1:8" ht="15" customHeight="1">
      <c r="A9456" s="26">
        <v>1002459401</v>
      </c>
      <c r="B9456" s="29" t="s">
        <v>11679</v>
      </c>
      <c r="C9456" s="29" t="s">
        <v>25590</v>
      </c>
      <c r="D9456" s="29" t="s">
        <v>39021</v>
      </c>
      <c r="E9456" s="29" t="s">
        <v>51041</v>
      </c>
      <c r="F9456" s="36" t="s">
        <v>54401</v>
      </c>
      <c r="G9456" s="39">
        <v>356101.48</v>
      </c>
      <c r="H9456" s="42">
        <v>211</v>
      </c>
    </row>
    <row r="9457" spans="1:8" ht="15" customHeight="1">
      <c r="A9457" s="26">
        <v>1002459412</v>
      </c>
      <c r="B9457" s="29" t="s">
        <v>11680</v>
      </c>
      <c r="C9457" s="29" t="s">
        <v>25591</v>
      </c>
      <c r="D9457" s="29" t="s">
        <v>39022</v>
      </c>
      <c r="E9457" s="29" t="s">
        <v>51042</v>
      </c>
      <c r="F9457" s="36" t="s">
        <v>54401</v>
      </c>
      <c r="G9457" s="39">
        <v>1454140.59</v>
      </c>
      <c r="H9457" s="42">
        <v>211</v>
      </c>
    </row>
    <row r="9458" spans="1:8" ht="15" customHeight="1">
      <c r="A9458" s="26">
        <v>1002459510</v>
      </c>
      <c r="B9458" s="29" t="s">
        <v>11681</v>
      </c>
      <c r="C9458" s="29" t="s">
        <v>25592</v>
      </c>
      <c r="D9458" s="29" t="s">
        <v>39023</v>
      </c>
      <c r="E9458" s="29" t="s">
        <v>51043</v>
      </c>
      <c r="F9458" s="36" t="s">
        <v>54401</v>
      </c>
      <c r="G9458" s="39">
        <v>168382.07</v>
      </c>
      <c r="H9458" s="42">
        <v>211</v>
      </c>
    </row>
    <row r="9459" spans="1:8" ht="15" customHeight="1">
      <c r="A9459" s="26">
        <v>1002459527</v>
      </c>
      <c r="B9459" s="29" t="s">
        <v>11682</v>
      </c>
      <c r="C9459" s="29" t="s">
        <v>17204</v>
      </c>
      <c r="D9459" s="29" t="s">
        <v>30349</v>
      </c>
      <c r="E9459" s="29" t="s">
        <v>43926</v>
      </c>
      <c r="F9459" s="36" t="s">
        <v>54401</v>
      </c>
      <c r="G9459" s="39">
        <v>532096.78</v>
      </c>
      <c r="H9459" s="42">
        <v>211</v>
      </c>
    </row>
    <row r="9460" spans="1:8" ht="15" customHeight="1">
      <c r="A9460" s="26">
        <v>1002459620</v>
      </c>
      <c r="B9460" s="29" t="s">
        <v>11683</v>
      </c>
      <c r="C9460" s="29" t="s">
        <v>25593</v>
      </c>
      <c r="D9460" s="29" t="s">
        <v>39024</v>
      </c>
      <c r="E9460" s="29" t="s">
        <v>45314</v>
      </c>
      <c r="F9460" s="36" t="s">
        <v>54401</v>
      </c>
      <c r="G9460" s="39">
        <v>4419108.07</v>
      </c>
      <c r="H9460" s="42">
        <v>211</v>
      </c>
    </row>
    <row r="9461" spans="1:8" ht="15" customHeight="1">
      <c r="A9461" s="26">
        <v>1002459630</v>
      </c>
      <c r="B9461" s="29" t="s">
        <v>11684</v>
      </c>
      <c r="C9461" s="29" t="s">
        <v>25594</v>
      </c>
      <c r="D9461" s="29" t="s">
        <v>39025</v>
      </c>
      <c r="E9461" s="29" t="s">
        <v>51044</v>
      </c>
      <c r="F9461" s="36" t="s">
        <v>54401</v>
      </c>
      <c r="G9461" s="39">
        <v>3903312</v>
      </c>
      <c r="H9461" s="42">
        <v>211</v>
      </c>
    </row>
    <row r="9462" spans="1:8" ht="15" customHeight="1">
      <c r="A9462" s="26">
        <v>1002459667</v>
      </c>
      <c r="B9462" s="29" t="s">
        <v>11685</v>
      </c>
      <c r="C9462" s="29" t="s">
        <v>25595</v>
      </c>
      <c r="D9462" s="29" t="s">
        <v>39026</v>
      </c>
      <c r="E9462" s="29" t="s">
        <v>51045</v>
      </c>
      <c r="F9462" s="36" t="s">
        <v>54401</v>
      </c>
      <c r="G9462" s="39">
        <v>434268.75</v>
      </c>
      <c r="H9462" s="42">
        <v>211</v>
      </c>
    </row>
    <row r="9463" spans="1:8" ht="15" customHeight="1">
      <c r="A9463" s="26">
        <v>1002459668</v>
      </c>
      <c r="B9463" s="29" t="s">
        <v>11686</v>
      </c>
      <c r="C9463" s="26" t="s">
        <v>25596</v>
      </c>
      <c r="D9463" s="26" t="s">
        <v>39027</v>
      </c>
      <c r="E9463" s="26" t="s">
        <v>51046</v>
      </c>
      <c r="F9463" s="37" t="s">
        <v>54401</v>
      </c>
      <c r="G9463" s="39">
        <v>4592158.07</v>
      </c>
      <c r="H9463" s="42">
        <v>211</v>
      </c>
    </row>
    <row r="9464" spans="1:8" ht="15" customHeight="1">
      <c r="A9464" s="26">
        <v>1002459684</v>
      </c>
      <c r="B9464" s="29" t="s">
        <v>11687</v>
      </c>
      <c r="C9464" s="26" t="s">
        <v>17204</v>
      </c>
      <c r="D9464" s="26" t="s">
        <v>30349</v>
      </c>
      <c r="E9464" s="26" t="s">
        <v>43926</v>
      </c>
      <c r="F9464" s="37" t="s">
        <v>54401</v>
      </c>
      <c r="G9464" s="39">
        <v>173786.52</v>
      </c>
      <c r="H9464" s="42">
        <v>211</v>
      </c>
    </row>
    <row r="9465" spans="1:8" ht="15" customHeight="1">
      <c r="A9465" s="26">
        <v>1002459773</v>
      </c>
      <c r="B9465" s="29" t="s">
        <v>11688</v>
      </c>
      <c r="C9465" s="29" t="s">
        <v>25597</v>
      </c>
      <c r="D9465" s="29" t="s">
        <v>39028</v>
      </c>
      <c r="E9465" s="29" t="s">
        <v>51047</v>
      </c>
      <c r="F9465" s="36" t="s">
        <v>54401</v>
      </c>
      <c r="G9465" s="39">
        <v>50154.37</v>
      </c>
      <c r="H9465" s="42">
        <v>211</v>
      </c>
    </row>
    <row r="9466" spans="1:8" ht="15" customHeight="1">
      <c r="A9466" s="26">
        <v>1002459781</v>
      </c>
      <c r="B9466" s="29" t="s">
        <v>11689</v>
      </c>
      <c r="C9466" s="29" t="s">
        <v>25598</v>
      </c>
      <c r="D9466" s="29" t="s">
        <v>39029</v>
      </c>
      <c r="E9466" s="29" t="s">
        <v>51048</v>
      </c>
      <c r="F9466" s="36" t="s">
        <v>54401</v>
      </c>
      <c r="G9466" s="39">
        <v>1645502.77</v>
      </c>
      <c r="H9466" s="42">
        <v>211</v>
      </c>
    </row>
    <row r="9467" spans="1:8" ht="15" customHeight="1">
      <c r="A9467" s="26">
        <v>1002459836</v>
      </c>
      <c r="B9467" s="29" t="s">
        <v>11690</v>
      </c>
      <c r="C9467" s="29" t="s">
        <v>25599</v>
      </c>
      <c r="D9467" s="29" t="s">
        <v>39030</v>
      </c>
      <c r="E9467" s="29" t="s">
        <v>43926</v>
      </c>
      <c r="F9467" s="36" t="s">
        <v>54401</v>
      </c>
      <c r="G9467" s="39">
        <v>507724.38</v>
      </c>
      <c r="H9467" s="42">
        <v>211</v>
      </c>
    </row>
    <row r="9468" spans="1:8" ht="15" customHeight="1">
      <c r="A9468" s="26">
        <v>1002459853</v>
      </c>
      <c r="B9468" s="29" t="s">
        <v>11691</v>
      </c>
      <c r="C9468" s="29" t="s">
        <v>25600</v>
      </c>
      <c r="D9468" s="29" t="s">
        <v>39031</v>
      </c>
      <c r="E9468" s="29" t="s">
        <v>51049</v>
      </c>
      <c r="F9468" s="36" t="s">
        <v>54401</v>
      </c>
      <c r="G9468" s="39">
        <v>3219131.49</v>
      </c>
      <c r="H9468" s="42">
        <v>211</v>
      </c>
    </row>
    <row r="9469" spans="1:8" ht="15" customHeight="1">
      <c r="A9469" s="26">
        <v>1002459940</v>
      </c>
      <c r="B9469" s="29" t="s">
        <v>11692</v>
      </c>
      <c r="C9469" s="29" t="s">
        <v>25601</v>
      </c>
      <c r="D9469" s="29" t="s">
        <v>39032</v>
      </c>
      <c r="E9469" s="29" t="s">
        <v>51050</v>
      </c>
      <c r="F9469" s="36" t="s">
        <v>54401</v>
      </c>
      <c r="G9469" s="39">
        <v>762457.95</v>
      </c>
      <c r="H9469" s="42">
        <v>211</v>
      </c>
    </row>
    <row r="9470" spans="1:8" ht="15" customHeight="1">
      <c r="A9470" s="26">
        <v>1002459988</v>
      </c>
      <c r="B9470" s="29" t="s">
        <v>11693</v>
      </c>
      <c r="C9470" s="29" t="s">
        <v>25602</v>
      </c>
      <c r="D9470" s="29" t="s">
        <v>39033</v>
      </c>
      <c r="E9470" s="29" t="s">
        <v>51051</v>
      </c>
      <c r="F9470" s="36" t="s">
        <v>54401</v>
      </c>
      <c r="G9470" s="39">
        <v>105584.55</v>
      </c>
      <c r="H9470" s="42">
        <v>211</v>
      </c>
    </row>
    <row r="9471" spans="1:8" ht="15" customHeight="1">
      <c r="A9471" s="26">
        <v>1002459990</v>
      </c>
      <c r="B9471" s="29" t="s">
        <v>11694</v>
      </c>
      <c r="C9471" s="29" t="s">
        <v>25603</v>
      </c>
      <c r="D9471" s="29" t="s">
        <v>39034</v>
      </c>
      <c r="E9471" s="29" t="s">
        <v>45006</v>
      </c>
      <c r="F9471" s="36" t="s">
        <v>54401</v>
      </c>
      <c r="G9471" s="39">
        <v>3772837.4</v>
      </c>
      <c r="H9471" s="42">
        <v>211</v>
      </c>
    </row>
    <row r="9472" spans="1:8" ht="15" customHeight="1">
      <c r="A9472" s="26">
        <v>1002460078</v>
      </c>
      <c r="B9472" s="29" t="s">
        <v>11695</v>
      </c>
      <c r="C9472" s="29" t="s">
        <v>25604</v>
      </c>
      <c r="D9472" s="29" t="s">
        <v>39035</v>
      </c>
      <c r="E9472" s="29" t="s">
        <v>43926</v>
      </c>
      <c r="F9472" s="36" t="s">
        <v>54401</v>
      </c>
      <c r="G9472" s="39">
        <v>222663.05</v>
      </c>
      <c r="H9472" s="42">
        <v>211</v>
      </c>
    </row>
    <row r="9473" spans="1:8" ht="15" customHeight="1">
      <c r="A9473" s="26">
        <v>1002460147</v>
      </c>
      <c r="B9473" s="29" t="s">
        <v>11696</v>
      </c>
      <c r="C9473" s="29" t="s">
        <v>25605</v>
      </c>
      <c r="D9473" s="29" t="s">
        <v>39036</v>
      </c>
      <c r="E9473" s="29" t="s">
        <v>51052</v>
      </c>
      <c r="F9473" s="36" t="s">
        <v>54401</v>
      </c>
      <c r="G9473" s="39">
        <v>5418195.8799999999</v>
      </c>
      <c r="H9473" s="42">
        <v>211</v>
      </c>
    </row>
    <row r="9474" spans="1:8" ht="15" customHeight="1">
      <c r="A9474" s="26">
        <v>1002460200</v>
      </c>
      <c r="B9474" s="29" t="s">
        <v>11697</v>
      </c>
      <c r="C9474" s="29" t="s">
        <v>25606</v>
      </c>
      <c r="D9474" s="29" t="s">
        <v>39037</v>
      </c>
      <c r="E9474" s="29" t="s">
        <v>43926</v>
      </c>
      <c r="F9474" s="36" t="s">
        <v>54401</v>
      </c>
      <c r="G9474" s="39">
        <v>403152.03</v>
      </c>
      <c r="H9474" s="42">
        <v>211</v>
      </c>
    </row>
    <row r="9475" spans="1:8" ht="15" customHeight="1">
      <c r="A9475" s="26">
        <v>1002460223</v>
      </c>
      <c r="B9475" s="29" t="s">
        <v>11698</v>
      </c>
      <c r="C9475" s="29" t="s">
        <v>25607</v>
      </c>
      <c r="D9475" s="29" t="s">
        <v>39038</v>
      </c>
      <c r="E9475" s="29" t="s">
        <v>51053</v>
      </c>
      <c r="F9475" s="36" t="s">
        <v>54401</v>
      </c>
      <c r="G9475" s="39">
        <v>46537.82</v>
      </c>
      <c r="H9475" s="42">
        <v>211</v>
      </c>
    </row>
    <row r="9476" spans="1:8" ht="15" customHeight="1">
      <c r="A9476" s="26">
        <v>1002460266</v>
      </c>
      <c r="B9476" s="29" t="s">
        <v>11699</v>
      </c>
      <c r="C9476" s="29" t="s">
        <v>25608</v>
      </c>
      <c r="D9476" s="29" t="s">
        <v>39039</v>
      </c>
      <c r="E9476" s="29" t="s">
        <v>49593</v>
      </c>
      <c r="F9476" s="36" t="s">
        <v>54401</v>
      </c>
      <c r="G9476" s="39">
        <v>1322882.8799999999</v>
      </c>
      <c r="H9476" s="42">
        <v>211</v>
      </c>
    </row>
    <row r="9477" spans="1:8" ht="15" customHeight="1">
      <c r="A9477" s="26">
        <v>1002460367</v>
      </c>
      <c r="B9477" s="29" t="s">
        <v>11700</v>
      </c>
      <c r="C9477" s="29" t="s">
        <v>25609</v>
      </c>
      <c r="D9477" s="29" t="s">
        <v>39040</v>
      </c>
      <c r="E9477" s="29" t="s">
        <v>51054</v>
      </c>
      <c r="F9477" s="36" t="s">
        <v>54401</v>
      </c>
      <c r="G9477" s="39">
        <v>2318594</v>
      </c>
      <c r="H9477" s="42">
        <v>211</v>
      </c>
    </row>
    <row r="9478" spans="1:8" ht="15" customHeight="1">
      <c r="A9478" s="26">
        <v>1002460391</v>
      </c>
      <c r="B9478" s="29" t="s">
        <v>11701</v>
      </c>
      <c r="C9478" s="26" t="s">
        <v>17204</v>
      </c>
      <c r="D9478" s="26" t="s">
        <v>30349</v>
      </c>
      <c r="E9478" s="26" t="s">
        <v>43926</v>
      </c>
      <c r="F9478" s="37" t="s">
        <v>54401</v>
      </c>
      <c r="G9478" s="39">
        <v>315750.27</v>
      </c>
      <c r="H9478" s="42">
        <v>211</v>
      </c>
    </row>
    <row r="9479" spans="1:8" ht="15" customHeight="1">
      <c r="A9479" s="26">
        <v>1002460398</v>
      </c>
      <c r="B9479" s="29" t="s">
        <v>11702</v>
      </c>
      <c r="C9479" s="29" t="s">
        <v>25610</v>
      </c>
      <c r="D9479" s="29" t="s">
        <v>39041</v>
      </c>
      <c r="E9479" s="29" t="s">
        <v>43926</v>
      </c>
      <c r="F9479" s="36" t="s">
        <v>54409</v>
      </c>
      <c r="G9479" s="39">
        <v>3951765.34</v>
      </c>
      <c r="H9479" s="42">
        <v>211</v>
      </c>
    </row>
    <row r="9480" spans="1:8" ht="15" customHeight="1">
      <c r="A9480" s="26">
        <v>1002460408</v>
      </c>
      <c r="B9480" s="29" t="s">
        <v>11703</v>
      </c>
      <c r="C9480" s="26" t="s">
        <v>17204</v>
      </c>
      <c r="D9480" s="26" t="s">
        <v>30349</v>
      </c>
      <c r="E9480" s="26" t="s">
        <v>43926</v>
      </c>
      <c r="F9480" s="37" t="s">
        <v>54401</v>
      </c>
      <c r="G9480" s="39">
        <v>72630.06</v>
      </c>
      <c r="H9480" s="42">
        <v>211</v>
      </c>
    </row>
    <row r="9481" spans="1:8" ht="15" customHeight="1">
      <c r="A9481" s="26">
        <v>1002460465</v>
      </c>
      <c r="B9481" s="29" t="s">
        <v>11704</v>
      </c>
      <c r="C9481" s="29" t="s">
        <v>25611</v>
      </c>
      <c r="D9481" s="29" t="s">
        <v>39042</v>
      </c>
      <c r="E9481" s="29" t="s">
        <v>51055</v>
      </c>
      <c r="F9481" s="36" t="s">
        <v>54401</v>
      </c>
      <c r="G9481" s="39">
        <v>1309472.8400000001</v>
      </c>
      <c r="H9481" s="42">
        <v>211</v>
      </c>
    </row>
    <row r="9482" spans="1:8" ht="15" customHeight="1">
      <c r="A9482" s="26">
        <v>1002460548</v>
      </c>
      <c r="B9482" s="29" t="s">
        <v>11705</v>
      </c>
      <c r="C9482" s="29" t="s">
        <v>25612</v>
      </c>
      <c r="D9482" s="29" t="s">
        <v>39043</v>
      </c>
      <c r="E9482" s="29" t="s">
        <v>51056</v>
      </c>
      <c r="F9482" s="36" t="s">
        <v>54401</v>
      </c>
      <c r="G9482" s="39">
        <v>1215785.5</v>
      </c>
      <c r="H9482" s="42">
        <v>211</v>
      </c>
    </row>
    <row r="9483" spans="1:8" ht="15" customHeight="1">
      <c r="A9483" s="26">
        <v>1002460555</v>
      </c>
      <c r="B9483" s="29" t="s">
        <v>11706</v>
      </c>
      <c r="C9483" s="29" t="s">
        <v>25613</v>
      </c>
      <c r="D9483" s="29" t="s">
        <v>39044</v>
      </c>
      <c r="E9483" s="29" t="s">
        <v>950</v>
      </c>
      <c r="F9483" s="36" t="s">
        <v>54401</v>
      </c>
      <c r="G9483" s="39">
        <v>72124.639999999999</v>
      </c>
      <c r="H9483" s="42">
        <v>211</v>
      </c>
    </row>
    <row r="9484" spans="1:8" ht="15" customHeight="1">
      <c r="A9484" s="26">
        <v>1002460668</v>
      </c>
      <c r="B9484" s="29" t="s">
        <v>11707</v>
      </c>
      <c r="C9484" s="29" t="s">
        <v>25614</v>
      </c>
      <c r="D9484" s="29" t="s">
        <v>39045</v>
      </c>
      <c r="E9484" s="29" t="s">
        <v>51057</v>
      </c>
      <c r="F9484" s="36" t="s">
        <v>54401</v>
      </c>
      <c r="G9484" s="39">
        <v>1907039.26</v>
      </c>
      <c r="H9484" s="42">
        <v>211</v>
      </c>
    </row>
    <row r="9485" spans="1:8" ht="15" customHeight="1">
      <c r="A9485" s="26">
        <v>1002460673</v>
      </c>
      <c r="B9485" s="29" t="s">
        <v>11708</v>
      </c>
      <c r="C9485" s="29" t="s">
        <v>17204</v>
      </c>
      <c r="D9485" s="29" t="s">
        <v>30349</v>
      </c>
      <c r="E9485" s="29" t="s">
        <v>43926</v>
      </c>
      <c r="F9485" s="36" t="s">
        <v>54401</v>
      </c>
      <c r="G9485" s="39">
        <v>244738</v>
      </c>
      <c r="H9485" s="42">
        <v>211</v>
      </c>
    </row>
    <row r="9486" spans="1:8" ht="15" customHeight="1">
      <c r="A9486" s="26">
        <v>1002460747</v>
      </c>
      <c r="B9486" s="29" t="s">
        <v>11709</v>
      </c>
      <c r="C9486" s="29" t="s">
        <v>25615</v>
      </c>
      <c r="D9486" s="29" t="s">
        <v>39046</v>
      </c>
      <c r="E9486" s="29" t="s">
        <v>51058</v>
      </c>
      <c r="F9486" s="36" t="s">
        <v>54401</v>
      </c>
      <c r="G9486" s="39">
        <v>755005.46</v>
      </c>
      <c r="H9486" s="42">
        <v>211</v>
      </c>
    </row>
    <row r="9487" spans="1:8" ht="15" customHeight="1">
      <c r="A9487" s="26">
        <v>1002460776</v>
      </c>
      <c r="B9487" s="29" t="s">
        <v>11710</v>
      </c>
      <c r="C9487" s="29" t="s">
        <v>25616</v>
      </c>
      <c r="D9487" s="29" t="s">
        <v>39047</v>
      </c>
      <c r="E9487" s="29" t="s">
        <v>49007</v>
      </c>
      <c r="F9487" s="36" t="s">
        <v>54401</v>
      </c>
      <c r="G9487" s="39">
        <v>1594634.79</v>
      </c>
      <c r="H9487" s="42">
        <v>211</v>
      </c>
    </row>
    <row r="9488" spans="1:8" ht="15" customHeight="1">
      <c r="A9488" s="26">
        <v>1002460815</v>
      </c>
      <c r="B9488" s="29" t="s">
        <v>11711</v>
      </c>
      <c r="C9488" s="29" t="s">
        <v>25617</v>
      </c>
      <c r="D9488" s="29" t="s">
        <v>39048</v>
      </c>
      <c r="E9488" s="29" t="s">
        <v>49113</v>
      </c>
      <c r="F9488" s="36" t="s">
        <v>54401</v>
      </c>
      <c r="G9488" s="39">
        <v>79050.41</v>
      </c>
      <c r="H9488" s="42">
        <v>211</v>
      </c>
    </row>
    <row r="9489" spans="1:8" ht="15" customHeight="1">
      <c r="A9489" s="26">
        <v>1002460816</v>
      </c>
      <c r="B9489" s="29" t="s">
        <v>11712</v>
      </c>
      <c r="C9489" s="29" t="s">
        <v>25618</v>
      </c>
      <c r="D9489" s="29" t="s">
        <v>39049</v>
      </c>
      <c r="E9489" s="29" t="s">
        <v>51059</v>
      </c>
      <c r="F9489" s="36" t="s">
        <v>54401</v>
      </c>
      <c r="G9489" s="39">
        <v>5024829</v>
      </c>
      <c r="H9489" s="42">
        <v>211</v>
      </c>
    </row>
    <row r="9490" spans="1:8" ht="15" customHeight="1">
      <c r="A9490" s="26">
        <v>1002460868</v>
      </c>
      <c r="B9490" s="29" t="s">
        <v>11713</v>
      </c>
      <c r="C9490" s="29" t="s">
        <v>25619</v>
      </c>
      <c r="D9490" s="29" t="s">
        <v>39050</v>
      </c>
      <c r="E9490" s="29" t="s">
        <v>45237</v>
      </c>
      <c r="F9490" s="36" t="s">
        <v>54401</v>
      </c>
      <c r="G9490" s="39">
        <v>80038.77</v>
      </c>
      <c r="H9490" s="42">
        <v>211</v>
      </c>
    </row>
    <row r="9491" spans="1:8" ht="15" customHeight="1">
      <c r="A9491" s="26">
        <v>1002460910</v>
      </c>
      <c r="B9491" s="29" t="s">
        <v>11714</v>
      </c>
      <c r="C9491" s="29" t="s">
        <v>25620</v>
      </c>
      <c r="D9491" s="29" t="s">
        <v>39051</v>
      </c>
      <c r="E9491" s="29" t="s">
        <v>51060</v>
      </c>
      <c r="F9491" s="36" t="s">
        <v>54401</v>
      </c>
      <c r="G9491" s="39">
        <v>1872028.18</v>
      </c>
      <c r="H9491" s="42">
        <v>211</v>
      </c>
    </row>
    <row r="9492" spans="1:8" ht="15" customHeight="1">
      <c r="A9492" s="26">
        <v>1002460966</v>
      </c>
      <c r="B9492" s="29" t="s">
        <v>11715</v>
      </c>
      <c r="C9492" s="29" t="s">
        <v>25621</v>
      </c>
      <c r="D9492" s="29" t="s">
        <v>39052</v>
      </c>
      <c r="E9492" s="29" t="s">
        <v>45183</v>
      </c>
      <c r="F9492" s="36" t="s">
        <v>54401</v>
      </c>
      <c r="G9492" s="39">
        <v>424336.32</v>
      </c>
      <c r="H9492" s="42">
        <v>211</v>
      </c>
    </row>
    <row r="9493" spans="1:8" ht="15" customHeight="1">
      <c r="A9493" s="26">
        <v>1002460992</v>
      </c>
      <c r="B9493" s="29" t="s">
        <v>11716</v>
      </c>
      <c r="C9493" s="26" t="s">
        <v>17204</v>
      </c>
      <c r="D9493" s="26" t="s">
        <v>39053</v>
      </c>
      <c r="E9493" s="26" t="s">
        <v>51061</v>
      </c>
      <c r="F9493" s="37" t="s">
        <v>54401</v>
      </c>
      <c r="G9493" s="39">
        <v>3295.24</v>
      </c>
      <c r="H9493" s="42">
        <v>211</v>
      </c>
    </row>
    <row r="9494" spans="1:8" ht="15" customHeight="1">
      <c r="A9494" s="26">
        <v>1002461054</v>
      </c>
      <c r="B9494" s="29" t="s">
        <v>11717</v>
      </c>
      <c r="C9494" s="26" t="s">
        <v>18136</v>
      </c>
      <c r="D9494" s="26" t="s">
        <v>31289</v>
      </c>
      <c r="E9494" s="26" t="s">
        <v>51062</v>
      </c>
      <c r="F9494" s="37" t="s">
        <v>54401</v>
      </c>
      <c r="G9494" s="39">
        <v>1467161.48</v>
      </c>
      <c r="H9494" s="42">
        <v>211</v>
      </c>
    </row>
    <row r="9495" spans="1:8" ht="15" customHeight="1">
      <c r="A9495" s="26">
        <v>1002461064</v>
      </c>
      <c r="B9495" s="29" t="s">
        <v>11718</v>
      </c>
      <c r="C9495" s="29" t="s">
        <v>25622</v>
      </c>
      <c r="D9495" s="29" t="s">
        <v>39054</v>
      </c>
      <c r="E9495" s="29" t="s">
        <v>51063</v>
      </c>
      <c r="F9495" s="36" t="s">
        <v>54401</v>
      </c>
      <c r="G9495" s="39">
        <v>743981.37</v>
      </c>
      <c r="H9495" s="42">
        <v>211</v>
      </c>
    </row>
    <row r="9496" spans="1:8" ht="15" customHeight="1">
      <c r="A9496" s="26">
        <v>1002461075</v>
      </c>
      <c r="B9496" s="29" t="s">
        <v>11719</v>
      </c>
      <c r="C9496" s="29" t="s">
        <v>17204</v>
      </c>
      <c r="D9496" s="29" t="s">
        <v>39055</v>
      </c>
      <c r="E9496" s="29" t="s">
        <v>43926</v>
      </c>
      <c r="F9496" s="36" t="s">
        <v>54401</v>
      </c>
      <c r="G9496" s="39">
        <v>238422.68</v>
      </c>
      <c r="H9496" s="42">
        <v>211</v>
      </c>
    </row>
    <row r="9497" spans="1:8" ht="15" customHeight="1">
      <c r="A9497" s="26">
        <v>1002461092</v>
      </c>
      <c r="B9497" s="29" t="s">
        <v>11720</v>
      </c>
      <c r="C9497" s="29" t="s">
        <v>17204</v>
      </c>
      <c r="D9497" s="29" t="s">
        <v>39056</v>
      </c>
      <c r="E9497" s="29" t="s">
        <v>43926</v>
      </c>
      <c r="F9497" s="36" t="s">
        <v>54401</v>
      </c>
      <c r="G9497" s="39">
        <v>187427.92</v>
      </c>
      <c r="H9497" s="42">
        <v>211</v>
      </c>
    </row>
    <row r="9498" spans="1:8" ht="15" customHeight="1">
      <c r="A9498" s="26">
        <v>1002461102</v>
      </c>
      <c r="B9498" s="29" t="s">
        <v>11721</v>
      </c>
      <c r="C9498" s="29" t="s">
        <v>25623</v>
      </c>
      <c r="D9498" s="29" t="s">
        <v>39057</v>
      </c>
      <c r="E9498" s="29" t="s">
        <v>51064</v>
      </c>
      <c r="F9498" s="36" t="s">
        <v>54401</v>
      </c>
      <c r="G9498" s="39">
        <v>233444.58</v>
      </c>
      <c r="H9498" s="42">
        <v>211</v>
      </c>
    </row>
    <row r="9499" spans="1:8" ht="15" customHeight="1">
      <c r="A9499" s="26">
        <v>1002461113</v>
      </c>
      <c r="B9499" s="29" t="s">
        <v>11722</v>
      </c>
      <c r="C9499" s="29" t="s">
        <v>25624</v>
      </c>
      <c r="D9499" s="29" t="s">
        <v>39058</v>
      </c>
      <c r="E9499" s="29" t="s">
        <v>51065</v>
      </c>
      <c r="F9499" s="36" t="s">
        <v>54401</v>
      </c>
      <c r="G9499" s="39">
        <v>7563592</v>
      </c>
      <c r="H9499" s="42">
        <v>211</v>
      </c>
    </row>
    <row r="9500" spans="1:8" ht="15" customHeight="1">
      <c r="A9500" s="26">
        <v>1002461117</v>
      </c>
      <c r="B9500" s="29" t="s">
        <v>11723</v>
      </c>
      <c r="C9500" s="29" t="s">
        <v>25625</v>
      </c>
      <c r="D9500" s="29" t="s">
        <v>39059</v>
      </c>
      <c r="E9500" s="29" t="s">
        <v>717</v>
      </c>
      <c r="F9500" s="36" t="s">
        <v>54409</v>
      </c>
      <c r="G9500" s="39">
        <v>175245.51</v>
      </c>
      <c r="H9500" s="42">
        <v>211</v>
      </c>
    </row>
    <row r="9501" spans="1:8" ht="15" customHeight="1">
      <c r="A9501" s="26">
        <v>1002461125</v>
      </c>
      <c r="B9501" s="29" t="s">
        <v>11724</v>
      </c>
      <c r="C9501" s="29" t="s">
        <v>25626</v>
      </c>
      <c r="D9501" s="29" t="s">
        <v>39060</v>
      </c>
      <c r="E9501" s="29" t="s">
        <v>43926</v>
      </c>
      <c r="F9501" s="36" t="s">
        <v>54401</v>
      </c>
      <c r="G9501" s="39">
        <v>39949.57</v>
      </c>
      <c r="H9501" s="42">
        <v>211</v>
      </c>
    </row>
    <row r="9502" spans="1:8" ht="15" customHeight="1">
      <c r="A9502" s="26">
        <v>1002461129</v>
      </c>
      <c r="B9502" s="29" t="s">
        <v>11725</v>
      </c>
      <c r="C9502" s="29" t="s">
        <v>25627</v>
      </c>
      <c r="D9502" s="29" t="s">
        <v>39061</v>
      </c>
      <c r="E9502" s="29" t="s">
        <v>731</v>
      </c>
      <c r="F9502" s="36" t="s">
        <v>54401</v>
      </c>
      <c r="G9502" s="39">
        <v>65965.02</v>
      </c>
      <c r="H9502" s="42">
        <v>211</v>
      </c>
    </row>
    <row r="9503" spans="1:8" ht="15" customHeight="1">
      <c r="A9503" s="26">
        <v>1002461144</v>
      </c>
      <c r="B9503" s="29" t="s">
        <v>11726</v>
      </c>
      <c r="C9503" s="29" t="s">
        <v>25628</v>
      </c>
      <c r="D9503" s="29" t="s">
        <v>39062</v>
      </c>
      <c r="E9503" s="29" t="s">
        <v>43928</v>
      </c>
      <c r="F9503" s="36" t="s">
        <v>54401</v>
      </c>
      <c r="G9503" s="39">
        <v>924242.56</v>
      </c>
      <c r="H9503" s="42">
        <v>211</v>
      </c>
    </row>
    <row r="9504" spans="1:8" ht="15" customHeight="1">
      <c r="A9504" s="26">
        <v>1002461203</v>
      </c>
      <c r="B9504" s="29" t="s">
        <v>11727</v>
      </c>
      <c r="C9504" s="29" t="s">
        <v>25629</v>
      </c>
      <c r="D9504" s="29" t="s">
        <v>39063</v>
      </c>
      <c r="E9504" s="29" t="s">
        <v>51066</v>
      </c>
      <c r="F9504" s="36" t="s">
        <v>54401</v>
      </c>
      <c r="G9504" s="39">
        <v>1748300.01</v>
      </c>
      <c r="H9504" s="42">
        <v>211</v>
      </c>
    </row>
    <row r="9505" spans="1:8" ht="15" customHeight="1">
      <c r="A9505" s="26">
        <v>1002461224</v>
      </c>
      <c r="B9505" s="29" t="s">
        <v>11728</v>
      </c>
      <c r="C9505" s="29" t="s">
        <v>25630</v>
      </c>
      <c r="D9505" s="29" t="s">
        <v>39064</v>
      </c>
      <c r="E9505" s="29" t="s">
        <v>51067</v>
      </c>
      <c r="F9505" s="36" t="s">
        <v>54401</v>
      </c>
      <c r="G9505" s="39">
        <v>3129771.11</v>
      </c>
      <c r="H9505" s="42">
        <v>211</v>
      </c>
    </row>
    <row r="9506" spans="1:8" ht="15" customHeight="1">
      <c r="A9506" s="26">
        <v>1002461253</v>
      </c>
      <c r="B9506" s="29" t="s">
        <v>11729</v>
      </c>
      <c r="C9506" s="29" t="s">
        <v>25631</v>
      </c>
      <c r="D9506" s="29" t="s">
        <v>30349</v>
      </c>
      <c r="E9506" s="29" t="s">
        <v>43926</v>
      </c>
      <c r="F9506" s="36" t="s">
        <v>54401</v>
      </c>
      <c r="G9506" s="39">
        <v>169348.4</v>
      </c>
      <c r="H9506" s="42">
        <v>211</v>
      </c>
    </row>
    <row r="9507" spans="1:8" ht="15" customHeight="1">
      <c r="A9507" s="26">
        <v>1002461271</v>
      </c>
      <c r="B9507" s="29" t="s">
        <v>11730</v>
      </c>
      <c r="C9507" s="29" t="s">
        <v>25632</v>
      </c>
      <c r="D9507" s="29" t="s">
        <v>39065</v>
      </c>
      <c r="E9507" s="29" t="s">
        <v>51068</v>
      </c>
      <c r="F9507" s="36" t="s">
        <v>54401</v>
      </c>
      <c r="G9507" s="39">
        <v>5717064.1100000003</v>
      </c>
      <c r="H9507" s="42">
        <v>211</v>
      </c>
    </row>
    <row r="9508" spans="1:8" ht="15" customHeight="1">
      <c r="A9508" s="26">
        <v>1002461272</v>
      </c>
      <c r="B9508" s="29" t="s">
        <v>11731</v>
      </c>
      <c r="C9508" s="29" t="s">
        <v>25633</v>
      </c>
      <c r="D9508" s="29" t="s">
        <v>39066</v>
      </c>
      <c r="E9508" s="29" t="s">
        <v>51069</v>
      </c>
      <c r="F9508" s="36" t="s">
        <v>54401</v>
      </c>
      <c r="G9508" s="39">
        <v>332846.61</v>
      </c>
      <c r="H9508" s="42">
        <v>211</v>
      </c>
    </row>
    <row r="9509" spans="1:8" ht="15" customHeight="1">
      <c r="A9509" s="26">
        <v>1002461276</v>
      </c>
      <c r="B9509" s="29" t="s">
        <v>8043</v>
      </c>
      <c r="C9509" s="29" t="s">
        <v>25634</v>
      </c>
      <c r="D9509" s="29" t="s">
        <v>39067</v>
      </c>
      <c r="E9509" s="29" t="s">
        <v>43926</v>
      </c>
      <c r="F9509" s="36" t="s">
        <v>54401</v>
      </c>
      <c r="G9509" s="39">
        <v>436621.2</v>
      </c>
      <c r="H9509" s="42">
        <v>211</v>
      </c>
    </row>
    <row r="9510" spans="1:8" ht="15" customHeight="1">
      <c r="A9510" s="26">
        <v>1002461360</v>
      </c>
      <c r="B9510" s="29" t="s">
        <v>11732</v>
      </c>
      <c r="C9510" s="29" t="s">
        <v>25635</v>
      </c>
      <c r="D9510" s="29" t="s">
        <v>39068</v>
      </c>
      <c r="E9510" s="29" t="s">
        <v>51070</v>
      </c>
      <c r="F9510" s="36" t="s">
        <v>54401</v>
      </c>
      <c r="G9510" s="39">
        <v>3311537.87</v>
      </c>
      <c r="H9510" s="42">
        <v>211</v>
      </c>
    </row>
    <row r="9511" spans="1:8" ht="15" customHeight="1">
      <c r="A9511" s="26">
        <v>1002461364</v>
      </c>
      <c r="B9511" s="29" t="s">
        <v>11733</v>
      </c>
      <c r="C9511" s="29" t="s">
        <v>25636</v>
      </c>
      <c r="D9511" s="29" t="s">
        <v>39069</v>
      </c>
      <c r="E9511" s="29" t="s">
        <v>51071</v>
      </c>
      <c r="F9511" s="36" t="s">
        <v>54401</v>
      </c>
      <c r="G9511" s="39">
        <v>1191940</v>
      </c>
      <c r="H9511" s="42">
        <v>211</v>
      </c>
    </row>
    <row r="9512" spans="1:8" ht="15" customHeight="1">
      <c r="A9512" s="26">
        <v>1002461383</v>
      </c>
      <c r="B9512" s="29" t="s">
        <v>11734</v>
      </c>
      <c r="C9512" s="29" t="s">
        <v>25637</v>
      </c>
      <c r="D9512" s="29" t="s">
        <v>39070</v>
      </c>
      <c r="E9512" s="29" t="s">
        <v>43926</v>
      </c>
      <c r="F9512" s="36" t="s">
        <v>54401</v>
      </c>
      <c r="G9512" s="39">
        <v>388921.59</v>
      </c>
      <c r="H9512" s="42">
        <v>211</v>
      </c>
    </row>
    <row r="9513" spans="1:8" ht="15" customHeight="1">
      <c r="A9513" s="26">
        <v>1002461396</v>
      </c>
      <c r="B9513" s="29" t="s">
        <v>11735</v>
      </c>
      <c r="C9513" s="29" t="s">
        <v>25638</v>
      </c>
      <c r="D9513" s="29" t="s">
        <v>39071</v>
      </c>
      <c r="E9513" s="29" t="s">
        <v>44275</v>
      </c>
      <c r="F9513" s="36" t="s">
        <v>54401</v>
      </c>
      <c r="G9513" s="39">
        <v>45953.19</v>
      </c>
      <c r="H9513" s="42">
        <v>211</v>
      </c>
    </row>
    <row r="9514" spans="1:8" ht="15" customHeight="1">
      <c r="A9514" s="26">
        <v>1002461413</v>
      </c>
      <c r="B9514" s="29" t="s">
        <v>11736</v>
      </c>
      <c r="C9514" s="26" t="s">
        <v>25639</v>
      </c>
      <c r="D9514" s="26" t="s">
        <v>39072</v>
      </c>
      <c r="E9514" s="26" t="s">
        <v>51072</v>
      </c>
      <c r="F9514" s="37" t="s">
        <v>54401</v>
      </c>
      <c r="G9514" s="39">
        <v>362897.93</v>
      </c>
      <c r="H9514" s="42">
        <v>211</v>
      </c>
    </row>
    <row r="9515" spans="1:8" ht="15" customHeight="1">
      <c r="A9515" s="26">
        <v>1002461432</v>
      </c>
      <c r="B9515" s="29" t="s">
        <v>11737</v>
      </c>
      <c r="C9515" s="26" t="s">
        <v>25640</v>
      </c>
      <c r="D9515" s="26" t="s">
        <v>39073</v>
      </c>
      <c r="E9515" s="26" t="s">
        <v>43926</v>
      </c>
      <c r="F9515" s="37" t="s">
        <v>54401</v>
      </c>
      <c r="G9515" s="39">
        <v>118116.92</v>
      </c>
      <c r="H9515" s="42">
        <v>211</v>
      </c>
    </row>
    <row r="9516" spans="1:8" ht="15" customHeight="1">
      <c r="A9516" s="26">
        <v>1002461457</v>
      </c>
      <c r="B9516" s="29" t="s">
        <v>11738</v>
      </c>
      <c r="C9516" s="29" t="s">
        <v>17204</v>
      </c>
      <c r="D9516" s="29" t="s">
        <v>30349</v>
      </c>
      <c r="E9516" s="29" t="s">
        <v>43926</v>
      </c>
      <c r="F9516" s="36" t="s">
        <v>54401</v>
      </c>
      <c r="G9516" s="39">
        <v>277551.21999999997</v>
      </c>
      <c r="H9516" s="42">
        <v>211</v>
      </c>
    </row>
    <row r="9517" spans="1:8" ht="15" customHeight="1">
      <c r="A9517" s="26">
        <v>1002461466</v>
      </c>
      <c r="B9517" s="29" t="s">
        <v>11739</v>
      </c>
      <c r="C9517" s="29" t="s">
        <v>25641</v>
      </c>
      <c r="D9517" s="29" t="s">
        <v>39074</v>
      </c>
      <c r="E9517" s="29" t="s">
        <v>44250</v>
      </c>
      <c r="F9517" s="36" t="s">
        <v>54401</v>
      </c>
      <c r="G9517" s="39">
        <v>402438.37</v>
      </c>
      <c r="H9517" s="42">
        <v>211</v>
      </c>
    </row>
    <row r="9518" spans="1:8" ht="15" customHeight="1">
      <c r="A9518" s="26">
        <v>1002461560</v>
      </c>
      <c r="B9518" s="29" t="s">
        <v>11740</v>
      </c>
      <c r="C9518" s="29" t="s">
        <v>25642</v>
      </c>
      <c r="D9518" s="29" t="s">
        <v>39075</v>
      </c>
      <c r="E9518" s="29" t="s">
        <v>51073</v>
      </c>
      <c r="F9518" s="36" t="s">
        <v>54401</v>
      </c>
      <c r="G9518" s="39">
        <v>12330</v>
      </c>
      <c r="H9518" s="42">
        <v>211</v>
      </c>
    </row>
    <row r="9519" spans="1:8" ht="15" customHeight="1">
      <c r="A9519" s="26">
        <v>1002461587</v>
      </c>
      <c r="B9519" s="29" t="s">
        <v>11741</v>
      </c>
      <c r="C9519" s="29" t="s">
        <v>25643</v>
      </c>
      <c r="D9519" s="29" t="s">
        <v>39076</v>
      </c>
      <c r="E9519" s="29" t="s">
        <v>51074</v>
      </c>
      <c r="F9519" s="36" t="s">
        <v>54401</v>
      </c>
      <c r="G9519" s="39">
        <v>3036248.44</v>
      </c>
      <c r="H9519" s="42">
        <v>211</v>
      </c>
    </row>
    <row r="9520" spans="1:8" ht="15" customHeight="1">
      <c r="A9520" s="26">
        <v>1002461683</v>
      </c>
      <c r="B9520" s="29" t="s">
        <v>11742</v>
      </c>
      <c r="C9520" s="29" t="s">
        <v>25644</v>
      </c>
      <c r="D9520" s="29" t="s">
        <v>39077</v>
      </c>
      <c r="E9520" s="29" t="s">
        <v>51075</v>
      </c>
      <c r="F9520" s="36" t="s">
        <v>54401</v>
      </c>
      <c r="G9520" s="39">
        <v>78488.850000000006</v>
      </c>
      <c r="H9520" s="42">
        <v>211</v>
      </c>
    </row>
    <row r="9521" spans="1:8" ht="15" customHeight="1">
      <c r="A9521" s="26">
        <v>1002461700</v>
      </c>
      <c r="B9521" s="29" t="s">
        <v>11743</v>
      </c>
      <c r="C9521" s="26" t="s">
        <v>17204</v>
      </c>
      <c r="D9521" s="26" t="s">
        <v>30349</v>
      </c>
      <c r="E9521" s="26" t="s">
        <v>43926</v>
      </c>
      <c r="F9521" s="37" t="s">
        <v>54401</v>
      </c>
      <c r="G9521" s="39">
        <v>160397.53</v>
      </c>
      <c r="H9521" s="42">
        <v>211</v>
      </c>
    </row>
    <row r="9522" spans="1:8" ht="15" customHeight="1">
      <c r="A9522" s="26">
        <v>1002461705</v>
      </c>
      <c r="B9522" s="29" t="s">
        <v>11744</v>
      </c>
      <c r="C9522" s="29" t="s">
        <v>25645</v>
      </c>
      <c r="D9522" s="29" t="s">
        <v>39078</v>
      </c>
      <c r="E9522" s="29" t="s">
        <v>51076</v>
      </c>
      <c r="F9522" s="36" t="s">
        <v>54401</v>
      </c>
      <c r="G9522" s="39">
        <v>4389883</v>
      </c>
      <c r="H9522" s="42">
        <v>211</v>
      </c>
    </row>
    <row r="9523" spans="1:8" ht="15" customHeight="1">
      <c r="A9523" s="26">
        <v>1002461709</v>
      </c>
      <c r="B9523" s="29" t="s">
        <v>11745</v>
      </c>
      <c r="C9523" s="26" t="s">
        <v>25646</v>
      </c>
      <c r="D9523" s="26" t="s">
        <v>39079</v>
      </c>
      <c r="E9523" s="26" t="s">
        <v>51077</v>
      </c>
      <c r="F9523" s="37" t="s">
        <v>54401</v>
      </c>
      <c r="G9523" s="39">
        <v>965347.63</v>
      </c>
      <c r="H9523" s="42">
        <v>211</v>
      </c>
    </row>
    <row r="9524" spans="1:8" ht="15" customHeight="1">
      <c r="A9524" s="26">
        <v>1002461812</v>
      </c>
      <c r="B9524" s="29" t="s">
        <v>11746</v>
      </c>
      <c r="C9524" s="29" t="s">
        <v>17204</v>
      </c>
      <c r="D9524" s="29" t="s">
        <v>30349</v>
      </c>
      <c r="E9524" s="29" t="s">
        <v>43926</v>
      </c>
      <c r="F9524" s="36" t="s">
        <v>54401</v>
      </c>
      <c r="G9524" s="39">
        <v>185165.13</v>
      </c>
      <c r="H9524" s="42">
        <v>211</v>
      </c>
    </row>
    <row r="9525" spans="1:8" ht="15" customHeight="1">
      <c r="A9525" s="26">
        <v>1002461821</v>
      </c>
      <c r="B9525" s="29" t="s">
        <v>11747</v>
      </c>
      <c r="C9525" s="29" t="s">
        <v>25647</v>
      </c>
      <c r="D9525" s="29" t="s">
        <v>39080</v>
      </c>
      <c r="E9525" s="29" t="s">
        <v>43926</v>
      </c>
      <c r="F9525" s="36" t="s">
        <v>54401</v>
      </c>
      <c r="G9525" s="39">
        <v>13990.48</v>
      </c>
      <c r="H9525" s="42">
        <v>211</v>
      </c>
    </row>
    <row r="9526" spans="1:8" ht="15" customHeight="1">
      <c r="A9526" s="26">
        <v>1002461855</v>
      </c>
      <c r="B9526" s="29" t="s">
        <v>11748</v>
      </c>
      <c r="C9526" s="29" t="s">
        <v>17204</v>
      </c>
      <c r="D9526" s="29" t="s">
        <v>39081</v>
      </c>
      <c r="E9526" s="29" t="s">
        <v>43926</v>
      </c>
      <c r="F9526" s="36" t="s">
        <v>54401</v>
      </c>
      <c r="G9526" s="39">
        <v>210938.66</v>
      </c>
      <c r="H9526" s="42">
        <v>211</v>
      </c>
    </row>
    <row r="9527" spans="1:8" ht="15" customHeight="1">
      <c r="A9527" s="26">
        <v>1002461859</v>
      </c>
      <c r="B9527" s="29" t="s">
        <v>11749</v>
      </c>
      <c r="C9527" s="29" t="s">
        <v>25648</v>
      </c>
      <c r="D9527" s="29" t="s">
        <v>39082</v>
      </c>
      <c r="E9527" s="29" t="s">
        <v>51078</v>
      </c>
      <c r="F9527" s="36" t="s">
        <v>54401</v>
      </c>
      <c r="G9527" s="39">
        <v>455356.1</v>
      </c>
      <c r="H9527" s="42">
        <v>211</v>
      </c>
    </row>
    <row r="9528" spans="1:8" ht="15" customHeight="1">
      <c r="A9528" s="26">
        <v>1002461860</v>
      </c>
      <c r="B9528" s="29" t="s">
        <v>11750</v>
      </c>
      <c r="C9528" s="29" t="s">
        <v>25649</v>
      </c>
      <c r="D9528" s="29" t="s">
        <v>39083</v>
      </c>
      <c r="E9528" s="29" t="s">
        <v>51079</v>
      </c>
      <c r="F9528" s="36" t="s">
        <v>54401</v>
      </c>
      <c r="G9528" s="39">
        <v>1586579.05</v>
      </c>
      <c r="H9528" s="42">
        <v>211</v>
      </c>
    </row>
    <row r="9529" spans="1:8" ht="15" customHeight="1">
      <c r="A9529" s="26">
        <v>1002461876</v>
      </c>
      <c r="B9529" s="29" t="s">
        <v>11751</v>
      </c>
      <c r="C9529" s="29" t="s">
        <v>25650</v>
      </c>
      <c r="D9529" s="29" t="s">
        <v>39084</v>
      </c>
      <c r="E9529" s="29" t="s">
        <v>43926</v>
      </c>
      <c r="F9529" s="36" t="s">
        <v>54401</v>
      </c>
      <c r="G9529" s="39">
        <v>274182.71000000002</v>
      </c>
      <c r="H9529" s="42">
        <v>211</v>
      </c>
    </row>
    <row r="9530" spans="1:8" ht="15" customHeight="1">
      <c r="A9530" s="26">
        <v>1002461882</v>
      </c>
      <c r="B9530" s="29" t="s">
        <v>11752</v>
      </c>
      <c r="C9530" s="29" t="s">
        <v>17204</v>
      </c>
      <c r="D9530" s="29" t="s">
        <v>30349</v>
      </c>
      <c r="E9530" s="29" t="s">
        <v>43926</v>
      </c>
      <c r="F9530" s="36" t="s">
        <v>54401</v>
      </c>
      <c r="G9530" s="39">
        <v>563696.05000000005</v>
      </c>
      <c r="H9530" s="42">
        <v>211</v>
      </c>
    </row>
    <row r="9531" spans="1:8" ht="15" customHeight="1">
      <c r="A9531" s="26">
        <v>1002461884</v>
      </c>
      <c r="B9531" s="29" t="s">
        <v>11753</v>
      </c>
      <c r="C9531" s="29" t="s">
        <v>25651</v>
      </c>
      <c r="D9531" s="29" t="s">
        <v>39085</v>
      </c>
      <c r="E9531" s="29" t="s">
        <v>45341</v>
      </c>
      <c r="F9531" s="36" t="s">
        <v>54401</v>
      </c>
      <c r="G9531" s="39">
        <v>3280800</v>
      </c>
      <c r="H9531" s="42">
        <v>211</v>
      </c>
    </row>
    <row r="9532" spans="1:8" ht="15" customHeight="1">
      <c r="A9532" s="26">
        <v>1002461900</v>
      </c>
      <c r="B9532" s="29" t="s">
        <v>11754</v>
      </c>
      <c r="C9532" s="29" t="s">
        <v>25652</v>
      </c>
      <c r="D9532" s="29" t="s">
        <v>39086</v>
      </c>
      <c r="E9532" s="29" t="s">
        <v>43926</v>
      </c>
      <c r="F9532" s="36" t="s">
        <v>54401</v>
      </c>
      <c r="G9532" s="39">
        <v>845008.9</v>
      </c>
      <c r="H9532" s="42">
        <v>211</v>
      </c>
    </row>
    <row r="9533" spans="1:8" ht="15" customHeight="1">
      <c r="A9533" s="26">
        <v>1002461906</v>
      </c>
      <c r="B9533" s="29" t="s">
        <v>11755</v>
      </c>
      <c r="C9533" s="29" t="s">
        <v>25653</v>
      </c>
      <c r="D9533" s="29" t="s">
        <v>39087</v>
      </c>
      <c r="E9533" s="29" t="s">
        <v>51080</v>
      </c>
      <c r="F9533" s="36" t="s">
        <v>54401</v>
      </c>
      <c r="G9533" s="39">
        <v>88140.42</v>
      </c>
      <c r="H9533" s="42">
        <v>211</v>
      </c>
    </row>
    <row r="9534" spans="1:8" ht="15" customHeight="1">
      <c r="A9534" s="26">
        <v>1002461911</v>
      </c>
      <c r="B9534" s="29" t="s">
        <v>11756</v>
      </c>
      <c r="C9534" s="26" t="s">
        <v>25654</v>
      </c>
      <c r="D9534" s="26" t="s">
        <v>39088</v>
      </c>
      <c r="E9534" s="26" t="s">
        <v>51081</v>
      </c>
      <c r="F9534" s="37" t="s">
        <v>54401</v>
      </c>
      <c r="G9534" s="39">
        <v>4254396</v>
      </c>
      <c r="H9534" s="42">
        <v>211</v>
      </c>
    </row>
    <row r="9535" spans="1:8" ht="15" customHeight="1">
      <c r="A9535" s="26">
        <v>1002461912</v>
      </c>
      <c r="B9535" s="29" t="s">
        <v>11757</v>
      </c>
      <c r="C9535" s="29" t="s">
        <v>25655</v>
      </c>
      <c r="D9535" s="29" t="s">
        <v>39089</v>
      </c>
      <c r="E9535" s="29" t="s">
        <v>51082</v>
      </c>
      <c r="F9535" s="36" t="s">
        <v>54401</v>
      </c>
      <c r="G9535" s="39">
        <v>567966.34</v>
      </c>
      <c r="H9535" s="42">
        <v>211</v>
      </c>
    </row>
    <row r="9536" spans="1:8" ht="15" customHeight="1">
      <c r="A9536" s="26">
        <v>1002461917</v>
      </c>
      <c r="B9536" s="29" t="s">
        <v>11758</v>
      </c>
      <c r="C9536" s="29" t="s">
        <v>17204</v>
      </c>
      <c r="D9536" s="29" t="s">
        <v>30349</v>
      </c>
      <c r="E9536" s="29" t="s">
        <v>43926</v>
      </c>
      <c r="F9536" s="36" t="s">
        <v>54401</v>
      </c>
      <c r="G9536" s="39">
        <v>22440</v>
      </c>
      <c r="H9536" s="42">
        <v>211</v>
      </c>
    </row>
    <row r="9537" spans="1:8" ht="15" customHeight="1">
      <c r="A9537" s="26">
        <v>1002461935</v>
      </c>
      <c r="B9537" s="29" t="s">
        <v>11759</v>
      </c>
      <c r="C9537" s="29" t="s">
        <v>25656</v>
      </c>
      <c r="D9537" s="29" t="s">
        <v>39090</v>
      </c>
      <c r="E9537" s="29" t="s">
        <v>51083</v>
      </c>
      <c r="F9537" s="36" t="s">
        <v>54401</v>
      </c>
      <c r="G9537" s="39">
        <v>466001.78</v>
      </c>
      <c r="H9537" s="42">
        <v>211</v>
      </c>
    </row>
    <row r="9538" spans="1:8" ht="15" customHeight="1">
      <c r="A9538" s="26">
        <v>1002461961</v>
      </c>
      <c r="B9538" s="29" t="s">
        <v>11760</v>
      </c>
      <c r="C9538" s="29" t="s">
        <v>22202</v>
      </c>
      <c r="D9538" s="29" t="s">
        <v>35439</v>
      </c>
      <c r="E9538" s="29" t="s">
        <v>51084</v>
      </c>
      <c r="F9538" s="36" t="s">
        <v>54401</v>
      </c>
      <c r="G9538" s="39">
        <v>1507347.18</v>
      </c>
      <c r="H9538" s="42">
        <v>211</v>
      </c>
    </row>
    <row r="9539" spans="1:8" ht="15" customHeight="1">
      <c r="A9539" s="26">
        <v>1002461992</v>
      </c>
      <c r="B9539" s="29" t="s">
        <v>11761</v>
      </c>
      <c r="C9539" s="26" t="s">
        <v>25657</v>
      </c>
      <c r="D9539" s="26" t="s">
        <v>39091</v>
      </c>
      <c r="E9539" s="26" t="s">
        <v>51085</v>
      </c>
      <c r="F9539" s="37" t="s">
        <v>54401</v>
      </c>
      <c r="G9539" s="39">
        <v>2320625.2999999998</v>
      </c>
      <c r="H9539" s="42">
        <v>211</v>
      </c>
    </row>
    <row r="9540" spans="1:8" ht="15" customHeight="1">
      <c r="A9540" s="26">
        <v>1002461999</v>
      </c>
      <c r="B9540" s="29" t="s">
        <v>11762</v>
      </c>
      <c r="C9540" s="29" t="s">
        <v>17204</v>
      </c>
      <c r="D9540" s="29" t="s">
        <v>39092</v>
      </c>
      <c r="E9540" s="29" t="s">
        <v>43926</v>
      </c>
      <c r="F9540" s="36" t="s">
        <v>54401</v>
      </c>
      <c r="G9540" s="39">
        <v>582271.94999999995</v>
      </c>
      <c r="H9540" s="42">
        <v>211</v>
      </c>
    </row>
    <row r="9541" spans="1:8" ht="15" customHeight="1">
      <c r="A9541" s="26">
        <v>1002462022</v>
      </c>
      <c r="B9541" s="29" t="s">
        <v>11763</v>
      </c>
      <c r="C9541" s="29" t="s">
        <v>25658</v>
      </c>
      <c r="D9541" s="29" t="s">
        <v>39093</v>
      </c>
      <c r="E9541" s="29" t="s">
        <v>51086</v>
      </c>
      <c r="F9541" s="36" t="s">
        <v>54401</v>
      </c>
      <c r="G9541" s="39">
        <v>876819.26</v>
      </c>
      <c r="H9541" s="42">
        <v>211</v>
      </c>
    </row>
    <row r="9542" spans="1:8" ht="15" customHeight="1">
      <c r="A9542" s="26">
        <v>1002462030</v>
      </c>
      <c r="B9542" s="29" t="s">
        <v>11764</v>
      </c>
      <c r="C9542" s="29" t="s">
        <v>25659</v>
      </c>
      <c r="D9542" s="29" t="s">
        <v>39094</v>
      </c>
      <c r="E9542" s="29" t="s">
        <v>45495</v>
      </c>
      <c r="F9542" s="36" t="s">
        <v>54401</v>
      </c>
      <c r="G9542" s="39">
        <v>210643.06</v>
      </c>
      <c r="H9542" s="42">
        <v>211</v>
      </c>
    </row>
    <row r="9543" spans="1:8" ht="15" customHeight="1">
      <c r="A9543" s="26">
        <v>1002462041</v>
      </c>
      <c r="B9543" s="29" t="s">
        <v>11765</v>
      </c>
      <c r="C9543" s="29" t="s">
        <v>25660</v>
      </c>
      <c r="D9543" s="29" t="s">
        <v>39095</v>
      </c>
      <c r="E9543" s="29" t="s">
        <v>51087</v>
      </c>
      <c r="F9543" s="36" t="s">
        <v>54401</v>
      </c>
      <c r="G9543" s="39">
        <v>1283921.9099999999</v>
      </c>
      <c r="H9543" s="42">
        <v>211</v>
      </c>
    </row>
    <row r="9544" spans="1:8" ht="15" customHeight="1">
      <c r="A9544" s="26">
        <v>1002462095</v>
      </c>
      <c r="B9544" s="29" t="s">
        <v>11766</v>
      </c>
      <c r="C9544" s="29" t="s">
        <v>25661</v>
      </c>
      <c r="D9544" s="29" t="s">
        <v>39096</v>
      </c>
      <c r="E9544" s="29" t="s">
        <v>43926</v>
      </c>
      <c r="F9544" s="36" t="s">
        <v>54401</v>
      </c>
      <c r="G9544" s="39">
        <v>2571005</v>
      </c>
      <c r="H9544" s="42">
        <v>211</v>
      </c>
    </row>
    <row r="9545" spans="1:8" ht="15" customHeight="1">
      <c r="A9545" s="26">
        <v>1002462346</v>
      </c>
      <c r="B9545" s="29" t="s">
        <v>11767</v>
      </c>
      <c r="C9545" s="29" t="s">
        <v>25662</v>
      </c>
      <c r="D9545" s="29" t="s">
        <v>39097</v>
      </c>
      <c r="E9545" s="29" t="s">
        <v>51088</v>
      </c>
      <c r="F9545" s="36" t="s">
        <v>54401</v>
      </c>
      <c r="G9545" s="39">
        <v>1012885.45</v>
      </c>
      <c r="H9545" s="42">
        <v>211</v>
      </c>
    </row>
    <row r="9546" spans="1:8" ht="15" customHeight="1">
      <c r="A9546" s="26">
        <v>1002468536</v>
      </c>
      <c r="B9546" s="29" t="s">
        <v>11768</v>
      </c>
      <c r="C9546" s="29" t="s">
        <v>25663</v>
      </c>
      <c r="D9546" s="29" t="s">
        <v>39098</v>
      </c>
      <c r="E9546" s="29" t="s">
        <v>51089</v>
      </c>
      <c r="F9546" s="36" t="s">
        <v>54401</v>
      </c>
      <c r="G9546" s="39">
        <v>621257.13</v>
      </c>
      <c r="H9546" s="42">
        <v>211</v>
      </c>
    </row>
    <row r="9547" spans="1:8" ht="15" customHeight="1">
      <c r="A9547" s="26">
        <v>1002479224</v>
      </c>
      <c r="B9547" s="29" t="s">
        <v>11769</v>
      </c>
      <c r="C9547" s="29" t="s">
        <v>17204</v>
      </c>
      <c r="D9547" s="29" t="s">
        <v>39099</v>
      </c>
      <c r="E9547" s="29" t="s">
        <v>43926</v>
      </c>
      <c r="F9547" s="36" t="s">
        <v>54401</v>
      </c>
      <c r="G9547" s="39">
        <v>781944.91</v>
      </c>
      <c r="H9547" s="42">
        <v>211</v>
      </c>
    </row>
    <row r="9548" spans="1:8" ht="15" customHeight="1">
      <c r="A9548" s="26">
        <v>1002479243</v>
      </c>
      <c r="B9548" s="29" t="s">
        <v>11770</v>
      </c>
      <c r="C9548" s="29" t="s">
        <v>25664</v>
      </c>
      <c r="D9548" s="29" t="s">
        <v>39100</v>
      </c>
      <c r="E9548" s="29" t="s">
        <v>51090</v>
      </c>
      <c r="F9548" s="36" t="s">
        <v>54401</v>
      </c>
      <c r="G9548" s="39">
        <v>179199.7</v>
      </c>
      <c r="H9548" s="42">
        <v>211</v>
      </c>
    </row>
    <row r="9549" spans="1:8" ht="15" customHeight="1">
      <c r="A9549" s="26">
        <v>1002479255</v>
      </c>
      <c r="B9549" s="29" t="s">
        <v>11771</v>
      </c>
      <c r="C9549" s="29" t="s">
        <v>25665</v>
      </c>
      <c r="D9549" s="29" t="s">
        <v>39101</v>
      </c>
      <c r="E9549" s="29" t="s">
        <v>51091</v>
      </c>
      <c r="F9549" s="36" t="s">
        <v>54401</v>
      </c>
      <c r="G9549" s="39">
        <v>1318383</v>
      </c>
      <c r="H9549" s="42">
        <v>211</v>
      </c>
    </row>
    <row r="9550" spans="1:8" ht="15" customHeight="1">
      <c r="A9550" s="26">
        <v>1002479348</v>
      </c>
      <c r="B9550" s="29" t="s">
        <v>11772</v>
      </c>
      <c r="C9550" s="29" t="s">
        <v>25666</v>
      </c>
      <c r="D9550" s="29" t="s">
        <v>39102</v>
      </c>
      <c r="E9550" s="29" t="s">
        <v>43926</v>
      </c>
      <c r="F9550" s="36" t="s">
        <v>54401</v>
      </c>
      <c r="G9550" s="39">
        <v>3392227.04</v>
      </c>
      <c r="H9550" s="42">
        <v>211</v>
      </c>
    </row>
    <row r="9551" spans="1:8" ht="15" customHeight="1">
      <c r="A9551" s="26">
        <v>1002479369</v>
      </c>
      <c r="B9551" s="29" t="s">
        <v>11773</v>
      </c>
      <c r="C9551" s="29" t="s">
        <v>25667</v>
      </c>
      <c r="D9551" s="29" t="s">
        <v>39103</v>
      </c>
      <c r="E9551" s="29" t="s">
        <v>43926</v>
      </c>
      <c r="F9551" s="36" t="s">
        <v>54401</v>
      </c>
      <c r="G9551" s="39">
        <v>1272628.98</v>
      </c>
      <c r="H9551" s="42">
        <v>211</v>
      </c>
    </row>
    <row r="9552" spans="1:8" ht="15" customHeight="1">
      <c r="A9552" s="26">
        <v>1002479421</v>
      </c>
      <c r="B9552" s="29" t="s">
        <v>11774</v>
      </c>
      <c r="C9552" s="29" t="s">
        <v>25668</v>
      </c>
      <c r="D9552" s="29" t="s">
        <v>39104</v>
      </c>
      <c r="E9552" s="29" t="s">
        <v>49121</v>
      </c>
      <c r="F9552" s="36" t="s">
        <v>54401</v>
      </c>
      <c r="G9552" s="39">
        <v>29756</v>
      </c>
      <c r="H9552" s="42">
        <v>211</v>
      </c>
    </row>
    <row r="9553" spans="1:8" ht="15" customHeight="1">
      <c r="A9553" s="26">
        <v>1002479456</v>
      </c>
      <c r="B9553" s="29" t="s">
        <v>11775</v>
      </c>
      <c r="C9553" s="29" t="s">
        <v>25669</v>
      </c>
      <c r="D9553" s="29" t="s">
        <v>39105</v>
      </c>
      <c r="E9553" s="29" t="s">
        <v>51092</v>
      </c>
      <c r="F9553" s="36" t="s">
        <v>54401</v>
      </c>
      <c r="G9553" s="39">
        <v>2028347.59</v>
      </c>
      <c r="H9553" s="42">
        <v>211</v>
      </c>
    </row>
    <row r="9554" spans="1:8" ht="15" customHeight="1">
      <c r="A9554" s="26">
        <v>1002479463</v>
      </c>
      <c r="B9554" s="29" t="s">
        <v>11776</v>
      </c>
      <c r="C9554" s="29" t="s">
        <v>25670</v>
      </c>
      <c r="D9554" s="29" t="s">
        <v>39106</v>
      </c>
      <c r="E9554" s="29" t="s">
        <v>43926</v>
      </c>
      <c r="F9554" s="36" t="s">
        <v>54401</v>
      </c>
      <c r="G9554" s="39">
        <v>181881.08</v>
      </c>
      <c r="H9554" s="42">
        <v>211</v>
      </c>
    </row>
    <row r="9555" spans="1:8" ht="15" customHeight="1">
      <c r="A9555" s="26">
        <v>1002479494</v>
      </c>
      <c r="B9555" s="29" t="s">
        <v>11777</v>
      </c>
      <c r="C9555" s="29" t="s">
        <v>17204</v>
      </c>
      <c r="D9555" s="29" t="s">
        <v>39107</v>
      </c>
      <c r="E9555" s="29" t="s">
        <v>43926</v>
      </c>
      <c r="F9555" s="36" t="s">
        <v>54401</v>
      </c>
      <c r="G9555" s="39">
        <v>471736.07</v>
      </c>
      <c r="H9555" s="42">
        <v>211</v>
      </c>
    </row>
    <row r="9556" spans="1:8" ht="15" customHeight="1">
      <c r="A9556" s="26">
        <v>1002479516</v>
      </c>
      <c r="B9556" s="29" t="s">
        <v>11778</v>
      </c>
      <c r="C9556" s="29" t="s">
        <v>25671</v>
      </c>
      <c r="D9556" s="29" t="s">
        <v>39108</v>
      </c>
      <c r="E9556" s="29" t="s">
        <v>51093</v>
      </c>
      <c r="F9556" s="36" t="s">
        <v>54401</v>
      </c>
      <c r="G9556" s="39">
        <v>515247.17</v>
      </c>
      <c r="H9556" s="42">
        <v>211</v>
      </c>
    </row>
    <row r="9557" spans="1:8" ht="15" customHeight="1">
      <c r="A9557" s="26">
        <v>1002479548</v>
      </c>
      <c r="B9557" s="29" t="s">
        <v>11779</v>
      </c>
      <c r="C9557" s="29" t="s">
        <v>25672</v>
      </c>
      <c r="D9557" s="29" t="s">
        <v>39109</v>
      </c>
      <c r="E9557" s="29" t="s">
        <v>51094</v>
      </c>
      <c r="F9557" s="36" t="s">
        <v>54401</v>
      </c>
      <c r="G9557" s="39">
        <v>1363954.77</v>
      </c>
      <c r="H9557" s="42">
        <v>211</v>
      </c>
    </row>
    <row r="9558" spans="1:8" ht="15" customHeight="1">
      <c r="A9558" s="26">
        <v>1002479579</v>
      </c>
      <c r="B9558" s="29" t="s">
        <v>11780</v>
      </c>
      <c r="C9558" s="29" t="s">
        <v>25673</v>
      </c>
      <c r="D9558" s="29" t="s">
        <v>39110</v>
      </c>
      <c r="E9558" s="29" t="s">
        <v>45232</v>
      </c>
      <c r="F9558" s="36" t="s">
        <v>54401</v>
      </c>
      <c r="G9558" s="39">
        <v>1149549.08</v>
      </c>
      <c r="H9558" s="42">
        <v>211</v>
      </c>
    </row>
    <row r="9559" spans="1:8" ht="15" customHeight="1">
      <c r="A9559" s="26">
        <v>1002479605</v>
      </c>
      <c r="B9559" s="29" t="s">
        <v>11781</v>
      </c>
      <c r="C9559" s="29" t="s">
        <v>17204</v>
      </c>
      <c r="D9559" s="29" t="s">
        <v>30349</v>
      </c>
      <c r="E9559" s="29" t="s">
        <v>43926</v>
      </c>
      <c r="F9559" s="36" t="s">
        <v>54401</v>
      </c>
      <c r="G9559" s="39">
        <v>562993.32999999996</v>
      </c>
      <c r="H9559" s="42">
        <v>211</v>
      </c>
    </row>
    <row r="9560" spans="1:8" ht="15" customHeight="1">
      <c r="A9560" s="26">
        <v>1002479613</v>
      </c>
      <c r="B9560" s="29" t="s">
        <v>11782</v>
      </c>
      <c r="C9560" s="29" t="s">
        <v>25674</v>
      </c>
      <c r="D9560" s="29" t="s">
        <v>39111</v>
      </c>
      <c r="E9560" s="29" t="s">
        <v>51095</v>
      </c>
      <c r="F9560" s="36" t="s">
        <v>54401</v>
      </c>
      <c r="G9560" s="39">
        <v>6190976.0300000003</v>
      </c>
      <c r="H9560" s="42">
        <v>211</v>
      </c>
    </row>
    <row r="9561" spans="1:8" ht="15" customHeight="1">
      <c r="A9561" s="26">
        <v>1002479624</v>
      </c>
      <c r="B9561" s="29" t="s">
        <v>11783</v>
      </c>
      <c r="C9561" s="29" t="s">
        <v>25675</v>
      </c>
      <c r="D9561" s="29" t="s">
        <v>39112</v>
      </c>
      <c r="E9561" s="29" t="s">
        <v>51096</v>
      </c>
      <c r="F9561" s="36" t="s">
        <v>54401</v>
      </c>
      <c r="G9561" s="39">
        <v>53700.42</v>
      </c>
      <c r="H9561" s="42">
        <v>211</v>
      </c>
    </row>
    <row r="9562" spans="1:8" ht="15" customHeight="1">
      <c r="A9562" s="26">
        <v>1002479651</v>
      </c>
      <c r="B9562" s="29" t="s">
        <v>11784</v>
      </c>
      <c r="C9562" s="29" t="s">
        <v>17204</v>
      </c>
      <c r="D9562" s="29" t="s">
        <v>30349</v>
      </c>
      <c r="E9562" s="29" t="s">
        <v>43926</v>
      </c>
      <c r="F9562" s="36" t="s">
        <v>54401</v>
      </c>
      <c r="G9562" s="39">
        <v>629122.06000000006</v>
      </c>
      <c r="H9562" s="42">
        <v>211</v>
      </c>
    </row>
    <row r="9563" spans="1:8" ht="15" customHeight="1">
      <c r="A9563" s="26">
        <v>1002479748</v>
      </c>
      <c r="B9563" s="29" t="s">
        <v>11785</v>
      </c>
      <c r="C9563" s="29" t="s">
        <v>17204</v>
      </c>
      <c r="D9563" s="29" t="s">
        <v>30349</v>
      </c>
      <c r="E9563" s="29" t="s">
        <v>43926</v>
      </c>
      <c r="F9563" s="36" t="s">
        <v>54401</v>
      </c>
      <c r="G9563" s="39">
        <v>82673.259999999995</v>
      </c>
      <c r="H9563" s="42">
        <v>211</v>
      </c>
    </row>
    <row r="9564" spans="1:8" ht="15" customHeight="1">
      <c r="A9564" s="26">
        <v>1002479756</v>
      </c>
      <c r="B9564" s="29" t="s">
        <v>11786</v>
      </c>
      <c r="C9564" s="29" t="s">
        <v>25676</v>
      </c>
      <c r="D9564" s="29" t="s">
        <v>39096</v>
      </c>
      <c r="E9564" s="29" t="s">
        <v>51097</v>
      </c>
      <c r="F9564" s="36" t="s">
        <v>54401</v>
      </c>
      <c r="G9564" s="39">
        <v>570582.59</v>
      </c>
      <c r="H9564" s="42">
        <v>211</v>
      </c>
    </row>
    <row r="9565" spans="1:8" ht="15" customHeight="1">
      <c r="A9565" s="26">
        <v>1002479829</v>
      </c>
      <c r="B9565" s="29" t="s">
        <v>11787</v>
      </c>
      <c r="C9565" s="29" t="s">
        <v>25677</v>
      </c>
      <c r="D9565" s="29" t="s">
        <v>39113</v>
      </c>
      <c r="E9565" s="29" t="s">
        <v>43926</v>
      </c>
      <c r="F9565" s="36" t="s">
        <v>54401</v>
      </c>
      <c r="G9565" s="39">
        <v>260726.28</v>
      </c>
      <c r="H9565" s="42">
        <v>211</v>
      </c>
    </row>
    <row r="9566" spans="1:8" ht="15" customHeight="1">
      <c r="A9566" s="26">
        <v>1002479981</v>
      </c>
      <c r="B9566" s="29" t="s">
        <v>11788</v>
      </c>
      <c r="C9566" s="29" t="s">
        <v>25678</v>
      </c>
      <c r="D9566" s="29" t="s">
        <v>39114</v>
      </c>
      <c r="E9566" s="29" t="s">
        <v>51098</v>
      </c>
      <c r="F9566" s="36" t="s">
        <v>54401</v>
      </c>
      <c r="G9566" s="39">
        <v>317291.06</v>
      </c>
      <c r="H9566" s="42">
        <v>211</v>
      </c>
    </row>
    <row r="9567" spans="1:8" ht="15" customHeight="1">
      <c r="A9567" s="26">
        <v>1002480128</v>
      </c>
      <c r="B9567" s="29" t="s">
        <v>11789</v>
      </c>
      <c r="C9567" s="26" t="s">
        <v>25679</v>
      </c>
      <c r="D9567" s="26" t="s">
        <v>39115</v>
      </c>
      <c r="E9567" s="26" t="s">
        <v>51099</v>
      </c>
      <c r="F9567" s="37" t="s">
        <v>54401</v>
      </c>
      <c r="G9567" s="39">
        <v>508118.83</v>
      </c>
      <c r="H9567" s="42">
        <v>211</v>
      </c>
    </row>
    <row r="9568" spans="1:8" ht="15" customHeight="1">
      <c r="A9568" s="26">
        <v>1002480213</v>
      </c>
      <c r="B9568" s="29" t="s">
        <v>11790</v>
      </c>
      <c r="C9568" s="29" t="s">
        <v>25680</v>
      </c>
      <c r="D9568" s="29" t="s">
        <v>39116</v>
      </c>
      <c r="E9568" s="29" t="s">
        <v>51100</v>
      </c>
      <c r="F9568" s="36" t="s">
        <v>54401</v>
      </c>
      <c r="G9568" s="39">
        <v>873569.2</v>
      </c>
      <c r="H9568" s="42">
        <v>211</v>
      </c>
    </row>
    <row r="9569" spans="1:8" ht="15" customHeight="1">
      <c r="A9569" s="26">
        <v>1002480222</v>
      </c>
      <c r="B9569" s="29" t="s">
        <v>11791</v>
      </c>
      <c r="C9569" s="29" t="s">
        <v>25681</v>
      </c>
      <c r="D9569" s="29" t="s">
        <v>39117</v>
      </c>
      <c r="E9569" s="29" t="s">
        <v>51101</v>
      </c>
      <c r="F9569" s="36" t="s">
        <v>54401</v>
      </c>
      <c r="G9569" s="39">
        <v>5882.35</v>
      </c>
      <c r="H9569" s="42">
        <v>211</v>
      </c>
    </row>
    <row r="9570" spans="1:8" ht="15" customHeight="1">
      <c r="A9570" s="26">
        <v>1002480226</v>
      </c>
      <c r="B9570" s="29" t="s">
        <v>11792</v>
      </c>
      <c r="C9570" s="29" t="s">
        <v>17204</v>
      </c>
      <c r="D9570" s="29" t="s">
        <v>30349</v>
      </c>
      <c r="E9570" s="29" t="s">
        <v>43926</v>
      </c>
      <c r="F9570" s="36" t="s">
        <v>54401</v>
      </c>
      <c r="G9570" s="39">
        <v>1184393.24</v>
      </c>
      <c r="H9570" s="42">
        <v>211</v>
      </c>
    </row>
    <row r="9571" spans="1:8" ht="15" customHeight="1">
      <c r="A9571" s="26">
        <v>1002480300</v>
      </c>
      <c r="B9571" s="29" t="s">
        <v>11793</v>
      </c>
      <c r="C9571" s="26" t="s">
        <v>25682</v>
      </c>
      <c r="D9571" s="26" t="s">
        <v>39118</v>
      </c>
      <c r="E9571" s="26" t="s">
        <v>43926</v>
      </c>
      <c r="F9571" s="37" t="s">
        <v>54401</v>
      </c>
      <c r="G9571" s="39">
        <v>105333.32</v>
      </c>
      <c r="H9571" s="42">
        <v>211</v>
      </c>
    </row>
    <row r="9572" spans="1:8" ht="15" customHeight="1">
      <c r="A9572" s="26">
        <v>1002480308</v>
      </c>
      <c r="B9572" s="29" t="s">
        <v>11794</v>
      </c>
      <c r="C9572" s="29" t="s">
        <v>17204</v>
      </c>
      <c r="D9572" s="29" t="s">
        <v>30349</v>
      </c>
      <c r="E9572" s="29" t="s">
        <v>43926</v>
      </c>
      <c r="F9572" s="36" t="s">
        <v>54401</v>
      </c>
      <c r="G9572" s="39">
        <v>1141290.95</v>
      </c>
      <c r="H9572" s="42">
        <v>211</v>
      </c>
    </row>
    <row r="9573" spans="1:8" ht="15" customHeight="1">
      <c r="A9573" s="26">
        <v>1002480379</v>
      </c>
      <c r="B9573" s="29" t="s">
        <v>11795</v>
      </c>
      <c r="C9573" s="29" t="s">
        <v>25683</v>
      </c>
      <c r="D9573" s="29" t="s">
        <v>39119</v>
      </c>
      <c r="E9573" s="29" t="s">
        <v>51102</v>
      </c>
      <c r="F9573" s="36" t="s">
        <v>54401</v>
      </c>
      <c r="G9573" s="39">
        <v>738480.81</v>
      </c>
      <c r="H9573" s="42">
        <v>211</v>
      </c>
    </row>
    <row r="9574" spans="1:8" ht="15" customHeight="1">
      <c r="A9574" s="26">
        <v>1002480427</v>
      </c>
      <c r="B9574" s="29" t="s">
        <v>11796</v>
      </c>
      <c r="C9574" s="29" t="s">
        <v>25684</v>
      </c>
      <c r="D9574" s="29" t="s">
        <v>39120</v>
      </c>
      <c r="E9574" s="29" t="s">
        <v>51103</v>
      </c>
      <c r="F9574" s="36" t="s">
        <v>54401</v>
      </c>
      <c r="G9574" s="39">
        <v>332619.23</v>
      </c>
      <c r="H9574" s="42">
        <v>211</v>
      </c>
    </row>
    <row r="9575" spans="1:8" ht="15" customHeight="1">
      <c r="A9575" s="26">
        <v>1002480446</v>
      </c>
      <c r="B9575" s="29" t="s">
        <v>11797</v>
      </c>
      <c r="C9575" s="29" t="s">
        <v>25685</v>
      </c>
      <c r="D9575" s="29" t="s">
        <v>39121</v>
      </c>
      <c r="E9575" s="29" t="s">
        <v>51104</v>
      </c>
      <c r="F9575" s="36" t="s">
        <v>54401</v>
      </c>
      <c r="G9575" s="39">
        <v>3883436.89</v>
      </c>
      <c r="H9575" s="42">
        <v>211</v>
      </c>
    </row>
    <row r="9576" spans="1:8" ht="15" customHeight="1">
      <c r="A9576" s="26">
        <v>1002520912</v>
      </c>
      <c r="B9576" s="29" t="s">
        <v>11798</v>
      </c>
      <c r="C9576" s="29" t="s">
        <v>25686</v>
      </c>
      <c r="D9576" s="29" t="s">
        <v>39122</v>
      </c>
      <c r="E9576" s="29" t="s">
        <v>51105</v>
      </c>
      <c r="F9576" s="36" t="s">
        <v>54401</v>
      </c>
      <c r="G9576" s="39">
        <v>5559753</v>
      </c>
      <c r="H9576" s="42">
        <v>211</v>
      </c>
    </row>
    <row r="9577" spans="1:8" ht="15" customHeight="1">
      <c r="A9577" s="26">
        <v>1002521051</v>
      </c>
      <c r="B9577" s="29" t="s">
        <v>11799</v>
      </c>
      <c r="C9577" s="29" t="s">
        <v>25687</v>
      </c>
      <c r="D9577" s="29" t="s">
        <v>39123</v>
      </c>
      <c r="E9577" s="29" t="s">
        <v>51106</v>
      </c>
      <c r="F9577" s="36" t="s">
        <v>54401</v>
      </c>
      <c r="G9577" s="39">
        <v>535601.72</v>
      </c>
      <c r="H9577" s="42">
        <v>211</v>
      </c>
    </row>
    <row r="9578" spans="1:8" ht="15" customHeight="1">
      <c r="A9578" s="26">
        <v>1002527594</v>
      </c>
      <c r="B9578" s="29" t="s">
        <v>11800</v>
      </c>
      <c r="C9578" s="29" t="s">
        <v>25688</v>
      </c>
      <c r="D9578" s="29" t="s">
        <v>39124</v>
      </c>
      <c r="E9578" s="29" t="s">
        <v>51107</v>
      </c>
      <c r="F9578" s="36" t="s">
        <v>54401</v>
      </c>
      <c r="G9578" s="39">
        <v>1734318.05</v>
      </c>
      <c r="H9578" s="42">
        <v>211</v>
      </c>
    </row>
    <row r="9579" spans="1:8" ht="15" customHeight="1">
      <c r="A9579" s="26">
        <v>1002527646</v>
      </c>
      <c r="B9579" s="29" t="s">
        <v>11801</v>
      </c>
      <c r="C9579" s="29" t="s">
        <v>17204</v>
      </c>
      <c r="D9579" s="29" t="s">
        <v>30349</v>
      </c>
      <c r="E9579" s="29" t="s">
        <v>43926</v>
      </c>
      <c r="F9579" s="36" t="s">
        <v>54401</v>
      </c>
      <c r="G9579" s="39">
        <v>227024.3</v>
      </c>
      <c r="H9579" s="42">
        <v>211</v>
      </c>
    </row>
    <row r="9580" spans="1:8" ht="15" customHeight="1">
      <c r="A9580" s="26">
        <v>1002527667</v>
      </c>
      <c r="B9580" s="29" t="s">
        <v>11802</v>
      </c>
      <c r="C9580" s="29" t="s">
        <v>25689</v>
      </c>
      <c r="D9580" s="29" t="s">
        <v>39125</v>
      </c>
      <c r="E9580" s="29" t="s">
        <v>43926</v>
      </c>
      <c r="F9580" s="36" t="s">
        <v>54401</v>
      </c>
      <c r="G9580" s="39">
        <v>608304.34</v>
      </c>
      <c r="H9580" s="42">
        <v>211</v>
      </c>
    </row>
    <row r="9581" spans="1:8" ht="15" customHeight="1">
      <c r="A9581" s="26">
        <v>1002527698</v>
      </c>
      <c r="B9581" s="29" t="s">
        <v>11803</v>
      </c>
      <c r="C9581" s="29" t="s">
        <v>17204</v>
      </c>
      <c r="D9581" s="29" t="s">
        <v>39126</v>
      </c>
      <c r="E9581" s="29" t="s">
        <v>43926</v>
      </c>
      <c r="F9581" s="36" t="s">
        <v>54401</v>
      </c>
      <c r="G9581" s="39">
        <v>2726232.01</v>
      </c>
      <c r="H9581" s="42">
        <v>211</v>
      </c>
    </row>
    <row r="9582" spans="1:8" ht="15" customHeight="1">
      <c r="A9582" s="26">
        <v>1002527721</v>
      </c>
      <c r="B9582" s="29" t="s">
        <v>11804</v>
      </c>
      <c r="C9582" s="26" t="s">
        <v>25690</v>
      </c>
      <c r="D9582" s="26" t="s">
        <v>39127</v>
      </c>
      <c r="E9582" s="26" t="s">
        <v>51108</v>
      </c>
      <c r="F9582" s="37" t="s">
        <v>54401</v>
      </c>
      <c r="G9582" s="39">
        <v>472184.85</v>
      </c>
      <c r="H9582" s="42">
        <v>211</v>
      </c>
    </row>
    <row r="9583" spans="1:8" ht="15" customHeight="1">
      <c r="A9583" s="26">
        <v>1002527740</v>
      </c>
      <c r="B9583" s="29" t="s">
        <v>11805</v>
      </c>
      <c r="C9583" s="29" t="s">
        <v>25691</v>
      </c>
      <c r="D9583" s="29" t="s">
        <v>39019</v>
      </c>
      <c r="E9583" s="29" t="s">
        <v>51038</v>
      </c>
      <c r="F9583" s="36" t="s">
        <v>54401</v>
      </c>
      <c r="G9583" s="39">
        <v>859491.61</v>
      </c>
      <c r="H9583" s="42">
        <v>211</v>
      </c>
    </row>
    <row r="9584" spans="1:8" ht="15" customHeight="1">
      <c r="A9584" s="26">
        <v>1002527771</v>
      </c>
      <c r="B9584" s="29" t="s">
        <v>11806</v>
      </c>
      <c r="C9584" s="29" t="s">
        <v>25692</v>
      </c>
      <c r="D9584" s="29" t="s">
        <v>39128</v>
      </c>
      <c r="E9584" s="29" t="s">
        <v>51109</v>
      </c>
      <c r="F9584" s="36" t="s">
        <v>54401</v>
      </c>
      <c r="G9584" s="39">
        <v>414531.91</v>
      </c>
      <c r="H9584" s="42">
        <v>211</v>
      </c>
    </row>
    <row r="9585" spans="1:8" ht="15" customHeight="1">
      <c r="A9585" s="26">
        <v>1002527784</v>
      </c>
      <c r="B9585" s="29" t="s">
        <v>11807</v>
      </c>
      <c r="C9585" s="29" t="s">
        <v>25693</v>
      </c>
      <c r="D9585" s="29" t="s">
        <v>39129</v>
      </c>
      <c r="E9585" s="29" t="s">
        <v>43926</v>
      </c>
      <c r="F9585" s="36" t="s">
        <v>54401</v>
      </c>
      <c r="G9585" s="39">
        <v>422289.84</v>
      </c>
      <c r="H9585" s="42">
        <v>211</v>
      </c>
    </row>
    <row r="9586" spans="1:8" ht="15" customHeight="1">
      <c r="A9586" s="26">
        <v>1002527802</v>
      </c>
      <c r="B9586" s="29" t="s">
        <v>11808</v>
      </c>
      <c r="C9586" s="29" t="s">
        <v>25694</v>
      </c>
      <c r="D9586" s="29" t="s">
        <v>39130</v>
      </c>
      <c r="E9586" s="29" t="s">
        <v>46000</v>
      </c>
      <c r="F9586" s="36" t="s">
        <v>54401</v>
      </c>
      <c r="G9586" s="39">
        <v>771368.92</v>
      </c>
      <c r="H9586" s="42">
        <v>211</v>
      </c>
    </row>
    <row r="9587" spans="1:8" ht="15" customHeight="1">
      <c r="A9587" s="26">
        <v>1002527812</v>
      </c>
      <c r="B9587" s="29" t="s">
        <v>11809</v>
      </c>
      <c r="C9587" s="29" t="s">
        <v>25695</v>
      </c>
      <c r="D9587" s="29" t="s">
        <v>39131</v>
      </c>
      <c r="E9587" s="29" t="s">
        <v>51110</v>
      </c>
      <c r="F9587" s="36" t="s">
        <v>54401</v>
      </c>
      <c r="G9587" s="39">
        <v>4390104.53</v>
      </c>
      <c r="H9587" s="42">
        <v>211</v>
      </c>
    </row>
    <row r="9588" spans="1:8" ht="15" customHeight="1">
      <c r="A9588" s="26">
        <v>1002527864</v>
      </c>
      <c r="B9588" s="29" t="s">
        <v>11810</v>
      </c>
      <c r="C9588" s="29" t="s">
        <v>25696</v>
      </c>
      <c r="D9588" s="29" t="s">
        <v>39132</v>
      </c>
      <c r="E9588" s="29" t="s">
        <v>51111</v>
      </c>
      <c r="F9588" s="36" t="s">
        <v>54401</v>
      </c>
      <c r="G9588" s="39">
        <v>1591999.37</v>
      </c>
      <c r="H9588" s="42">
        <v>211</v>
      </c>
    </row>
    <row r="9589" spans="1:8" ht="15" customHeight="1">
      <c r="A9589" s="26">
        <v>1002527867</v>
      </c>
      <c r="B9589" s="29" t="s">
        <v>11811</v>
      </c>
      <c r="C9589" s="29" t="s">
        <v>25697</v>
      </c>
      <c r="D9589" s="29" t="s">
        <v>39133</v>
      </c>
      <c r="E9589" s="29" t="s">
        <v>51112</v>
      </c>
      <c r="F9589" s="36" t="s">
        <v>54401</v>
      </c>
      <c r="G9589" s="39">
        <v>554330.25</v>
      </c>
      <c r="H9589" s="42">
        <v>211</v>
      </c>
    </row>
    <row r="9590" spans="1:8" ht="15" customHeight="1">
      <c r="A9590" s="26">
        <v>1002527877</v>
      </c>
      <c r="B9590" s="29" t="s">
        <v>11812</v>
      </c>
      <c r="C9590" s="26" t="s">
        <v>25698</v>
      </c>
      <c r="D9590" s="26" t="s">
        <v>39134</v>
      </c>
      <c r="E9590" s="26" t="s">
        <v>51113</v>
      </c>
      <c r="F9590" s="37" t="s">
        <v>54401</v>
      </c>
      <c r="G9590" s="39">
        <v>2247675.44</v>
      </c>
      <c r="H9590" s="42">
        <v>211</v>
      </c>
    </row>
    <row r="9591" spans="1:8" ht="15" customHeight="1">
      <c r="A9591" s="26">
        <v>1002527944</v>
      </c>
      <c r="B9591" s="29" t="s">
        <v>11813</v>
      </c>
      <c r="C9591" s="29" t="s">
        <v>25699</v>
      </c>
      <c r="D9591" s="29" t="s">
        <v>39135</v>
      </c>
      <c r="E9591" s="29" t="s">
        <v>43926</v>
      </c>
      <c r="F9591" s="36" t="s">
        <v>54401</v>
      </c>
      <c r="G9591" s="39">
        <v>4761233.2</v>
      </c>
      <c r="H9591" s="42">
        <v>211</v>
      </c>
    </row>
    <row r="9592" spans="1:8" ht="15" customHeight="1">
      <c r="A9592" s="26">
        <v>1002527950</v>
      </c>
      <c r="B9592" s="29" t="s">
        <v>11814</v>
      </c>
      <c r="C9592" s="29" t="s">
        <v>25700</v>
      </c>
      <c r="D9592" s="29" t="s">
        <v>39136</v>
      </c>
      <c r="E9592" s="29" t="s">
        <v>51114</v>
      </c>
      <c r="F9592" s="36" t="s">
        <v>54401</v>
      </c>
      <c r="G9592" s="39">
        <v>89606.02</v>
      </c>
      <c r="H9592" s="42">
        <v>211</v>
      </c>
    </row>
    <row r="9593" spans="1:8" ht="15" customHeight="1">
      <c r="A9593" s="26">
        <v>1002527996</v>
      </c>
      <c r="B9593" s="29" t="s">
        <v>11815</v>
      </c>
      <c r="C9593" s="29" t="s">
        <v>25701</v>
      </c>
      <c r="D9593" s="29" t="s">
        <v>39137</v>
      </c>
      <c r="E9593" s="29" t="s">
        <v>51115</v>
      </c>
      <c r="F9593" s="36" t="s">
        <v>54401</v>
      </c>
      <c r="G9593" s="39">
        <v>2510524.83</v>
      </c>
      <c r="H9593" s="42">
        <v>211</v>
      </c>
    </row>
    <row r="9594" spans="1:8" ht="15" customHeight="1">
      <c r="A9594" s="26">
        <v>1002528004</v>
      </c>
      <c r="B9594" s="29" t="s">
        <v>11816</v>
      </c>
      <c r="C9594" s="29" t="s">
        <v>17204</v>
      </c>
      <c r="D9594" s="29" t="s">
        <v>30349</v>
      </c>
      <c r="E9594" s="29" t="s">
        <v>43926</v>
      </c>
      <c r="F9594" s="36" t="s">
        <v>54401</v>
      </c>
      <c r="G9594" s="39">
        <v>245760.29</v>
      </c>
      <c r="H9594" s="42">
        <v>211</v>
      </c>
    </row>
    <row r="9595" spans="1:8" ht="15" customHeight="1">
      <c r="A9595" s="26">
        <v>1002528033</v>
      </c>
      <c r="B9595" s="29" t="s">
        <v>11817</v>
      </c>
      <c r="C9595" s="29" t="s">
        <v>25702</v>
      </c>
      <c r="D9595" s="29" t="s">
        <v>39138</v>
      </c>
      <c r="E9595" s="29" t="s">
        <v>51116</v>
      </c>
      <c r="F9595" s="36" t="s">
        <v>54401</v>
      </c>
      <c r="G9595" s="39">
        <v>273862.18</v>
      </c>
      <c r="H9595" s="42">
        <v>211</v>
      </c>
    </row>
    <row r="9596" spans="1:8" ht="15" customHeight="1">
      <c r="A9596" s="26">
        <v>1002528035</v>
      </c>
      <c r="B9596" s="29" t="s">
        <v>11818</v>
      </c>
      <c r="C9596" s="29" t="s">
        <v>25703</v>
      </c>
      <c r="D9596" s="29" t="s">
        <v>39139</v>
      </c>
      <c r="E9596" s="29" t="s">
        <v>46740</v>
      </c>
      <c r="F9596" s="36" t="s">
        <v>54401</v>
      </c>
      <c r="G9596" s="39">
        <v>831790.22</v>
      </c>
      <c r="H9596" s="42">
        <v>211</v>
      </c>
    </row>
    <row r="9597" spans="1:8" ht="15" customHeight="1">
      <c r="A9597" s="26">
        <v>1002528120</v>
      </c>
      <c r="B9597" s="29" t="s">
        <v>11819</v>
      </c>
      <c r="C9597" s="29" t="s">
        <v>25704</v>
      </c>
      <c r="D9597" s="29" t="s">
        <v>39140</v>
      </c>
      <c r="E9597" s="29" t="s">
        <v>45106</v>
      </c>
      <c r="F9597" s="36" t="s">
        <v>54401</v>
      </c>
      <c r="G9597" s="39">
        <v>1824373.96</v>
      </c>
      <c r="H9597" s="42">
        <v>211</v>
      </c>
    </row>
    <row r="9598" spans="1:8" ht="15" customHeight="1">
      <c r="A9598" s="26">
        <v>1002528147</v>
      </c>
      <c r="B9598" s="29" t="s">
        <v>11820</v>
      </c>
      <c r="C9598" s="26" t="s">
        <v>17204</v>
      </c>
      <c r="D9598" s="26" t="s">
        <v>30349</v>
      </c>
      <c r="E9598" s="26" t="s">
        <v>43926</v>
      </c>
      <c r="F9598" s="37" t="s">
        <v>54401</v>
      </c>
      <c r="G9598" s="39">
        <v>239333.58</v>
      </c>
      <c r="H9598" s="42">
        <v>211</v>
      </c>
    </row>
    <row r="9599" spans="1:8" ht="15" customHeight="1">
      <c r="A9599" s="26">
        <v>1002528230</v>
      </c>
      <c r="B9599" s="29" t="s">
        <v>11821</v>
      </c>
      <c r="C9599" s="29" t="s">
        <v>25705</v>
      </c>
      <c r="D9599" s="29" t="s">
        <v>39141</v>
      </c>
      <c r="E9599" s="29" t="s">
        <v>51117</v>
      </c>
      <c r="F9599" s="36" t="s">
        <v>54401</v>
      </c>
      <c r="G9599" s="39">
        <v>987140.46</v>
      </c>
      <c r="H9599" s="42">
        <v>211</v>
      </c>
    </row>
    <row r="9600" spans="1:8" ht="15" customHeight="1">
      <c r="A9600" s="26">
        <v>1002528290</v>
      </c>
      <c r="B9600" s="29" t="s">
        <v>11822</v>
      </c>
      <c r="C9600" s="29" t="s">
        <v>25706</v>
      </c>
      <c r="D9600" s="29" t="s">
        <v>39142</v>
      </c>
      <c r="E9600" s="29" t="s">
        <v>51118</v>
      </c>
      <c r="F9600" s="36" t="s">
        <v>54401</v>
      </c>
      <c r="G9600" s="39">
        <v>19589.07</v>
      </c>
      <c r="H9600" s="42">
        <v>211</v>
      </c>
    </row>
    <row r="9601" spans="1:8" ht="15" customHeight="1">
      <c r="A9601" s="26">
        <v>1002528352</v>
      </c>
      <c r="B9601" s="29" t="s">
        <v>11823</v>
      </c>
      <c r="C9601" s="29" t="s">
        <v>17204</v>
      </c>
      <c r="D9601" s="29" t="s">
        <v>39143</v>
      </c>
      <c r="E9601" s="29" t="s">
        <v>43926</v>
      </c>
      <c r="F9601" s="36" t="s">
        <v>54401</v>
      </c>
      <c r="G9601" s="39">
        <v>4064787.67</v>
      </c>
      <c r="H9601" s="42">
        <v>211</v>
      </c>
    </row>
    <row r="9602" spans="1:8" ht="15" customHeight="1">
      <c r="A9602" s="26">
        <v>1002528359</v>
      </c>
      <c r="B9602" s="29" t="s">
        <v>11824</v>
      </c>
      <c r="C9602" s="29" t="s">
        <v>25707</v>
      </c>
      <c r="D9602" s="29" t="s">
        <v>39144</v>
      </c>
      <c r="E9602" s="29" t="s">
        <v>43926</v>
      </c>
      <c r="F9602" s="36" t="s">
        <v>54406</v>
      </c>
      <c r="G9602" s="39">
        <v>732405.26</v>
      </c>
      <c r="H9602" s="42">
        <v>211</v>
      </c>
    </row>
    <row r="9603" spans="1:8" ht="15" customHeight="1">
      <c r="A9603" s="26">
        <v>1002528386</v>
      </c>
      <c r="B9603" s="29" t="s">
        <v>11825</v>
      </c>
      <c r="C9603" s="29" t="s">
        <v>25708</v>
      </c>
      <c r="D9603" s="29" t="s">
        <v>39145</v>
      </c>
      <c r="E9603" s="29" t="s">
        <v>51119</v>
      </c>
      <c r="F9603" s="36" t="s">
        <v>54401</v>
      </c>
      <c r="G9603" s="39">
        <v>4608744.9000000004</v>
      </c>
      <c r="H9603" s="42">
        <v>211</v>
      </c>
    </row>
    <row r="9604" spans="1:8" ht="15" customHeight="1">
      <c r="A9604" s="26">
        <v>1002528417</v>
      </c>
      <c r="B9604" s="29" t="s">
        <v>11826</v>
      </c>
      <c r="C9604" s="29" t="s">
        <v>25709</v>
      </c>
      <c r="D9604" s="29" t="s">
        <v>39146</v>
      </c>
      <c r="E9604" s="29" t="s">
        <v>43926</v>
      </c>
      <c r="F9604" s="36" t="s">
        <v>54401</v>
      </c>
      <c r="G9604" s="39">
        <v>477990.29</v>
      </c>
      <c r="H9604" s="42">
        <v>211</v>
      </c>
    </row>
    <row r="9605" spans="1:8" ht="15" customHeight="1">
      <c r="A9605" s="26">
        <v>1002528447</v>
      </c>
      <c r="B9605" s="29" t="s">
        <v>11827</v>
      </c>
      <c r="C9605" s="29" t="s">
        <v>25710</v>
      </c>
      <c r="D9605" s="29" t="s">
        <v>36083</v>
      </c>
      <c r="E9605" s="29" t="s">
        <v>51068</v>
      </c>
      <c r="F9605" s="36" t="s">
        <v>54401</v>
      </c>
      <c r="G9605" s="39">
        <v>1794125.44</v>
      </c>
      <c r="H9605" s="42">
        <v>211</v>
      </c>
    </row>
    <row r="9606" spans="1:8" ht="15" customHeight="1">
      <c r="A9606" s="26">
        <v>1002528509</v>
      </c>
      <c r="B9606" s="29" t="s">
        <v>11828</v>
      </c>
      <c r="C9606" s="29" t="s">
        <v>25711</v>
      </c>
      <c r="D9606" s="29" t="s">
        <v>39147</v>
      </c>
      <c r="E9606" s="29" t="s">
        <v>44722</v>
      </c>
      <c r="F9606" s="36" t="s">
        <v>54401</v>
      </c>
      <c r="G9606" s="39">
        <v>4259510.6399999997</v>
      </c>
      <c r="H9606" s="42">
        <v>211</v>
      </c>
    </row>
    <row r="9607" spans="1:8" ht="15" customHeight="1">
      <c r="A9607" s="26">
        <v>1002528577</v>
      </c>
      <c r="B9607" s="29" t="s">
        <v>11829</v>
      </c>
      <c r="C9607" s="29" t="s">
        <v>25712</v>
      </c>
      <c r="D9607" s="29" t="s">
        <v>39148</v>
      </c>
      <c r="E9607" s="29" t="s">
        <v>51120</v>
      </c>
      <c r="F9607" s="36" t="s">
        <v>54401</v>
      </c>
      <c r="G9607" s="39">
        <v>6893171.7699999996</v>
      </c>
      <c r="H9607" s="42">
        <v>211</v>
      </c>
    </row>
    <row r="9608" spans="1:8" ht="15" customHeight="1">
      <c r="A9608" s="26">
        <v>1002528587</v>
      </c>
      <c r="B9608" s="29" t="s">
        <v>11830</v>
      </c>
      <c r="C9608" s="29" t="s">
        <v>25713</v>
      </c>
      <c r="D9608" s="29" t="s">
        <v>39149</v>
      </c>
      <c r="E9608" s="29" t="s">
        <v>51121</v>
      </c>
      <c r="F9608" s="36" t="s">
        <v>54401</v>
      </c>
      <c r="G9608" s="39">
        <v>1183656.1599999999</v>
      </c>
      <c r="H9608" s="42">
        <v>211</v>
      </c>
    </row>
    <row r="9609" spans="1:8" ht="15" customHeight="1">
      <c r="A9609" s="26">
        <v>1002528588</v>
      </c>
      <c r="B9609" s="29" t="s">
        <v>11831</v>
      </c>
      <c r="C9609" s="29" t="s">
        <v>25714</v>
      </c>
      <c r="D9609" s="29" t="s">
        <v>39150</v>
      </c>
      <c r="E9609" s="29" t="s">
        <v>51122</v>
      </c>
      <c r="F9609" s="36" t="s">
        <v>54401</v>
      </c>
      <c r="G9609" s="39">
        <v>197049.5</v>
      </c>
      <c r="H9609" s="42">
        <v>211</v>
      </c>
    </row>
    <row r="9610" spans="1:8" ht="15" customHeight="1">
      <c r="A9610" s="26">
        <v>1002528598</v>
      </c>
      <c r="B9610" s="29" t="s">
        <v>11832</v>
      </c>
      <c r="C9610" s="29" t="s">
        <v>25715</v>
      </c>
      <c r="D9610" s="29" t="s">
        <v>39151</v>
      </c>
      <c r="E9610" s="29" t="s">
        <v>51123</v>
      </c>
      <c r="F9610" s="36" t="s">
        <v>54401</v>
      </c>
      <c r="G9610" s="39">
        <v>4806562.6100000003</v>
      </c>
      <c r="H9610" s="42">
        <v>211</v>
      </c>
    </row>
    <row r="9611" spans="1:8" ht="15" customHeight="1">
      <c r="A9611" s="26">
        <v>1002528606</v>
      </c>
      <c r="B9611" s="29" t="s">
        <v>11833</v>
      </c>
      <c r="C9611" s="29" t="s">
        <v>25716</v>
      </c>
      <c r="D9611" s="29" t="s">
        <v>39152</v>
      </c>
      <c r="E9611" s="29" t="s">
        <v>51124</v>
      </c>
      <c r="F9611" s="36" t="s">
        <v>54401</v>
      </c>
      <c r="G9611" s="39">
        <v>4184644.27</v>
      </c>
      <c r="H9611" s="42">
        <v>211</v>
      </c>
    </row>
    <row r="9612" spans="1:8" ht="15" customHeight="1">
      <c r="A9612" s="26">
        <v>1002528607</v>
      </c>
      <c r="B9612" s="29" t="s">
        <v>11834</v>
      </c>
      <c r="C9612" s="29" t="s">
        <v>17204</v>
      </c>
      <c r="D9612" s="29" t="s">
        <v>30349</v>
      </c>
      <c r="E9612" s="29" t="s">
        <v>43926</v>
      </c>
      <c r="F9612" s="36" t="s">
        <v>54401</v>
      </c>
      <c r="G9612" s="39">
        <v>137592.07</v>
      </c>
      <c r="H9612" s="42">
        <v>211</v>
      </c>
    </row>
    <row r="9613" spans="1:8" ht="15" customHeight="1">
      <c r="A9613" s="26">
        <v>1002528608</v>
      </c>
      <c r="B9613" s="29" t="s">
        <v>11835</v>
      </c>
      <c r="C9613" s="29" t="s">
        <v>25717</v>
      </c>
      <c r="D9613" s="29" t="s">
        <v>39153</v>
      </c>
      <c r="E9613" s="29" t="s">
        <v>51125</v>
      </c>
      <c r="F9613" s="36" t="s">
        <v>54402</v>
      </c>
      <c r="G9613" s="39">
        <v>19176.47</v>
      </c>
      <c r="H9613" s="42">
        <v>211</v>
      </c>
    </row>
    <row r="9614" spans="1:8" ht="15" customHeight="1">
      <c r="A9614" s="26">
        <v>1002528609</v>
      </c>
      <c r="B9614" s="29" t="s">
        <v>11836</v>
      </c>
      <c r="C9614" s="29" t="s">
        <v>22265</v>
      </c>
      <c r="D9614" s="29" t="s">
        <v>39154</v>
      </c>
      <c r="E9614" s="29" t="s">
        <v>51126</v>
      </c>
      <c r="F9614" s="36" t="s">
        <v>54401</v>
      </c>
      <c r="G9614" s="39">
        <v>682650.66</v>
      </c>
      <c r="H9614" s="42">
        <v>211</v>
      </c>
    </row>
    <row r="9615" spans="1:8" ht="15" customHeight="1">
      <c r="A9615" s="26">
        <v>1002528628</v>
      </c>
      <c r="B9615" s="29" t="s">
        <v>11837</v>
      </c>
      <c r="C9615" s="29" t="s">
        <v>17204</v>
      </c>
      <c r="D9615" s="29" t="s">
        <v>30349</v>
      </c>
      <c r="E9615" s="29" t="s">
        <v>43926</v>
      </c>
      <c r="F9615" s="36" t="s">
        <v>54401</v>
      </c>
      <c r="G9615" s="39">
        <v>81684.009999999995</v>
      </c>
      <c r="H9615" s="42">
        <v>211</v>
      </c>
    </row>
    <row r="9616" spans="1:8" ht="15" customHeight="1">
      <c r="A9616" s="26">
        <v>1002528709</v>
      </c>
      <c r="B9616" s="29" t="s">
        <v>11838</v>
      </c>
      <c r="C9616" s="29" t="s">
        <v>25718</v>
      </c>
      <c r="D9616" s="29" t="s">
        <v>39155</v>
      </c>
      <c r="E9616" s="29" t="s">
        <v>51127</v>
      </c>
      <c r="F9616" s="36" t="s">
        <v>54401</v>
      </c>
      <c r="G9616" s="39">
        <v>577571.56999999995</v>
      </c>
      <c r="H9616" s="42">
        <v>211</v>
      </c>
    </row>
    <row r="9617" spans="1:8" ht="15" customHeight="1">
      <c r="A9617" s="26">
        <v>1002528732</v>
      </c>
      <c r="B9617" s="29" t="s">
        <v>11839</v>
      </c>
      <c r="C9617" s="29" t="s">
        <v>17204</v>
      </c>
      <c r="D9617" s="29" t="s">
        <v>39156</v>
      </c>
      <c r="E9617" s="29" t="s">
        <v>43926</v>
      </c>
      <c r="F9617" s="36" t="s">
        <v>54401</v>
      </c>
      <c r="G9617" s="39">
        <v>233037.69</v>
      </c>
      <c r="H9617" s="42">
        <v>211</v>
      </c>
    </row>
    <row r="9618" spans="1:8" ht="15" customHeight="1">
      <c r="A9618" s="26">
        <v>1002537275</v>
      </c>
      <c r="B9618" s="29" t="s">
        <v>11840</v>
      </c>
      <c r="C9618" s="29" t="s">
        <v>25719</v>
      </c>
      <c r="D9618" s="29" t="s">
        <v>39157</v>
      </c>
      <c r="E9618" s="29" t="s">
        <v>51128</v>
      </c>
      <c r="F9618" s="36" t="s">
        <v>54401</v>
      </c>
      <c r="G9618" s="39">
        <v>256067.45</v>
      </c>
      <c r="H9618" s="42">
        <v>211</v>
      </c>
    </row>
    <row r="9619" spans="1:8" ht="15" customHeight="1">
      <c r="A9619" s="26">
        <v>1002537554</v>
      </c>
      <c r="B9619" s="29" t="s">
        <v>11841</v>
      </c>
      <c r="C9619" s="29" t="s">
        <v>25720</v>
      </c>
      <c r="D9619" s="29" t="s">
        <v>39158</v>
      </c>
      <c r="E9619" s="29" t="s">
        <v>43926</v>
      </c>
      <c r="F9619" s="36" t="s">
        <v>54401</v>
      </c>
      <c r="G9619" s="39">
        <v>524826.82999999996</v>
      </c>
      <c r="H9619" s="42">
        <v>211</v>
      </c>
    </row>
    <row r="9620" spans="1:8" ht="15" customHeight="1">
      <c r="A9620" s="26">
        <v>1002537682</v>
      </c>
      <c r="B9620" s="29" t="s">
        <v>11842</v>
      </c>
      <c r="C9620" s="29" t="s">
        <v>25721</v>
      </c>
      <c r="D9620" s="29" t="s">
        <v>39159</v>
      </c>
      <c r="E9620" s="29" t="s">
        <v>51129</v>
      </c>
      <c r="F9620" s="36" t="s">
        <v>54401</v>
      </c>
      <c r="G9620" s="39">
        <v>1034262.28</v>
      </c>
      <c r="H9620" s="42">
        <v>211</v>
      </c>
    </row>
    <row r="9621" spans="1:8" ht="15" customHeight="1">
      <c r="A9621" s="26">
        <v>1002537686</v>
      </c>
      <c r="B9621" s="29" t="s">
        <v>11843</v>
      </c>
      <c r="C9621" s="29" t="s">
        <v>25722</v>
      </c>
      <c r="D9621" s="29" t="s">
        <v>39160</v>
      </c>
      <c r="E9621" s="29" t="s">
        <v>43926</v>
      </c>
      <c r="F9621" s="36" t="s">
        <v>54401</v>
      </c>
      <c r="G9621" s="39">
        <v>1610603.09</v>
      </c>
      <c r="H9621" s="42">
        <v>211</v>
      </c>
    </row>
    <row r="9622" spans="1:8" ht="15" customHeight="1">
      <c r="A9622" s="26">
        <v>1002537706</v>
      </c>
      <c r="B9622" s="29" t="s">
        <v>11844</v>
      </c>
      <c r="C9622" s="29" t="s">
        <v>25723</v>
      </c>
      <c r="D9622" s="29" t="s">
        <v>39161</v>
      </c>
      <c r="E9622" s="29" t="s">
        <v>44084</v>
      </c>
      <c r="F9622" s="36" t="s">
        <v>54401</v>
      </c>
      <c r="G9622" s="39">
        <v>388220.54</v>
      </c>
      <c r="H9622" s="42">
        <v>211</v>
      </c>
    </row>
    <row r="9623" spans="1:8" ht="15" customHeight="1">
      <c r="A9623" s="26">
        <v>1002537726</v>
      </c>
      <c r="B9623" s="29" t="s">
        <v>11845</v>
      </c>
      <c r="C9623" s="29" t="s">
        <v>25724</v>
      </c>
      <c r="D9623" s="29" t="s">
        <v>39162</v>
      </c>
      <c r="E9623" s="29" t="s">
        <v>51130</v>
      </c>
      <c r="F9623" s="36" t="s">
        <v>54401</v>
      </c>
      <c r="G9623" s="39">
        <v>701821.75</v>
      </c>
      <c r="H9623" s="42">
        <v>211</v>
      </c>
    </row>
    <row r="9624" spans="1:8" ht="15" customHeight="1">
      <c r="A9624" s="26">
        <v>1002537872</v>
      </c>
      <c r="B9624" s="29" t="s">
        <v>11846</v>
      </c>
      <c r="C9624" s="29" t="s">
        <v>25725</v>
      </c>
      <c r="D9624" s="29" t="s">
        <v>30733</v>
      </c>
      <c r="E9624" s="29" t="s">
        <v>43926</v>
      </c>
      <c r="F9624" s="36" t="s">
        <v>54401</v>
      </c>
      <c r="G9624" s="39">
        <v>1744160.73</v>
      </c>
      <c r="H9624" s="42">
        <v>211</v>
      </c>
    </row>
    <row r="9625" spans="1:8" ht="15" customHeight="1">
      <c r="A9625" s="26">
        <v>1002537922</v>
      </c>
      <c r="B9625" s="29" t="s">
        <v>11847</v>
      </c>
      <c r="C9625" s="29" t="s">
        <v>25726</v>
      </c>
      <c r="D9625" s="29" t="s">
        <v>39163</v>
      </c>
      <c r="E9625" s="29" t="s">
        <v>51131</v>
      </c>
      <c r="F9625" s="36" t="s">
        <v>54413</v>
      </c>
      <c r="G9625" s="39">
        <v>1756008.4</v>
      </c>
      <c r="H9625" s="42">
        <v>211</v>
      </c>
    </row>
    <row r="9626" spans="1:8" ht="15" customHeight="1">
      <c r="A9626" s="26">
        <v>1002537936</v>
      </c>
      <c r="B9626" s="29" t="s">
        <v>11848</v>
      </c>
      <c r="C9626" s="26" t="s">
        <v>17204</v>
      </c>
      <c r="D9626" s="26" t="s">
        <v>39164</v>
      </c>
      <c r="E9626" s="26" t="s">
        <v>43926</v>
      </c>
      <c r="F9626" s="37" t="s">
        <v>54401</v>
      </c>
      <c r="G9626" s="39">
        <v>301655.53000000003</v>
      </c>
      <c r="H9626" s="42">
        <v>211</v>
      </c>
    </row>
    <row r="9627" spans="1:8" ht="15" customHeight="1">
      <c r="A9627" s="26">
        <v>1002537973</v>
      </c>
      <c r="B9627" s="29" t="s">
        <v>11849</v>
      </c>
      <c r="C9627" s="29" t="s">
        <v>25727</v>
      </c>
      <c r="D9627" s="29" t="s">
        <v>39165</v>
      </c>
      <c r="E9627" s="29" t="s">
        <v>51132</v>
      </c>
      <c r="F9627" s="36" t="s">
        <v>54413</v>
      </c>
      <c r="G9627" s="39">
        <v>400487.44</v>
      </c>
      <c r="H9627" s="42">
        <v>211</v>
      </c>
    </row>
    <row r="9628" spans="1:8" ht="15" customHeight="1">
      <c r="A9628" s="26">
        <v>1002538235</v>
      </c>
      <c r="B9628" s="29" t="s">
        <v>11850</v>
      </c>
      <c r="C9628" s="29" t="s">
        <v>25728</v>
      </c>
      <c r="D9628" s="29" t="s">
        <v>39166</v>
      </c>
      <c r="E9628" s="29" t="s">
        <v>51133</v>
      </c>
      <c r="F9628" s="36" t="s">
        <v>54413</v>
      </c>
      <c r="G9628" s="39">
        <v>1527107.58</v>
      </c>
      <c r="H9628" s="42">
        <v>211</v>
      </c>
    </row>
    <row r="9629" spans="1:8" ht="15" customHeight="1">
      <c r="A9629" s="26">
        <v>1002538279</v>
      </c>
      <c r="B9629" s="29" t="s">
        <v>11851</v>
      </c>
      <c r="C9629" s="29" t="s">
        <v>17204</v>
      </c>
      <c r="D9629" s="29" t="s">
        <v>39167</v>
      </c>
      <c r="E9629" s="29" t="s">
        <v>43926</v>
      </c>
      <c r="F9629" s="36" t="s">
        <v>54401</v>
      </c>
      <c r="G9629" s="39">
        <v>173106.8</v>
      </c>
      <c r="H9629" s="42">
        <v>211</v>
      </c>
    </row>
    <row r="9630" spans="1:8" ht="15" customHeight="1">
      <c r="A9630" s="26">
        <v>1002538367</v>
      </c>
      <c r="B9630" s="29" t="s">
        <v>11852</v>
      </c>
      <c r="C9630" s="26" t="s">
        <v>25729</v>
      </c>
      <c r="D9630" s="26" t="s">
        <v>39168</v>
      </c>
      <c r="E9630" s="26" t="s">
        <v>43926</v>
      </c>
      <c r="F9630" s="37" t="s">
        <v>54401</v>
      </c>
      <c r="G9630" s="39">
        <v>162094.54</v>
      </c>
      <c r="H9630" s="42">
        <v>211</v>
      </c>
    </row>
    <row r="9631" spans="1:8" ht="15" customHeight="1">
      <c r="A9631" s="26">
        <v>1002538379</v>
      </c>
      <c r="B9631" s="29" t="s">
        <v>11853</v>
      </c>
      <c r="C9631" s="29" t="s">
        <v>17204</v>
      </c>
      <c r="D9631" s="29" t="s">
        <v>30349</v>
      </c>
      <c r="E9631" s="29" t="s">
        <v>43926</v>
      </c>
      <c r="F9631" s="36" t="s">
        <v>54401</v>
      </c>
      <c r="G9631" s="39">
        <v>23861.4</v>
      </c>
      <c r="H9631" s="42">
        <v>211</v>
      </c>
    </row>
    <row r="9632" spans="1:8" ht="15" customHeight="1">
      <c r="A9632" s="26">
        <v>1002538528</v>
      </c>
      <c r="B9632" s="29" t="s">
        <v>11854</v>
      </c>
      <c r="C9632" s="29" t="s">
        <v>25730</v>
      </c>
      <c r="D9632" s="29" t="s">
        <v>39169</v>
      </c>
      <c r="E9632" s="29" t="s">
        <v>43926</v>
      </c>
      <c r="F9632" s="36" t="s">
        <v>54401</v>
      </c>
      <c r="G9632" s="39">
        <v>143016.79</v>
      </c>
      <c r="H9632" s="42">
        <v>211</v>
      </c>
    </row>
    <row r="9633" spans="1:8" ht="15" customHeight="1">
      <c r="A9633" s="26">
        <v>1002538743</v>
      </c>
      <c r="B9633" s="29" t="s">
        <v>11855</v>
      </c>
      <c r="C9633" s="29" t="s">
        <v>25731</v>
      </c>
      <c r="D9633" s="29" t="s">
        <v>36308</v>
      </c>
      <c r="E9633" s="29" t="s">
        <v>43926</v>
      </c>
      <c r="F9633" s="36" t="s">
        <v>54401</v>
      </c>
      <c r="G9633" s="39">
        <v>929773.46</v>
      </c>
      <c r="H9633" s="42">
        <v>211</v>
      </c>
    </row>
    <row r="9634" spans="1:8" ht="15" customHeight="1">
      <c r="A9634" s="26">
        <v>1002538868</v>
      </c>
      <c r="B9634" s="29" t="s">
        <v>11856</v>
      </c>
      <c r="C9634" s="26" t="s">
        <v>25732</v>
      </c>
      <c r="D9634" s="26" t="s">
        <v>39170</v>
      </c>
      <c r="E9634" s="26" t="s">
        <v>43926</v>
      </c>
      <c r="F9634" s="37" t="s">
        <v>54401</v>
      </c>
      <c r="G9634" s="39">
        <v>28280.959999999999</v>
      </c>
      <c r="H9634" s="42">
        <v>211</v>
      </c>
    </row>
    <row r="9635" spans="1:8" ht="15" customHeight="1">
      <c r="A9635" s="26">
        <v>1002538991</v>
      </c>
      <c r="B9635" s="29" t="s">
        <v>11857</v>
      </c>
      <c r="C9635" s="29" t="s">
        <v>25733</v>
      </c>
      <c r="D9635" s="29" t="s">
        <v>39171</v>
      </c>
      <c r="E9635" s="29" t="s">
        <v>51134</v>
      </c>
      <c r="F9635" s="36" t="s">
        <v>54401</v>
      </c>
      <c r="G9635" s="39">
        <v>817303.07</v>
      </c>
      <c r="H9635" s="42">
        <v>211</v>
      </c>
    </row>
    <row r="9636" spans="1:8" ht="15" customHeight="1">
      <c r="A9636" s="26">
        <v>1002539155</v>
      </c>
      <c r="B9636" s="29" t="s">
        <v>11858</v>
      </c>
      <c r="C9636" s="26" t="s">
        <v>17204</v>
      </c>
      <c r="D9636" s="26" t="s">
        <v>30376</v>
      </c>
      <c r="E9636" s="26" t="s">
        <v>51135</v>
      </c>
      <c r="F9636" s="37" t="s">
        <v>54401</v>
      </c>
      <c r="G9636" s="39">
        <v>13310</v>
      </c>
      <c r="H9636" s="42">
        <v>211</v>
      </c>
    </row>
    <row r="9637" spans="1:8" ht="15" customHeight="1">
      <c r="A9637" s="26">
        <v>1002539206</v>
      </c>
      <c r="B9637" s="29" t="s">
        <v>11859</v>
      </c>
      <c r="C9637" s="29" t="s">
        <v>25734</v>
      </c>
      <c r="D9637" s="29" t="s">
        <v>39172</v>
      </c>
      <c r="E9637" s="29" t="s">
        <v>51136</v>
      </c>
      <c r="F9637" s="36" t="s">
        <v>54401</v>
      </c>
      <c r="G9637" s="39">
        <v>408592.47</v>
      </c>
      <c r="H9637" s="42">
        <v>211</v>
      </c>
    </row>
    <row r="9638" spans="1:8" ht="15" customHeight="1">
      <c r="A9638" s="26">
        <v>1002539212</v>
      </c>
      <c r="B9638" s="29" t="s">
        <v>11860</v>
      </c>
      <c r="C9638" s="29" t="s">
        <v>17204</v>
      </c>
      <c r="D9638" s="29" t="s">
        <v>30349</v>
      </c>
      <c r="E9638" s="29" t="s">
        <v>43926</v>
      </c>
      <c r="F9638" s="36" t="s">
        <v>54401</v>
      </c>
      <c r="G9638" s="39">
        <v>142621.07999999999</v>
      </c>
      <c r="H9638" s="42">
        <v>211</v>
      </c>
    </row>
    <row r="9639" spans="1:8" ht="15" customHeight="1">
      <c r="A9639" s="26">
        <v>1002539218</v>
      </c>
      <c r="B9639" s="29" t="s">
        <v>11861</v>
      </c>
      <c r="C9639" s="29" t="s">
        <v>25735</v>
      </c>
      <c r="D9639" s="29" t="s">
        <v>39173</v>
      </c>
      <c r="E9639" s="29" t="s">
        <v>51137</v>
      </c>
      <c r="F9639" s="36" t="s">
        <v>54401</v>
      </c>
      <c r="G9639" s="39">
        <v>230191.52</v>
      </c>
      <c r="H9639" s="42">
        <v>211</v>
      </c>
    </row>
    <row r="9640" spans="1:8" ht="15" customHeight="1">
      <c r="A9640" s="26">
        <v>1002539387</v>
      </c>
      <c r="B9640" s="29" t="s">
        <v>11862</v>
      </c>
      <c r="C9640" s="29" t="s">
        <v>25736</v>
      </c>
      <c r="D9640" s="29" t="s">
        <v>39174</v>
      </c>
      <c r="E9640" s="29" t="s">
        <v>51138</v>
      </c>
      <c r="F9640" s="36" t="s">
        <v>54401</v>
      </c>
      <c r="G9640" s="39">
        <v>400224.34</v>
      </c>
      <c r="H9640" s="42">
        <v>211</v>
      </c>
    </row>
    <row r="9641" spans="1:8" ht="15" customHeight="1">
      <c r="A9641" s="26">
        <v>1002539406</v>
      </c>
      <c r="B9641" s="29" t="s">
        <v>11863</v>
      </c>
      <c r="C9641" s="29" t="s">
        <v>25737</v>
      </c>
      <c r="D9641" s="29" t="s">
        <v>39175</v>
      </c>
      <c r="E9641" s="29" t="s">
        <v>51139</v>
      </c>
      <c r="F9641" s="36" t="s">
        <v>54401</v>
      </c>
      <c r="G9641" s="39">
        <v>1065879.1599999999</v>
      </c>
      <c r="H9641" s="42">
        <v>211</v>
      </c>
    </row>
    <row r="9642" spans="1:8" ht="15" customHeight="1">
      <c r="A9642" s="26">
        <v>1002548047</v>
      </c>
      <c r="B9642" s="29" t="s">
        <v>11864</v>
      </c>
      <c r="C9642" s="29" t="s">
        <v>25738</v>
      </c>
      <c r="D9642" s="29" t="s">
        <v>39176</v>
      </c>
      <c r="E9642" s="29" t="s">
        <v>43926</v>
      </c>
      <c r="F9642" s="36" t="s">
        <v>54401</v>
      </c>
      <c r="G9642" s="39">
        <v>411545.62</v>
      </c>
      <c r="H9642" s="42">
        <v>211</v>
      </c>
    </row>
    <row r="9643" spans="1:8" ht="15" customHeight="1">
      <c r="A9643" s="26">
        <v>1002551513</v>
      </c>
      <c r="B9643" s="29" t="s">
        <v>11865</v>
      </c>
      <c r="C9643" s="29" t="s">
        <v>25739</v>
      </c>
      <c r="D9643" s="29" t="s">
        <v>39177</v>
      </c>
      <c r="E9643" s="29" t="s">
        <v>51140</v>
      </c>
      <c r="F9643" s="36" t="s">
        <v>54401</v>
      </c>
      <c r="G9643" s="39">
        <v>131227.49</v>
      </c>
      <c r="H9643" s="42">
        <v>211</v>
      </c>
    </row>
    <row r="9644" spans="1:8" ht="15" customHeight="1">
      <c r="A9644" s="26">
        <v>1002556456</v>
      </c>
      <c r="B9644" s="29" t="s">
        <v>11866</v>
      </c>
      <c r="C9644" s="29" t="s">
        <v>25740</v>
      </c>
      <c r="D9644" s="29" t="s">
        <v>37471</v>
      </c>
      <c r="E9644" s="29" t="s">
        <v>49744</v>
      </c>
      <c r="F9644" s="36" t="s">
        <v>54401</v>
      </c>
      <c r="G9644" s="39">
        <v>438986.36</v>
      </c>
      <c r="H9644" s="42">
        <v>211</v>
      </c>
    </row>
    <row r="9645" spans="1:8" ht="15" customHeight="1">
      <c r="A9645" s="26">
        <v>1002556507</v>
      </c>
      <c r="B9645" s="29" t="s">
        <v>11867</v>
      </c>
      <c r="C9645" s="29" t="s">
        <v>17204</v>
      </c>
      <c r="D9645" s="29" t="s">
        <v>30349</v>
      </c>
      <c r="E9645" s="29" t="s">
        <v>43926</v>
      </c>
      <c r="F9645" s="36" t="s">
        <v>54401</v>
      </c>
      <c r="G9645" s="39">
        <v>158999.07999999999</v>
      </c>
      <c r="H9645" s="42">
        <v>211</v>
      </c>
    </row>
    <row r="9646" spans="1:8" ht="15" customHeight="1">
      <c r="A9646" s="26">
        <v>1002556515</v>
      </c>
      <c r="B9646" s="29" t="s">
        <v>11868</v>
      </c>
      <c r="C9646" s="26" t="s">
        <v>25741</v>
      </c>
      <c r="D9646" s="26" t="s">
        <v>39178</v>
      </c>
      <c r="E9646" s="26" t="s">
        <v>51141</v>
      </c>
      <c r="F9646" s="37" t="s">
        <v>54401</v>
      </c>
      <c r="G9646" s="39">
        <v>1307507.1299999999</v>
      </c>
      <c r="H9646" s="42">
        <v>211</v>
      </c>
    </row>
    <row r="9647" spans="1:8" ht="15" customHeight="1">
      <c r="A9647" s="26">
        <v>1002556677</v>
      </c>
      <c r="B9647" s="29" t="s">
        <v>11869</v>
      </c>
      <c r="C9647" s="26" t="s">
        <v>25742</v>
      </c>
      <c r="D9647" s="26" t="s">
        <v>39179</v>
      </c>
      <c r="E9647" s="26" t="s">
        <v>51142</v>
      </c>
      <c r="F9647" s="37" t="s">
        <v>54401</v>
      </c>
      <c r="G9647" s="39">
        <v>1041373.69</v>
      </c>
      <c r="H9647" s="42">
        <v>211</v>
      </c>
    </row>
    <row r="9648" spans="1:8" ht="15" customHeight="1">
      <c r="A9648" s="26">
        <v>1002556727</v>
      </c>
      <c r="B9648" s="29" t="s">
        <v>11870</v>
      </c>
      <c r="C9648" s="29" t="s">
        <v>25743</v>
      </c>
      <c r="D9648" s="29" t="s">
        <v>39180</v>
      </c>
      <c r="E9648" s="29" t="s">
        <v>51143</v>
      </c>
      <c r="F9648" s="36" t="s">
        <v>54401</v>
      </c>
      <c r="G9648" s="39">
        <v>2381612.75</v>
      </c>
      <c r="H9648" s="42">
        <v>211</v>
      </c>
    </row>
    <row r="9649" spans="1:8" ht="15" customHeight="1">
      <c r="A9649" s="26">
        <v>1002556779</v>
      </c>
      <c r="B9649" s="29" t="s">
        <v>11871</v>
      </c>
      <c r="C9649" s="29" t="s">
        <v>25744</v>
      </c>
      <c r="D9649" s="29" t="s">
        <v>39181</v>
      </c>
      <c r="E9649" s="29" t="s">
        <v>51144</v>
      </c>
      <c r="F9649" s="36" t="s">
        <v>54401</v>
      </c>
      <c r="G9649" s="39">
        <v>906920.53</v>
      </c>
      <c r="H9649" s="42">
        <v>211</v>
      </c>
    </row>
    <row r="9650" spans="1:8" ht="15" customHeight="1">
      <c r="A9650" s="26">
        <v>1002558662</v>
      </c>
      <c r="B9650" s="29" t="s">
        <v>11872</v>
      </c>
      <c r="C9650" s="29" t="s">
        <v>25745</v>
      </c>
      <c r="D9650" s="29" t="s">
        <v>39182</v>
      </c>
      <c r="E9650" s="29" t="s">
        <v>45502</v>
      </c>
      <c r="F9650" s="36" t="s">
        <v>54401</v>
      </c>
      <c r="G9650" s="39">
        <v>230712.39</v>
      </c>
      <c r="H9650" s="42">
        <v>211</v>
      </c>
    </row>
    <row r="9651" spans="1:8" ht="15" customHeight="1">
      <c r="A9651" s="26">
        <v>1002558815</v>
      </c>
      <c r="B9651" s="29" t="s">
        <v>11873</v>
      </c>
      <c r="C9651" s="29" t="s">
        <v>25746</v>
      </c>
      <c r="D9651" s="29" t="s">
        <v>34047</v>
      </c>
      <c r="E9651" s="29" t="s">
        <v>51145</v>
      </c>
      <c r="F9651" s="36" t="s">
        <v>54401</v>
      </c>
      <c r="G9651" s="39">
        <v>592053.17000000004</v>
      </c>
      <c r="H9651" s="42">
        <v>211</v>
      </c>
    </row>
    <row r="9652" spans="1:8" ht="15" customHeight="1">
      <c r="A9652" s="26">
        <v>1002558823</v>
      </c>
      <c r="B9652" s="29" t="s">
        <v>11874</v>
      </c>
      <c r="C9652" s="29" t="s">
        <v>25747</v>
      </c>
      <c r="D9652" s="29" t="s">
        <v>39183</v>
      </c>
      <c r="E9652" s="29" t="s">
        <v>51146</v>
      </c>
      <c r="F9652" s="36" t="s">
        <v>54401</v>
      </c>
      <c r="G9652" s="39">
        <v>415208.38</v>
      </c>
      <c r="H9652" s="42">
        <v>211</v>
      </c>
    </row>
    <row r="9653" spans="1:8" ht="15" customHeight="1">
      <c r="A9653" s="26">
        <v>1002558852</v>
      </c>
      <c r="B9653" s="29" t="s">
        <v>11875</v>
      </c>
      <c r="C9653" s="26" t="s">
        <v>25748</v>
      </c>
      <c r="D9653" s="26" t="s">
        <v>39184</v>
      </c>
      <c r="E9653" s="26" t="s">
        <v>51147</v>
      </c>
      <c r="F9653" s="37" t="s">
        <v>54401</v>
      </c>
      <c r="G9653" s="39">
        <v>3045249.82</v>
      </c>
      <c r="H9653" s="42">
        <v>211</v>
      </c>
    </row>
    <row r="9654" spans="1:8" ht="15" customHeight="1">
      <c r="A9654" s="26">
        <v>1002558879</v>
      </c>
      <c r="B9654" s="29" t="s">
        <v>11876</v>
      </c>
      <c r="C9654" s="29" t="s">
        <v>25749</v>
      </c>
      <c r="D9654" s="29" t="s">
        <v>39185</v>
      </c>
      <c r="E9654" s="29" t="s">
        <v>51148</v>
      </c>
      <c r="F9654" s="36" t="s">
        <v>54401</v>
      </c>
      <c r="G9654" s="39">
        <v>69639.83</v>
      </c>
      <c r="H9654" s="42">
        <v>211</v>
      </c>
    </row>
    <row r="9655" spans="1:8" ht="15" customHeight="1">
      <c r="A9655" s="26">
        <v>1002559704</v>
      </c>
      <c r="B9655" s="29" t="s">
        <v>11877</v>
      </c>
      <c r="C9655" s="29" t="s">
        <v>25750</v>
      </c>
      <c r="D9655" s="29" t="s">
        <v>39186</v>
      </c>
      <c r="E9655" s="29" t="s">
        <v>51149</v>
      </c>
      <c r="F9655" s="36" t="s">
        <v>54401</v>
      </c>
      <c r="G9655" s="39">
        <v>156808.45000000001</v>
      </c>
      <c r="H9655" s="42">
        <v>211</v>
      </c>
    </row>
    <row r="9656" spans="1:8" ht="15" customHeight="1">
      <c r="A9656" s="26">
        <v>1002564940</v>
      </c>
      <c r="B9656" s="29" t="s">
        <v>11878</v>
      </c>
      <c r="C9656" s="29" t="s">
        <v>25751</v>
      </c>
      <c r="D9656" s="29" t="s">
        <v>39187</v>
      </c>
      <c r="E9656" s="29" t="s">
        <v>51150</v>
      </c>
      <c r="F9656" s="36" t="s">
        <v>54401</v>
      </c>
      <c r="G9656" s="39">
        <v>22805.88</v>
      </c>
      <c r="H9656" s="42">
        <v>211</v>
      </c>
    </row>
    <row r="9657" spans="1:8" ht="15" customHeight="1">
      <c r="A9657" s="26">
        <v>1002565433</v>
      </c>
      <c r="B9657" s="29" t="s">
        <v>11879</v>
      </c>
      <c r="C9657" s="29" t="s">
        <v>25752</v>
      </c>
      <c r="D9657" s="29" t="s">
        <v>39188</v>
      </c>
      <c r="E9657" s="29" t="s">
        <v>45950</v>
      </c>
      <c r="F9657" s="36" t="s">
        <v>54401</v>
      </c>
      <c r="G9657" s="39">
        <v>55272.77</v>
      </c>
      <c r="H9657" s="42">
        <v>211</v>
      </c>
    </row>
    <row r="9658" spans="1:8" ht="15" customHeight="1">
      <c r="A9658" s="26">
        <v>1002583207</v>
      </c>
      <c r="B9658" s="29" t="s">
        <v>11880</v>
      </c>
      <c r="C9658" s="29" t="s">
        <v>25753</v>
      </c>
      <c r="D9658" s="29" t="s">
        <v>39189</v>
      </c>
      <c r="E9658" s="29" t="s">
        <v>51151</v>
      </c>
      <c r="F9658" s="36" t="s">
        <v>54401</v>
      </c>
      <c r="G9658" s="39">
        <v>33655.040000000001</v>
      </c>
      <c r="H9658" s="42">
        <v>211</v>
      </c>
    </row>
    <row r="9659" spans="1:8" ht="15" customHeight="1">
      <c r="A9659" s="26">
        <v>1002590627</v>
      </c>
      <c r="B9659" s="29" t="s">
        <v>11881</v>
      </c>
      <c r="C9659" s="29" t="s">
        <v>25754</v>
      </c>
      <c r="D9659" s="29" t="s">
        <v>39190</v>
      </c>
      <c r="E9659" s="29" t="s">
        <v>46134</v>
      </c>
      <c r="F9659" s="36" t="s">
        <v>54401</v>
      </c>
      <c r="G9659" s="39">
        <v>27109.919999999998</v>
      </c>
      <c r="H9659" s="42">
        <v>211</v>
      </c>
    </row>
    <row r="9660" spans="1:8" ht="15" customHeight="1">
      <c r="A9660" s="26">
        <v>1002604121</v>
      </c>
      <c r="B9660" s="29" t="s">
        <v>11882</v>
      </c>
      <c r="C9660" s="29" t="s">
        <v>25755</v>
      </c>
      <c r="D9660" s="29" t="s">
        <v>39191</v>
      </c>
      <c r="E9660" s="29" t="s">
        <v>43926</v>
      </c>
      <c r="F9660" s="36" t="s">
        <v>54401</v>
      </c>
      <c r="G9660" s="39">
        <v>448739.3</v>
      </c>
      <c r="H9660" s="42">
        <v>211</v>
      </c>
    </row>
    <row r="9661" spans="1:8" ht="15" customHeight="1">
      <c r="A9661" s="26">
        <v>1002604189</v>
      </c>
      <c r="B9661" s="29" t="s">
        <v>11883</v>
      </c>
      <c r="C9661" s="29" t="s">
        <v>25756</v>
      </c>
      <c r="D9661" s="29" t="s">
        <v>39192</v>
      </c>
      <c r="E9661" s="29" t="s">
        <v>51152</v>
      </c>
      <c r="F9661" s="36" t="s">
        <v>54401</v>
      </c>
      <c r="G9661" s="39">
        <v>1428866.84</v>
      </c>
      <c r="H9661" s="42">
        <v>211</v>
      </c>
    </row>
    <row r="9662" spans="1:8" ht="15" customHeight="1">
      <c r="A9662" s="26">
        <v>1002604287</v>
      </c>
      <c r="B9662" s="29" t="s">
        <v>11884</v>
      </c>
      <c r="C9662" s="29" t="s">
        <v>25757</v>
      </c>
      <c r="D9662" s="29" t="s">
        <v>39193</v>
      </c>
      <c r="E9662" s="29" t="s">
        <v>43926</v>
      </c>
      <c r="F9662" s="36" t="s">
        <v>54401</v>
      </c>
      <c r="G9662" s="39">
        <v>183427.76</v>
      </c>
      <c r="H9662" s="42">
        <v>211</v>
      </c>
    </row>
    <row r="9663" spans="1:8" ht="15" customHeight="1">
      <c r="A9663" s="26">
        <v>1002605850</v>
      </c>
      <c r="B9663" s="29" t="s">
        <v>11885</v>
      </c>
      <c r="C9663" s="29" t="s">
        <v>25758</v>
      </c>
      <c r="D9663" s="29" t="s">
        <v>39194</v>
      </c>
      <c r="E9663" s="29" t="s">
        <v>49727</v>
      </c>
      <c r="F9663" s="36" t="s">
        <v>54401</v>
      </c>
      <c r="G9663" s="39">
        <v>423448.04</v>
      </c>
      <c r="H9663" s="42">
        <v>211</v>
      </c>
    </row>
    <row r="9664" spans="1:8" ht="15" customHeight="1">
      <c r="A9664" s="26">
        <v>1002605892</v>
      </c>
      <c r="B9664" s="29" t="s">
        <v>11886</v>
      </c>
      <c r="C9664" s="29" t="s">
        <v>25759</v>
      </c>
      <c r="D9664" s="29" t="s">
        <v>39195</v>
      </c>
      <c r="E9664" s="29" t="s">
        <v>51153</v>
      </c>
      <c r="F9664" s="36" t="s">
        <v>54401</v>
      </c>
      <c r="G9664" s="39">
        <v>919669.04</v>
      </c>
      <c r="H9664" s="42">
        <v>211</v>
      </c>
    </row>
    <row r="9665" spans="1:8" ht="15" customHeight="1">
      <c r="A9665" s="26">
        <v>1002606032</v>
      </c>
      <c r="B9665" s="29" t="s">
        <v>11887</v>
      </c>
      <c r="C9665" s="29" t="s">
        <v>25760</v>
      </c>
      <c r="D9665" s="29" t="s">
        <v>39196</v>
      </c>
      <c r="E9665" s="29" t="s">
        <v>51154</v>
      </c>
      <c r="F9665" s="36" t="s">
        <v>54440</v>
      </c>
      <c r="G9665" s="39">
        <v>341207.57</v>
      </c>
      <c r="H9665" s="42">
        <v>211</v>
      </c>
    </row>
    <row r="9666" spans="1:8" ht="15" customHeight="1">
      <c r="A9666" s="26">
        <v>1002606105</v>
      </c>
      <c r="B9666" s="29" t="s">
        <v>11888</v>
      </c>
      <c r="C9666" s="29" t="s">
        <v>25761</v>
      </c>
      <c r="D9666" s="29" t="s">
        <v>39197</v>
      </c>
      <c r="E9666" s="29" t="s">
        <v>44417</v>
      </c>
      <c r="F9666" s="36" t="s">
        <v>54401</v>
      </c>
      <c r="G9666" s="39">
        <v>253130.8</v>
      </c>
      <c r="H9666" s="42">
        <v>211</v>
      </c>
    </row>
    <row r="9667" spans="1:8" ht="15" customHeight="1">
      <c r="A9667" s="26">
        <v>1002606129</v>
      </c>
      <c r="B9667" s="29" t="s">
        <v>11889</v>
      </c>
      <c r="C9667" s="26" t="s">
        <v>25762</v>
      </c>
      <c r="D9667" s="26" t="s">
        <v>39198</v>
      </c>
      <c r="E9667" s="26" t="s">
        <v>51155</v>
      </c>
      <c r="F9667" s="37" t="s">
        <v>54401</v>
      </c>
      <c r="G9667" s="39">
        <v>393098.22</v>
      </c>
      <c r="H9667" s="42">
        <v>211</v>
      </c>
    </row>
    <row r="9668" spans="1:8" ht="15" customHeight="1">
      <c r="A9668" s="26">
        <v>1002606149</v>
      </c>
      <c r="B9668" s="29" t="s">
        <v>11890</v>
      </c>
      <c r="C9668" s="29" t="s">
        <v>25763</v>
      </c>
      <c r="D9668" s="29" t="s">
        <v>39199</v>
      </c>
      <c r="E9668" s="29" t="s">
        <v>51156</v>
      </c>
      <c r="F9668" s="36" t="s">
        <v>54401</v>
      </c>
      <c r="G9668" s="39">
        <v>274857.74</v>
      </c>
      <c r="H9668" s="42">
        <v>211</v>
      </c>
    </row>
    <row r="9669" spans="1:8" ht="15" customHeight="1">
      <c r="A9669" s="26">
        <v>1002606254</v>
      </c>
      <c r="B9669" s="29" t="s">
        <v>11891</v>
      </c>
      <c r="C9669" s="29" t="s">
        <v>25764</v>
      </c>
      <c r="D9669" s="29" t="s">
        <v>39200</v>
      </c>
      <c r="E9669" s="29" t="s">
        <v>51157</v>
      </c>
      <c r="F9669" s="36" t="s">
        <v>54401</v>
      </c>
      <c r="G9669" s="39">
        <v>226494</v>
      </c>
      <c r="H9669" s="42">
        <v>211</v>
      </c>
    </row>
    <row r="9670" spans="1:8" ht="15" customHeight="1">
      <c r="A9670" s="26">
        <v>1002606931</v>
      </c>
      <c r="B9670" s="29" t="s">
        <v>11892</v>
      </c>
      <c r="C9670" s="29" t="s">
        <v>25765</v>
      </c>
      <c r="D9670" s="29" t="s">
        <v>39201</v>
      </c>
      <c r="E9670" s="29" t="s">
        <v>51158</v>
      </c>
      <c r="F9670" s="36" t="s">
        <v>54409</v>
      </c>
      <c r="G9670" s="39">
        <v>397676.6</v>
      </c>
      <c r="H9670" s="42">
        <v>211</v>
      </c>
    </row>
    <row r="9671" spans="1:8" ht="15" customHeight="1">
      <c r="A9671" s="26">
        <v>1002606958</v>
      </c>
      <c r="B9671" s="29" t="s">
        <v>11893</v>
      </c>
      <c r="C9671" s="26" t="s">
        <v>22786</v>
      </c>
      <c r="D9671" s="26" t="s">
        <v>39202</v>
      </c>
      <c r="E9671" s="26" t="s">
        <v>51159</v>
      </c>
      <c r="F9671" s="37" t="s">
        <v>54409</v>
      </c>
      <c r="G9671" s="39">
        <v>468947.56</v>
      </c>
      <c r="H9671" s="42">
        <v>211</v>
      </c>
    </row>
    <row r="9672" spans="1:8" ht="15" customHeight="1">
      <c r="A9672" s="26">
        <v>1002606985</v>
      </c>
      <c r="B9672" s="29" t="s">
        <v>11894</v>
      </c>
      <c r="C9672" s="29" t="s">
        <v>25766</v>
      </c>
      <c r="D9672" s="29" t="s">
        <v>39203</v>
      </c>
      <c r="E9672" s="29" t="s">
        <v>51160</v>
      </c>
      <c r="F9672" s="36" t="s">
        <v>54401</v>
      </c>
      <c r="G9672" s="39">
        <v>3965243.58</v>
      </c>
      <c r="H9672" s="42">
        <v>211</v>
      </c>
    </row>
    <row r="9673" spans="1:8" ht="15" customHeight="1">
      <c r="A9673" s="26">
        <v>1002607029</v>
      </c>
      <c r="B9673" s="29" t="s">
        <v>11895</v>
      </c>
      <c r="C9673" s="29" t="s">
        <v>25767</v>
      </c>
      <c r="D9673" s="29" t="s">
        <v>39204</v>
      </c>
      <c r="E9673" s="29" t="s">
        <v>47368</v>
      </c>
      <c r="F9673" s="36" t="s">
        <v>54401</v>
      </c>
      <c r="G9673" s="39">
        <v>532056.64</v>
      </c>
      <c r="H9673" s="42">
        <v>211</v>
      </c>
    </row>
    <row r="9674" spans="1:8" ht="15" customHeight="1">
      <c r="A9674" s="26">
        <v>1002607146</v>
      </c>
      <c r="B9674" s="29" t="s">
        <v>11896</v>
      </c>
      <c r="C9674" s="29" t="s">
        <v>25768</v>
      </c>
      <c r="D9674" s="29" t="s">
        <v>39205</v>
      </c>
      <c r="E9674" s="29" t="s">
        <v>717</v>
      </c>
      <c r="F9674" s="36" t="s">
        <v>54409</v>
      </c>
      <c r="G9674" s="39">
        <v>1042905.48</v>
      </c>
      <c r="H9674" s="42">
        <v>211</v>
      </c>
    </row>
    <row r="9675" spans="1:8" ht="15" customHeight="1">
      <c r="A9675" s="26">
        <v>1002607158</v>
      </c>
      <c r="B9675" s="29" t="s">
        <v>11897</v>
      </c>
      <c r="C9675" s="29" t="s">
        <v>25769</v>
      </c>
      <c r="D9675" s="29" t="s">
        <v>39206</v>
      </c>
      <c r="E9675" s="29" t="s">
        <v>44460</v>
      </c>
      <c r="F9675" s="36" t="s">
        <v>54409</v>
      </c>
      <c r="G9675" s="39">
        <v>196411.34</v>
      </c>
      <c r="H9675" s="42">
        <v>211</v>
      </c>
    </row>
    <row r="9676" spans="1:8" ht="15" customHeight="1">
      <c r="A9676" s="26">
        <v>1002607202</v>
      </c>
      <c r="B9676" s="29" t="s">
        <v>11898</v>
      </c>
      <c r="C9676" s="29" t="s">
        <v>25770</v>
      </c>
      <c r="D9676" s="29" t="s">
        <v>39207</v>
      </c>
      <c r="E9676" s="29" t="s">
        <v>44973</v>
      </c>
      <c r="F9676" s="36" t="s">
        <v>54401</v>
      </c>
      <c r="G9676" s="39">
        <v>74421.740000000005</v>
      </c>
      <c r="H9676" s="42">
        <v>211</v>
      </c>
    </row>
    <row r="9677" spans="1:8" ht="15" customHeight="1">
      <c r="A9677" s="26">
        <v>1002607207</v>
      </c>
      <c r="B9677" s="29" t="s">
        <v>11899</v>
      </c>
      <c r="C9677" s="29" t="s">
        <v>25771</v>
      </c>
      <c r="D9677" s="29" t="s">
        <v>39208</v>
      </c>
      <c r="E9677" s="29" t="s">
        <v>51161</v>
      </c>
      <c r="F9677" s="36" t="s">
        <v>54401</v>
      </c>
      <c r="G9677" s="39">
        <v>618705.91</v>
      </c>
      <c r="H9677" s="42">
        <v>211</v>
      </c>
    </row>
    <row r="9678" spans="1:8" ht="15" customHeight="1">
      <c r="A9678" s="26">
        <v>1002607538</v>
      </c>
      <c r="B9678" s="29" t="s">
        <v>11900</v>
      </c>
      <c r="C9678" s="29" t="s">
        <v>25772</v>
      </c>
      <c r="D9678" s="29" t="s">
        <v>39209</v>
      </c>
      <c r="E9678" s="29" t="s">
        <v>51162</v>
      </c>
      <c r="F9678" s="36" t="s">
        <v>54401</v>
      </c>
      <c r="G9678" s="39">
        <v>4052410.99</v>
      </c>
      <c r="H9678" s="42">
        <v>211</v>
      </c>
    </row>
    <row r="9679" spans="1:8" ht="15" customHeight="1">
      <c r="A9679" s="26">
        <v>1002607858</v>
      </c>
      <c r="B9679" s="29" t="s">
        <v>11901</v>
      </c>
      <c r="C9679" s="29" t="s">
        <v>25773</v>
      </c>
      <c r="D9679" s="29" t="s">
        <v>39210</v>
      </c>
      <c r="E9679" s="29" t="s">
        <v>51163</v>
      </c>
      <c r="F9679" s="36" t="s">
        <v>54401</v>
      </c>
      <c r="G9679" s="39">
        <v>624208.03</v>
      </c>
      <c r="H9679" s="42">
        <v>211</v>
      </c>
    </row>
    <row r="9680" spans="1:8" ht="15" customHeight="1">
      <c r="A9680" s="26">
        <v>1002647511</v>
      </c>
      <c r="B9680" s="29" t="s">
        <v>11902</v>
      </c>
      <c r="C9680" s="29" t="s">
        <v>25774</v>
      </c>
      <c r="D9680" s="29" t="s">
        <v>39211</v>
      </c>
      <c r="E9680" s="29" t="s">
        <v>51164</v>
      </c>
      <c r="F9680" s="36" t="s">
        <v>54401</v>
      </c>
      <c r="G9680" s="39">
        <v>1576066</v>
      </c>
      <c r="H9680" s="42">
        <v>211</v>
      </c>
    </row>
    <row r="9681" spans="1:8" ht="15" customHeight="1">
      <c r="A9681" s="26">
        <v>1002649663</v>
      </c>
      <c r="B9681" s="29" t="s">
        <v>11903</v>
      </c>
      <c r="C9681" s="29" t="s">
        <v>25775</v>
      </c>
      <c r="D9681" s="29" t="s">
        <v>39212</v>
      </c>
      <c r="E9681" s="29" t="s">
        <v>51165</v>
      </c>
      <c r="F9681" s="36" t="s">
        <v>54401</v>
      </c>
      <c r="G9681" s="39">
        <v>1382770.85</v>
      </c>
      <c r="H9681" s="42">
        <v>211</v>
      </c>
    </row>
    <row r="9682" spans="1:8" ht="15" customHeight="1">
      <c r="A9682" s="26">
        <v>1002681890</v>
      </c>
      <c r="B9682" s="29" t="s">
        <v>11904</v>
      </c>
      <c r="C9682" s="29" t="s">
        <v>25776</v>
      </c>
      <c r="D9682" s="29" t="s">
        <v>39213</v>
      </c>
      <c r="E9682" s="29" t="s">
        <v>51166</v>
      </c>
      <c r="F9682" s="36" t="s">
        <v>54481</v>
      </c>
      <c r="G9682" s="39">
        <v>834189.58</v>
      </c>
      <c r="H9682" s="42">
        <v>211</v>
      </c>
    </row>
    <row r="9683" spans="1:8" ht="15" customHeight="1">
      <c r="A9683" s="26">
        <v>1002682053</v>
      </c>
      <c r="B9683" s="29" t="s">
        <v>11905</v>
      </c>
      <c r="C9683" s="29" t="s">
        <v>25777</v>
      </c>
      <c r="D9683" s="29" t="s">
        <v>35870</v>
      </c>
      <c r="E9683" s="29" t="s">
        <v>51167</v>
      </c>
      <c r="F9683" s="36" t="s">
        <v>54401</v>
      </c>
      <c r="G9683" s="39">
        <v>1018555.77</v>
      </c>
      <c r="H9683" s="42">
        <v>211</v>
      </c>
    </row>
    <row r="9684" spans="1:8" ht="15" customHeight="1">
      <c r="A9684" s="26">
        <v>1002692951</v>
      </c>
      <c r="B9684" s="29" t="s">
        <v>11906</v>
      </c>
      <c r="C9684" s="29" t="s">
        <v>17204</v>
      </c>
      <c r="D9684" s="29" t="s">
        <v>30349</v>
      </c>
      <c r="E9684" s="29" t="s">
        <v>43926</v>
      </c>
      <c r="F9684" s="36" t="s">
        <v>54401</v>
      </c>
      <c r="G9684" s="39">
        <v>94936.89</v>
      </c>
      <c r="H9684" s="42">
        <v>211</v>
      </c>
    </row>
    <row r="9685" spans="1:8" ht="15" customHeight="1">
      <c r="A9685" s="26">
        <v>1002692983</v>
      </c>
      <c r="B9685" s="29" t="s">
        <v>11907</v>
      </c>
      <c r="C9685" s="26" t="s">
        <v>25778</v>
      </c>
      <c r="D9685" s="26" t="s">
        <v>39214</v>
      </c>
      <c r="E9685" s="26" t="s">
        <v>43926</v>
      </c>
      <c r="F9685" s="37" t="s">
        <v>54401</v>
      </c>
      <c r="G9685" s="39">
        <v>802845.68</v>
      </c>
      <c r="H9685" s="42">
        <v>211</v>
      </c>
    </row>
    <row r="9686" spans="1:8" ht="15" customHeight="1">
      <c r="A9686" s="26">
        <v>1002694757</v>
      </c>
      <c r="B9686" s="29" t="s">
        <v>11908</v>
      </c>
      <c r="C9686" s="29" t="s">
        <v>25779</v>
      </c>
      <c r="D9686" s="29" t="s">
        <v>39215</v>
      </c>
      <c r="E9686" s="29" t="s">
        <v>44310</v>
      </c>
      <c r="F9686" s="36" t="s">
        <v>54401</v>
      </c>
      <c r="G9686" s="39">
        <v>548963.81000000006</v>
      </c>
      <c r="H9686" s="42">
        <v>211</v>
      </c>
    </row>
    <row r="9687" spans="1:8" ht="15" customHeight="1">
      <c r="A9687" s="26">
        <v>1002694775</v>
      </c>
      <c r="B9687" s="29" t="s">
        <v>11909</v>
      </c>
      <c r="C9687" s="29" t="s">
        <v>25780</v>
      </c>
      <c r="D9687" s="29" t="s">
        <v>39216</v>
      </c>
      <c r="E9687" s="29" t="s">
        <v>51168</v>
      </c>
      <c r="F9687" s="36" t="s">
        <v>54401</v>
      </c>
      <c r="G9687" s="39">
        <v>324831.53000000003</v>
      </c>
      <c r="H9687" s="42">
        <v>211</v>
      </c>
    </row>
    <row r="9688" spans="1:8" ht="15" customHeight="1">
      <c r="A9688" s="26">
        <v>1002696292</v>
      </c>
      <c r="B9688" s="29" t="s">
        <v>11910</v>
      </c>
      <c r="C9688" s="29" t="s">
        <v>17204</v>
      </c>
      <c r="D9688" s="29" t="s">
        <v>30349</v>
      </c>
      <c r="E9688" s="29" t="s">
        <v>43926</v>
      </c>
      <c r="F9688" s="36" t="s">
        <v>54401</v>
      </c>
      <c r="G9688" s="39">
        <v>1289047.0900000001</v>
      </c>
      <c r="H9688" s="42">
        <v>211</v>
      </c>
    </row>
    <row r="9689" spans="1:8" ht="15" customHeight="1">
      <c r="A9689" s="26">
        <v>1002696298</v>
      </c>
      <c r="B9689" s="29" t="s">
        <v>11911</v>
      </c>
      <c r="C9689" s="29" t="s">
        <v>25781</v>
      </c>
      <c r="D9689" s="29" t="s">
        <v>39217</v>
      </c>
      <c r="E9689" s="29" t="s">
        <v>51169</v>
      </c>
      <c r="F9689" s="36" t="s">
        <v>54401</v>
      </c>
      <c r="G9689" s="39">
        <v>1163813.0900000001</v>
      </c>
      <c r="H9689" s="42">
        <v>211</v>
      </c>
    </row>
    <row r="9690" spans="1:8" ht="15" customHeight="1">
      <c r="A9690" s="26">
        <v>1002696332</v>
      </c>
      <c r="B9690" s="29" t="s">
        <v>11912</v>
      </c>
      <c r="C9690" s="29" t="s">
        <v>25782</v>
      </c>
      <c r="D9690" s="29" t="s">
        <v>39218</v>
      </c>
      <c r="E9690" s="29" t="s">
        <v>51170</v>
      </c>
      <c r="F9690" s="36" t="s">
        <v>54401</v>
      </c>
      <c r="G9690" s="39">
        <v>3468547.06</v>
      </c>
      <c r="H9690" s="42">
        <v>211</v>
      </c>
    </row>
    <row r="9691" spans="1:8" ht="15" customHeight="1">
      <c r="A9691" s="26">
        <v>1002709657</v>
      </c>
      <c r="B9691" s="29" t="s">
        <v>11913</v>
      </c>
      <c r="C9691" s="26" t="s">
        <v>17204</v>
      </c>
      <c r="D9691" s="26" t="s">
        <v>30349</v>
      </c>
      <c r="E9691" s="26" t="s">
        <v>43926</v>
      </c>
      <c r="F9691" s="37" t="s">
        <v>54401</v>
      </c>
      <c r="G9691" s="39">
        <v>58636.61</v>
      </c>
      <c r="H9691" s="42">
        <v>211</v>
      </c>
    </row>
    <row r="9692" spans="1:8" ht="15" customHeight="1">
      <c r="A9692" s="26">
        <v>1002724098</v>
      </c>
      <c r="B9692" s="29" t="s">
        <v>11914</v>
      </c>
      <c r="C9692" s="29" t="s">
        <v>25783</v>
      </c>
      <c r="D9692" s="29" t="s">
        <v>39219</v>
      </c>
      <c r="E9692" s="29" t="s">
        <v>51171</v>
      </c>
      <c r="F9692" s="36" t="s">
        <v>54401</v>
      </c>
      <c r="G9692" s="39">
        <v>247923.96</v>
      </c>
      <c r="H9692" s="42">
        <v>211</v>
      </c>
    </row>
    <row r="9693" spans="1:8" ht="15" customHeight="1">
      <c r="A9693" s="26">
        <v>1002725736</v>
      </c>
      <c r="B9693" s="29" t="s">
        <v>11915</v>
      </c>
      <c r="C9693" s="29" t="s">
        <v>25784</v>
      </c>
      <c r="D9693" s="29" t="s">
        <v>39220</v>
      </c>
      <c r="E9693" s="29" t="s">
        <v>51172</v>
      </c>
      <c r="F9693" s="36" t="s">
        <v>54401</v>
      </c>
      <c r="G9693" s="39">
        <v>447477.31</v>
      </c>
      <c r="H9693" s="42">
        <v>211</v>
      </c>
    </row>
    <row r="9694" spans="1:8" ht="15" customHeight="1">
      <c r="A9694" s="26">
        <v>1002726363</v>
      </c>
      <c r="B9694" s="29" t="s">
        <v>11916</v>
      </c>
      <c r="C9694" s="29" t="s">
        <v>17204</v>
      </c>
      <c r="D9694" s="29" t="s">
        <v>30349</v>
      </c>
      <c r="E9694" s="29" t="s">
        <v>43926</v>
      </c>
      <c r="F9694" s="36" t="s">
        <v>54401</v>
      </c>
      <c r="G9694" s="39">
        <v>447129.64</v>
      </c>
      <c r="H9694" s="42">
        <v>211</v>
      </c>
    </row>
    <row r="9695" spans="1:8" ht="15" customHeight="1">
      <c r="A9695" s="26">
        <v>1002726470</v>
      </c>
      <c r="B9695" s="29" t="s">
        <v>11917</v>
      </c>
      <c r="C9695" s="29" t="s">
        <v>25785</v>
      </c>
      <c r="D9695" s="29" t="s">
        <v>39221</v>
      </c>
      <c r="E9695" s="29" t="s">
        <v>43926</v>
      </c>
      <c r="F9695" s="36" t="s">
        <v>54401</v>
      </c>
      <c r="G9695" s="39">
        <v>25042.01</v>
      </c>
      <c r="H9695" s="42">
        <v>211</v>
      </c>
    </row>
    <row r="9696" spans="1:8" ht="15" customHeight="1">
      <c r="A9696" s="26">
        <v>1002726759</v>
      </c>
      <c r="B9696" s="29" t="s">
        <v>11918</v>
      </c>
      <c r="C9696" s="29" t="s">
        <v>25786</v>
      </c>
      <c r="D9696" s="29" t="s">
        <v>39222</v>
      </c>
      <c r="E9696" s="29" t="s">
        <v>44313</v>
      </c>
      <c r="F9696" s="36" t="s">
        <v>54401</v>
      </c>
      <c r="G9696" s="39">
        <v>1282885.55</v>
      </c>
      <c r="H9696" s="42">
        <v>211</v>
      </c>
    </row>
    <row r="9697" spans="1:8" ht="15" customHeight="1">
      <c r="A9697" s="26">
        <v>1002727471</v>
      </c>
      <c r="B9697" s="29" t="s">
        <v>11919</v>
      </c>
      <c r="C9697" s="29" t="s">
        <v>17204</v>
      </c>
      <c r="D9697" s="29" t="s">
        <v>30349</v>
      </c>
      <c r="E9697" s="29" t="s">
        <v>43926</v>
      </c>
      <c r="F9697" s="36" t="s">
        <v>54401</v>
      </c>
      <c r="G9697" s="39">
        <v>580397.66</v>
      </c>
      <c r="H9697" s="42">
        <v>211</v>
      </c>
    </row>
    <row r="9698" spans="1:8" ht="15" customHeight="1">
      <c r="A9698" s="26">
        <v>1002734848</v>
      </c>
      <c r="B9698" s="29" t="s">
        <v>11920</v>
      </c>
      <c r="C9698" s="29" t="s">
        <v>21185</v>
      </c>
      <c r="D9698" s="29" t="s">
        <v>39223</v>
      </c>
      <c r="E9698" s="29" t="s">
        <v>51173</v>
      </c>
      <c r="F9698" s="36" t="s">
        <v>54401</v>
      </c>
      <c r="G9698" s="39">
        <v>200425.96</v>
      </c>
      <c r="H9698" s="42">
        <v>211</v>
      </c>
    </row>
    <row r="9699" spans="1:8" ht="15" customHeight="1">
      <c r="A9699" s="26">
        <v>1002741031</v>
      </c>
      <c r="B9699" s="29" t="s">
        <v>11921</v>
      </c>
      <c r="C9699" s="29" t="s">
        <v>25787</v>
      </c>
      <c r="D9699" s="29" t="s">
        <v>39224</v>
      </c>
      <c r="E9699" s="29" t="s">
        <v>51174</v>
      </c>
      <c r="F9699" s="36" t="s">
        <v>54401</v>
      </c>
      <c r="G9699" s="39">
        <v>339531.61</v>
      </c>
      <c r="H9699" s="42">
        <v>211</v>
      </c>
    </row>
    <row r="9700" spans="1:8" ht="15" customHeight="1">
      <c r="A9700" s="26">
        <v>1002756495</v>
      </c>
      <c r="B9700" s="29" t="s">
        <v>11922</v>
      </c>
      <c r="C9700" s="29" t="s">
        <v>25788</v>
      </c>
      <c r="D9700" s="29" t="s">
        <v>39225</v>
      </c>
      <c r="E9700" s="29" t="s">
        <v>51175</v>
      </c>
      <c r="F9700" s="36" t="s">
        <v>54401</v>
      </c>
      <c r="G9700" s="39">
        <v>4748286.01</v>
      </c>
      <c r="H9700" s="42">
        <v>211</v>
      </c>
    </row>
    <row r="9701" spans="1:8" ht="15" customHeight="1">
      <c r="A9701" s="26">
        <v>1002759989</v>
      </c>
      <c r="B9701" s="29" t="s">
        <v>11923</v>
      </c>
      <c r="C9701" s="29" t="s">
        <v>25789</v>
      </c>
      <c r="D9701" s="29" t="s">
        <v>39226</v>
      </c>
      <c r="E9701" s="29" t="s">
        <v>44310</v>
      </c>
      <c r="F9701" s="36" t="s">
        <v>54420</v>
      </c>
      <c r="G9701" s="39">
        <v>2553444.85</v>
      </c>
      <c r="H9701" s="42">
        <v>211</v>
      </c>
    </row>
    <row r="9702" spans="1:8" ht="15" customHeight="1">
      <c r="A9702" s="26">
        <v>1002760624</v>
      </c>
      <c r="B9702" s="29" t="s">
        <v>11924</v>
      </c>
      <c r="C9702" s="29" t="s">
        <v>25790</v>
      </c>
      <c r="D9702" s="29" t="s">
        <v>39227</v>
      </c>
      <c r="E9702" s="29" t="s">
        <v>51176</v>
      </c>
      <c r="F9702" s="36" t="s">
        <v>54401</v>
      </c>
      <c r="G9702" s="39">
        <v>19628.32</v>
      </c>
      <c r="H9702" s="42">
        <v>211</v>
      </c>
    </row>
    <row r="9703" spans="1:8" ht="15" customHeight="1">
      <c r="A9703" s="26">
        <v>1002769648</v>
      </c>
      <c r="B9703" s="29" t="s">
        <v>11925</v>
      </c>
      <c r="C9703" s="29" t="s">
        <v>25791</v>
      </c>
      <c r="D9703" s="29" t="s">
        <v>39228</v>
      </c>
      <c r="E9703" s="29" t="s">
        <v>51177</v>
      </c>
      <c r="F9703" s="36" t="s">
        <v>54401</v>
      </c>
      <c r="G9703" s="39">
        <v>1274950.18</v>
      </c>
      <c r="H9703" s="42">
        <v>211</v>
      </c>
    </row>
    <row r="9704" spans="1:8" ht="15" customHeight="1">
      <c r="A9704" s="26">
        <v>1002769738</v>
      </c>
      <c r="B9704" s="29" t="s">
        <v>11926</v>
      </c>
      <c r="C9704" s="29" t="s">
        <v>25792</v>
      </c>
      <c r="D9704" s="29" t="s">
        <v>39229</v>
      </c>
      <c r="E9704" s="29" t="s">
        <v>51178</v>
      </c>
      <c r="F9704" s="36" t="s">
        <v>54401</v>
      </c>
      <c r="G9704" s="39">
        <v>2585197.71</v>
      </c>
      <c r="H9704" s="42">
        <v>211</v>
      </c>
    </row>
    <row r="9705" spans="1:8" ht="15" customHeight="1">
      <c r="A9705" s="26">
        <v>1003188554</v>
      </c>
      <c r="B9705" s="29" t="s">
        <v>11927</v>
      </c>
      <c r="C9705" s="29" t="s">
        <v>25793</v>
      </c>
      <c r="D9705" s="29" t="s">
        <v>39230</v>
      </c>
      <c r="E9705" s="29" t="s">
        <v>51179</v>
      </c>
      <c r="F9705" s="36" t="s">
        <v>54401</v>
      </c>
      <c r="G9705" s="39">
        <v>418939.84</v>
      </c>
      <c r="H9705" s="42">
        <v>211</v>
      </c>
    </row>
    <row r="9706" spans="1:8" ht="15" customHeight="1">
      <c r="A9706" s="26">
        <v>1003237432</v>
      </c>
      <c r="B9706" s="29" t="s">
        <v>11928</v>
      </c>
      <c r="C9706" s="29" t="s">
        <v>25794</v>
      </c>
      <c r="D9706" s="29" t="s">
        <v>39231</v>
      </c>
      <c r="E9706" s="29" t="s">
        <v>43926</v>
      </c>
      <c r="F9706" s="36" t="s">
        <v>54401</v>
      </c>
      <c r="G9706" s="39">
        <v>126950.03</v>
      </c>
      <c r="H9706" s="42">
        <v>211</v>
      </c>
    </row>
    <row r="9707" spans="1:8" ht="15" customHeight="1">
      <c r="A9707" s="26">
        <v>1003427875</v>
      </c>
      <c r="B9707" s="29" t="s">
        <v>11929</v>
      </c>
      <c r="C9707" s="29" t="s">
        <v>25795</v>
      </c>
      <c r="D9707" s="29" t="s">
        <v>39232</v>
      </c>
      <c r="E9707" s="29" t="s">
        <v>44963</v>
      </c>
      <c r="F9707" s="36" t="s">
        <v>54401</v>
      </c>
      <c r="G9707" s="39">
        <v>163524.4</v>
      </c>
      <c r="H9707" s="42">
        <v>211</v>
      </c>
    </row>
    <row r="9708" spans="1:8" ht="15" customHeight="1">
      <c r="A9708" s="26">
        <v>1003482685</v>
      </c>
      <c r="B9708" s="29" t="s">
        <v>11930</v>
      </c>
      <c r="C9708" s="29" t="s">
        <v>25796</v>
      </c>
      <c r="D9708" s="29" t="s">
        <v>39233</v>
      </c>
      <c r="E9708" s="29" t="s">
        <v>51180</v>
      </c>
      <c r="F9708" s="36" t="s">
        <v>54401</v>
      </c>
      <c r="G9708" s="39">
        <v>475940.07</v>
      </c>
      <c r="H9708" s="42">
        <v>211</v>
      </c>
    </row>
    <row r="9709" spans="1:8" ht="15" customHeight="1">
      <c r="A9709" s="26">
        <v>1003622870</v>
      </c>
      <c r="B9709" s="29" t="s">
        <v>11931</v>
      </c>
      <c r="C9709" s="29" t="s">
        <v>25797</v>
      </c>
      <c r="D9709" s="29" t="s">
        <v>39234</v>
      </c>
      <c r="E9709" s="29" t="s">
        <v>43926</v>
      </c>
      <c r="F9709" s="36" t="s">
        <v>54401</v>
      </c>
      <c r="G9709" s="39">
        <v>364658.03</v>
      </c>
      <c r="H9709" s="42">
        <v>211</v>
      </c>
    </row>
    <row r="9710" spans="1:8" ht="15" customHeight="1">
      <c r="A9710" s="26">
        <v>1003652853</v>
      </c>
      <c r="B9710" s="29" t="s">
        <v>11932</v>
      </c>
      <c r="C9710" s="29" t="s">
        <v>25798</v>
      </c>
      <c r="D9710" s="29" t="s">
        <v>39235</v>
      </c>
      <c r="E9710" s="29" t="s">
        <v>51181</v>
      </c>
      <c r="F9710" s="36" t="s">
        <v>54406</v>
      </c>
      <c r="G9710" s="39">
        <v>184850.23</v>
      </c>
      <c r="H9710" s="42">
        <v>211</v>
      </c>
    </row>
    <row r="9711" spans="1:8" ht="15" customHeight="1">
      <c r="A9711" s="26">
        <v>1003823501</v>
      </c>
      <c r="B9711" s="29" t="s">
        <v>11933</v>
      </c>
      <c r="C9711" s="29" t="s">
        <v>25799</v>
      </c>
      <c r="D9711" s="29" t="s">
        <v>39236</v>
      </c>
      <c r="E9711" s="29" t="s">
        <v>50836</v>
      </c>
      <c r="F9711" s="36" t="s">
        <v>54401</v>
      </c>
      <c r="G9711" s="39">
        <v>732032.35</v>
      </c>
      <c r="H9711" s="42">
        <v>211</v>
      </c>
    </row>
    <row r="9712" spans="1:8" ht="15" customHeight="1">
      <c r="A9712" s="26">
        <v>1003826354</v>
      </c>
      <c r="B9712" s="29" t="s">
        <v>11934</v>
      </c>
      <c r="C9712" s="29" t="s">
        <v>25800</v>
      </c>
      <c r="D9712" s="29" t="s">
        <v>39237</v>
      </c>
      <c r="E9712" s="29" t="s">
        <v>51182</v>
      </c>
      <c r="F9712" s="36" t="s">
        <v>54401</v>
      </c>
      <c r="G9712" s="39">
        <v>45544.14</v>
      </c>
      <c r="H9712" s="42">
        <v>211</v>
      </c>
    </row>
    <row r="9713" spans="1:8" ht="15" customHeight="1">
      <c r="A9713" s="26">
        <v>1004037153</v>
      </c>
      <c r="B9713" s="29" t="s">
        <v>11935</v>
      </c>
      <c r="C9713" s="26" t="s">
        <v>17204</v>
      </c>
      <c r="D9713" s="26" t="s">
        <v>30349</v>
      </c>
      <c r="E9713" s="26" t="s">
        <v>43926</v>
      </c>
      <c r="F9713" s="37" t="s">
        <v>54401</v>
      </c>
      <c r="G9713" s="39">
        <v>37567.129999999997</v>
      </c>
      <c r="H9713" s="42">
        <v>211</v>
      </c>
    </row>
    <row r="9714" spans="1:8" ht="15" customHeight="1">
      <c r="A9714" s="26">
        <v>1004063281</v>
      </c>
      <c r="B9714" s="29" t="s">
        <v>10513</v>
      </c>
      <c r="C9714" s="26" t="s">
        <v>25801</v>
      </c>
      <c r="D9714" s="26" t="s">
        <v>39238</v>
      </c>
      <c r="E9714" s="26" t="s">
        <v>51183</v>
      </c>
      <c r="F9714" s="37" t="s">
        <v>54401</v>
      </c>
      <c r="G9714" s="39">
        <v>358919.51</v>
      </c>
      <c r="H9714" s="42">
        <v>211</v>
      </c>
    </row>
    <row r="9715" spans="1:8" ht="15" customHeight="1">
      <c r="A9715" s="26">
        <v>1004224719</v>
      </c>
      <c r="B9715" s="29" t="s">
        <v>11936</v>
      </c>
      <c r="C9715" s="29" t="s">
        <v>25802</v>
      </c>
      <c r="D9715" s="29" t="s">
        <v>39239</v>
      </c>
      <c r="E9715" s="29" t="s">
        <v>51184</v>
      </c>
      <c r="F9715" s="36" t="s">
        <v>54401</v>
      </c>
      <c r="G9715" s="39">
        <v>2002927.7</v>
      </c>
      <c r="H9715" s="42">
        <v>211</v>
      </c>
    </row>
    <row r="9716" spans="1:8" ht="15" customHeight="1">
      <c r="A9716" s="26">
        <v>1004301118</v>
      </c>
      <c r="B9716" s="29" t="s">
        <v>11937</v>
      </c>
      <c r="C9716" s="29" t="s">
        <v>25803</v>
      </c>
      <c r="D9716" s="29" t="s">
        <v>39240</v>
      </c>
      <c r="E9716" s="29" t="s">
        <v>44337</v>
      </c>
      <c r="F9716" s="36" t="s">
        <v>54401</v>
      </c>
      <c r="G9716" s="39">
        <v>96211.14</v>
      </c>
      <c r="H9716" s="42">
        <v>211</v>
      </c>
    </row>
    <row r="9717" spans="1:8" ht="15" customHeight="1">
      <c r="A9717" s="26">
        <v>1004639254</v>
      </c>
      <c r="B9717" s="29" t="s">
        <v>11938</v>
      </c>
      <c r="C9717" s="29" t="s">
        <v>25804</v>
      </c>
      <c r="D9717" s="29" t="s">
        <v>30376</v>
      </c>
      <c r="E9717" s="29" t="s">
        <v>51185</v>
      </c>
      <c r="F9717" s="36" t="s">
        <v>54401</v>
      </c>
      <c r="G9717" s="39">
        <v>3498879.06</v>
      </c>
      <c r="H9717" s="42">
        <v>211</v>
      </c>
    </row>
    <row r="9718" spans="1:8" ht="15" customHeight="1">
      <c r="A9718" s="26">
        <v>1004810660</v>
      </c>
      <c r="B9718" s="29" t="s">
        <v>10512</v>
      </c>
      <c r="C9718" s="29" t="s">
        <v>17204</v>
      </c>
      <c r="D9718" s="29" t="s">
        <v>30349</v>
      </c>
      <c r="E9718" s="29" t="s">
        <v>43926</v>
      </c>
      <c r="F9718" s="36" t="s">
        <v>54401</v>
      </c>
      <c r="G9718" s="39">
        <v>324820.06</v>
      </c>
      <c r="H9718" s="42">
        <v>211</v>
      </c>
    </row>
    <row r="9719" spans="1:8" ht="15" customHeight="1">
      <c r="A9719" s="26">
        <v>1004810842</v>
      </c>
      <c r="B9719" s="29" t="s">
        <v>11939</v>
      </c>
      <c r="C9719" s="29" t="s">
        <v>25805</v>
      </c>
      <c r="D9719" s="29" t="s">
        <v>39241</v>
      </c>
      <c r="E9719" s="29" t="s">
        <v>51186</v>
      </c>
      <c r="F9719" s="36" t="s">
        <v>54401</v>
      </c>
      <c r="G9719" s="39">
        <v>1235114.74</v>
      </c>
      <c r="H9719" s="42">
        <v>211</v>
      </c>
    </row>
    <row r="9720" spans="1:8" ht="15" customHeight="1">
      <c r="A9720" s="26">
        <v>1004811386</v>
      </c>
      <c r="B9720" s="29" t="s">
        <v>11940</v>
      </c>
      <c r="C9720" s="26" t="s">
        <v>25806</v>
      </c>
      <c r="D9720" s="26" t="s">
        <v>39242</v>
      </c>
      <c r="E9720" s="26" t="s">
        <v>47391</v>
      </c>
      <c r="F9720" s="37" t="s">
        <v>54401</v>
      </c>
      <c r="G9720" s="39">
        <v>231343.6</v>
      </c>
      <c r="H9720" s="42">
        <v>211</v>
      </c>
    </row>
    <row r="9721" spans="1:8" ht="15" customHeight="1">
      <c r="A9721" s="26">
        <v>1004819641</v>
      </c>
      <c r="B9721" s="29" t="s">
        <v>11941</v>
      </c>
      <c r="C9721" s="26" t="s">
        <v>25807</v>
      </c>
      <c r="D9721" s="26" t="s">
        <v>39243</v>
      </c>
      <c r="E9721" s="26" t="s">
        <v>51187</v>
      </c>
      <c r="F9721" s="37" t="s">
        <v>54401</v>
      </c>
      <c r="G9721" s="39">
        <v>3751620.19</v>
      </c>
      <c r="H9721" s="42">
        <v>211</v>
      </c>
    </row>
    <row r="9722" spans="1:8" ht="15" customHeight="1">
      <c r="A9722" s="26">
        <v>1005061393</v>
      </c>
      <c r="B9722" s="29" t="s">
        <v>11942</v>
      </c>
      <c r="C9722" s="29" t="s">
        <v>25808</v>
      </c>
      <c r="D9722" s="29" t="s">
        <v>39244</v>
      </c>
      <c r="E9722" s="29" t="s">
        <v>43926</v>
      </c>
      <c r="F9722" s="36" t="s">
        <v>54401</v>
      </c>
      <c r="G9722" s="39">
        <v>169863.24</v>
      </c>
      <c r="H9722" s="42">
        <v>211</v>
      </c>
    </row>
    <row r="9723" spans="1:8" ht="15" customHeight="1">
      <c r="A9723" s="26">
        <v>1005230270</v>
      </c>
      <c r="B9723" s="29" t="s">
        <v>11943</v>
      </c>
      <c r="C9723" s="29" t="s">
        <v>17204</v>
      </c>
      <c r="D9723" s="29" t="s">
        <v>30349</v>
      </c>
      <c r="E9723" s="29" t="s">
        <v>43926</v>
      </c>
      <c r="F9723" s="36" t="s">
        <v>54401</v>
      </c>
      <c r="G9723" s="39">
        <v>25330.67</v>
      </c>
      <c r="H9723" s="42">
        <v>211</v>
      </c>
    </row>
    <row r="9724" spans="1:8" ht="15" customHeight="1">
      <c r="A9724" s="26">
        <v>1005248864</v>
      </c>
      <c r="B9724" s="29" t="s">
        <v>11944</v>
      </c>
      <c r="C9724" s="29" t="s">
        <v>25809</v>
      </c>
      <c r="D9724" s="29" t="s">
        <v>39245</v>
      </c>
      <c r="E9724" s="29" t="s">
        <v>50016</v>
      </c>
      <c r="F9724" s="36" t="s">
        <v>54401</v>
      </c>
      <c r="G9724" s="39">
        <v>278070.24</v>
      </c>
      <c r="H9724" s="42">
        <v>211</v>
      </c>
    </row>
    <row r="9725" spans="1:8" ht="15" customHeight="1">
      <c r="A9725" s="26">
        <v>1005311736</v>
      </c>
      <c r="B9725" s="29" t="s">
        <v>11945</v>
      </c>
      <c r="C9725" s="29" t="s">
        <v>25810</v>
      </c>
      <c r="D9725" s="29" t="s">
        <v>39246</v>
      </c>
      <c r="E9725" s="29" t="s">
        <v>51188</v>
      </c>
      <c r="F9725" s="36" t="s">
        <v>54401</v>
      </c>
      <c r="G9725" s="39">
        <v>1627725.19</v>
      </c>
      <c r="H9725" s="42">
        <v>211</v>
      </c>
    </row>
    <row r="9726" spans="1:8" ht="15" customHeight="1">
      <c r="A9726" s="26">
        <v>1005312844</v>
      </c>
      <c r="B9726" s="29" t="s">
        <v>11946</v>
      </c>
      <c r="C9726" s="29" t="s">
        <v>25811</v>
      </c>
      <c r="D9726" s="29" t="s">
        <v>39247</v>
      </c>
      <c r="E9726" s="29" t="s">
        <v>51189</v>
      </c>
      <c r="F9726" s="36" t="s">
        <v>54401</v>
      </c>
      <c r="G9726" s="39">
        <v>3447670.9</v>
      </c>
      <c r="H9726" s="42">
        <v>211</v>
      </c>
    </row>
    <row r="9727" spans="1:8" ht="15" customHeight="1">
      <c r="A9727" s="26">
        <v>1005322533</v>
      </c>
      <c r="B9727" s="29" t="s">
        <v>11947</v>
      </c>
      <c r="C9727" s="29" t="s">
        <v>25812</v>
      </c>
      <c r="D9727" s="29" t="s">
        <v>39248</v>
      </c>
      <c r="E9727" s="29" t="s">
        <v>51190</v>
      </c>
      <c r="F9727" s="36" t="s">
        <v>54401</v>
      </c>
      <c r="G9727" s="39">
        <v>585684.74</v>
      </c>
      <c r="H9727" s="42">
        <v>211</v>
      </c>
    </row>
    <row r="9728" spans="1:8" ht="15" customHeight="1">
      <c r="A9728" s="26">
        <v>1005326013</v>
      </c>
      <c r="B9728" s="29" t="s">
        <v>11948</v>
      </c>
      <c r="C9728" s="29" t="s">
        <v>25813</v>
      </c>
      <c r="D9728" s="29" t="s">
        <v>39249</v>
      </c>
      <c r="E9728" s="29" t="s">
        <v>51191</v>
      </c>
      <c r="F9728" s="36" t="s">
        <v>54401</v>
      </c>
      <c r="G9728" s="39">
        <v>375152</v>
      </c>
      <c r="H9728" s="42">
        <v>211</v>
      </c>
    </row>
    <row r="9729" spans="1:8" ht="15" customHeight="1">
      <c r="A9729" s="26">
        <v>1005327800</v>
      </c>
      <c r="B9729" s="29" t="s">
        <v>11949</v>
      </c>
      <c r="C9729" s="29" t="s">
        <v>25814</v>
      </c>
      <c r="D9729" s="29" t="s">
        <v>39250</v>
      </c>
      <c r="E9729" s="29" t="s">
        <v>51192</v>
      </c>
      <c r="F9729" s="36" t="s">
        <v>54412</v>
      </c>
      <c r="G9729" s="39">
        <v>34453.78</v>
      </c>
      <c r="H9729" s="42">
        <v>211</v>
      </c>
    </row>
    <row r="9730" spans="1:8" ht="15" customHeight="1">
      <c r="A9730" s="26">
        <v>1005338175</v>
      </c>
      <c r="B9730" s="29" t="s">
        <v>11950</v>
      </c>
      <c r="C9730" s="29" t="s">
        <v>25815</v>
      </c>
      <c r="D9730" s="29" t="s">
        <v>39251</v>
      </c>
      <c r="E9730" s="29" t="s">
        <v>51193</v>
      </c>
      <c r="F9730" s="36" t="s">
        <v>54401</v>
      </c>
      <c r="G9730" s="39">
        <v>269258.38</v>
      </c>
      <c r="H9730" s="42">
        <v>211</v>
      </c>
    </row>
    <row r="9731" spans="1:8" ht="15" customHeight="1">
      <c r="A9731" s="26">
        <v>1005343874</v>
      </c>
      <c r="B9731" s="29" t="s">
        <v>11951</v>
      </c>
      <c r="C9731" s="29" t="s">
        <v>25816</v>
      </c>
      <c r="D9731" s="29" t="s">
        <v>39252</v>
      </c>
      <c r="E9731" s="29" t="s">
        <v>51194</v>
      </c>
      <c r="F9731" s="36" t="s">
        <v>54401</v>
      </c>
      <c r="G9731" s="39">
        <v>243485.76</v>
      </c>
      <c r="H9731" s="42">
        <v>211</v>
      </c>
    </row>
    <row r="9732" spans="1:8" ht="15" customHeight="1">
      <c r="A9732" s="26">
        <v>1005771528</v>
      </c>
      <c r="B9732" s="29" t="s">
        <v>11952</v>
      </c>
      <c r="C9732" s="29" t="s">
        <v>25817</v>
      </c>
      <c r="D9732" s="29" t="s">
        <v>39253</v>
      </c>
      <c r="E9732" s="29" t="s">
        <v>51195</v>
      </c>
      <c r="F9732" s="36" t="s">
        <v>54401</v>
      </c>
      <c r="G9732" s="39">
        <v>551125.28</v>
      </c>
      <c r="H9732" s="42">
        <v>211</v>
      </c>
    </row>
    <row r="9733" spans="1:8" ht="15" customHeight="1">
      <c r="A9733" s="26">
        <v>1005821089</v>
      </c>
      <c r="B9733" s="29" t="s">
        <v>11953</v>
      </c>
      <c r="C9733" s="29" t="s">
        <v>25818</v>
      </c>
      <c r="D9733" s="29" t="s">
        <v>39254</v>
      </c>
      <c r="E9733" s="29" t="s">
        <v>46016</v>
      </c>
      <c r="F9733" s="36" t="s">
        <v>54401</v>
      </c>
      <c r="G9733" s="39">
        <v>6461110.6200000001</v>
      </c>
      <c r="H9733" s="42">
        <v>211</v>
      </c>
    </row>
    <row r="9734" spans="1:8" ht="15" customHeight="1">
      <c r="A9734" s="26">
        <v>1005821474</v>
      </c>
      <c r="B9734" s="29" t="s">
        <v>11954</v>
      </c>
      <c r="C9734" s="29" t="s">
        <v>25819</v>
      </c>
      <c r="D9734" s="29" t="s">
        <v>39255</v>
      </c>
      <c r="E9734" s="29" t="s">
        <v>51196</v>
      </c>
      <c r="F9734" s="36" t="s">
        <v>54401</v>
      </c>
      <c r="G9734" s="39">
        <v>3353276.81</v>
      </c>
      <c r="H9734" s="42">
        <v>211</v>
      </c>
    </row>
    <row r="9735" spans="1:8" ht="15" customHeight="1">
      <c r="A9735" s="26">
        <v>1005911424</v>
      </c>
      <c r="B9735" s="29" t="s">
        <v>11955</v>
      </c>
      <c r="C9735" s="29" t="s">
        <v>25820</v>
      </c>
      <c r="D9735" s="29" t="s">
        <v>39256</v>
      </c>
      <c r="E9735" s="29" t="s">
        <v>51197</v>
      </c>
      <c r="F9735" s="36" t="s">
        <v>54401</v>
      </c>
      <c r="G9735" s="39">
        <v>879094.35</v>
      </c>
      <c r="H9735" s="42">
        <v>211</v>
      </c>
    </row>
    <row r="9736" spans="1:8" ht="15" customHeight="1">
      <c r="A9736" s="26">
        <v>1006006360</v>
      </c>
      <c r="B9736" s="29" t="s">
        <v>11956</v>
      </c>
      <c r="C9736" s="29" t="s">
        <v>25821</v>
      </c>
      <c r="D9736" s="29" t="s">
        <v>39257</v>
      </c>
      <c r="E9736" s="29" t="s">
        <v>43926</v>
      </c>
      <c r="F9736" s="36" t="s">
        <v>54401</v>
      </c>
      <c r="G9736" s="39">
        <v>701023.61</v>
      </c>
      <c r="H9736" s="42">
        <v>211</v>
      </c>
    </row>
    <row r="9737" spans="1:8" ht="15" customHeight="1">
      <c r="A9737" s="26">
        <v>1006117303</v>
      </c>
      <c r="B9737" s="29" t="s">
        <v>11957</v>
      </c>
      <c r="C9737" s="29" t="s">
        <v>25822</v>
      </c>
      <c r="D9737" s="29" t="s">
        <v>39258</v>
      </c>
      <c r="E9737" s="29" t="s">
        <v>51198</v>
      </c>
      <c r="F9737" s="36" t="s">
        <v>54401</v>
      </c>
      <c r="G9737" s="39">
        <v>5605677.7999999998</v>
      </c>
      <c r="H9737" s="42">
        <v>211</v>
      </c>
    </row>
    <row r="9738" spans="1:8" ht="15" customHeight="1">
      <c r="A9738" s="26">
        <v>1006125780</v>
      </c>
      <c r="B9738" s="29" t="s">
        <v>11958</v>
      </c>
      <c r="C9738" s="29" t="s">
        <v>18992</v>
      </c>
      <c r="D9738" s="29" t="s">
        <v>30349</v>
      </c>
      <c r="E9738" s="29" t="s">
        <v>43926</v>
      </c>
      <c r="F9738" s="36" t="s">
        <v>54401</v>
      </c>
      <c r="G9738" s="39">
        <v>229200</v>
      </c>
      <c r="H9738" s="42">
        <v>211</v>
      </c>
    </row>
    <row r="9739" spans="1:8" ht="15" customHeight="1">
      <c r="A9739" s="26">
        <v>1006148381</v>
      </c>
      <c r="B9739" s="29" t="s">
        <v>11959</v>
      </c>
      <c r="C9739" s="29" t="s">
        <v>25823</v>
      </c>
      <c r="D9739" s="29" t="s">
        <v>39259</v>
      </c>
      <c r="E9739" s="29" t="s">
        <v>51199</v>
      </c>
      <c r="F9739" s="36" t="s">
        <v>54401</v>
      </c>
      <c r="G9739" s="39">
        <v>202630.67</v>
      </c>
      <c r="H9739" s="42">
        <v>211</v>
      </c>
    </row>
    <row r="9740" spans="1:8" ht="15" customHeight="1">
      <c r="A9740" s="26">
        <v>1006316062</v>
      </c>
      <c r="B9740" s="29" t="s">
        <v>11960</v>
      </c>
      <c r="C9740" s="29" t="s">
        <v>25824</v>
      </c>
      <c r="D9740" s="29" t="s">
        <v>39260</v>
      </c>
      <c r="E9740" s="29" t="s">
        <v>46294</v>
      </c>
      <c r="F9740" s="36" t="s">
        <v>54401</v>
      </c>
      <c r="G9740" s="39">
        <v>375502.48</v>
      </c>
      <c r="H9740" s="42">
        <v>211</v>
      </c>
    </row>
    <row r="9741" spans="1:8" ht="15" customHeight="1">
      <c r="A9741" s="26">
        <v>1006408221</v>
      </c>
      <c r="B9741" s="29" t="s">
        <v>11961</v>
      </c>
      <c r="C9741" s="29" t="s">
        <v>25825</v>
      </c>
      <c r="D9741" s="29" t="s">
        <v>39261</v>
      </c>
      <c r="E9741" s="29" t="s">
        <v>51200</v>
      </c>
      <c r="F9741" s="36" t="s">
        <v>54401</v>
      </c>
      <c r="G9741" s="39">
        <v>25107.37</v>
      </c>
      <c r="H9741" s="42">
        <v>211</v>
      </c>
    </row>
    <row r="9742" spans="1:8" ht="15" customHeight="1">
      <c r="A9742" s="26">
        <v>1006457478</v>
      </c>
      <c r="B9742" s="29" t="s">
        <v>11962</v>
      </c>
      <c r="C9742" s="29" t="s">
        <v>25826</v>
      </c>
      <c r="D9742" s="29" t="s">
        <v>39262</v>
      </c>
      <c r="E9742" s="29" t="s">
        <v>51201</v>
      </c>
      <c r="F9742" s="36" t="s">
        <v>54401</v>
      </c>
      <c r="G9742" s="39">
        <v>4684013.72</v>
      </c>
      <c r="H9742" s="42">
        <v>211</v>
      </c>
    </row>
    <row r="9743" spans="1:8" ht="15" customHeight="1">
      <c r="A9743" s="26">
        <v>1006512781</v>
      </c>
      <c r="B9743" s="29" t="s">
        <v>11963</v>
      </c>
      <c r="C9743" s="29" t="s">
        <v>25827</v>
      </c>
      <c r="D9743" s="29" t="s">
        <v>39263</v>
      </c>
      <c r="E9743" s="29" t="s">
        <v>49286</v>
      </c>
      <c r="F9743" s="36" t="s">
        <v>54401</v>
      </c>
      <c r="G9743" s="39">
        <v>475559.7</v>
      </c>
      <c r="H9743" s="42">
        <v>211</v>
      </c>
    </row>
    <row r="9744" spans="1:8" ht="15" customHeight="1">
      <c r="A9744" s="26">
        <v>1006549556</v>
      </c>
      <c r="B9744" s="29" t="s">
        <v>11964</v>
      </c>
      <c r="C9744" s="29" t="s">
        <v>25828</v>
      </c>
      <c r="D9744" s="29" t="s">
        <v>39264</v>
      </c>
      <c r="E9744" s="29" t="s">
        <v>51202</v>
      </c>
      <c r="F9744" s="36" t="s">
        <v>54401</v>
      </c>
      <c r="G9744" s="39">
        <v>225179.74</v>
      </c>
      <c r="H9744" s="42">
        <v>211</v>
      </c>
    </row>
    <row r="9745" spans="1:8" ht="15" customHeight="1">
      <c r="A9745" s="26">
        <v>1006697150</v>
      </c>
      <c r="B9745" s="29" t="s">
        <v>11965</v>
      </c>
      <c r="C9745" s="29" t="s">
        <v>25829</v>
      </c>
      <c r="D9745" s="29" t="s">
        <v>39265</v>
      </c>
      <c r="E9745" s="29" t="s">
        <v>51203</v>
      </c>
      <c r="F9745" s="36" t="s">
        <v>54401</v>
      </c>
      <c r="G9745" s="39">
        <v>114391.79</v>
      </c>
      <c r="H9745" s="42">
        <v>211</v>
      </c>
    </row>
    <row r="9746" spans="1:8" ht="15" customHeight="1">
      <c r="A9746" s="26">
        <v>1006775762</v>
      </c>
      <c r="B9746" s="29" t="s">
        <v>11966</v>
      </c>
      <c r="C9746" s="29" t="s">
        <v>25830</v>
      </c>
      <c r="D9746" s="29" t="s">
        <v>39266</v>
      </c>
      <c r="E9746" s="29" t="s">
        <v>51204</v>
      </c>
      <c r="F9746" s="36" t="s">
        <v>54401</v>
      </c>
      <c r="G9746" s="39">
        <v>836448.17</v>
      </c>
      <c r="H9746" s="42">
        <v>211</v>
      </c>
    </row>
    <row r="9747" spans="1:8" ht="15" customHeight="1">
      <c r="A9747" s="26">
        <v>1006966171</v>
      </c>
      <c r="B9747" s="29" t="s">
        <v>11967</v>
      </c>
      <c r="C9747" s="29" t="s">
        <v>25831</v>
      </c>
      <c r="D9747" s="29" t="s">
        <v>39267</v>
      </c>
      <c r="E9747" s="29" t="s">
        <v>51205</v>
      </c>
      <c r="F9747" s="36" t="s">
        <v>54401</v>
      </c>
      <c r="G9747" s="39">
        <v>225796.32</v>
      </c>
      <c r="H9747" s="42">
        <v>211</v>
      </c>
    </row>
    <row r="9748" spans="1:8" ht="15" customHeight="1">
      <c r="A9748" s="26">
        <v>1007185387</v>
      </c>
      <c r="B9748" s="29" t="s">
        <v>11968</v>
      </c>
      <c r="C9748" s="29" t="s">
        <v>25832</v>
      </c>
      <c r="D9748" s="29" t="s">
        <v>39268</v>
      </c>
      <c r="E9748" s="29" t="s">
        <v>51206</v>
      </c>
      <c r="F9748" s="36" t="s">
        <v>54401</v>
      </c>
      <c r="G9748" s="39">
        <v>1546313.88</v>
      </c>
      <c r="H9748" s="42">
        <v>211</v>
      </c>
    </row>
    <row r="9749" spans="1:8" ht="15" customHeight="1">
      <c r="A9749" s="26">
        <v>1007196741</v>
      </c>
      <c r="B9749" s="29" t="s">
        <v>11969</v>
      </c>
      <c r="C9749" s="26" t="s">
        <v>25833</v>
      </c>
      <c r="D9749" s="26" t="s">
        <v>39269</v>
      </c>
      <c r="E9749" s="26" t="s">
        <v>47344</v>
      </c>
      <c r="F9749" s="37" t="s">
        <v>54401</v>
      </c>
      <c r="G9749" s="39">
        <v>379391.49</v>
      </c>
      <c r="H9749" s="42">
        <v>211</v>
      </c>
    </row>
    <row r="9750" spans="1:8" ht="15" customHeight="1">
      <c r="A9750" s="26">
        <v>1007206937</v>
      </c>
      <c r="B9750" s="29" t="s">
        <v>11970</v>
      </c>
      <c r="C9750" s="29" t="s">
        <v>25834</v>
      </c>
      <c r="D9750" s="29" t="s">
        <v>39270</v>
      </c>
      <c r="E9750" s="29" t="s">
        <v>43926</v>
      </c>
      <c r="F9750" s="36" t="s">
        <v>54401</v>
      </c>
      <c r="G9750" s="39">
        <v>1258828.5900000001</v>
      </c>
      <c r="H9750" s="42">
        <v>211</v>
      </c>
    </row>
    <row r="9751" spans="1:8" ht="15" customHeight="1">
      <c r="A9751" s="26">
        <v>1007294921</v>
      </c>
      <c r="B9751" s="29" t="s">
        <v>11971</v>
      </c>
      <c r="C9751" s="29" t="s">
        <v>25835</v>
      </c>
      <c r="D9751" s="29" t="s">
        <v>39271</v>
      </c>
      <c r="E9751" s="29" t="s">
        <v>51207</v>
      </c>
      <c r="F9751" s="36" t="s">
        <v>54402</v>
      </c>
      <c r="G9751" s="39">
        <v>68907.570000000007</v>
      </c>
      <c r="H9751" s="42">
        <v>211</v>
      </c>
    </row>
    <row r="9752" spans="1:8" ht="15" customHeight="1">
      <c r="A9752" s="26">
        <v>1007305311</v>
      </c>
      <c r="B9752" s="29" t="s">
        <v>11972</v>
      </c>
      <c r="C9752" s="29" t="s">
        <v>25836</v>
      </c>
      <c r="D9752" s="29" t="s">
        <v>39272</v>
      </c>
      <c r="E9752" s="29" t="s">
        <v>51208</v>
      </c>
      <c r="F9752" s="36" t="s">
        <v>54401</v>
      </c>
      <c r="G9752" s="39">
        <v>181163.67</v>
      </c>
      <c r="H9752" s="42">
        <v>211</v>
      </c>
    </row>
    <row r="9753" spans="1:8" ht="15" customHeight="1">
      <c r="A9753" s="26">
        <v>1007305799</v>
      </c>
      <c r="B9753" s="29" t="s">
        <v>11973</v>
      </c>
      <c r="C9753" s="29" t="s">
        <v>25837</v>
      </c>
      <c r="D9753" s="29" t="s">
        <v>39273</v>
      </c>
      <c r="E9753" s="29" t="s">
        <v>51209</v>
      </c>
      <c r="F9753" s="36" t="s">
        <v>54413</v>
      </c>
      <c r="G9753" s="39">
        <v>4336663.92</v>
      </c>
      <c r="H9753" s="42">
        <v>211</v>
      </c>
    </row>
    <row r="9754" spans="1:8" ht="15" customHeight="1">
      <c r="A9754" s="26">
        <v>1007307486</v>
      </c>
      <c r="B9754" s="29" t="s">
        <v>11974</v>
      </c>
      <c r="C9754" s="29" t="s">
        <v>17204</v>
      </c>
      <c r="D9754" s="29" t="s">
        <v>39274</v>
      </c>
      <c r="E9754" s="29" t="s">
        <v>43926</v>
      </c>
      <c r="F9754" s="36" t="s">
        <v>54401</v>
      </c>
      <c r="G9754" s="39">
        <v>485730</v>
      </c>
      <c r="H9754" s="42">
        <v>211</v>
      </c>
    </row>
    <row r="9755" spans="1:8" ht="15" customHeight="1">
      <c r="A9755" s="26">
        <v>1007332605</v>
      </c>
      <c r="B9755" s="29" t="s">
        <v>11975</v>
      </c>
      <c r="C9755" s="29" t="s">
        <v>25838</v>
      </c>
      <c r="D9755" s="29" t="s">
        <v>39275</v>
      </c>
      <c r="E9755" s="29" t="s">
        <v>43926</v>
      </c>
      <c r="F9755" s="36" t="s">
        <v>54401</v>
      </c>
      <c r="G9755" s="39">
        <v>4067801.24</v>
      </c>
      <c r="H9755" s="42">
        <v>211</v>
      </c>
    </row>
    <row r="9756" spans="1:8" ht="15" customHeight="1">
      <c r="A9756" s="26">
        <v>1007343018</v>
      </c>
      <c r="B9756" s="29" t="s">
        <v>11976</v>
      </c>
      <c r="C9756" s="29" t="s">
        <v>25839</v>
      </c>
      <c r="D9756" s="29" t="s">
        <v>39276</v>
      </c>
      <c r="E9756" s="29" t="s">
        <v>44141</v>
      </c>
      <c r="F9756" s="36" t="s">
        <v>54401</v>
      </c>
      <c r="G9756" s="39">
        <v>3525293.94</v>
      </c>
      <c r="H9756" s="42">
        <v>211</v>
      </c>
    </row>
    <row r="9757" spans="1:8" ht="15" customHeight="1">
      <c r="A9757" s="26">
        <v>1007343329</v>
      </c>
      <c r="B9757" s="29" t="s">
        <v>11977</v>
      </c>
      <c r="C9757" s="29" t="s">
        <v>17204</v>
      </c>
      <c r="D9757" s="29" t="s">
        <v>39277</v>
      </c>
      <c r="E9757" s="29" t="s">
        <v>43926</v>
      </c>
      <c r="F9757" s="36" t="s">
        <v>54401</v>
      </c>
      <c r="G9757" s="39">
        <v>1925220.15</v>
      </c>
      <c r="H9757" s="42">
        <v>211</v>
      </c>
    </row>
    <row r="9758" spans="1:8" ht="15" customHeight="1">
      <c r="A9758" s="26">
        <v>1007343404</v>
      </c>
      <c r="B9758" s="29" t="s">
        <v>11978</v>
      </c>
      <c r="C9758" s="29" t="s">
        <v>25840</v>
      </c>
      <c r="D9758" s="29" t="s">
        <v>39278</v>
      </c>
      <c r="E9758" s="29" t="s">
        <v>51210</v>
      </c>
      <c r="F9758" s="36" t="s">
        <v>54401</v>
      </c>
      <c r="G9758" s="39">
        <v>422453.37</v>
      </c>
      <c r="H9758" s="42">
        <v>211</v>
      </c>
    </row>
    <row r="9759" spans="1:8" ht="15" customHeight="1">
      <c r="A9759" s="26">
        <v>1007364947</v>
      </c>
      <c r="B9759" s="29" t="s">
        <v>11979</v>
      </c>
      <c r="C9759" s="29" t="s">
        <v>25841</v>
      </c>
      <c r="D9759" s="29" t="s">
        <v>39279</v>
      </c>
      <c r="E9759" s="29" t="s">
        <v>51211</v>
      </c>
      <c r="F9759" s="36" t="s">
        <v>54401</v>
      </c>
      <c r="G9759" s="39">
        <v>1411331.72</v>
      </c>
      <c r="H9759" s="42">
        <v>211</v>
      </c>
    </row>
    <row r="9760" spans="1:8" ht="15" customHeight="1">
      <c r="A9760" s="26">
        <v>1007369365</v>
      </c>
      <c r="B9760" s="29" t="s">
        <v>11980</v>
      </c>
      <c r="C9760" s="26" t="s">
        <v>17204</v>
      </c>
      <c r="D9760" s="26" t="s">
        <v>39280</v>
      </c>
      <c r="E9760" s="26" t="s">
        <v>43926</v>
      </c>
      <c r="F9760" s="37" t="s">
        <v>54401</v>
      </c>
      <c r="G9760" s="39">
        <v>346505.54</v>
      </c>
      <c r="H9760" s="42">
        <v>211</v>
      </c>
    </row>
    <row r="9761" spans="1:8" ht="15" customHeight="1">
      <c r="A9761" s="26">
        <v>1007379378</v>
      </c>
      <c r="B9761" s="29" t="s">
        <v>11981</v>
      </c>
      <c r="C9761" s="29" t="s">
        <v>25842</v>
      </c>
      <c r="D9761" s="29" t="s">
        <v>39281</v>
      </c>
      <c r="E9761" s="29" t="s">
        <v>43926</v>
      </c>
      <c r="F9761" s="36" t="s">
        <v>54401</v>
      </c>
      <c r="G9761" s="39">
        <v>3324153.45</v>
      </c>
      <c r="H9761" s="42">
        <v>211</v>
      </c>
    </row>
    <row r="9762" spans="1:8" ht="15" customHeight="1">
      <c r="A9762" s="26">
        <v>1007379384</v>
      </c>
      <c r="B9762" s="29" t="s">
        <v>11982</v>
      </c>
      <c r="C9762" s="29" t="s">
        <v>25843</v>
      </c>
      <c r="D9762" s="29" t="s">
        <v>39282</v>
      </c>
      <c r="E9762" s="29" t="s">
        <v>51212</v>
      </c>
      <c r="F9762" s="36" t="s">
        <v>54401</v>
      </c>
      <c r="G9762" s="39">
        <v>4240791.28</v>
      </c>
      <c r="H9762" s="42">
        <v>211</v>
      </c>
    </row>
    <row r="9763" spans="1:8" ht="15" customHeight="1">
      <c r="A9763" s="26">
        <v>1007379386</v>
      </c>
      <c r="B9763" s="29" t="s">
        <v>11983</v>
      </c>
      <c r="C9763" s="29" t="s">
        <v>25844</v>
      </c>
      <c r="D9763" s="29" t="s">
        <v>39283</v>
      </c>
      <c r="E9763" s="29" t="s">
        <v>44262</v>
      </c>
      <c r="F9763" s="36" t="s">
        <v>54401</v>
      </c>
      <c r="G9763" s="39">
        <v>2295986.73</v>
      </c>
      <c r="H9763" s="42">
        <v>211</v>
      </c>
    </row>
    <row r="9764" spans="1:8" ht="15" customHeight="1">
      <c r="A9764" s="26">
        <v>1007379397</v>
      </c>
      <c r="B9764" s="29" t="s">
        <v>11984</v>
      </c>
      <c r="C9764" s="29" t="s">
        <v>17204</v>
      </c>
      <c r="D9764" s="29" t="s">
        <v>30349</v>
      </c>
      <c r="E9764" s="29" t="s">
        <v>43926</v>
      </c>
      <c r="F9764" s="36" t="s">
        <v>54401</v>
      </c>
      <c r="G9764" s="39">
        <v>213677.36</v>
      </c>
      <c r="H9764" s="42">
        <v>211</v>
      </c>
    </row>
    <row r="9765" spans="1:8" ht="15" customHeight="1">
      <c r="A9765" s="26">
        <v>1007379406</v>
      </c>
      <c r="B9765" s="29" t="s">
        <v>11985</v>
      </c>
      <c r="C9765" s="29" t="s">
        <v>25845</v>
      </c>
      <c r="D9765" s="29" t="s">
        <v>39284</v>
      </c>
      <c r="E9765" s="29" t="s">
        <v>51213</v>
      </c>
      <c r="F9765" s="36" t="s">
        <v>54401</v>
      </c>
      <c r="G9765" s="39">
        <v>839979.98</v>
      </c>
      <c r="H9765" s="42">
        <v>211</v>
      </c>
    </row>
    <row r="9766" spans="1:8" ht="15" customHeight="1">
      <c r="A9766" s="26">
        <v>1007379494</v>
      </c>
      <c r="B9766" s="29" t="s">
        <v>11986</v>
      </c>
      <c r="C9766" s="29" t="s">
        <v>25846</v>
      </c>
      <c r="D9766" s="29" t="s">
        <v>39285</v>
      </c>
      <c r="E9766" s="29" t="s">
        <v>43926</v>
      </c>
      <c r="F9766" s="36" t="s">
        <v>54401</v>
      </c>
      <c r="G9766" s="39">
        <v>14903.7</v>
      </c>
      <c r="H9766" s="42">
        <v>211</v>
      </c>
    </row>
    <row r="9767" spans="1:8" ht="15" customHeight="1">
      <c r="A9767" s="26">
        <v>1007379509</v>
      </c>
      <c r="B9767" s="29" t="s">
        <v>11987</v>
      </c>
      <c r="C9767" s="29" t="s">
        <v>25847</v>
      </c>
      <c r="D9767" s="29" t="s">
        <v>39286</v>
      </c>
      <c r="E9767" s="29" t="s">
        <v>51214</v>
      </c>
      <c r="F9767" s="36" t="s">
        <v>54409</v>
      </c>
      <c r="G9767" s="39">
        <v>489566.1</v>
      </c>
      <c r="H9767" s="42">
        <v>211</v>
      </c>
    </row>
    <row r="9768" spans="1:8" ht="15" customHeight="1">
      <c r="A9768" s="26">
        <v>1007379522</v>
      </c>
      <c r="B9768" s="29" t="s">
        <v>11988</v>
      </c>
      <c r="C9768" s="29" t="s">
        <v>25848</v>
      </c>
      <c r="D9768" s="29" t="s">
        <v>39287</v>
      </c>
      <c r="E9768" s="29" t="s">
        <v>51215</v>
      </c>
      <c r="F9768" s="36" t="s">
        <v>54401</v>
      </c>
      <c r="G9768" s="39">
        <v>3094745.94</v>
      </c>
      <c r="H9768" s="42">
        <v>211</v>
      </c>
    </row>
    <row r="9769" spans="1:8" ht="15" customHeight="1">
      <c r="A9769" s="26">
        <v>1007379540</v>
      </c>
      <c r="B9769" s="29" t="s">
        <v>11989</v>
      </c>
      <c r="C9769" s="29" t="s">
        <v>25849</v>
      </c>
      <c r="D9769" s="29" t="s">
        <v>39288</v>
      </c>
      <c r="E9769" s="29" t="s">
        <v>51216</v>
      </c>
      <c r="F9769" s="36" t="s">
        <v>54401</v>
      </c>
      <c r="G9769" s="39">
        <v>2331847.3199999998</v>
      </c>
      <c r="H9769" s="42">
        <v>211</v>
      </c>
    </row>
    <row r="9770" spans="1:8" ht="15" customHeight="1">
      <c r="A9770" s="26">
        <v>1007379558</v>
      </c>
      <c r="B9770" s="29" t="s">
        <v>11990</v>
      </c>
      <c r="C9770" s="29" t="s">
        <v>25850</v>
      </c>
      <c r="D9770" s="29" t="s">
        <v>39289</v>
      </c>
      <c r="E9770" s="29" t="s">
        <v>51217</v>
      </c>
      <c r="F9770" s="36" t="s">
        <v>54401</v>
      </c>
      <c r="G9770" s="39">
        <v>807805.52</v>
      </c>
      <c r="H9770" s="42">
        <v>211</v>
      </c>
    </row>
    <row r="9771" spans="1:8" ht="15" customHeight="1">
      <c r="A9771" s="26">
        <v>1007381273</v>
      </c>
      <c r="B9771" s="29" t="s">
        <v>11991</v>
      </c>
      <c r="C9771" s="29" t="s">
        <v>25851</v>
      </c>
      <c r="D9771" s="29" t="s">
        <v>39290</v>
      </c>
      <c r="E9771" s="29" t="s">
        <v>51218</v>
      </c>
      <c r="F9771" s="36" t="s">
        <v>54401</v>
      </c>
      <c r="G9771" s="39">
        <v>248031.47</v>
      </c>
      <c r="H9771" s="42">
        <v>211</v>
      </c>
    </row>
    <row r="9772" spans="1:8" ht="15" customHeight="1">
      <c r="A9772" s="26">
        <v>1007381353</v>
      </c>
      <c r="B9772" s="29" t="s">
        <v>11992</v>
      </c>
      <c r="C9772" s="26" t="s">
        <v>25852</v>
      </c>
      <c r="D9772" s="26" t="s">
        <v>39291</v>
      </c>
      <c r="E9772" s="26" t="s">
        <v>51219</v>
      </c>
      <c r="F9772" s="37" t="s">
        <v>54401</v>
      </c>
      <c r="G9772" s="39">
        <v>441065.39</v>
      </c>
      <c r="H9772" s="42">
        <v>211</v>
      </c>
    </row>
    <row r="9773" spans="1:8" ht="15" customHeight="1">
      <c r="A9773" s="26">
        <v>1007381378</v>
      </c>
      <c r="B9773" s="29" t="s">
        <v>11993</v>
      </c>
      <c r="C9773" s="29" t="s">
        <v>25853</v>
      </c>
      <c r="D9773" s="29" t="s">
        <v>39292</v>
      </c>
      <c r="E9773" s="29" t="s">
        <v>51220</v>
      </c>
      <c r="F9773" s="36" t="s">
        <v>54401</v>
      </c>
      <c r="G9773" s="39">
        <v>119547.52</v>
      </c>
      <c r="H9773" s="42">
        <v>211</v>
      </c>
    </row>
    <row r="9774" spans="1:8" ht="15" customHeight="1">
      <c r="A9774" s="26">
        <v>1007381396</v>
      </c>
      <c r="B9774" s="29" t="s">
        <v>11994</v>
      </c>
      <c r="C9774" s="29" t="s">
        <v>25854</v>
      </c>
      <c r="D9774" s="29" t="s">
        <v>39293</v>
      </c>
      <c r="E9774" s="29" t="s">
        <v>51221</v>
      </c>
      <c r="F9774" s="36" t="s">
        <v>54401</v>
      </c>
      <c r="G9774" s="39">
        <v>6772290.5999999996</v>
      </c>
      <c r="H9774" s="42">
        <v>211</v>
      </c>
    </row>
    <row r="9775" spans="1:8" ht="15" customHeight="1">
      <c r="A9775" s="26">
        <v>1007381398</v>
      </c>
      <c r="B9775" s="29" t="s">
        <v>11995</v>
      </c>
      <c r="C9775" s="29" t="s">
        <v>17204</v>
      </c>
      <c r="D9775" s="29" t="s">
        <v>30349</v>
      </c>
      <c r="E9775" s="29" t="s">
        <v>43926</v>
      </c>
      <c r="F9775" s="36" t="s">
        <v>54401</v>
      </c>
      <c r="G9775" s="39">
        <v>107193.28</v>
      </c>
      <c r="H9775" s="42">
        <v>211</v>
      </c>
    </row>
    <row r="9776" spans="1:8" ht="15" customHeight="1">
      <c r="A9776" s="26">
        <v>1007381440</v>
      </c>
      <c r="B9776" s="29" t="s">
        <v>11996</v>
      </c>
      <c r="C9776" s="29" t="s">
        <v>25855</v>
      </c>
      <c r="D9776" s="29" t="s">
        <v>39294</v>
      </c>
      <c r="E9776" s="29" t="s">
        <v>51222</v>
      </c>
      <c r="F9776" s="36" t="s">
        <v>54401</v>
      </c>
      <c r="G9776" s="39">
        <v>827792.63</v>
      </c>
      <c r="H9776" s="42">
        <v>211</v>
      </c>
    </row>
    <row r="9777" spans="1:8" ht="15" customHeight="1">
      <c r="A9777" s="26">
        <v>1007381457</v>
      </c>
      <c r="B9777" s="29" t="s">
        <v>11997</v>
      </c>
      <c r="C9777" s="29" t="s">
        <v>25856</v>
      </c>
      <c r="D9777" s="29" t="s">
        <v>39295</v>
      </c>
      <c r="E9777" s="29" t="s">
        <v>43926</v>
      </c>
      <c r="F9777" s="36" t="s">
        <v>54401</v>
      </c>
      <c r="G9777" s="39">
        <v>1166610.0900000001</v>
      </c>
      <c r="H9777" s="42">
        <v>211</v>
      </c>
    </row>
    <row r="9778" spans="1:8" ht="15" customHeight="1">
      <c r="A9778" s="26">
        <v>1007381495</v>
      </c>
      <c r="B9778" s="29" t="s">
        <v>11998</v>
      </c>
      <c r="C9778" s="26" t="s">
        <v>17204</v>
      </c>
      <c r="D9778" s="26" t="s">
        <v>30349</v>
      </c>
      <c r="E9778" s="26" t="s">
        <v>43926</v>
      </c>
      <c r="F9778" s="37" t="s">
        <v>54401</v>
      </c>
      <c r="G9778" s="39">
        <v>307068.31</v>
      </c>
      <c r="H9778" s="42">
        <v>211</v>
      </c>
    </row>
    <row r="9779" spans="1:8" ht="15" customHeight="1">
      <c r="A9779" s="26">
        <v>1007381522</v>
      </c>
      <c r="B9779" s="29" t="s">
        <v>11999</v>
      </c>
      <c r="C9779" s="29" t="s">
        <v>17204</v>
      </c>
      <c r="D9779" s="29" t="s">
        <v>39296</v>
      </c>
      <c r="E9779" s="29" t="s">
        <v>43926</v>
      </c>
      <c r="F9779" s="36" t="s">
        <v>54401</v>
      </c>
      <c r="G9779" s="39">
        <v>609936.16</v>
      </c>
      <c r="H9779" s="42">
        <v>211</v>
      </c>
    </row>
    <row r="9780" spans="1:8" ht="15" customHeight="1">
      <c r="A9780" s="26">
        <v>1007381543</v>
      </c>
      <c r="B9780" s="29" t="s">
        <v>12000</v>
      </c>
      <c r="C9780" s="29" t="s">
        <v>25857</v>
      </c>
      <c r="D9780" s="29" t="s">
        <v>39297</v>
      </c>
      <c r="E9780" s="29" t="s">
        <v>51223</v>
      </c>
      <c r="F9780" s="36" t="s">
        <v>54401</v>
      </c>
      <c r="G9780" s="39">
        <v>54282.77</v>
      </c>
      <c r="H9780" s="42">
        <v>211</v>
      </c>
    </row>
    <row r="9781" spans="1:8" ht="15" customHeight="1">
      <c r="A9781" s="26">
        <v>1007381551</v>
      </c>
      <c r="B9781" s="29" t="s">
        <v>12001</v>
      </c>
      <c r="C9781" s="29" t="s">
        <v>25858</v>
      </c>
      <c r="D9781" s="29" t="s">
        <v>39298</v>
      </c>
      <c r="E9781" s="29" t="s">
        <v>51224</v>
      </c>
      <c r="F9781" s="36" t="s">
        <v>54401</v>
      </c>
      <c r="G9781" s="39">
        <v>175854.22</v>
      </c>
      <c r="H9781" s="42">
        <v>211</v>
      </c>
    </row>
    <row r="9782" spans="1:8" ht="15" customHeight="1">
      <c r="A9782" s="26">
        <v>1007381561</v>
      </c>
      <c r="B9782" s="29" t="s">
        <v>12002</v>
      </c>
      <c r="C9782" s="29" t="s">
        <v>25859</v>
      </c>
      <c r="D9782" s="29" t="s">
        <v>39299</v>
      </c>
      <c r="E9782" s="29" t="s">
        <v>43926</v>
      </c>
      <c r="F9782" s="36" t="s">
        <v>54401</v>
      </c>
      <c r="G9782" s="39">
        <v>342299.22</v>
      </c>
      <c r="H9782" s="42">
        <v>211</v>
      </c>
    </row>
    <row r="9783" spans="1:8" ht="15" customHeight="1">
      <c r="A9783" s="26">
        <v>1007381568</v>
      </c>
      <c r="B9783" s="29" t="s">
        <v>12003</v>
      </c>
      <c r="C9783" s="29" t="s">
        <v>25860</v>
      </c>
      <c r="D9783" s="29" t="s">
        <v>39300</v>
      </c>
      <c r="E9783" s="29" t="s">
        <v>51225</v>
      </c>
      <c r="F9783" s="36" t="s">
        <v>54401</v>
      </c>
      <c r="G9783" s="39">
        <v>612191.82999999996</v>
      </c>
      <c r="H9783" s="42">
        <v>211</v>
      </c>
    </row>
    <row r="9784" spans="1:8" ht="15" customHeight="1">
      <c r="A9784" s="26">
        <v>1007381625</v>
      </c>
      <c r="B9784" s="29" t="s">
        <v>12004</v>
      </c>
      <c r="C9784" s="29" t="s">
        <v>25861</v>
      </c>
      <c r="D9784" s="29" t="s">
        <v>39301</v>
      </c>
      <c r="E9784" s="29" t="s">
        <v>46906</v>
      </c>
      <c r="F9784" s="36" t="s">
        <v>54401</v>
      </c>
      <c r="G9784" s="39">
        <v>188869.87</v>
      </c>
      <c r="H9784" s="42">
        <v>211</v>
      </c>
    </row>
    <row r="9785" spans="1:8" ht="15" customHeight="1">
      <c r="A9785" s="26">
        <v>1007381629</v>
      </c>
      <c r="B9785" s="29" t="s">
        <v>12005</v>
      </c>
      <c r="C9785" s="29" t="s">
        <v>25862</v>
      </c>
      <c r="D9785" s="29" t="s">
        <v>39302</v>
      </c>
      <c r="E9785" s="29" t="s">
        <v>44804</v>
      </c>
      <c r="F9785" s="36" t="s">
        <v>54401</v>
      </c>
      <c r="G9785" s="39">
        <v>381544.44</v>
      </c>
      <c r="H9785" s="42">
        <v>211</v>
      </c>
    </row>
    <row r="9786" spans="1:8" ht="15" customHeight="1">
      <c r="A9786" s="26">
        <v>1007381632</v>
      </c>
      <c r="B9786" s="29" t="s">
        <v>12006</v>
      </c>
      <c r="C9786" s="26" t="s">
        <v>25863</v>
      </c>
      <c r="D9786" s="26" t="s">
        <v>39303</v>
      </c>
      <c r="E9786" s="26" t="s">
        <v>51226</v>
      </c>
      <c r="F9786" s="37" t="s">
        <v>54401</v>
      </c>
      <c r="G9786" s="39">
        <v>1484953.71</v>
      </c>
      <c r="H9786" s="42">
        <v>211</v>
      </c>
    </row>
    <row r="9787" spans="1:8" ht="15" customHeight="1">
      <c r="A9787" s="26">
        <v>1007381647</v>
      </c>
      <c r="B9787" s="29" t="s">
        <v>12007</v>
      </c>
      <c r="C9787" s="29" t="s">
        <v>25864</v>
      </c>
      <c r="D9787" s="29" t="s">
        <v>39304</v>
      </c>
      <c r="E9787" s="29" t="s">
        <v>51227</v>
      </c>
      <c r="F9787" s="36" t="s">
        <v>54401</v>
      </c>
      <c r="G9787" s="39">
        <v>423412.39</v>
      </c>
      <c r="H9787" s="42">
        <v>211</v>
      </c>
    </row>
    <row r="9788" spans="1:8" ht="15" customHeight="1">
      <c r="A9788" s="26">
        <v>1007381664</v>
      </c>
      <c r="B9788" s="29" t="s">
        <v>12008</v>
      </c>
      <c r="C9788" s="29" t="s">
        <v>25865</v>
      </c>
      <c r="D9788" s="29" t="s">
        <v>39305</v>
      </c>
      <c r="E9788" s="29" t="s">
        <v>45093</v>
      </c>
      <c r="F9788" s="36" t="s">
        <v>54401</v>
      </c>
      <c r="G9788" s="39">
        <v>1792351</v>
      </c>
      <c r="H9788" s="42">
        <v>211</v>
      </c>
    </row>
    <row r="9789" spans="1:8" ht="15" customHeight="1">
      <c r="A9789" s="26">
        <v>1007381670</v>
      </c>
      <c r="B9789" s="29" t="s">
        <v>12009</v>
      </c>
      <c r="C9789" s="29" t="s">
        <v>25866</v>
      </c>
      <c r="D9789" s="29" t="s">
        <v>39306</v>
      </c>
      <c r="E9789" s="29" t="s">
        <v>51228</v>
      </c>
      <c r="F9789" s="36" t="s">
        <v>54401</v>
      </c>
      <c r="G9789" s="39">
        <v>205512.29</v>
      </c>
      <c r="H9789" s="42">
        <v>211</v>
      </c>
    </row>
    <row r="9790" spans="1:8" ht="15" customHeight="1">
      <c r="A9790" s="26">
        <v>1007381684</v>
      </c>
      <c r="B9790" s="29" t="s">
        <v>12010</v>
      </c>
      <c r="C9790" s="29" t="s">
        <v>25867</v>
      </c>
      <c r="D9790" s="29" t="s">
        <v>39307</v>
      </c>
      <c r="E9790" s="29" t="s">
        <v>43926</v>
      </c>
      <c r="F9790" s="36" t="s">
        <v>54401</v>
      </c>
      <c r="G9790" s="39">
        <v>806131.48</v>
      </c>
      <c r="H9790" s="42">
        <v>211</v>
      </c>
    </row>
    <row r="9791" spans="1:8" ht="15" customHeight="1">
      <c r="A9791" s="26">
        <v>1007381758</v>
      </c>
      <c r="B9791" s="29" t="s">
        <v>12011</v>
      </c>
      <c r="C9791" s="29" t="s">
        <v>17204</v>
      </c>
      <c r="D9791" s="29" t="s">
        <v>30349</v>
      </c>
      <c r="E9791" s="29" t="s">
        <v>43926</v>
      </c>
      <c r="F9791" s="36" t="s">
        <v>54401</v>
      </c>
      <c r="G9791" s="39">
        <v>105414.67</v>
      </c>
      <c r="H9791" s="42">
        <v>211</v>
      </c>
    </row>
    <row r="9792" spans="1:8" ht="15" customHeight="1">
      <c r="A9792" s="26">
        <v>1007384832</v>
      </c>
      <c r="B9792" s="29" t="s">
        <v>12012</v>
      </c>
      <c r="C9792" s="29" t="s">
        <v>25868</v>
      </c>
      <c r="D9792" s="29" t="s">
        <v>39308</v>
      </c>
      <c r="E9792" s="29" t="s">
        <v>51229</v>
      </c>
      <c r="F9792" s="36" t="s">
        <v>54406</v>
      </c>
      <c r="G9792" s="39">
        <v>182219.04</v>
      </c>
      <c r="H9792" s="42">
        <v>211</v>
      </c>
    </row>
    <row r="9793" spans="1:8" ht="15" customHeight="1">
      <c r="A9793" s="26">
        <v>1007388568</v>
      </c>
      <c r="B9793" s="29" t="s">
        <v>12013</v>
      </c>
      <c r="C9793" s="29" t="s">
        <v>25869</v>
      </c>
      <c r="D9793" s="29" t="s">
        <v>39309</v>
      </c>
      <c r="E9793" s="29" t="s">
        <v>43926</v>
      </c>
      <c r="F9793" s="36" t="s">
        <v>54401</v>
      </c>
      <c r="G9793" s="39">
        <v>731312.24</v>
      </c>
      <c r="H9793" s="42">
        <v>211</v>
      </c>
    </row>
    <row r="9794" spans="1:8" ht="15" customHeight="1">
      <c r="A9794" s="26">
        <v>1007388584</v>
      </c>
      <c r="B9794" s="29" t="s">
        <v>12014</v>
      </c>
      <c r="C9794" s="29" t="s">
        <v>25870</v>
      </c>
      <c r="D9794" s="29" t="s">
        <v>39310</v>
      </c>
      <c r="E9794" s="29" t="s">
        <v>49429</v>
      </c>
      <c r="F9794" s="36" t="s">
        <v>54401</v>
      </c>
      <c r="G9794" s="39">
        <v>285979.84000000003</v>
      </c>
      <c r="H9794" s="42">
        <v>211</v>
      </c>
    </row>
    <row r="9795" spans="1:8" ht="15" customHeight="1">
      <c r="A9795" s="26">
        <v>1007388591</v>
      </c>
      <c r="B9795" s="29" t="s">
        <v>12015</v>
      </c>
      <c r="C9795" s="29" t="s">
        <v>17204</v>
      </c>
      <c r="D9795" s="29" t="s">
        <v>30349</v>
      </c>
      <c r="E9795" s="29" t="s">
        <v>43926</v>
      </c>
      <c r="F9795" s="36" t="s">
        <v>54401</v>
      </c>
      <c r="G9795" s="39">
        <v>316475.08</v>
      </c>
      <c r="H9795" s="42">
        <v>211</v>
      </c>
    </row>
    <row r="9796" spans="1:8" ht="15" customHeight="1">
      <c r="A9796" s="26">
        <v>1007388637</v>
      </c>
      <c r="B9796" s="29" t="s">
        <v>12016</v>
      </c>
      <c r="C9796" s="29" t="s">
        <v>25871</v>
      </c>
      <c r="D9796" s="29" t="s">
        <v>39311</v>
      </c>
      <c r="E9796" s="29" t="s">
        <v>51230</v>
      </c>
      <c r="F9796" s="36" t="s">
        <v>54401</v>
      </c>
      <c r="G9796" s="39">
        <v>1113280.6499999999</v>
      </c>
      <c r="H9796" s="42">
        <v>211</v>
      </c>
    </row>
    <row r="9797" spans="1:8" ht="15" customHeight="1">
      <c r="A9797" s="26">
        <v>1007388639</v>
      </c>
      <c r="B9797" s="29" t="s">
        <v>12017</v>
      </c>
      <c r="C9797" s="29" t="s">
        <v>25872</v>
      </c>
      <c r="D9797" s="29" t="s">
        <v>39312</v>
      </c>
      <c r="E9797" s="29" t="s">
        <v>51231</v>
      </c>
      <c r="F9797" s="36" t="s">
        <v>54401</v>
      </c>
      <c r="G9797" s="39">
        <v>3864190.33</v>
      </c>
      <c r="H9797" s="42">
        <v>211</v>
      </c>
    </row>
    <row r="9798" spans="1:8" ht="15" customHeight="1">
      <c r="A9798" s="26">
        <v>1007388655</v>
      </c>
      <c r="B9798" s="29" t="s">
        <v>12018</v>
      </c>
      <c r="C9798" s="29" t="s">
        <v>25435</v>
      </c>
      <c r="D9798" s="29" t="s">
        <v>38849</v>
      </c>
      <c r="E9798" s="29" t="s">
        <v>51232</v>
      </c>
      <c r="F9798" s="36" t="s">
        <v>54401</v>
      </c>
      <c r="G9798" s="39">
        <v>1011854.2</v>
      </c>
      <c r="H9798" s="42">
        <v>211</v>
      </c>
    </row>
    <row r="9799" spans="1:8" ht="15" customHeight="1">
      <c r="A9799" s="26">
        <v>1007388657</v>
      </c>
      <c r="B9799" s="29" t="s">
        <v>12019</v>
      </c>
      <c r="C9799" s="29" t="s">
        <v>25873</v>
      </c>
      <c r="D9799" s="29" t="s">
        <v>39313</v>
      </c>
      <c r="E9799" s="29" t="s">
        <v>51233</v>
      </c>
      <c r="F9799" s="36" t="s">
        <v>54401</v>
      </c>
      <c r="G9799" s="39">
        <v>10653.78</v>
      </c>
      <c r="H9799" s="42">
        <v>211</v>
      </c>
    </row>
    <row r="9800" spans="1:8" ht="15" customHeight="1">
      <c r="A9800" s="26">
        <v>1007388700</v>
      </c>
      <c r="B9800" s="29" t="s">
        <v>12020</v>
      </c>
      <c r="C9800" s="29" t="s">
        <v>25874</v>
      </c>
      <c r="D9800" s="29" t="s">
        <v>39314</v>
      </c>
      <c r="E9800" s="29" t="s">
        <v>51234</v>
      </c>
      <c r="F9800" s="36" t="s">
        <v>54401</v>
      </c>
      <c r="G9800" s="39">
        <v>2143887.08</v>
      </c>
      <c r="H9800" s="42">
        <v>211</v>
      </c>
    </row>
    <row r="9801" spans="1:8" ht="15" customHeight="1">
      <c r="A9801" s="26">
        <v>1007388738</v>
      </c>
      <c r="B9801" s="29" t="s">
        <v>12021</v>
      </c>
      <c r="C9801" s="29" t="s">
        <v>25875</v>
      </c>
      <c r="D9801" s="29" t="s">
        <v>39315</v>
      </c>
      <c r="E9801" s="29" t="s">
        <v>51235</v>
      </c>
      <c r="F9801" s="36" t="s">
        <v>54401</v>
      </c>
      <c r="G9801" s="39">
        <v>15980.67</v>
      </c>
      <c r="H9801" s="42">
        <v>211</v>
      </c>
    </row>
    <row r="9802" spans="1:8" ht="15" customHeight="1">
      <c r="A9802" s="26">
        <v>1007388746</v>
      </c>
      <c r="B9802" s="29" t="s">
        <v>12022</v>
      </c>
      <c r="C9802" s="29" t="s">
        <v>25876</v>
      </c>
      <c r="D9802" s="29" t="s">
        <v>39316</v>
      </c>
      <c r="E9802" s="29" t="s">
        <v>51236</v>
      </c>
      <c r="F9802" s="36" t="s">
        <v>54401</v>
      </c>
      <c r="G9802" s="39">
        <v>699250.56</v>
      </c>
      <c r="H9802" s="42">
        <v>211</v>
      </c>
    </row>
    <row r="9803" spans="1:8" ht="15" customHeight="1">
      <c r="A9803" s="26">
        <v>1007388751</v>
      </c>
      <c r="B9803" s="29" t="s">
        <v>12023</v>
      </c>
      <c r="C9803" s="29" t="s">
        <v>25877</v>
      </c>
      <c r="D9803" s="29" t="s">
        <v>39317</v>
      </c>
      <c r="E9803" s="29" t="s">
        <v>51237</v>
      </c>
      <c r="F9803" s="36" t="s">
        <v>54401</v>
      </c>
      <c r="G9803" s="39">
        <v>4288356.47</v>
      </c>
      <c r="H9803" s="42">
        <v>211</v>
      </c>
    </row>
    <row r="9804" spans="1:8" ht="15" customHeight="1">
      <c r="A9804" s="26">
        <v>1007391190</v>
      </c>
      <c r="B9804" s="29" t="s">
        <v>12024</v>
      </c>
      <c r="C9804" s="29" t="s">
        <v>25878</v>
      </c>
      <c r="D9804" s="29" t="s">
        <v>39318</v>
      </c>
      <c r="E9804" s="29" t="s">
        <v>51238</v>
      </c>
      <c r="F9804" s="36" t="s">
        <v>54401</v>
      </c>
      <c r="G9804" s="39">
        <v>277722.45</v>
      </c>
      <c r="H9804" s="42">
        <v>211</v>
      </c>
    </row>
    <row r="9805" spans="1:8" ht="15" customHeight="1">
      <c r="A9805" s="26">
        <v>1007391192</v>
      </c>
      <c r="B9805" s="29" t="s">
        <v>12025</v>
      </c>
      <c r="C9805" s="29" t="s">
        <v>17204</v>
      </c>
      <c r="D9805" s="29" t="s">
        <v>30349</v>
      </c>
      <c r="E9805" s="29" t="s">
        <v>43926</v>
      </c>
      <c r="F9805" s="36" t="s">
        <v>54401</v>
      </c>
      <c r="G9805" s="39">
        <v>233146.52</v>
      </c>
      <c r="H9805" s="42">
        <v>211</v>
      </c>
    </row>
    <row r="9806" spans="1:8" ht="15" customHeight="1">
      <c r="A9806" s="26">
        <v>1007391217</v>
      </c>
      <c r="B9806" s="29" t="s">
        <v>12026</v>
      </c>
      <c r="C9806" s="29" t="s">
        <v>25879</v>
      </c>
      <c r="D9806" s="29" t="s">
        <v>39319</v>
      </c>
      <c r="E9806" s="29" t="s">
        <v>748</v>
      </c>
      <c r="F9806" s="36" t="s">
        <v>54401</v>
      </c>
      <c r="G9806" s="39">
        <v>388364.61</v>
      </c>
      <c r="H9806" s="42">
        <v>211</v>
      </c>
    </row>
    <row r="9807" spans="1:8" ht="15" customHeight="1">
      <c r="A9807" s="26">
        <v>1007391219</v>
      </c>
      <c r="B9807" s="29" t="s">
        <v>12027</v>
      </c>
      <c r="C9807" s="29" t="s">
        <v>25880</v>
      </c>
      <c r="D9807" s="29" t="s">
        <v>39320</v>
      </c>
      <c r="E9807" s="29" t="s">
        <v>51239</v>
      </c>
      <c r="F9807" s="36" t="s">
        <v>54401</v>
      </c>
      <c r="G9807" s="39">
        <v>2540582.9</v>
      </c>
      <c r="H9807" s="42">
        <v>211</v>
      </c>
    </row>
    <row r="9808" spans="1:8" ht="15" customHeight="1">
      <c r="A9808" s="26">
        <v>1007391248</v>
      </c>
      <c r="B9808" s="29" t="s">
        <v>12028</v>
      </c>
      <c r="C9808" s="29" t="s">
        <v>25881</v>
      </c>
      <c r="D9808" s="29" t="s">
        <v>39321</v>
      </c>
      <c r="E9808" s="29" t="s">
        <v>51240</v>
      </c>
      <c r="F9808" s="36" t="s">
        <v>54401</v>
      </c>
      <c r="G9808" s="39">
        <v>519218.81</v>
      </c>
      <c r="H9808" s="42">
        <v>211</v>
      </c>
    </row>
    <row r="9809" spans="1:8" ht="15" customHeight="1">
      <c r="A9809" s="26">
        <v>1007391278</v>
      </c>
      <c r="B9809" s="29" t="s">
        <v>12029</v>
      </c>
      <c r="C9809" s="29" t="s">
        <v>17204</v>
      </c>
      <c r="D9809" s="29" t="s">
        <v>30349</v>
      </c>
      <c r="E9809" s="29" t="s">
        <v>43926</v>
      </c>
      <c r="F9809" s="36" t="s">
        <v>54401</v>
      </c>
      <c r="G9809" s="39">
        <v>332493.84000000003</v>
      </c>
      <c r="H9809" s="42">
        <v>211</v>
      </c>
    </row>
    <row r="9810" spans="1:8" ht="15" customHeight="1">
      <c r="A9810" s="26">
        <v>1007391304</v>
      </c>
      <c r="B9810" s="29" t="s">
        <v>12030</v>
      </c>
      <c r="C9810" s="26" t="s">
        <v>17204</v>
      </c>
      <c r="D9810" s="26" t="s">
        <v>30349</v>
      </c>
      <c r="E9810" s="26" t="s">
        <v>43926</v>
      </c>
      <c r="F9810" s="37" t="s">
        <v>54401</v>
      </c>
      <c r="G9810" s="39">
        <v>822752.2</v>
      </c>
      <c r="H9810" s="42">
        <v>211</v>
      </c>
    </row>
    <row r="9811" spans="1:8" ht="15" customHeight="1">
      <c r="A9811" s="26">
        <v>1007391316</v>
      </c>
      <c r="B9811" s="29" t="s">
        <v>12031</v>
      </c>
      <c r="C9811" s="29" t="s">
        <v>25882</v>
      </c>
      <c r="D9811" s="29" t="s">
        <v>30349</v>
      </c>
      <c r="E9811" s="29" t="s">
        <v>43926</v>
      </c>
      <c r="F9811" s="36" t="s">
        <v>54401</v>
      </c>
      <c r="G9811" s="39">
        <v>194647.05</v>
      </c>
      <c r="H9811" s="42">
        <v>211</v>
      </c>
    </row>
    <row r="9812" spans="1:8" ht="15" customHeight="1">
      <c r="A9812" s="26">
        <v>1007391320</v>
      </c>
      <c r="B9812" s="29" t="s">
        <v>12032</v>
      </c>
      <c r="C9812" s="29" t="s">
        <v>25883</v>
      </c>
      <c r="D9812" s="29" t="s">
        <v>39322</v>
      </c>
      <c r="E9812" s="29" t="s">
        <v>45314</v>
      </c>
      <c r="F9812" s="36" t="s">
        <v>54401</v>
      </c>
      <c r="G9812" s="39">
        <v>1972650.04</v>
      </c>
      <c r="H9812" s="42">
        <v>211</v>
      </c>
    </row>
    <row r="9813" spans="1:8" ht="15" customHeight="1">
      <c r="A9813" s="26">
        <v>1007391337</v>
      </c>
      <c r="B9813" s="29" t="s">
        <v>12033</v>
      </c>
      <c r="C9813" s="29" t="s">
        <v>25884</v>
      </c>
      <c r="D9813" s="29" t="s">
        <v>39323</v>
      </c>
      <c r="E9813" s="29" t="s">
        <v>44324</v>
      </c>
      <c r="F9813" s="36" t="s">
        <v>54401</v>
      </c>
      <c r="G9813" s="39">
        <v>475738.9</v>
      </c>
      <c r="H9813" s="42">
        <v>211</v>
      </c>
    </row>
    <row r="9814" spans="1:8" ht="15" customHeight="1">
      <c r="A9814" s="26">
        <v>1007391949</v>
      </c>
      <c r="B9814" s="29" t="s">
        <v>12034</v>
      </c>
      <c r="C9814" s="29" t="s">
        <v>25885</v>
      </c>
      <c r="D9814" s="29" t="s">
        <v>39324</v>
      </c>
      <c r="E9814" s="29" t="s">
        <v>43926</v>
      </c>
      <c r="F9814" s="36" t="s">
        <v>54401</v>
      </c>
      <c r="G9814" s="39">
        <v>373272.58</v>
      </c>
      <c r="H9814" s="42">
        <v>211</v>
      </c>
    </row>
    <row r="9815" spans="1:8" ht="15" customHeight="1">
      <c r="A9815" s="26">
        <v>1007395074</v>
      </c>
      <c r="B9815" s="29" t="s">
        <v>12035</v>
      </c>
      <c r="C9815" s="29" t="s">
        <v>25886</v>
      </c>
      <c r="D9815" s="29" t="s">
        <v>39325</v>
      </c>
      <c r="E9815" s="29" t="s">
        <v>51241</v>
      </c>
      <c r="F9815" s="36" t="s">
        <v>54401</v>
      </c>
      <c r="G9815" s="39">
        <v>216498.16</v>
      </c>
      <c r="H9815" s="42">
        <v>211</v>
      </c>
    </row>
    <row r="9816" spans="1:8" ht="15" customHeight="1">
      <c r="A9816" s="26">
        <v>1007395079</v>
      </c>
      <c r="B9816" s="29" t="s">
        <v>12036</v>
      </c>
      <c r="C9816" s="29" t="s">
        <v>25887</v>
      </c>
      <c r="D9816" s="29" t="s">
        <v>39326</v>
      </c>
      <c r="E9816" s="29" t="s">
        <v>51242</v>
      </c>
      <c r="F9816" s="36" t="s">
        <v>54401</v>
      </c>
      <c r="G9816" s="39">
        <v>163571.31</v>
      </c>
      <c r="H9816" s="42">
        <v>211</v>
      </c>
    </row>
    <row r="9817" spans="1:8" ht="15" customHeight="1">
      <c r="A9817" s="26">
        <v>1007395113</v>
      </c>
      <c r="B9817" s="29" t="s">
        <v>12037</v>
      </c>
      <c r="C9817" s="29" t="s">
        <v>25888</v>
      </c>
      <c r="D9817" s="29" t="s">
        <v>39327</v>
      </c>
      <c r="E9817" s="29" t="s">
        <v>43926</v>
      </c>
      <c r="F9817" s="36" t="s">
        <v>54401</v>
      </c>
      <c r="G9817" s="39">
        <v>471908.64</v>
      </c>
      <c r="H9817" s="42">
        <v>211</v>
      </c>
    </row>
    <row r="9818" spans="1:8" ht="15" customHeight="1">
      <c r="A9818" s="26">
        <v>1007395163</v>
      </c>
      <c r="B9818" s="29" t="s">
        <v>12038</v>
      </c>
      <c r="C9818" s="29" t="s">
        <v>25889</v>
      </c>
      <c r="D9818" s="29" t="s">
        <v>39328</v>
      </c>
      <c r="E9818" s="29" t="s">
        <v>43926</v>
      </c>
      <c r="F9818" s="36" t="s">
        <v>54401</v>
      </c>
      <c r="G9818" s="39">
        <v>4221254.3899999997</v>
      </c>
      <c r="H9818" s="42">
        <v>211</v>
      </c>
    </row>
    <row r="9819" spans="1:8" ht="15" customHeight="1">
      <c r="A9819" s="26">
        <v>1007395188</v>
      </c>
      <c r="B9819" s="29" t="s">
        <v>12039</v>
      </c>
      <c r="C9819" s="29" t="s">
        <v>25890</v>
      </c>
      <c r="D9819" s="29" t="s">
        <v>31848</v>
      </c>
      <c r="E9819" s="29" t="s">
        <v>44439</v>
      </c>
      <c r="F9819" s="36" t="s">
        <v>54401</v>
      </c>
      <c r="G9819" s="39">
        <v>366479.44</v>
      </c>
      <c r="H9819" s="42">
        <v>211</v>
      </c>
    </row>
    <row r="9820" spans="1:8" ht="15" customHeight="1">
      <c r="A9820" s="26">
        <v>1007395214</v>
      </c>
      <c r="B9820" s="29" t="s">
        <v>12040</v>
      </c>
      <c r="C9820" s="29" t="s">
        <v>25891</v>
      </c>
      <c r="D9820" s="29" t="s">
        <v>39329</v>
      </c>
      <c r="E9820" s="29" t="s">
        <v>51243</v>
      </c>
      <c r="F9820" s="36" t="s">
        <v>54401</v>
      </c>
      <c r="G9820" s="39">
        <v>640821.11</v>
      </c>
      <c r="H9820" s="42">
        <v>211</v>
      </c>
    </row>
    <row r="9821" spans="1:8" ht="15" customHeight="1">
      <c r="A9821" s="26">
        <v>1007395225</v>
      </c>
      <c r="B9821" s="29" t="s">
        <v>12041</v>
      </c>
      <c r="C9821" s="29" t="s">
        <v>17204</v>
      </c>
      <c r="D9821" s="29" t="s">
        <v>30349</v>
      </c>
      <c r="E9821" s="29" t="s">
        <v>43926</v>
      </c>
      <c r="F9821" s="36" t="s">
        <v>54401</v>
      </c>
      <c r="G9821" s="39">
        <v>727618.01</v>
      </c>
      <c r="H9821" s="42">
        <v>211</v>
      </c>
    </row>
    <row r="9822" spans="1:8" ht="15" customHeight="1">
      <c r="A9822" s="26">
        <v>1007395234</v>
      </c>
      <c r="B9822" s="29" t="s">
        <v>12042</v>
      </c>
      <c r="C9822" s="29" t="s">
        <v>17204</v>
      </c>
      <c r="D9822" s="29" t="s">
        <v>30349</v>
      </c>
      <c r="E9822" s="29" t="s">
        <v>43926</v>
      </c>
      <c r="F9822" s="36" t="s">
        <v>54401</v>
      </c>
      <c r="G9822" s="39">
        <v>1196564.6599999999</v>
      </c>
      <c r="H9822" s="42">
        <v>211</v>
      </c>
    </row>
    <row r="9823" spans="1:8" ht="15" customHeight="1">
      <c r="A9823" s="26">
        <v>1007395244</v>
      </c>
      <c r="B9823" s="29" t="s">
        <v>12043</v>
      </c>
      <c r="C9823" s="29" t="s">
        <v>25892</v>
      </c>
      <c r="D9823" s="29" t="s">
        <v>39330</v>
      </c>
      <c r="E9823" s="29" t="s">
        <v>51244</v>
      </c>
      <c r="F9823" s="36" t="s">
        <v>54401</v>
      </c>
      <c r="G9823" s="39">
        <v>7448273.3200000003</v>
      </c>
      <c r="H9823" s="42">
        <v>211</v>
      </c>
    </row>
    <row r="9824" spans="1:8" ht="15" customHeight="1">
      <c r="A9824" s="26">
        <v>1007395299</v>
      </c>
      <c r="B9824" s="29" t="s">
        <v>12044</v>
      </c>
      <c r="C9824" s="26" t="s">
        <v>25893</v>
      </c>
      <c r="D9824" s="26" t="s">
        <v>39331</v>
      </c>
      <c r="E9824" s="26" t="s">
        <v>43926</v>
      </c>
      <c r="F9824" s="37" t="s">
        <v>54401</v>
      </c>
      <c r="G9824" s="39">
        <v>206906.81</v>
      </c>
      <c r="H9824" s="42">
        <v>211</v>
      </c>
    </row>
    <row r="9825" spans="1:8" ht="15" customHeight="1">
      <c r="A9825" s="26">
        <v>1007395349</v>
      </c>
      <c r="B9825" s="29" t="s">
        <v>12045</v>
      </c>
      <c r="C9825" s="29" t="s">
        <v>25894</v>
      </c>
      <c r="D9825" s="29" t="s">
        <v>39332</v>
      </c>
      <c r="E9825" s="29" t="s">
        <v>51245</v>
      </c>
      <c r="F9825" s="36" t="s">
        <v>54401</v>
      </c>
      <c r="G9825" s="39">
        <v>2290025.65</v>
      </c>
      <c r="H9825" s="42">
        <v>211</v>
      </c>
    </row>
    <row r="9826" spans="1:8" ht="15" customHeight="1">
      <c r="A9826" s="26">
        <v>1007395350</v>
      </c>
      <c r="B9826" s="29" t="s">
        <v>12046</v>
      </c>
      <c r="C9826" s="29" t="s">
        <v>25895</v>
      </c>
      <c r="D9826" s="29" t="s">
        <v>39333</v>
      </c>
      <c r="E9826" s="29" t="s">
        <v>43926</v>
      </c>
      <c r="F9826" s="36" t="s">
        <v>54401</v>
      </c>
      <c r="G9826" s="39">
        <v>94237.59</v>
      </c>
      <c r="H9826" s="42">
        <v>211</v>
      </c>
    </row>
    <row r="9827" spans="1:8" ht="15" customHeight="1">
      <c r="A9827" s="26">
        <v>1007395360</v>
      </c>
      <c r="B9827" s="29" t="s">
        <v>12047</v>
      </c>
      <c r="C9827" s="29" t="s">
        <v>25896</v>
      </c>
      <c r="D9827" s="29" t="s">
        <v>39334</v>
      </c>
      <c r="E9827" s="29" t="s">
        <v>51246</v>
      </c>
      <c r="F9827" s="36" t="s">
        <v>54401</v>
      </c>
      <c r="G9827" s="39">
        <v>2488806.2599999998</v>
      </c>
      <c r="H9827" s="42">
        <v>211</v>
      </c>
    </row>
    <row r="9828" spans="1:8" ht="15" customHeight="1">
      <c r="A9828" s="26">
        <v>1007395471</v>
      </c>
      <c r="B9828" s="29" t="s">
        <v>12048</v>
      </c>
      <c r="C9828" s="29" t="s">
        <v>25897</v>
      </c>
      <c r="D9828" s="29" t="s">
        <v>39335</v>
      </c>
      <c r="E9828" s="29" t="s">
        <v>47960</v>
      </c>
      <c r="F9828" s="36" t="s">
        <v>54401</v>
      </c>
      <c r="G9828" s="39">
        <v>495138.76</v>
      </c>
      <c r="H9828" s="42">
        <v>211</v>
      </c>
    </row>
    <row r="9829" spans="1:8" ht="15" customHeight="1">
      <c r="A9829" s="26">
        <v>1007395537</v>
      </c>
      <c r="B9829" s="29" t="s">
        <v>12049</v>
      </c>
      <c r="C9829" s="29" t="s">
        <v>25898</v>
      </c>
      <c r="D9829" s="29" t="s">
        <v>39336</v>
      </c>
      <c r="E9829" s="29" t="s">
        <v>51247</v>
      </c>
      <c r="F9829" s="36" t="s">
        <v>54401</v>
      </c>
      <c r="G9829" s="39">
        <v>901940.26</v>
      </c>
      <c r="H9829" s="42">
        <v>211</v>
      </c>
    </row>
    <row r="9830" spans="1:8" ht="15" customHeight="1">
      <c r="A9830" s="26">
        <v>1007395558</v>
      </c>
      <c r="B9830" s="29" t="s">
        <v>12050</v>
      </c>
      <c r="C9830" s="29" t="s">
        <v>25899</v>
      </c>
      <c r="D9830" s="29" t="s">
        <v>39337</v>
      </c>
      <c r="E9830" s="29" t="s">
        <v>51248</v>
      </c>
      <c r="F9830" s="36" t="s">
        <v>54401</v>
      </c>
      <c r="G9830" s="39">
        <v>741231.84</v>
      </c>
      <c r="H9830" s="42">
        <v>211</v>
      </c>
    </row>
    <row r="9831" spans="1:8" ht="15" customHeight="1">
      <c r="A9831" s="26">
        <v>1007400734</v>
      </c>
      <c r="B9831" s="29" t="s">
        <v>12051</v>
      </c>
      <c r="C9831" s="29" t="s">
        <v>25900</v>
      </c>
      <c r="D9831" s="29" t="s">
        <v>39338</v>
      </c>
      <c r="E9831" s="29" t="s">
        <v>43926</v>
      </c>
      <c r="F9831" s="36" t="s">
        <v>54401</v>
      </c>
      <c r="G9831" s="39">
        <v>290024.77</v>
      </c>
      <c r="H9831" s="42">
        <v>211</v>
      </c>
    </row>
    <row r="9832" spans="1:8" ht="15" customHeight="1">
      <c r="A9832" s="26">
        <v>1007400782</v>
      </c>
      <c r="B9832" s="29" t="s">
        <v>12052</v>
      </c>
      <c r="C9832" s="26" t="s">
        <v>17204</v>
      </c>
      <c r="D9832" s="26" t="s">
        <v>30349</v>
      </c>
      <c r="E9832" s="26" t="s">
        <v>43926</v>
      </c>
      <c r="F9832" s="37" t="s">
        <v>54401</v>
      </c>
      <c r="G9832" s="39">
        <v>425203.15</v>
      </c>
      <c r="H9832" s="42">
        <v>211</v>
      </c>
    </row>
    <row r="9833" spans="1:8" ht="15" customHeight="1">
      <c r="A9833" s="26">
        <v>1007400783</v>
      </c>
      <c r="B9833" s="29" t="s">
        <v>12053</v>
      </c>
      <c r="C9833" s="29" t="s">
        <v>25901</v>
      </c>
      <c r="D9833" s="29" t="s">
        <v>39339</v>
      </c>
      <c r="E9833" s="29" t="s">
        <v>48133</v>
      </c>
      <c r="F9833" s="36" t="s">
        <v>54401</v>
      </c>
      <c r="G9833" s="39">
        <v>2992632.55</v>
      </c>
      <c r="H9833" s="42">
        <v>211</v>
      </c>
    </row>
    <row r="9834" spans="1:8" ht="15" customHeight="1">
      <c r="A9834" s="26">
        <v>1007400802</v>
      </c>
      <c r="B9834" s="29" t="s">
        <v>12054</v>
      </c>
      <c r="C9834" s="29" t="s">
        <v>25902</v>
      </c>
      <c r="D9834" s="29" t="s">
        <v>39340</v>
      </c>
      <c r="E9834" s="29" t="s">
        <v>51249</v>
      </c>
      <c r="F9834" s="36" t="s">
        <v>54412</v>
      </c>
      <c r="G9834" s="39">
        <v>212587.9</v>
      </c>
      <c r="H9834" s="42">
        <v>211</v>
      </c>
    </row>
    <row r="9835" spans="1:8" ht="15" customHeight="1">
      <c r="A9835" s="26">
        <v>1007400843</v>
      </c>
      <c r="B9835" s="29" t="s">
        <v>12055</v>
      </c>
      <c r="C9835" s="29" t="s">
        <v>25903</v>
      </c>
      <c r="D9835" s="29" t="s">
        <v>39341</v>
      </c>
      <c r="E9835" s="29" t="s">
        <v>51250</v>
      </c>
      <c r="F9835" s="36" t="s">
        <v>54401</v>
      </c>
      <c r="G9835" s="39">
        <v>2343324.27</v>
      </c>
      <c r="H9835" s="42">
        <v>211</v>
      </c>
    </row>
    <row r="9836" spans="1:8" ht="15" customHeight="1">
      <c r="A9836" s="26">
        <v>1007413896</v>
      </c>
      <c r="B9836" s="29" t="s">
        <v>12056</v>
      </c>
      <c r="C9836" s="29" t="s">
        <v>25904</v>
      </c>
      <c r="D9836" s="29" t="s">
        <v>39342</v>
      </c>
      <c r="E9836" s="29" t="s">
        <v>43926</v>
      </c>
      <c r="F9836" s="36" t="s">
        <v>54401</v>
      </c>
      <c r="G9836" s="39">
        <v>424094.61</v>
      </c>
      <c r="H9836" s="42">
        <v>211</v>
      </c>
    </row>
    <row r="9837" spans="1:8" ht="15" customHeight="1">
      <c r="A9837" s="26">
        <v>1007416317</v>
      </c>
      <c r="B9837" s="29" t="s">
        <v>12057</v>
      </c>
      <c r="C9837" s="29" t="s">
        <v>17204</v>
      </c>
      <c r="D9837" s="29" t="s">
        <v>39343</v>
      </c>
      <c r="E9837" s="29" t="s">
        <v>43926</v>
      </c>
      <c r="F9837" s="36" t="s">
        <v>54401</v>
      </c>
      <c r="G9837" s="39">
        <v>228816.51</v>
      </c>
      <c r="H9837" s="42">
        <v>211</v>
      </c>
    </row>
    <row r="9838" spans="1:8" ht="15" customHeight="1">
      <c r="A9838" s="26">
        <v>1007418355</v>
      </c>
      <c r="B9838" s="29" t="s">
        <v>12058</v>
      </c>
      <c r="C9838" s="29" t="s">
        <v>25905</v>
      </c>
      <c r="D9838" s="29" t="s">
        <v>30623</v>
      </c>
      <c r="E9838" s="29" t="s">
        <v>51251</v>
      </c>
      <c r="F9838" s="36" t="s">
        <v>54401</v>
      </c>
      <c r="G9838" s="39">
        <v>153758.76999999999</v>
      </c>
      <c r="H9838" s="42">
        <v>211</v>
      </c>
    </row>
    <row r="9839" spans="1:8" ht="15" customHeight="1">
      <c r="A9839" s="26">
        <v>1007442155</v>
      </c>
      <c r="B9839" s="29" t="s">
        <v>12059</v>
      </c>
      <c r="C9839" s="29" t="s">
        <v>17204</v>
      </c>
      <c r="D9839" s="29" t="s">
        <v>30349</v>
      </c>
      <c r="E9839" s="29" t="s">
        <v>43926</v>
      </c>
      <c r="F9839" s="36" t="s">
        <v>54401</v>
      </c>
      <c r="G9839" s="39">
        <v>87076.86</v>
      </c>
      <c r="H9839" s="42">
        <v>211</v>
      </c>
    </row>
    <row r="9840" spans="1:8" ht="15" customHeight="1">
      <c r="A9840" s="26">
        <v>1007445160</v>
      </c>
      <c r="B9840" s="29" t="s">
        <v>12060</v>
      </c>
      <c r="C9840" s="29" t="s">
        <v>25906</v>
      </c>
      <c r="D9840" s="29" t="s">
        <v>39344</v>
      </c>
      <c r="E9840" s="29" t="s">
        <v>51252</v>
      </c>
      <c r="F9840" s="36" t="s">
        <v>54409</v>
      </c>
      <c r="G9840" s="39">
        <v>741528.77</v>
      </c>
      <c r="H9840" s="42">
        <v>211</v>
      </c>
    </row>
    <row r="9841" spans="1:8" ht="15" customHeight="1">
      <c r="A9841" s="26">
        <v>1007475508</v>
      </c>
      <c r="B9841" s="29" t="s">
        <v>12061</v>
      </c>
      <c r="C9841" s="26" t="s">
        <v>25907</v>
      </c>
      <c r="D9841" s="26" t="s">
        <v>39345</v>
      </c>
      <c r="E9841" s="26" t="s">
        <v>51253</v>
      </c>
      <c r="F9841" s="37" t="s">
        <v>54409</v>
      </c>
      <c r="G9841" s="39">
        <v>2661937.7999999998</v>
      </c>
      <c r="H9841" s="42">
        <v>211</v>
      </c>
    </row>
    <row r="9842" spans="1:8" ht="15" customHeight="1">
      <c r="A9842" s="26">
        <v>1007475617</v>
      </c>
      <c r="B9842" s="29" t="s">
        <v>12062</v>
      </c>
      <c r="C9842" s="29" t="s">
        <v>25908</v>
      </c>
      <c r="D9842" s="29" t="s">
        <v>39346</v>
      </c>
      <c r="E9842" s="29" t="s">
        <v>51254</v>
      </c>
      <c r="F9842" s="36" t="s">
        <v>54401</v>
      </c>
      <c r="G9842" s="39">
        <v>125879.38</v>
      </c>
      <c r="H9842" s="42">
        <v>211</v>
      </c>
    </row>
    <row r="9843" spans="1:8" ht="15" customHeight="1">
      <c r="A9843" s="26">
        <v>1007475645</v>
      </c>
      <c r="B9843" s="29" t="s">
        <v>12063</v>
      </c>
      <c r="C9843" s="26" t="s">
        <v>25909</v>
      </c>
      <c r="D9843" s="26" t="s">
        <v>39347</v>
      </c>
      <c r="E9843" s="26" t="s">
        <v>51255</v>
      </c>
      <c r="F9843" s="37" t="s">
        <v>54401</v>
      </c>
      <c r="G9843" s="39">
        <v>1013123.83</v>
      </c>
      <c r="H9843" s="42">
        <v>211</v>
      </c>
    </row>
    <row r="9844" spans="1:8" ht="15" customHeight="1">
      <c r="A9844" s="26">
        <v>1007475742</v>
      </c>
      <c r="B9844" s="29" t="s">
        <v>12064</v>
      </c>
      <c r="C9844" s="26" t="s">
        <v>17204</v>
      </c>
      <c r="D9844" s="26" t="s">
        <v>30349</v>
      </c>
      <c r="E9844" s="26" t="s">
        <v>43926</v>
      </c>
      <c r="F9844" s="37" t="s">
        <v>54401</v>
      </c>
      <c r="G9844" s="39">
        <v>321757.96999999997</v>
      </c>
      <c r="H9844" s="42">
        <v>211</v>
      </c>
    </row>
    <row r="9845" spans="1:8" ht="15" customHeight="1">
      <c r="A9845" s="26">
        <v>1007491680</v>
      </c>
      <c r="B9845" s="29" t="s">
        <v>12065</v>
      </c>
      <c r="C9845" s="29" t="s">
        <v>25910</v>
      </c>
      <c r="D9845" s="29" t="s">
        <v>39348</v>
      </c>
      <c r="E9845" s="29" t="s">
        <v>43926</v>
      </c>
      <c r="F9845" s="36" t="s">
        <v>54401</v>
      </c>
      <c r="G9845" s="39">
        <v>23257.98</v>
      </c>
      <c r="H9845" s="42">
        <v>211</v>
      </c>
    </row>
    <row r="9846" spans="1:8" ht="15" customHeight="1">
      <c r="A9846" s="26">
        <v>1007493620</v>
      </c>
      <c r="B9846" s="29" t="s">
        <v>12066</v>
      </c>
      <c r="C9846" s="29" t="s">
        <v>25911</v>
      </c>
      <c r="D9846" s="29" t="s">
        <v>39349</v>
      </c>
      <c r="E9846" s="29" t="s">
        <v>51256</v>
      </c>
      <c r="F9846" s="36" t="s">
        <v>54401</v>
      </c>
      <c r="G9846" s="39">
        <v>204454.34</v>
      </c>
      <c r="H9846" s="42">
        <v>211</v>
      </c>
    </row>
    <row r="9847" spans="1:8" ht="15" customHeight="1">
      <c r="A9847" s="26">
        <v>1007493826</v>
      </c>
      <c r="B9847" s="29" t="s">
        <v>12067</v>
      </c>
      <c r="C9847" s="29" t="s">
        <v>25912</v>
      </c>
      <c r="D9847" s="29" t="s">
        <v>35622</v>
      </c>
      <c r="E9847" s="29" t="s">
        <v>43926</v>
      </c>
      <c r="F9847" s="36" t="s">
        <v>54401</v>
      </c>
      <c r="G9847" s="39">
        <v>257136.54</v>
      </c>
      <c r="H9847" s="42">
        <v>211</v>
      </c>
    </row>
    <row r="9848" spans="1:8" ht="15" customHeight="1">
      <c r="A9848" s="26">
        <v>1007514374</v>
      </c>
      <c r="B9848" s="29" t="s">
        <v>12068</v>
      </c>
      <c r="C9848" s="29" t="s">
        <v>25913</v>
      </c>
      <c r="D9848" s="29" t="s">
        <v>39350</v>
      </c>
      <c r="E9848" s="29" t="s">
        <v>43926</v>
      </c>
      <c r="F9848" s="36" t="s">
        <v>54401</v>
      </c>
      <c r="G9848" s="39">
        <v>729714.95</v>
      </c>
      <c r="H9848" s="42">
        <v>211</v>
      </c>
    </row>
    <row r="9849" spans="1:8" ht="15" customHeight="1">
      <c r="A9849" s="26">
        <v>1007517900</v>
      </c>
      <c r="B9849" s="29" t="s">
        <v>12069</v>
      </c>
      <c r="C9849" s="29" t="s">
        <v>25914</v>
      </c>
      <c r="D9849" s="29" t="s">
        <v>39351</v>
      </c>
      <c r="E9849" s="29" t="s">
        <v>748</v>
      </c>
      <c r="F9849" s="36" t="s">
        <v>54407</v>
      </c>
      <c r="G9849" s="39">
        <v>4969047.72</v>
      </c>
      <c r="H9849" s="42">
        <v>211</v>
      </c>
    </row>
    <row r="9850" spans="1:8" ht="15" customHeight="1">
      <c r="A9850" s="26">
        <v>1007517905</v>
      </c>
      <c r="B9850" s="29" t="s">
        <v>12070</v>
      </c>
      <c r="C9850" s="29" t="s">
        <v>25915</v>
      </c>
      <c r="D9850" s="29" t="s">
        <v>39352</v>
      </c>
      <c r="E9850" s="29" t="s">
        <v>51257</v>
      </c>
      <c r="F9850" s="36" t="s">
        <v>54401</v>
      </c>
      <c r="G9850" s="39">
        <v>3666011.16</v>
      </c>
      <c r="H9850" s="42">
        <v>211</v>
      </c>
    </row>
    <row r="9851" spans="1:8" ht="15" customHeight="1">
      <c r="A9851" s="26">
        <v>1007517931</v>
      </c>
      <c r="B9851" s="29" t="s">
        <v>12071</v>
      </c>
      <c r="C9851" s="29" t="s">
        <v>25916</v>
      </c>
      <c r="D9851" s="29" t="s">
        <v>32173</v>
      </c>
      <c r="E9851" s="29" t="s">
        <v>51258</v>
      </c>
      <c r="F9851" s="36" t="s">
        <v>54401</v>
      </c>
      <c r="G9851" s="39">
        <v>1311688.23</v>
      </c>
      <c r="H9851" s="42">
        <v>211</v>
      </c>
    </row>
    <row r="9852" spans="1:8" ht="15" customHeight="1">
      <c r="A9852" s="26">
        <v>1007517953</v>
      </c>
      <c r="B9852" s="29" t="s">
        <v>12072</v>
      </c>
      <c r="C9852" s="29" t="s">
        <v>25917</v>
      </c>
      <c r="D9852" s="29" t="s">
        <v>39353</v>
      </c>
      <c r="E9852" s="29" t="s">
        <v>43926</v>
      </c>
      <c r="F9852" s="36" t="s">
        <v>54401</v>
      </c>
      <c r="G9852" s="39">
        <v>121982.43</v>
      </c>
      <c r="H9852" s="42">
        <v>211</v>
      </c>
    </row>
    <row r="9853" spans="1:8" ht="15" customHeight="1">
      <c r="A9853" s="26">
        <v>1007518113</v>
      </c>
      <c r="B9853" s="29" t="s">
        <v>12073</v>
      </c>
      <c r="C9853" s="29" t="s">
        <v>25918</v>
      </c>
      <c r="D9853" s="29" t="s">
        <v>39354</v>
      </c>
      <c r="E9853" s="29" t="s">
        <v>43926</v>
      </c>
      <c r="F9853" s="36" t="s">
        <v>54401</v>
      </c>
      <c r="G9853" s="39">
        <v>277563.58</v>
      </c>
      <c r="H9853" s="42">
        <v>211</v>
      </c>
    </row>
    <row r="9854" spans="1:8" ht="15" customHeight="1">
      <c r="A9854" s="26">
        <v>1007518152</v>
      </c>
      <c r="B9854" s="29" t="s">
        <v>12074</v>
      </c>
      <c r="C9854" s="29" t="s">
        <v>25919</v>
      </c>
      <c r="D9854" s="29" t="s">
        <v>39355</v>
      </c>
      <c r="E9854" s="29" t="s">
        <v>51259</v>
      </c>
      <c r="F9854" s="36" t="s">
        <v>54426</v>
      </c>
      <c r="G9854" s="39">
        <v>6678196.9900000002</v>
      </c>
      <c r="H9854" s="42">
        <v>211</v>
      </c>
    </row>
    <row r="9855" spans="1:8" ht="15" customHeight="1">
      <c r="A9855" s="26">
        <v>1007587867</v>
      </c>
      <c r="B9855" s="29" t="s">
        <v>12075</v>
      </c>
      <c r="C9855" s="29" t="s">
        <v>25920</v>
      </c>
      <c r="D9855" s="29" t="s">
        <v>39356</v>
      </c>
      <c r="E9855" s="29" t="s">
        <v>44520</v>
      </c>
      <c r="F9855" s="36" t="s">
        <v>54401</v>
      </c>
      <c r="G9855" s="39">
        <v>386168.83</v>
      </c>
      <c r="H9855" s="42">
        <v>211</v>
      </c>
    </row>
    <row r="9856" spans="1:8" ht="15" customHeight="1">
      <c r="A9856" s="26">
        <v>1007590291</v>
      </c>
      <c r="B9856" s="29" t="s">
        <v>12076</v>
      </c>
      <c r="C9856" s="29" t="s">
        <v>25921</v>
      </c>
      <c r="D9856" s="29" t="s">
        <v>39357</v>
      </c>
      <c r="E9856" s="29" t="s">
        <v>950</v>
      </c>
      <c r="F9856" s="36" t="s">
        <v>54401</v>
      </c>
      <c r="G9856" s="39">
        <v>2963526.22</v>
      </c>
      <c r="H9856" s="42">
        <v>211</v>
      </c>
    </row>
    <row r="9857" spans="1:8" ht="15" customHeight="1">
      <c r="A9857" s="26">
        <v>1007590318</v>
      </c>
      <c r="B9857" s="29" t="s">
        <v>12077</v>
      </c>
      <c r="C9857" s="29" t="s">
        <v>17204</v>
      </c>
      <c r="D9857" s="29" t="s">
        <v>30349</v>
      </c>
      <c r="E9857" s="29" t="s">
        <v>43926</v>
      </c>
      <c r="F9857" s="36" t="s">
        <v>54401</v>
      </c>
      <c r="G9857" s="39">
        <v>209387.21</v>
      </c>
      <c r="H9857" s="42">
        <v>211</v>
      </c>
    </row>
    <row r="9858" spans="1:8" ht="15" customHeight="1">
      <c r="A9858" s="26">
        <v>1007590410</v>
      </c>
      <c r="B9858" s="29" t="s">
        <v>12078</v>
      </c>
      <c r="C9858" s="29" t="s">
        <v>17204</v>
      </c>
      <c r="D9858" s="29" t="s">
        <v>39358</v>
      </c>
      <c r="E9858" s="29" t="s">
        <v>43926</v>
      </c>
      <c r="F9858" s="36" t="s">
        <v>54401</v>
      </c>
      <c r="G9858" s="39">
        <v>466176.17</v>
      </c>
      <c r="H9858" s="42">
        <v>211</v>
      </c>
    </row>
    <row r="9859" spans="1:8" ht="15" customHeight="1">
      <c r="A9859" s="26">
        <v>1007647602</v>
      </c>
      <c r="B9859" s="29" t="s">
        <v>12079</v>
      </c>
      <c r="C9859" s="29" t="s">
        <v>25922</v>
      </c>
      <c r="D9859" s="29" t="s">
        <v>39359</v>
      </c>
      <c r="E9859" s="29" t="s">
        <v>51260</v>
      </c>
      <c r="F9859" s="36" t="s">
        <v>54401</v>
      </c>
      <c r="G9859" s="39">
        <v>466767.95</v>
      </c>
      <c r="H9859" s="42">
        <v>211</v>
      </c>
    </row>
    <row r="9860" spans="1:8" ht="15" customHeight="1">
      <c r="A9860" s="26">
        <v>1007655368</v>
      </c>
      <c r="B9860" s="29" t="s">
        <v>12080</v>
      </c>
      <c r="C9860" s="29" t="s">
        <v>25923</v>
      </c>
      <c r="D9860" s="29" t="s">
        <v>35070</v>
      </c>
      <c r="E9860" s="29" t="s">
        <v>51261</v>
      </c>
      <c r="F9860" s="36" t="s">
        <v>54401</v>
      </c>
      <c r="G9860" s="39">
        <v>2644704.71</v>
      </c>
      <c r="H9860" s="42">
        <v>211</v>
      </c>
    </row>
    <row r="9861" spans="1:8" ht="15" customHeight="1">
      <c r="A9861" s="26">
        <v>1007669244</v>
      </c>
      <c r="B9861" s="29" t="s">
        <v>12081</v>
      </c>
      <c r="C9861" s="29" t="s">
        <v>25924</v>
      </c>
      <c r="D9861" s="29" t="s">
        <v>39360</v>
      </c>
      <c r="E9861" s="29" t="s">
        <v>43926</v>
      </c>
      <c r="F9861" s="36" t="s">
        <v>54401</v>
      </c>
      <c r="G9861" s="39">
        <v>387646.27</v>
      </c>
      <c r="H9861" s="42">
        <v>211</v>
      </c>
    </row>
    <row r="9862" spans="1:8" ht="15" customHeight="1">
      <c r="A9862" s="26">
        <v>1007673098</v>
      </c>
      <c r="B9862" s="29" t="s">
        <v>12082</v>
      </c>
      <c r="C9862" s="26" t="s">
        <v>25925</v>
      </c>
      <c r="D9862" s="26" t="s">
        <v>39361</v>
      </c>
      <c r="E9862" s="26" t="s">
        <v>43926</v>
      </c>
      <c r="F9862" s="37" t="s">
        <v>54401</v>
      </c>
      <c r="G9862" s="39">
        <v>59240.22</v>
      </c>
      <c r="H9862" s="42">
        <v>211</v>
      </c>
    </row>
    <row r="9863" spans="1:8" ht="15" customHeight="1">
      <c r="A9863" s="26">
        <v>1007688880</v>
      </c>
      <c r="B9863" s="29" t="s">
        <v>12083</v>
      </c>
      <c r="C9863" s="26" t="s">
        <v>25926</v>
      </c>
      <c r="D9863" s="26" t="s">
        <v>39362</v>
      </c>
      <c r="E9863" s="26" t="s">
        <v>51262</v>
      </c>
      <c r="F9863" s="37" t="s">
        <v>54401</v>
      </c>
      <c r="G9863" s="39">
        <v>145015.35</v>
      </c>
      <c r="H9863" s="42">
        <v>211</v>
      </c>
    </row>
    <row r="9864" spans="1:8" ht="15" customHeight="1">
      <c r="A9864" s="26">
        <v>1007751125</v>
      </c>
      <c r="B9864" s="29" t="s">
        <v>12084</v>
      </c>
      <c r="C9864" s="29" t="s">
        <v>25927</v>
      </c>
      <c r="D9864" s="29" t="s">
        <v>39363</v>
      </c>
      <c r="E9864" s="29" t="s">
        <v>51263</v>
      </c>
      <c r="F9864" s="36" t="s">
        <v>54401</v>
      </c>
      <c r="G9864" s="39">
        <v>51515.49</v>
      </c>
      <c r="H9864" s="42">
        <v>211</v>
      </c>
    </row>
    <row r="9865" spans="1:8" ht="15" customHeight="1">
      <c r="A9865" s="26">
        <v>1007751230</v>
      </c>
      <c r="B9865" s="29" t="s">
        <v>12085</v>
      </c>
      <c r="C9865" s="29" t="s">
        <v>25928</v>
      </c>
      <c r="D9865" s="29" t="s">
        <v>39364</v>
      </c>
      <c r="E9865" s="29" t="s">
        <v>51264</v>
      </c>
      <c r="F9865" s="36" t="s">
        <v>54401</v>
      </c>
      <c r="G9865" s="39">
        <v>215710.1</v>
      </c>
      <c r="H9865" s="42">
        <v>211</v>
      </c>
    </row>
    <row r="9866" spans="1:8" ht="15" customHeight="1">
      <c r="A9866" s="26">
        <v>1007751242</v>
      </c>
      <c r="B9866" s="29" t="s">
        <v>12086</v>
      </c>
      <c r="C9866" s="29" t="s">
        <v>25929</v>
      </c>
      <c r="D9866" s="29" t="s">
        <v>39365</v>
      </c>
      <c r="E9866" s="29" t="s">
        <v>51265</v>
      </c>
      <c r="F9866" s="36" t="s">
        <v>54444</v>
      </c>
      <c r="G9866" s="39">
        <v>70587.149999999994</v>
      </c>
      <c r="H9866" s="42">
        <v>211</v>
      </c>
    </row>
    <row r="9867" spans="1:8" ht="15" customHeight="1">
      <c r="A9867" s="26">
        <v>1007764101</v>
      </c>
      <c r="B9867" s="29" t="s">
        <v>12087</v>
      </c>
      <c r="C9867" s="29" t="s">
        <v>25930</v>
      </c>
      <c r="D9867" s="29" t="s">
        <v>39366</v>
      </c>
      <c r="E9867" s="29" t="s">
        <v>51266</v>
      </c>
      <c r="F9867" s="36" t="s">
        <v>54401</v>
      </c>
      <c r="G9867" s="39">
        <v>202838.62</v>
      </c>
      <c r="H9867" s="42">
        <v>211</v>
      </c>
    </row>
    <row r="9868" spans="1:8" ht="15" customHeight="1">
      <c r="A9868" s="26">
        <v>1007770374</v>
      </c>
      <c r="B9868" s="29" t="s">
        <v>12088</v>
      </c>
      <c r="C9868" s="29" t="s">
        <v>25931</v>
      </c>
      <c r="D9868" s="29" t="s">
        <v>39367</v>
      </c>
      <c r="E9868" s="29" t="s">
        <v>51267</v>
      </c>
      <c r="F9868" s="36" t="s">
        <v>54401</v>
      </c>
      <c r="G9868" s="39">
        <v>337910.13</v>
      </c>
      <c r="H9868" s="42">
        <v>211</v>
      </c>
    </row>
    <row r="9869" spans="1:8" ht="15" customHeight="1">
      <c r="A9869" s="26">
        <v>1007774141</v>
      </c>
      <c r="B9869" s="29" t="s">
        <v>12089</v>
      </c>
      <c r="C9869" s="29" t="s">
        <v>25932</v>
      </c>
      <c r="D9869" s="29" t="s">
        <v>39368</v>
      </c>
      <c r="E9869" s="29" t="s">
        <v>51268</v>
      </c>
      <c r="F9869" s="36" t="s">
        <v>54401</v>
      </c>
      <c r="G9869" s="39">
        <v>310675.25</v>
      </c>
      <c r="H9869" s="42">
        <v>211</v>
      </c>
    </row>
    <row r="9870" spans="1:8" ht="15" customHeight="1">
      <c r="A9870" s="26">
        <v>1007774143</v>
      </c>
      <c r="B9870" s="29" t="s">
        <v>12090</v>
      </c>
      <c r="C9870" s="29" t="s">
        <v>25933</v>
      </c>
      <c r="D9870" s="29" t="s">
        <v>39369</v>
      </c>
      <c r="E9870" s="29" t="s">
        <v>51269</v>
      </c>
      <c r="F9870" s="36" t="s">
        <v>54401</v>
      </c>
      <c r="G9870" s="39">
        <v>804607.69</v>
      </c>
      <c r="H9870" s="42">
        <v>211</v>
      </c>
    </row>
    <row r="9871" spans="1:8" ht="15" customHeight="1">
      <c r="A9871" s="26">
        <v>1007774154</v>
      </c>
      <c r="B9871" s="29" t="s">
        <v>10527</v>
      </c>
      <c r="C9871" s="29" t="s">
        <v>24647</v>
      </c>
      <c r="D9871" s="29" t="s">
        <v>37943</v>
      </c>
      <c r="E9871" s="29" t="s">
        <v>51270</v>
      </c>
      <c r="F9871" s="36" t="s">
        <v>54401</v>
      </c>
      <c r="G9871" s="39">
        <v>4482336.4000000004</v>
      </c>
      <c r="H9871" s="42">
        <v>211</v>
      </c>
    </row>
    <row r="9872" spans="1:8" ht="15" customHeight="1">
      <c r="A9872" s="26">
        <v>1007774157</v>
      </c>
      <c r="B9872" s="29" t="s">
        <v>12091</v>
      </c>
      <c r="C9872" s="29" t="s">
        <v>17204</v>
      </c>
      <c r="D9872" s="29" t="s">
        <v>39370</v>
      </c>
      <c r="E9872" s="29" t="s">
        <v>43926</v>
      </c>
      <c r="F9872" s="36" t="s">
        <v>54401</v>
      </c>
      <c r="G9872" s="39">
        <v>541107.11</v>
      </c>
      <c r="H9872" s="42">
        <v>211</v>
      </c>
    </row>
    <row r="9873" spans="1:8" ht="15" customHeight="1">
      <c r="A9873" s="26">
        <v>1007774165</v>
      </c>
      <c r="B9873" s="29" t="s">
        <v>12092</v>
      </c>
      <c r="C9873" s="29" t="s">
        <v>25934</v>
      </c>
      <c r="D9873" s="29" t="s">
        <v>30387</v>
      </c>
      <c r="E9873" s="29" t="s">
        <v>51271</v>
      </c>
      <c r="F9873" s="36" t="s">
        <v>54401</v>
      </c>
      <c r="G9873" s="39">
        <v>2252405.37</v>
      </c>
      <c r="H9873" s="42">
        <v>211</v>
      </c>
    </row>
    <row r="9874" spans="1:8" ht="15" customHeight="1">
      <c r="A9874" s="26">
        <v>1007774171</v>
      </c>
      <c r="B9874" s="29" t="s">
        <v>12093</v>
      </c>
      <c r="C9874" s="29" t="s">
        <v>25935</v>
      </c>
      <c r="D9874" s="29" t="s">
        <v>39371</v>
      </c>
      <c r="E9874" s="29" t="s">
        <v>51272</v>
      </c>
      <c r="F9874" s="36" t="s">
        <v>54401</v>
      </c>
      <c r="G9874" s="39">
        <v>3929848.42</v>
      </c>
      <c r="H9874" s="42">
        <v>211</v>
      </c>
    </row>
    <row r="9875" spans="1:8" ht="15" customHeight="1">
      <c r="A9875" s="26">
        <v>1007784767</v>
      </c>
      <c r="B9875" s="29" t="s">
        <v>12094</v>
      </c>
      <c r="C9875" s="29" t="s">
        <v>25936</v>
      </c>
      <c r="D9875" s="29" t="s">
        <v>39372</v>
      </c>
      <c r="E9875" s="29" t="s">
        <v>51273</v>
      </c>
      <c r="F9875" s="36" t="s">
        <v>54401</v>
      </c>
      <c r="G9875" s="39">
        <v>807608.39</v>
      </c>
      <c r="H9875" s="42">
        <v>211</v>
      </c>
    </row>
    <row r="9876" spans="1:8" ht="15" customHeight="1">
      <c r="A9876" s="26">
        <v>1007849773</v>
      </c>
      <c r="B9876" s="29" t="s">
        <v>12095</v>
      </c>
      <c r="C9876" s="29" t="s">
        <v>25937</v>
      </c>
      <c r="D9876" s="29" t="s">
        <v>39373</v>
      </c>
      <c r="E9876" s="29" t="s">
        <v>51274</v>
      </c>
      <c r="F9876" s="36" t="s">
        <v>54401</v>
      </c>
      <c r="G9876" s="39">
        <v>1058272.52</v>
      </c>
      <c r="H9876" s="42">
        <v>211</v>
      </c>
    </row>
    <row r="9877" spans="1:8" ht="15" customHeight="1">
      <c r="A9877" s="26">
        <v>1007861223</v>
      </c>
      <c r="B9877" s="29" t="s">
        <v>12096</v>
      </c>
      <c r="C9877" s="29" t="s">
        <v>17204</v>
      </c>
      <c r="D9877" s="29" t="s">
        <v>30349</v>
      </c>
      <c r="E9877" s="29" t="s">
        <v>43926</v>
      </c>
      <c r="F9877" s="36" t="s">
        <v>54401</v>
      </c>
      <c r="G9877" s="39">
        <v>560457.22</v>
      </c>
      <c r="H9877" s="42">
        <v>211</v>
      </c>
    </row>
    <row r="9878" spans="1:8" ht="15" customHeight="1">
      <c r="A9878" s="26">
        <v>1007861777</v>
      </c>
      <c r="B9878" s="29" t="s">
        <v>12097</v>
      </c>
      <c r="C9878" s="29" t="s">
        <v>25938</v>
      </c>
      <c r="D9878" s="29" t="s">
        <v>39374</v>
      </c>
      <c r="E9878" s="29" t="s">
        <v>51275</v>
      </c>
      <c r="F9878" s="36" t="s">
        <v>54401</v>
      </c>
      <c r="G9878" s="39">
        <v>3033081.3</v>
      </c>
      <c r="H9878" s="42">
        <v>211</v>
      </c>
    </row>
    <row r="9879" spans="1:8" ht="15" customHeight="1">
      <c r="A9879" s="26">
        <v>1010029343</v>
      </c>
      <c r="B9879" s="29" t="s">
        <v>12098</v>
      </c>
      <c r="C9879" s="26" t="s">
        <v>25939</v>
      </c>
      <c r="D9879" s="26" t="s">
        <v>39375</v>
      </c>
      <c r="E9879" s="26" t="s">
        <v>43926</v>
      </c>
      <c r="F9879" s="37" t="s">
        <v>54401</v>
      </c>
      <c r="G9879" s="39">
        <v>387069.77</v>
      </c>
      <c r="H9879" s="42">
        <v>211</v>
      </c>
    </row>
    <row r="9880" spans="1:8" ht="15" customHeight="1">
      <c r="A9880" s="26">
        <v>1010054421</v>
      </c>
      <c r="B9880" s="29" t="s">
        <v>12099</v>
      </c>
      <c r="C9880" s="29" t="s">
        <v>25940</v>
      </c>
      <c r="D9880" s="29" t="s">
        <v>39376</v>
      </c>
      <c r="E9880" s="29" t="s">
        <v>51276</v>
      </c>
      <c r="F9880" s="36" t="s">
        <v>54401</v>
      </c>
      <c r="G9880" s="39">
        <v>3363465.58</v>
      </c>
      <c r="H9880" s="42">
        <v>211</v>
      </c>
    </row>
    <row r="9881" spans="1:8" ht="15" customHeight="1">
      <c r="A9881" s="26">
        <v>1010073989</v>
      </c>
      <c r="B9881" s="29" t="s">
        <v>12100</v>
      </c>
      <c r="C9881" s="29" t="s">
        <v>25941</v>
      </c>
      <c r="D9881" s="29" t="s">
        <v>39377</v>
      </c>
      <c r="E9881" s="29" t="s">
        <v>51277</v>
      </c>
      <c r="F9881" s="36" t="s">
        <v>54401</v>
      </c>
      <c r="G9881" s="39">
        <v>245000.47</v>
      </c>
      <c r="H9881" s="42">
        <v>211</v>
      </c>
    </row>
    <row r="9882" spans="1:8" ht="15" customHeight="1">
      <c r="A9882" s="26">
        <v>1010075848</v>
      </c>
      <c r="B9882" s="29" t="s">
        <v>12101</v>
      </c>
      <c r="C9882" s="29" t="s">
        <v>25942</v>
      </c>
      <c r="D9882" s="29" t="s">
        <v>39378</v>
      </c>
      <c r="E9882" s="29" t="s">
        <v>51134</v>
      </c>
      <c r="F9882" s="36" t="s">
        <v>54401</v>
      </c>
      <c r="G9882" s="39">
        <v>470535.44</v>
      </c>
      <c r="H9882" s="42">
        <v>211</v>
      </c>
    </row>
    <row r="9883" spans="1:8" ht="15" customHeight="1">
      <c r="A9883" s="26">
        <v>1010102572</v>
      </c>
      <c r="B9883" s="29" t="s">
        <v>12102</v>
      </c>
      <c r="C9883" s="29" t="s">
        <v>25943</v>
      </c>
      <c r="D9883" s="29" t="s">
        <v>39379</v>
      </c>
      <c r="E9883" s="29" t="s">
        <v>51278</v>
      </c>
      <c r="F9883" s="36" t="s">
        <v>54401</v>
      </c>
      <c r="G9883" s="39">
        <v>550010.22</v>
      </c>
      <c r="H9883" s="42">
        <v>211</v>
      </c>
    </row>
    <row r="9884" spans="1:8" ht="15" customHeight="1">
      <c r="A9884" s="26">
        <v>1010109801</v>
      </c>
      <c r="B9884" s="29" t="s">
        <v>12103</v>
      </c>
      <c r="C9884" s="26" t="s">
        <v>17204</v>
      </c>
      <c r="D9884" s="26" t="s">
        <v>39380</v>
      </c>
      <c r="E9884" s="26" t="s">
        <v>43926</v>
      </c>
      <c r="F9884" s="37" t="s">
        <v>54401</v>
      </c>
      <c r="G9884" s="39">
        <v>3815330.27</v>
      </c>
      <c r="H9884" s="42">
        <v>211</v>
      </c>
    </row>
    <row r="9885" spans="1:8" ht="15" customHeight="1">
      <c r="A9885" s="26">
        <v>1010120042</v>
      </c>
      <c r="B9885" s="29" t="s">
        <v>12104</v>
      </c>
      <c r="C9885" s="29" t="s">
        <v>25944</v>
      </c>
      <c r="D9885" s="29" t="s">
        <v>39381</v>
      </c>
      <c r="E9885" s="29" t="s">
        <v>51279</v>
      </c>
      <c r="F9885" s="36" t="s">
        <v>54401</v>
      </c>
      <c r="G9885" s="39">
        <v>190889.82</v>
      </c>
      <c r="H9885" s="42">
        <v>211</v>
      </c>
    </row>
    <row r="9886" spans="1:8" ht="15" customHeight="1">
      <c r="A9886" s="26">
        <v>1010124857</v>
      </c>
      <c r="B9886" s="29" t="s">
        <v>12105</v>
      </c>
      <c r="C9886" s="29" t="s">
        <v>17204</v>
      </c>
      <c r="D9886" s="29" t="s">
        <v>30349</v>
      </c>
      <c r="E9886" s="29" t="s">
        <v>43926</v>
      </c>
      <c r="F9886" s="36" t="s">
        <v>54401</v>
      </c>
      <c r="G9886" s="39">
        <v>16302.78</v>
      </c>
      <c r="H9886" s="42">
        <v>211</v>
      </c>
    </row>
    <row r="9887" spans="1:8" ht="15" customHeight="1">
      <c r="A9887" s="26">
        <v>1010138659</v>
      </c>
      <c r="B9887" s="29" t="s">
        <v>12106</v>
      </c>
      <c r="C9887" s="29" t="s">
        <v>25945</v>
      </c>
      <c r="D9887" s="29" t="s">
        <v>39382</v>
      </c>
      <c r="E9887" s="29" t="s">
        <v>51280</v>
      </c>
      <c r="F9887" s="36" t="s">
        <v>54401</v>
      </c>
      <c r="G9887" s="39">
        <v>193271.29</v>
      </c>
      <c r="H9887" s="42">
        <v>211</v>
      </c>
    </row>
    <row r="9888" spans="1:8" ht="15" customHeight="1">
      <c r="A9888" s="26">
        <v>1010143801</v>
      </c>
      <c r="B9888" s="29" t="s">
        <v>12107</v>
      </c>
      <c r="C9888" s="29" t="s">
        <v>17204</v>
      </c>
      <c r="D9888" s="29" t="s">
        <v>39383</v>
      </c>
      <c r="E9888" s="29" t="s">
        <v>43926</v>
      </c>
      <c r="F9888" s="36" t="s">
        <v>54401</v>
      </c>
      <c r="G9888" s="39">
        <v>15109.79</v>
      </c>
      <c r="H9888" s="42">
        <v>211</v>
      </c>
    </row>
    <row r="9889" spans="1:8" ht="15" customHeight="1">
      <c r="A9889" s="26">
        <v>1010146310</v>
      </c>
      <c r="B9889" s="29" t="s">
        <v>12108</v>
      </c>
      <c r="C9889" s="29" t="s">
        <v>25946</v>
      </c>
      <c r="D9889" s="29" t="s">
        <v>39384</v>
      </c>
      <c r="E9889" s="29" t="s">
        <v>51281</v>
      </c>
      <c r="F9889" s="36" t="s">
        <v>54401</v>
      </c>
      <c r="G9889" s="39">
        <v>600897.26</v>
      </c>
      <c r="H9889" s="42">
        <v>211</v>
      </c>
    </row>
    <row r="9890" spans="1:8" ht="15" customHeight="1">
      <c r="A9890" s="26">
        <v>1010149070</v>
      </c>
      <c r="B9890" s="29" t="s">
        <v>12109</v>
      </c>
      <c r="C9890" s="29" t="s">
        <v>25947</v>
      </c>
      <c r="D9890" s="29" t="s">
        <v>31111</v>
      </c>
      <c r="E9890" s="29" t="s">
        <v>51282</v>
      </c>
      <c r="F9890" s="36" t="s">
        <v>54401</v>
      </c>
      <c r="G9890" s="39">
        <v>1759382.7</v>
      </c>
      <c r="H9890" s="42">
        <v>211</v>
      </c>
    </row>
    <row r="9891" spans="1:8" ht="15" customHeight="1">
      <c r="A9891" s="26">
        <v>1010156100</v>
      </c>
      <c r="B9891" s="29" t="s">
        <v>12110</v>
      </c>
      <c r="C9891" s="29" t="s">
        <v>25948</v>
      </c>
      <c r="D9891" s="29" t="s">
        <v>39385</v>
      </c>
      <c r="E9891" s="29" t="s">
        <v>51283</v>
      </c>
      <c r="F9891" s="36" t="s">
        <v>54409</v>
      </c>
      <c r="G9891" s="39">
        <v>974980.59</v>
      </c>
      <c r="H9891" s="42">
        <v>211</v>
      </c>
    </row>
    <row r="9892" spans="1:8" ht="15" customHeight="1">
      <c r="A9892" s="26">
        <v>1010158763</v>
      </c>
      <c r="B9892" s="29" t="s">
        <v>12111</v>
      </c>
      <c r="C9892" s="29" t="s">
        <v>17204</v>
      </c>
      <c r="D9892" s="29" t="s">
        <v>30349</v>
      </c>
      <c r="E9892" s="29" t="s">
        <v>43926</v>
      </c>
      <c r="F9892" s="36" t="s">
        <v>54401</v>
      </c>
      <c r="G9892" s="39">
        <v>337760.23</v>
      </c>
      <c r="H9892" s="42">
        <v>211</v>
      </c>
    </row>
    <row r="9893" spans="1:8" ht="15" customHeight="1">
      <c r="A9893" s="26">
        <v>1010160243</v>
      </c>
      <c r="B9893" s="29" t="s">
        <v>12112</v>
      </c>
      <c r="C9893" s="29" t="s">
        <v>25949</v>
      </c>
      <c r="D9893" s="29" t="s">
        <v>39386</v>
      </c>
      <c r="E9893" s="29" t="s">
        <v>51284</v>
      </c>
      <c r="F9893" s="36" t="s">
        <v>54401</v>
      </c>
      <c r="G9893" s="39">
        <v>10932932.5</v>
      </c>
      <c r="H9893" s="42">
        <v>211</v>
      </c>
    </row>
    <row r="9894" spans="1:8" ht="15" customHeight="1">
      <c r="A9894" s="26">
        <v>1010162649</v>
      </c>
      <c r="B9894" s="29" t="s">
        <v>12113</v>
      </c>
      <c r="C9894" s="29" t="s">
        <v>17204</v>
      </c>
      <c r="D9894" s="29" t="s">
        <v>39387</v>
      </c>
      <c r="E9894" s="29" t="s">
        <v>51285</v>
      </c>
      <c r="F9894" s="36" t="s">
        <v>54401</v>
      </c>
      <c r="G9894" s="39">
        <v>56656.31</v>
      </c>
      <c r="H9894" s="42">
        <v>211</v>
      </c>
    </row>
    <row r="9895" spans="1:8" ht="15" customHeight="1">
      <c r="A9895" s="26">
        <v>1010166345</v>
      </c>
      <c r="B9895" s="29" t="s">
        <v>12114</v>
      </c>
      <c r="C9895" s="29" t="s">
        <v>25950</v>
      </c>
      <c r="D9895" s="29" t="s">
        <v>39388</v>
      </c>
      <c r="E9895" s="29" t="s">
        <v>51286</v>
      </c>
      <c r="F9895" s="36" t="s">
        <v>54401</v>
      </c>
      <c r="G9895" s="39">
        <v>3999000.06</v>
      </c>
      <c r="H9895" s="42">
        <v>211</v>
      </c>
    </row>
    <row r="9896" spans="1:8" ht="15" customHeight="1">
      <c r="A9896" s="26">
        <v>1010168763</v>
      </c>
      <c r="B9896" s="29" t="s">
        <v>12115</v>
      </c>
      <c r="C9896" s="29" t="s">
        <v>25951</v>
      </c>
      <c r="D9896" s="29" t="s">
        <v>39389</v>
      </c>
      <c r="E9896" s="29" t="s">
        <v>51287</v>
      </c>
      <c r="F9896" s="36" t="s">
        <v>54401</v>
      </c>
      <c r="G9896" s="39">
        <v>4370936.32</v>
      </c>
      <c r="H9896" s="42">
        <v>211</v>
      </c>
    </row>
    <row r="9897" spans="1:8" ht="15" customHeight="1">
      <c r="A9897" s="26">
        <v>1010169690</v>
      </c>
      <c r="B9897" s="29" t="s">
        <v>12116</v>
      </c>
      <c r="C9897" s="29" t="s">
        <v>17204</v>
      </c>
      <c r="D9897" s="29" t="s">
        <v>39390</v>
      </c>
      <c r="E9897" s="29" t="s">
        <v>51288</v>
      </c>
      <c r="F9897" s="36" t="s">
        <v>54412</v>
      </c>
      <c r="G9897" s="39">
        <v>4223960.75</v>
      </c>
      <c r="H9897" s="42">
        <v>211</v>
      </c>
    </row>
    <row r="9898" spans="1:8" ht="15" customHeight="1">
      <c r="A9898" s="26">
        <v>1010170815</v>
      </c>
      <c r="B9898" s="29" t="s">
        <v>12117</v>
      </c>
      <c r="C9898" s="29" t="s">
        <v>25952</v>
      </c>
      <c r="D9898" s="29" t="s">
        <v>39391</v>
      </c>
      <c r="E9898" s="29" t="s">
        <v>46325</v>
      </c>
      <c r="F9898" s="36" t="s">
        <v>54401</v>
      </c>
      <c r="G9898" s="39">
        <v>233050.64</v>
      </c>
      <c r="H9898" s="42">
        <v>211</v>
      </c>
    </row>
    <row r="9899" spans="1:8" ht="15" customHeight="1">
      <c r="A9899" s="26">
        <v>1010178998</v>
      </c>
      <c r="B9899" s="29" t="s">
        <v>12118</v>
      </c>
      <c r="C9899" s="29" t="s">
        <v>18150</v>
      </c>
      <c r="D9899" s="29" t="s">
        <v>31302</v>
      </c>
      <c r="E9899" s="29" t="s">
        <v>51289</v>
      </c>
      <c r="F9899" s="36" t="s">
        <v>54401</v>
      </c>
      <c r="G9899" s="39">
        <v>100327.74</v>
      </c>
      <c r="H9899" s="42">
        <v>211</v>
      </c>
    </row>
    <row r="9900" spans="1:8" ht="15" customHeight="1">
      <c r="A9900" s="26">
        <v>1010182250</v>
      </c>
      <c r="B9900" s="29" t="s">
        <v>12119</v>
      </c>
      <c r="C9900" s="29" t="s">
        <v>25953</v>
      </c>
      <c r="D9900" s="29" t="s">
        <v>39392</v>
      </c>
      <c r="E9900" s="29" t="s">
        <v>51290</v>
      </c>
      <c r="F9900" s="36" t="s">
        <v>54412</v>
      </c>
      <c r="G9900" s="39">
        <v>82294.64</v>
      </c>
      <c r="H9900" s="42">
        <v>211</v>
      </c>
    </row>
    <row r="9901" spans="1:8" ht="15" customHeight="1">
      <c r="A9901" s="26">
        <v>1010183294</v>
      </c>
      <c r="B9901" s="29" t="s">
        <v>12120</v>
      </c>
      <c r="C9901" s="29" t="s">
        <v>17204</v>
      </c>
      <c r="D9901" s="29" t="s">
        <v>30349</v>
      </c>
      <c r="E9901" s="29" t="s">
        <v>43926</v>
      </c>
      <c r="F9901" s="36" t="s">
        <v>54401</v>
      </c>
      <c r="G9901" s="39">
        <v>174259.55</v>
      </c>
      <c r="H9901" s="42">
        <v>211</v>
      </c>
    </row>
    <row r="9902" spans="1:8" ht="15" customHeight="1">
      <c r="A9902" s="26">
        <v>1010184360</v>
      </c>
      <c r="B9902" s="29" t="s">
        <v>12121</v>
      </c>
      <c r="C9902" s="26" t="s">
        <v>25954</v>
      </c>
      <c r="D9902" s="26" t="s">
        <v>39393</v>
      </c>
      <c r="E9902" s="26" t="s">
        <v>51291</v>
      </c>
      <c r="F9902" s="37" t="s">
        <v>54401</v>
      </c>
      <c r="G9902" s="39">
        <v>253703.13</v>
      </c>
      <c r="H9902" s="42">
        <v>211</v>
      </c>
    </row>
    <row r="9903" spans="1:8" ht="15" customHeight="1">
      <c r="A9903" s="26">
        <v>1010184495</v>
      </c>
      <c r="B9903" s="29" t="s">
        <v>12122</v>
      </c>
      <c r="C9903" s="29" t="s">
        <v>25955</v>
      </c>
      <c r="D9903" s="29" t="s">
        <v>39394</v>
      </c>
      <c r="E9903" s="29" t="s">
        <v>51292</v>
      </c>
      <c r="F9903" s="36" t="s">
        <v>54401</v>
      </c>
      <c r="G9903" s="39">
        <v>7042.02</v>
      </c>
      <c r="H9903" s="42">
        <v>211</v>
      </c>
    </row>
    <row r="9904" spans="1:8" ht="15" customHeight="1">
      <c r="A9904" s="26">
        <v>1010185545</v>
      </c>
      <c r="B9904" s="29" t="s">
        <v>12123</v>
      </c>
      <c r="C9904" s="29" t="s">
        <v>25956</v>
      </c>
      <c r="D9904" s="29" t="s">
        <v>39395</v>
      </c>
      <c r="E9904" s="29" t="s">
        <v>51293</v>
      </c>
      <c r="F9904" s="36" t="s">
        <v>54401</v>
      </c>
      <c r="G9904" s="39">
        <v>5164988.6900000004</v>
      </c>
      <c r="H9904" s="42">
        <v>211</v>
      </c>
    </row>
    <row r="9905" spans="1:8" ht="15" customHeight="1">
      <c r="A9905" s="26">
        <v>1010189387</v>
      </c>
      <c r="B9905" s="29" t="s">
        <v>12124</v>
      </c>
      <c r="C9905" s="29" t="s">
        <v>25957</v>
      </c>
      <c r="D9905" s="29" t="s">
        <v>39396</v>
      </c>
      <c r="E9905" s="29" t="s">
        <v>51294</v>
      </c>
      <c r="F9905" s="36" t="s">
        <v>54401</v>
      </c>
      <c r="G9905" s="39">
        <v>627044.93999999994</v>
      </c>
      <c r="H9905" s="42">
        <v>211</v>
      </c>
    </row>
    <row r="9906" spans="1:8" ht="15" customHeight="1">
      <c r="A9906" s="26">
        <v>1010190377</v>
      </c>
      <c r="B9906" s="29" t="s">
        <v>12125</v>
      </c>
      <c r="C9906" s="29" t="s">
        <v>25958</v>
      </c>
      <c r="D9906" s="29" t="s">
        <v>39397</v>
      </c>
      <c r="E9906" s="29" t="s">
        <v>43926</v>
      </c>
      <c r="F9906" s="36" t="s">
        <v>54401</v>
      </c>
      <c r="G9906" s="39">
        <v>56414.37</v>
      </c>
      <c r="H9906" s="42">
        <v>211</v>
      </c>
    </row>
    <row r="9907" spans="1:8" ht="15" customHeight="1">
      <c r="A9907" s="26">
        <v>1010193878</v>
      </c>
      <c r="B9907" s="29" t="s">
        <v>12126</v>
      </c>
      <c r="C9907" s="29" t="s">
        <v>25959</v>
      </c>
      <c r="D9907" s="29" t="s">
        <v>39398</v>
      </c>
      <c r="E9907" s="29" t="s">
        <v>51295</v>
      </c>
      <c r="F9907" s="36" t="s">
        <v>54412</v>
      </c>
      <c r="G9907" s="39">
        <v>205159.66</v>
      </c>
      <c r="H9907" s="42">
        <v>211</v>
      </c>
    </row>
    <row r="9908" spans="1:8" ht="15" customHeight="1">
      <c r="A9908" s="26">
        <v>1010193901</v>
      </c>
      <c r="B9908" s="29" t="s">
        <v>12127</v>
      </c>
      <c r="C9908" s="29" t="s">
        <v>25960</v>
      </c>
      <c r="D9908" s="29" t="s">
        <v>39399</v>
      </c>
      <c r="E9908" s="29" t="s">
        <v>48922</v>
      </c>
      <c r="F9908" s="36" t="s">
        <v>54401</v>
      </c>
      <c r="G9908" s="39">
        <v>71731.08</v>
      </c>
      <c r="H9908" s="42">
        <v>211</v>
      </c>
    </row>
    <row r="9909" spans="1:8" ht="15" customHeight="1">
      <c r="A9909" s="26">
        <v>1010209889</v>
      </c>
      <c r="B9909" s="29" t="s">
        <v>12128</v>
      </c>
      <c r="C9909" s="29" t="s">
        <v>17204</v>
      </c>
      <c r="D9909" s="29" t="s">
        <v>30349</v>
      </c>
      <c r="E9909" s="29" t="s">
        <v>43926</v>
      </c>
      <c r="F9909" s="36" t="s">
        <v>54401</v>
      </c>
      <c r="G9909" s="39">
        <v>321820.27</v>
      </c>
      <c r="H9909" s="42">
        <v>211</v>
      </c>
    </row>
    <row r="9910" spans="1:8" ht="15" customHeight="1">
      <c r="A9910" s="26">
        <v>1010212361</v>
      </c>
      <c r="B9910" s="29" t="s">
        <v>12129</v>
      </c>
      <c r="C9910" s="29" t="s">
        <v>17204</v>
      </c>
      <c r="D9910" s="29" t="s">
        <v>30349</v>
      </c>
      <c r="E9910" s="29" t="s">
        <v>43926</v>
      </c>
      <c r="F9910" s="36" t="s">
        <v>54401</v>
      </c>
      <c r="G9910" s="39">
        <v>150766.06</v>
      </c>
      <c r="H9910" s="42">
        <v>211</v>
      </c>
    </row>
    <row r="9911" spans="1:8" ht="15" customHeight="1">
      <c r="A9911" s="26">
        <v>1010215627</v>
      </c>
      <c r="B9911" s="29" t="s">
        <v>12130</v>
      </c>
      <c r="C9911" s="29" t="s">
        <v>25961</v>
      </c>
      <c r="D9911" s="29" t="s">
        <v>39400</v>
      </c>
      <c r="E9911" s="29" t="s">
        <v>51296</v>
      </c>
      <c r="F9911" s="36" t="s">
        <v>54401</v>
      </c>
      <c r="G9911" s="39">
        <v>3676568.99</v>
      </c>
      <c r="H9911" s="42">
        <v>211</v>
      </c>
    </row>
    <row r="9912" spans="1:8" ht="15" customHeight="1">
      <c r="A9912" s="26">
        <v>1010223750</v>
      </c>
      <c r="B9912" s="29" t="s">
        <v>12131</v>
      </c>
      <c r="C9912" s="29" t="s">
        <v>25962</v>
      </c>
      <c r="D9912" s="29" t="s">
        <v>39401</v>
      </c>
      <c r="E9912" s="29" t="s">
        <v>51297</v>
      </c>
      <c r="F9912" s="36" t="s">
        <v>54401</v>
      </c>
      <c r="G9912" s="39">
        <v>2204128.2999999998</v>
      </c>
      <c r="H9912" s="42">
        <v>211</v>
      </c>
    </row>
    <row r="9913" spans="1:8" ht="15" customHeight="1">
      <c r="A9913" s="26">
        <v>1010229563</v>
      </c>
      <c r="B9913" s="29" t="s">
        <v>12132</v>
      </c>
      <c r="C9913" s="29" t="s">
        <v>25963</v>
      </c>
      <c r="D9913" s="29" t="s">
        <v>39402</v>
      </c>
      <c r="E9913" s="29" t="s">
        <v>43926</v>
      </c>
      <c r="F9913" s="36" t="s">
        <v>54401</v>
      </c>
      <c r="G9913" s="39">
        <v>152390.68</v>
      </c>
      <c r="H9913" s="42">
        <v>211</v>
      </c>
    </row>
    <row r="9914" spans="1:8" ht="15" customHeight="1">
      <c r="A9914" s="26">
        <v>1010234643</v>
      </c>
      <c r="B9914" s="29" t="s">
        <v>12133</v>
      </c>
      <c r="C9914" s="29" t="s">
        <v>25964</v>
      </c>
      <c r="D9914" s="29" t="s">
        <v>39403</v>
      </c>
      <c r="E9914" s="29" t="s">
        <v>51298</v>
      </c>
      <c r="F9914" s="36" t="s">
        <v>54401</v>
      </c>
      <c r="G9914" s="39">
        <v>13361.35</v>
      </c>
      <c r="H9914" s="42">
        <v>211</v>
      </c>
    </row>
    <row r="9915" spans="1:8" ht="15" customHeight="1">
      <c r="A9915" s="26">
        <v>1010235527</v>
      </c>
      <c r="B9915" s="29" t="s">
        <v>12134</v>
      </c>
      <c r="C9915" s="29" t="s">
        <v>25965</v>
      </c>
      <c r="D9915" s="29" t="s">
        <v>39404</v>
      </c>
      <c r="E9915" s="29" t="s">
        <v>51299</v>
      </c>
      <c r="F9915" s="36" t="s">
        <v>54426</v>
      </c>
      <c r="G9915" s="39">
        <v>4414196.8499999996</v>
      </c>
      <c r="H9915" s="42">
        <v>211</v>
      </c>
    </row>
    <row r="9916" spans="1:8" ht="15" customHeight="1">
      <c r="A9916" s="26">
        <v>1010240302</v>
      </c>
      <c r="B9916" s="29" t="s">
        <v>12135</v>
      </c>
      <c r="C9916" s="29" t="s">
        <v>25966</v>
      </c>
      <c r="D9916" s="29" t="s">
        <v>39405</v>
      </c>
      <c r="E9916" s="29" t="s">
        <v>735</v>
      </c>
      <c r="F9916" s="36" t="s">
        <v>54401</v>
      </c>
      <c r="G9916" s="39">
        <v>2947418.59</v>
      </c>
      <c r="H9916" s="42">
        <v>211</v>
      </c>
    </row>
    <row r="9917" spans="1:8" ht="15" customHeight="1">
      <c r="A9917" s="26">
        <v>1010241205</v>
      </c>
      <c r="B9917" s="29" t="s">
        <v>12136</v>
      </c>
      <c r="C9917" s="29" t="s">
        <v>25967</v>
      </c>
      <c r="D9917" s="29" t="s">
        <v>39406</v>
      </c>
      <c r="E9917" s="29" t="s">
        <v>43926</v>
      </c>
      <c r="F9917" s="36" t="s">
        <v>54401</v>
      </c>
      <c r="G9917" s="39">
        <v>97710.76</v>
      </c>
      <c r="H9917" s="42">
        <v>211</v>
      </c>
    </row>
    <row r="9918" spans="1:8" ht="15" customHeight="1">
      <c r="A9918" s="26">
        <v>1010245934</v>
      </c>
      <c r="B9918" s="29" t="s">
        <v>12137</v>
      </c>
      <c r="C9918" s="29" t="s">
        <v>25968</v>
      </c>
      <c r="D9918" s="29" t="s">
        <v>39407</v>
      </c>
      <c r="E9918" s="29" t="s">
        <v>51300</v>
      </c>
      <c r="F9918" s="36" t="s">
        <v>54401</v>
      </c>
      <c r="G9918" s="39">
        <v>189383.64</v>
      </c>
      <c r="H9918" s="42">
        <v>211</v>
      </c>
    </row>
    <row r="9919" spans="1:8" ht="15" customHeight="1">
      <c r="A9919" s="26">
        <v>1011080006</v>
      </c>
      <c r="B9919" s="29" t="s">
        <v>12138</v>
      </c>
      <c r="C9919" s="29" t="s">
        <v>25969</v>
      </c>
      <c r="D9919" s="29" t="s">
        <v>39408</v>
      </c>
      <c r="E9919" s="29" t="s">
        <v>51301</v>
      </c>
      <c r="F9919" s="36" t="s">
        <v>54414</v>
      </c>
      <c r="G9919" s="39">
        <v>1795963.93</v>
      </c>
      <c r="H9919" s="42">
        <v>211</v>
      </c>
    </row>
    <row r="9920" spans="1:8" ht="15" customHeight="1">
      <c r="A9920" s="26">
        <v>1011321553</v>
      </c>
      <c r="B9920" s="29" t="s">
        <v>12139</v>
      </c>
      <c r="C9920" s="29" t="s">
        <v>25970</v>
      </c>
      <c r="D9920" s="29" t="s">
        <v>39409</v>
      </c>
      <c r="E9920" s="29" t="s">
        <v>51302</v>
      </c>
      <c r="F9920" s="36" t="s">
        <v>54401</v>
      </c>
      <c r="G9920" s="39">
        <v>28571.439999999999</v>
      </c>
      <c r="H9920" s="42">
        <v>211</v>
      </c>
    </row>
    <row r="9921" spans="1:8" ht="15" customHeight="1">
      <c r="A9921" s="26">
        <v>1012329298</v>
      </c>
      <c r="B9921" s="29" t="s">
        <v>12140</v>
      </c>
      <c r="C9921" s="29" t="s">
        <v>25971</v>
      </c>
      <c r="D9921" s="29" t="s">
        <v>39410</v>
      </c>
      <c r="E9921" s="29" t="s">
        <v>51303</v>
      </c>
      <c r="F9921" s="36" t="s">
        <v>54401</v>
      </c>
      <c r="G9921" s="39">
        <v>4405302.8900000006</v>
      </c>
      <c r="H9921" s="42">
        <v>211</v>
      </c>
    </row>
    <row r="9922" spans="1:8" ht="15" customHeight="1">
      <c r="A9922" s="26">
        <v>1012345480</v>
      </c>
      <c r="B9922" s="29" t="s">
        <v>12141</v>
      </c>
      <c r="C9922" s="29" t="s">
        <v>25972</v>
      </c>
      <c r="D9922" s="29" t="s">
        <v>39411</v>
      </c>
      <c r="E9922" s="29" t="s">
        <v>43926</v>
      </c>
      <c r="F9922" s="36" t="s">
        <v>54401</v>
      </c>
      <c r="G9922" s="39">
        <v>1254617.74</v>
      </c>
      <c r="H9922" s="42">
        <v>211</v>
      </c>
    </row>
    <row r="9923" spans="1:8" ht="15" customHeight="1">
      <c r="A9923" s="26">
        <v>1012378948</v>
      </c>
      <c r="B9923" s="29" t="s">
        <v>12142</v>
      </c>
      <c r="C9923" s="29" t="s">
        <v>25973</v>
      </c>
      <c r="D9923" s="29" t="s">
        <v>39412</v>
      </c>
      <c r="E9923" s="29" t="s">
        <v>43926</v>
      </c>
      <c r="F9923" s="36" t="s">
        <v>54401</v>
      </c>
      <c r="G9923" s="39">
        <v>190066.34</v>
      </c>
      <c r="H9923" s="42">
        <v>211</v>
      </c>
    </row>
    <row r="9924" spans="1:8" ht="15" customHeight="1">
      <c r="A9924" s="26">
        <v>1012386216</v>
      </c>
      <c r="B9924" s="29" t="s">
        <v>12143</v>
      </c>
      <c r="C9924" s="29" t="s">
        <v>25974</v>
      </c>
      <c r="D9924" s="29" t="s">
        <v>39413</v>
      </c>
      <c r="E9924" s="29" t="s">
        <v>45046</v>
      </c>
      <c r="F9924" s="36" t="s">
        <v>54401</v>
      </c>
      <c r="G9924" s="39">
        <v>1428907.12</v>
      </c>
      <c r="H9924" s="42">
        <v>211</v>
      </c>
    </row>
    <row r="9925" spans="1:8" ht="15" customHeight="1">
      <c r="A9925" s="26">
        <v>1012391034</v>
      </c>
      <c r="B9925" s="29" t="s">
        <v>12144</v>
      </c>
      <c r="C9925" s="29" t="s">
        <v>25975</v>
      </c>
      <c r="D9925" s="29" t="s">
        <v>39414</v>
      </c>
      <c r="E9925" s="29" t="s">
        <v>46209</v>
      </c>
      <c r="F9925" s="36" t="s">
        <v>54401</v>
      </c>
      <c r="G9925" s="39">
        <v>420707.48</v>
      </c>
      <c r="H9925" s="42">
        <v>211</v>
      </c>
    </row>
    <row r="9926" spans="1:8" ht="15" customHeight="1">
      <c r="A9926" s="26">
        <v>1012402319</v>
      </c>
      <c r="B9926" s="29" t="s">
        <v>12145</v>
      </c>
      <c r="C9926" s="26" t="s">
        <v>25976</v>
      </c>
      <c r="D9926" s="26" t="s">
        <v>39415</v>
      </c>
      <c r="E9926" s="26" t="s">
        <v>717</v>
      </c>
      <c r="F9926" s="37" t="s">
        <v>54401</v>
      </c>
      <c r="G9926" s="39">
        <v>66472.070000000007</v>
      </c>
      <c r="H9926" s="42">
        <v>211</v>
      </c>
    </row>
    <row r="9927" spans="1:8" ht="15" customHeight="1">
      <c r="A9927" s="26">
        <v>1012411997</v>
      </c>
      <c r="B9927" s="29" t="s">
        <v>12146</v>
      </c>
      <c r="C9927" s="29" t="s">
        <v>25977</v>
      </c>
      <c r="D9927" s="29" t="s">
        <v>39416</v>
      </c>
      <c r="E9927" s="29" t="s">
        <v>51304</v>
      </c>
      <c r="F9927" s="36" t="s">
        <v>54401</v>
      </c>
      <c r="G9927" s="39">
        <v>21184.79</v>
      </c>
      <c r="H9927" s="42">
        <v>211</v>
      </c>
    </row>
    <row r="9928" spans="1:8" ht="15" customHeight="1">
      <c r="A9928" s="26">
        <v>1012424878</v>
      </c>
      <c r="B9928" s="29" t="s">
        <v>12147</v>
      </c>
      <c r="C9928" s="29" t="s">
        <v>25978</v>
      </c>
      <c r="D9928" s="29" t="s">
        <v>39417</v>
      </c>
      <c r="E9928" s="29" t="s">
        <v>51305</v>
      </c>
      <c r="F9928" s="36" t="s">
        <v>54401</v>
      </c>
      <c r="G9928" s="39">
        <v>508587.26</v>
      </c>
      <c r="H9928" s="42">
        <v>211</v>
      </c>
    </row>
    <row r="9929" spans="1:8" ht="15" customHeight="1">
      <c r="A9929" s="26">
        <v>1012456454</v>
      </c>
      <c r="B9929" s="29" t="s">
        <v>12148</v>
      </c>
      <c r="C9929" s="29" t="s">
        <v>25979</v>
      </c>
      <c r="D9929" s="29" t="s">
        <v>39418</v>
      </c>
      <c r="E9929" s="29" t="s">
        <v>43926</v>
      </c>
      <c r="F9929" s="36" t="s">
        <v>54401</v>
      </c>
      <c r="G9929" s="39">
        <v>3216133.78</v>
      </c>
      <c r="H9929" s="42">
        <v>211</v>
      </c>
    </row>
    <row r="9930" spans="1:8" ht="15" customHeight="1">
      <c r="A9930" s="26">
        <v>1013580545</v>
      </c>
      <c r="B9930" s="29" t="s">
        <v>12149</v>
      </c>
      <c r="C9930" s="29" t="s">
        <v>25980</v>
      </c>
      <c r="D9930" s="29" t="s">
        <v>39419</v>
      </c>
      <c r="E9930" s="29" t="s">
        <v>51306</v>
      </c>
      <c r="F9930" s="36" t="s">
        <v>54401</v>
      </c>
      <c r="G9930" s="39">
        <v>1537543.47</v>
      </c>
      <c r="H9930" s="42">
        <v>211</v>
      </c>
    </row>
    <row r="9931" spans="1:8" ht="15" customHeight="1">
      <c r="A9931" s="26">
        <v>1013584909</v>
      </c>
      <c r="B9931" s="29" t="s">
        <v>12150</v>
      </c>
      <c r="C9931" s="29" t="s">
        <v>25981</v>
      </c>
      <c r="D9931" s="29" t="s">
        <v>39420</v>
      </c>
      <c r="E9931" s="29" t="s">
        <v>51307</v>
      </c>
      <c r="F9931" s="36" t="s">
        <v>54401</v>
      </c>
      <c r="G9931" s="39">
        <v>256211.42</v>
      </c>
      <c r="H9931" s="42">
        <v>211</v>
      </c>
    </row>
    <row r="9932" spans="1:8" ht="15" customHeight="1">
      <c r="A9932" s="26">
        <v>1013616604</v>
      </c>
      <c r="B9932" s="29" t="s">
        <v>12151</v>
      </c>
      <c r="C9932" s="29" t="s">
        <v>25446</v>
      </c>
      <c r="D9932" s="29" t="s">
        <v>39421</v>
      </c>
      <c r="E9932" s="29" t="s">
        <v>51308</v>
      </c>
      <c r="F9932" s="36" t="s">
        <v>54401</v>
      </c>
      <c r="G9932" s="39">
        <v>378721.2</v>
      </c>
      <c r="H9932" s="42">
        <v>211</v>
      </c>
    </row>
    <row r="9933" spans="1:8" ht="15" customHeight="1">
      <c r="A9933" s="26">
        <v>1013643393</v>
      </c>
      <c r="B9933" s="29" t="s">
        <v>12152</v>
      </c>
      <c r="C9933" s="29" t="s">
        <v>25982</v>
      </c>
      <c r="D9933" s="29" t="s">
        <v>39422</v>
      </c>
      <c r="E9933" s="29" t="s">
        <v>51309</v>
      </c>
      <c r="F9933" s="36" t="s">
        <v>54401</v>
      </c>
      <c r="G9933" s="39">
        <v>387713.95</v>
      </c>
      <c r="H9933" s="42">
        <v>211</v>
      </c>
    </row>
    <row r="9934" spans="1:8" ht="15" customHeight="1">
      <c r="A9934" s="26">
        <v>1013644044</v>
      </c>
      <c r="B9934" s="29" t="s">
        <v>12153</v>
      </c>
      <c r="C9934" s="29" t="s">
        <v>25983</v>
      </c>
      <c r="D9934" s="29" t="s">
        <v>39423</v>
      </c>
      <c r="E9934" s="29" t="s">
        <v>51310</v>
      </c>
      <c r="F9934" s="36" t="s">
        <v>54401</v>
      </c>
      <c r="G9934" s="39">
        <v>110823.53</v>
      </c>
      <c r="H9934" s="42">
        <v>211</v>
      </c>
    </row>
    <row r="9935" spans="1:8" ht="15" customHeight="1">
      <c r="A9935" s="26">
        <v>1013667012</v>
      </c>
      <c r="B9935" s="29" t="s">
        <v>12154</v>
      </c>
      <c r="C9935" s="29" t="s">
        <v>25984</v>
      </c>
      <c r="D9935" s="29" t="s">
        <v>39424</v>
      </c>
      <c r="E9935" s="29" t="s">
        <v>50702</v>
      </c>
      <c r="F9935" s="36" t="s">
        <v>54401</v>
      </c>
      <c r="G9935" s="39">
        <v>1143383.02</v>
      </c>
      <c r="H9935" s="42">
        <v>211</v>
      </c>
    </row>
    <row r="9936" spans="1:8" ht="15" customHeight="1">
      <c r="A9936" s="26">
        <v>1013675438</v>
      </c>
      <c r="B9936" s="29" t="s">
        <v>12155</v>
      </c>
      <c r="C9936" s="29" t="s">
        <v>25985</v>
      </c>
      <c r="D9936" s="29" t="s">
        <v>39425</v>
      </c>
      <c r="E9936" s="29" t="s">
        <v>51311</v>
      </c>
      <c r="F9936" s="36" t="s">
        <v>54401</v>
      </c>
      <c r="G9936" s="39">
        <v>815916.38</v>
      </c>
      <c r="H9936" s="42">
        <v>211</v>
      </c>
    </row>
    <row r="9937" spans="1:8" ht="15" customHeight="1">
      <c r="A9937" s="26">
        <v>1014176530</v>
      </c>
      <c r="B9937" s="29" t="s">
        <v>12156</v>
      </c>
      <c r="C9937" s="26" t="s">
        <v>17204</v>
      </c>
      <c r="D9937" s="26" t="s">
        <v>30349</v>
      </c>
      <c r="E9937" s="26" t="s">
        <v>43926</v>
      </c>
      <c r="F9937" s="37" t="s">
        <v>54401</v>
      </c>
      <c r="G9937" s="39">
        <v>156151.26999999999</v>
      </c>
      <c r="H9937" s="42">
        <v>211</v>
      </c>
    </row>
    <row r="9938" spans="1:8" ht="15" customHeight="1">
      <c r="A9938" s="26">
        <v>1014179906</v>
      </c>
      <c r="B9938" s="29" t="s">
        <v>12157</v>
      </c>
      <c r="C9938" s="29" t="s">
        <v>25986</v>
      </c>
      <c r="D9938" s="29" t="s">
        <v>39426</v>
      </c>
      <c r="E9938" s="29" t="s">
        <v>51312</v>
      </c>
      <c r="F9938" s="36" t="s">
        <v>54401</v>
      </c>
      <c r="G9938" s="39">
        <v>95013.45</v>
      </c>
      <c r="H9938" s="42">
        <v>211</v>
      </c>
    </row>
    <row r="9939" spans="1:8" ht="15" customHeight="1">
      <c r="A9939" s="26">
        <v>1014189911</v>
      </c>
      <c r="B9939" s="29" t="s">
        <v>12158</v>
      </c>
      <c r="C9939" s="29" t="s">
        <v>25987</v>
      </c>
      <c r="D9939" s="29" t="s">
        <v>39427</v>
      </c>
      <c r="E9939" s="29" t="s">
        <v>51313</v>
      </c>
      <c r="F9939" s="36" t="s">
        <v>54413</v>
      </c>
      <c r="G9939" s="39">
        <v>18464707.84</v>
      </c>
      <c r="H9939" s="42">
        <v>211</v>
      </c>
    </row>
    <row r="9940" spans="1:8" ht="15" customHeight="1">
      <c r="A9940" s="26">
        <v>1014198680</v>
      </c>
      <c r="B9940" s="29" t="s">
        <v>12159</v>
      </c>
      <c r="C9940" s="29" t="s">
        <v>25988</v>
      </c>
      <c r="D9940" s="29" t="s">
        <v>39428</v>
      </c>
      <c r="E9940" s="29" t="s">
        <v>51314</v>
      </c>
      <c r="F9940" s="36" t="s">
        <v>54401</v>
      </c>
      <c r="G9940" s="39">
        <v>2633376.14</v>
      </c>
      <c r="H9940" s="42">
        <v>211</v>
      </c>
    </row>
    <row r="9941" spans="1:8" ht="15" customHeight="1">
      <c r="A9941" s="26">
        <v>1014199964</v>
      </c>
      <c r="B9941" s="29" t="s">
        <v>12160</v>
      </c>
      <c r="C9941" s="29" t="s">
        <v>25989</v>
      </c>
      <c r="D9941" s="29" t="s">
        <v>39429</v>
      </c>
      <c r="E9941" s="29" t="s">
        <v>51315</v>
      </c>
      <c r="F9941" s="36" t="s">
        <v>54401</v>
      </c>
      <c r="G9941" s="39">
        <v>692377.32</v>
      </c>
      <c r="H9941" s="42">
        <v>211</v>
      </c>
    </row>
    <row r="9942" spans="1:8" ht="15" customHeight="1">
      <c r="A9942" s="26">
        <v>1014202496</v>
      </c>
      <c r="B9942" s="29" t="s">
        <v>12161</v>
      </c>
      <c r="C9942" s="29" t="s">
        <v>25990</v>
      </c>
      <c r="D9942" s="29" t="s">
        <v>39430</v>
      </c>
      <c r="E9942" s="29" t="s">
        <v>51316</v>
      </c>
      <c r="F9942" s="36" t="s">
        <v>54401</v>
      </c>
      <c r="G9942" s="39">
        <v>1599853.42</v>
      </c>
      <c r="H9942" s="42">
        <v>211</v>
      </c>
    </row>
    <row r="9943" spans="1:8" ht="15" customHeight="1">
      <c r="A9943" s="26">
        <v>1014207775</v>
      </c>
      <c r="B9943" s="29" t="s">
        <v>12162</v>
      </c>
      <c r="C9943" s="29" t="s">
        <v>25991</v>
      </c>
      <c r="D9943" s="29" t="s">
        <v>39431</v>
      </c>
      <c r="E9943" s="29" t="s">
        <v>44327</v>
      </c>
      <c r="F9943" s="36" t="s">
        <v>54401</v>
      </c>
      <c r="G9943" s="39">
        <v>516849.65</v>
      </c>
      <c r="H9943" s="42">
        <v>211</v>
      </c>
    </row>
    <row r="9944" spans="1:8" ht="15" customHeight="1">
      <c r="A9944" s="26">
        <v>1014231289</v>
      </c>
      <c r="B9944" s="29" t="s">
        <v>12163</v>
      </c>
      <c r="C9944" s="29" t="s">
        <v>25992</v>
      </c>
      <c r="D9944" s="29" t="s">
        <v>39432</v>
      </c>
      <c r="E9944" s="29" t="s">
        <v>51317</v>
      </c>
      <c r="F9944" s="36" t="s">
        <v>54401</v>
      </c>
      <c r="G9944" s="39">
        <v>939371.92</v>
      </c>
      <c r="H9944" s="42">
        <v>211</v>
      </c>
    </row>
    <row r="9945" spans="1:8" ht="15" customHeight="1">
      <c r="A9945" s="26">
        <v>1014239023</v>
      </c>
      <c r="B9945" s="29" t="s">
        <v>12164</v>
      </c>
      <c r="C9945" s="29" t="s">
        <v>25993</v>
      </c>
      <c r="D9945" s="29" t="s">
        <v>39433</v>
      </c>
      <c r="E9945" s="29" t="s">
        <v>51318</v>
      </c>
      <c r="F9945" s="36" t="s">
        <v>54401</v>
      </c>
      <c r="G9945" s="39">
        <v>1178289.1399999999</v>
      </c>
      <c r="H9945" s="42">
        <v>211</v>
      </c>
    </row>
    <row r="9946" spans="1:8" ht="15" customHeight="1">
      <c r="A9946" s="26">
        <v>1014244344</v>
      </c>
      <c r="B9946" s="29" t="s">
        <v>12165</v>
      </c>
      <c r="C9946" s="29" t="s">
        <v>25994</v>
      </c>
      <c r="D9946" s="29" t="s">
        <v>39434</v>
      </c>
      <c r="E9946" s="29" t="s">
        <v>51319</v>
      </c>
      <c r="F9946" s="36" t="s">
        <v>54401</v>
      </c>
      <c r="G9946" s="39">
        <v>189644.97</v>
      </c>
      <c r="H9946" s="42">
        <v>211</v>
      </c>
    </row>
    <row r="9947" spans="1:8" ht="15" customHeight="1">
      <c r="A9947" s="26">
        <v>1014250261</v>
      </c>
      <c r="B9947" s="29" t="s">
        <v>12166</v>
      </c>
      <c r="C9947" s="29" t="s">
        <v>25995</v>
      </c>
      <c r="D9947" s="29" t="s">
        <v>39435</v>
      </c>
      <c r="E9947" s="29" t="s">
        <v>51320</v>
      </c>
      <c r="F9947" s="36" t="s">
        <v>54401</v>
      </c>
      <c r="G9947" s="39">
        <v>145691.64000000001</v>
      </c>
      <c r="H9947" s="42">
        <v>211</v>
      </c>
    </row>
    <row r="9948" spans="1:8" ht="15" customHeight="1">
      <c r="A9948" s="26">
        <v>1014257695</v>
      </c>
      <c r="B9948" s="29" t="s">
        <v>12167</v>
      </c>
      <c r="C9948" s="29" t="s">
        <v>25996</v>
      </c>
      <c r="D9948" s="29" t="s">
        <v>39436</v>
      </c>
      <c r="E9948" s="29" t="s">
        <v>51321</v>
      </c>
      <c r="F9948" s="36" t="s">
        <v>54401</v>
      </c>
      <c r="G9948" s="39">
        <v>3022478.39</v>
      </c>
      <c r="H9948" s="42">
        <v>211</v>
      </c>
    </row>
    <row r="9949" spans="1:8" ht="15" customHeight="1">
      <c r="A9949" s="26">
        <v>1014268471</v>
      </c>
      <c r="B9949" s="29" t="s">
        <v>12168</v>
      </c>
      <c r="C9949" s="29" t="s">
        <v>25997</v>
      </c>
      <c r="D9949" s="29" t="s">
        <v>39437</v>
      </c>
      <c r="E9949" s="29" t="s">
        <v>51322</v>
      </c>
      <c r="F9949" s="36" t="s">
        <v>54401</v>
      </c>
      <c r="G9949" s="39">
        <v>2812820.07</v>
      </c>
      <c r="H9949" s="42">
        <v>211</v>
      </c>
    </row>
    <row r="9950" spans="1:8" ht="15" customHeight="1">
      <c r="A9950" s="26">
        <v>1014269578</v>
      </c>
      <c r="B9950" s="29" t="s">
        <v>12169</v>
      </c>
      <c r="C9950" s="29" t="s">
        <v>25998</v>
      </c>
      <c r="D9950" s="29" t="s">
        <v>39438</v>
      </c>
      <c r="E9950" s="29" t="s">
        <v>51323</v>
      </c>
      <c r="F9950" s="36" t="s">
        <v>54401</v>
      </c>
      <c r="G9950" s="39">
        <v>51040.76</v>
      </c>
      <c r="H9950" s="42">
        <v>211</v>
      </c>
    </row>
    <row r="9951" spans="1:8" ht="15" customHeight="1">
      <c r="A9951" s="26">
        <v>1014270136</v>
      </c>
      <c r="B9951" s="29" t="s">
        <v>12170</v>
      </c>
      <c r="C9951" s="29" t="s">
        <v>25999</v>
      </c>
      <c r="D9951" s="29" t="s">
        <v>39439</v>
      </c>
      <c r="E9951" s="29" t="s">
        <v>51324</v>
      </c>
      <c r="F9951" s="36" t="s">
        <v>54401</v>
      </c>
      <c r="G9951" s="39">
        <v>413251.64</v>
      </c>
      <c r="H9951" s="42">
        <v>211</v>
      </c>
    </row>
    <row r="9952" spans="1:8" ht="15" customHeight="1">
      <c r="A9952" s="26">
        <v>1014275626</v>
      </c>
      <c r="B9952" s="29" t="s">
        <v>12171</v>
      </c>
      <c r="C9952" s="26" t="s">
        <v>26000</v>
      </c>
      <c r="D9952" s="26" t="s">
        <v>39440</v>
      </c>
      <c r="E9952" s="26" t="s">
        <v>51325</v>
      </c>
      <c r="F9952" s="37" t="s">
        <v>54401</v>
      </c>
      <c r="G9952" s="39">
        <v>1135043.1399999999</v>
      </c>
      <c r="H9952" s="42">
        <v>211</v>
      </c>
    </row>
    <row r="9953" spans="1:8" ht="15" customHeight="1">
      <c r="A9953" s="26">
        <v>1014281280</v>
      </c>
      <c r="B9953" s="29" t="s">
        <v>12172</v>
      </c>
      <c r="C9953" s="29" t="s">
        <v>26001</v>
      </c>
      <c r="D9953" s="29" t="s">
        <v>39441</v>
      </c>
      <c r="E9953" s="29" t="s">
        <v>46209</v>
      </c>
      <c r="F9953" s="36" t="s">
        <v>54401</v>
      </c>
      <c r="G9953" s="39">
        <v>6340424.7300000004</v>
      </c>
      <c r="H9953" s="42">
        <v>211</v>
      </c>
    </row>
    <row r="9954" spans="1:8" ht="15" customHeight="1">
      <c r="A9954" s="26">
        <v>1014290101</v>
      </c>
      <c r="B9954" s="29" t="s">
        <v>12173</v>
      </c>
      <c r="C9954" s="29" t="s">
        <v>26002</v>
      </c>
      <c r="D9954" s="29" t="s">
        <v>39442</v>
      </c>
      <c r="E9954" s="29" t="s">
        <v>51326</v>
      </c>
      <c r="F9954" s="36" t="s">
        <v>54401</v>
      </c>
      <c r="G9954" s="39">
        <v>738936.65</v>
      </c>
      <c r="H9954" s="42">
        <v>211</v>
      </c>
    </row>
    <row r="9955" spans="1:8" ht="15" customHeight="1">
      <c r="A9955" s="26">
        <v>1014859323</v>
      </c>
      <c r="B9955" s="29" t="s">
        <v>12174</v>
      </c>
      <c r="C9955" s="29" t="s">
        <v>26003</v>
      </c>
      <c r="D9955" s="29" t="s">
        <v>39443</v>
      </c>
      <c r="E9955" s="29" t="s">
        <v>43926</v>
      </c>
      <c r="F9955" s="36" t="s">
        <v>54401</v>
      </c>
      <c r="G9955" s="39">
        <v>32085.71</v>
      </c>
      <c r="H9955" s="42">
        <v>211</v>
      </c>
    </row>
    <row r="9956" spans="1:8" ht="15" customHeight="1">
      <c r="A9956" s="26">
        <v>1015395170</v>
      </c>
      <c r="B9956" s="29" t="s">
        <v>12175</v>
      </c>
      <c r="C9956" s="29" t="s">
        <v>26004</v>
      </c>
      <c r="D9956" s="29" t="s">
        <v>39444</v>
      </c>
      <c r="E9956" s="29" t="s">
        <v>51327</v>
      </c>
      <c r="F9956" s="36" t="s">
        <v>54401</v>
      </c>
      <c r="G9956" s="39">
        <v>812705.61</v>
      </c>
      <c r="H9956" s="42">
        <v>211</v>
      </c>
    </row>
    <row r="9957" spans="1:8" ht="15" customHeight="1">
      <c r="A9957" s="26">
        <v>1015395876</v>
      </c>
      <c r="B9957" s="29" t="s">
        <v>12176</v>
      </c>
      <c r="C9957" s="29" t="s">
        <v>26005</v>
      </c>
      <c r="D9957" s="29" t="s">
        <v>39445</v>
      </c>
      <c r="E9957" s="29" t="s">
        <v>51328</v>
      </c>
      <c r="F9957" s="36" t="s">
        <v>54401</v>
      </c>
      <c r="G9957" s="39">
        <v>5073913.8600000003</v>
      </c>
      <c r="H9957" s="42">
        <v>211</v>
      </c>
    </row>
    <row r="9958" spans="1:8" ht="15" customHeight="1">
      <c r="A9958" s="26">
        <v>1015399587</v>
      </c>
      <c r="B9958" s="29" t="s">
        <v>12177</v>
      </c>
      <c r="C9958" s="29" t="s">
        <v>26006</v>
      </c>
      <c r="D9958" s="29" t="s">
        <v>39446</v>
      </c>
      <c r="E9958" s="29" t="s">
        <v>51329</v>
      </c>
      <c r="F9958" s="36" t="s">
        <v>54401</v>
      </c>
      <c r="G9958" s="39">
        <v>423068.68</v>
      </c>
      <c r="H9958" s="42">
        <v>211</v>
      </c>
    </row>
    <row r="9959" spans="1:8" ht="15" customHeight="1">
      <c r="A9959" s="26">
        <v>1015402753</v>
      </c>
      <c r="B9959" s="29" t="s">
        <v>12178</v>
      </c>
      <c r="C9959" s="29" t="s">
        <v>26007</v>
      </c>
      <c r="D9959" s="29" t="s">
        <v>39447</v>
      </c>
      <c r="E9959" s="29" t="s">
        <v>51330</v>
      </c>
      <c r="F9959" s="36" t="s">
        <v>54401</v>
      </c>
      <c r="G9959" s="39">
        <v>1185221.6599999999</v>
      </c>
      <c r="H9959" s="42">
        <v>211</v>
      </c>
    </row>
    <row r="9960" spans="1:8" ht="15" customHeight="1">
      <c r="A9960" s="26">
        <v>1015404147</v>
      </c>
      <c r="B9960" s="29" t="s">
        <v>12179</v>
      </c>
      <c r="C9960" s="29" t="s">
        <v>26008</v>
      </c>
      <c r="D9960" s="29" t="s">
        <v>39448</v>
      </c>
      <c r="E9960" s="29" t="s">
        <v>51331</v>
      </c>
      <c r="F9960" s="36" t="s">
        <v>54414</v>
      </c>
      <c r="G9960" s="39">
        <v>179197.02</v>
      </c>
      <c r="H9960" s="42">
        <v>211</v>
      </c>
    </row>
    <row r="9961" spans="1:8" ht="15" customHeight="1">
      <c r="A9961" s="26">
        <v>1015410843</v>
      </c>
      <c r="B9961" s="29" t="s">
        <v>12180</v>
      </c>
      <c r="C9961" s="29" t="s">
        <v>26009</v>
      </c>
      <c r="D9961" s="29" t="s">
        <v>39449</v>
      </c>
      <c r="E9961" s="29" t="s">
        <v>51332</v>
      </c>
      <c r="F9961" s="36" t="s">
        <v>54401</v>
      </c>
      <c r="G9961" s="39">
        <v>17400</v>
      </c>
      <c r="H9961" s="42">
        <v>211</v>
      </c>
    </row>
    <row r="9962" spans="1:8" ht="15" customHeight="1">
      <c r="A9962" s="26">
        <v>1015413510</v>
      </c>
      <c r="B9962" s="29" t="s">
        <v>12181</v>
      </c>
      <c r="C9962" s="29" t="s">
        <v>26010</v>
      </c>
      <c r="D9962" s="29" t="s">
        <v>39450</v>
      </c>
      <c r="E9962" s="29" t="s">
        <v>51333</v>
      </c>
      <c r="F9962" s="36" t="s">
        <v>54401</v>
      </c>
      <c r="G9962" s="39">
        <v>493603.14</v>
      </c>
      <c r="H9962" s="42">
        <v>211</v>
      </c>
    </row>
    <row r="9963" spans="1:8" ht="15" customHeight="1">
      <c r="A9963" s="26">
        <v>1015420632</v>
      </c>
      <c r="B9963" s="29" t="s">
        <v>12182</v>
      </c>
      <c r="C9963" s="29" t="s">
        <v>26011</v>
      </c>
      <c r="D9963" s="29" t="s">
        <v>39451</v>
      </c>
      <c r="E9963" s="29" t="s">
        <v>51334</v>
      </c>
      <c r="F9963" s="36" t="s">
        <v>54401</v>
      </c>
      <c r="G9963" s="39">
        <v>537483.52000000002</v>
      </c>
      <c r="H9963" s="42">
        <v>211</v>
      </c>
    </row>
    <row r="9964" spans="1:8" ht="15" customHeight="1">
      <c r="A9964" s="26">
        <v>1015430349</v>
      </c>
      <c r="B9964" s="29" t="s">
        <v>12183</v>
      </c>
      <c r="C9964" s="29" t="s">
        <v>26012</v>
      </c>
      <c r="D9964" s="29" t="s">
        <v>39452</v>
      </c>
      <c r="E9964" s="29" t="s">
        <v>44721</v>
      </c>
      <c r="F9964" s="36" t="s">
        <v>54401</v>
      </c>
      <c r="G9964" s="39">
        <v>1313954.52</v>
      </c>
      <c r="H9964" s="42">
        <v>211</v>
      </c>
    </row>
    <row r="9965" spans="1:8" ht="15" customHeight="1">
      <c r="A9965" s="26">
        <v>1015432159</v>
      </c>
      <c r="B9965" s="29" t="s">
        <v>12184</v>
      </c>
      <c r="C9965" s="29" t="s">
        <v>26013</v>
      </c>
      <c r="D9965" s="29" t="s">
        <v>39453</v>
      </c>
      <c r="E9965" s="29" t="s">
        <v>51335</v>
      </c>
      <c r="F9965" s="36" t="s">
        <v>54401</v>
      </c>
      <c r="G9965" s="39">
        <v>110111.49</v>
      </c>
      <c r="H9965" s="42">
        <v>211</v>
      </c>
    </row>
    <row r="9966" spans="1:8" ht="15" customHeight="1">
      <c r="A9966" s="26">
        <v>1015437887</v>
      </c>
      <c r="B9966" s="29" t="s">
        <v>12185</v>
      </c>
      <c r="C9966" s="29" t="s">
        <v>26014</v>
      </c>
      <c r="D9966" s="29" t="s">
        <v>39454</v>
      </c>
      <c r="E9966" s="29" t="s">
        <v>51336</v>
      </c>
      <c r="F9966" s="36" t="s">
        <v>54401</v>
      </c>
      <c r="G9966" s="39">
        <v>594200.49</v>
      </c>
      <c r="H9966" s="42">
        <v>211</v>
      </c>
    </row>
    <row r="9967" spans="1:8" ht="15" customHeight="1">
      <c r="A9967" s="26">
        <v>1015444014</v>
      </c>
      <c r="B9967" s="29" t="s">
        <v>12186</v>
      </c>
      <c r="C9967" s="29" t="s">
        <v>26015</v>
      </c>
      <c r="D9967" s="29" t="s">
        <v>39455</v>
      </c>
      <c r="E9967" s="29" t="s">
        <v>51337</v>
      </c>
      <c r="F9967" s="36" t="s">
        <v>54401</v>
      </c>
      <c r="G9967" s="39">
        <v>1202558.5900000001</v>
      </c>
      <c r="H9967" s="42">
        <v>211</v>
      </c>
    </row>
    <row r="9968" spans="1:8" ht="15" customHeight="1">
      <c r="A9968" s="26">
        <v>1015480402</v>
      </c>
      <c r="B9968" s="29" t="s">
        <v>12187</v>
      </c>
      <c r="C9968" s="29" t="s">
        <v>26016</v>
      </c>
      <c r="D9968" s="29" t="s">
        <v>39456</v>
      </c>
      <c r="E9968" s="29" t="s">
        <v>43926</v>
      </c>
      <c r="F9968" s="36" t="s">
        <v>54401</v>
      </c>
      <c r="G9968" s="39">
        <v>369213.61</v>
      </c>
      <c r="H9968" s="42">
        <v>211</v>
      </c>
    </row>
    <row r="9969" spans="1:8" ht="15" customHeight="1">
      <c r="A9969" s="26">
        <v>1015992485</v>
      </c>
      <c r="B9969" s="29" t="s">
        <v>12188</v>
      </c>
      <c r="C9969" s="29" t="s">
        <v>26017</v>
      </c>
      <c r="D9969" s="29" t="s">
        <v>39457</v>
      </c>
      <c r="E9969" s="29" t="s">
        <v>51338</v>
      </c>
      <c r="F9969" s="36" t="s">
        <v>54401</v>
      </c>
      <c r="G9969" s="39">
        <v>337456.44</v>
      </c>
      <c r="H9969" s="42">
        <v>211</v>
      </c>
    </row>
    <row r="9970" spans="1:8" ht="15" customHeight="1">
      <c r="A9970" s="26">
        <v>1015993048</v>
      </c>
      <c r="B9970" s="29" t="s">
        <v>12189</v>
      </c>
      <c r="C9970" s="29" t="s">
        <v>26018</v>
      </c>
      <c r="D9970" s="29" t="s">
        <v>39458</v>
      </c>
      <c r="E9970" s="29" t="s">
        <v>51339</v>
      </c>
      <c r="F9970" s="36" t="s">
        <v>54401</v>
      </c>
      <c r="G9970" s="39">
        <v>2499548.81</v>
      </c>
      <c r="H9970" s="42">
        <v>211</v>
      </c>
    </row>
    <row r="9971" spans="1:8" ht="15" customHeight="1">
      <c r="A9971" s="26">
        <v>1015994398</v>
      </c>
      <c r="B9971" s="29" t="s">
        <v>12190</v>
      </c>
      <c r="C9971" s="29" t="s">
        <v>26019</v>
      </c>
      <c r="D9971" s="29" t="s">
        <v>39459</v>
      </c>
      <c r="E9971" s="29" t="s">
        <v>51340</v>
      </c>
      <c r="F9971" s="36" t="s">
        <v>54401</v>
      </c>
      <c r="G9971" s="39">
        <v>1721193.35</v>
      </c>
      <c r="H9971" s="42">
        <v>211</v>
      </c>
    </row>
    <row r="9972" spans="1:8" ht="15" customHeight="1">
      <c r="A9972" s="26">
        <v>1016005531</v>
      </c>
      <c r="B9972" s="29" t="s">
        <v>12191</v>
      </c>
      <c r="C9972" s="29" t="s">
        <v>26020</v>
      </c>
      <c r="D9972" s="29" t="s">
        <v>39460</v>
      </c>
      <c r="E9972" s="29" t="s">
        <v>48659</v>
      </c>
      <c r="F9972" s="36" t="s">
        <v>54401</v>
      </c>
      <c r="G9972" s="39">
        <v>2398098.64</v>
      </c>
      <c r="H9972" s="42">
        <v>211</v>
      </c>
    </row>
    <row r="9973" spans="1:8" ht="15" customHeight="1">
      <c r="A9973" s="26">
        <v>1016017872</v>
      </c>
      <c r="B9973" s="29" t="s">
        <v>12192</v>
      </c>
      <c r="C9973" s="29" t="s">
        <v>26021</v>
      </c>
      <c r="D9973" s="29" t="s">
        <v>39461</v>
      </c>
      <c r="E9973" s="29" t="s">
        <v>51341</v>
      </c>
      <c r="F9973" s="36" t="s">
        <v>54401</v>
      </c>
      <c r="G9973" s="39">
        <v>10624275.34</v>
      </c>
      <c r="H9973" s="42">
        <v>211</v>
      </c>
    </row>
    <row r="9974" spans="1:8" ht="15" customHeight="1">
      <c r="A9974" s="26">
        <v>1016023661</v>
      </c>
      <c r="B9974" s="29" t="s">
        <v>12193</v>
      </c>
      <c r="C9974" s="29" t="s">
        <v>26022</v>
      </c>
      <c r="D9974" s="29" t="s">
        <v>39462</v>
      </c>
      <c r="E9974" s="29" t="s">
        <v>51342</v>
      </c>
      <c r="F9974" s="36" t="s">
        <v>54401</v>
      </c>
      <c r="G9974" s="39">
        <v>65435.29</v>
      </c>
      <c r="H9974" s="42">
        <v>211</v>
      </c>
    </row>
    <row r="9975" spans="1:8" ht="15" customHeight="1">
      <c r="A9975" s="26">
        <v>1016027755</v>
      </c>
      <c r="B9975" s="29" t="s">
        <v>12194</v>
      </c>
      <c r="C9975" s="29" t="s">
        <v>26023</v>
      </c>
      <c r="D9975" s="29" t="s">
        <v>39463</v>
      </c>
      <c r="E9975" s="29" t="s">
        <v>45006</v>
      </c>
      <c r="F9975" s="36" t="s">
        <v>54401</v>
      </c>
      <c r="G9975" s="39">
        <v>104982.48</v>
      </c>
      <c r="H9975" s="42">
        <v>211</v>
      </c>
    </row>
    <row r="9976" spans="1:8" ht="15" customHeight="1">
      <c r="A9976" s="26">
        <v>1016031617</v>
      </c>
      <c r="B9976" s="29" t="s">
        <v>12195</v>
      </c>
      <c r="C9976" s="29" t="s">
        <v>26024</v>
      </c>
      <c r="D9976" s="29" t="s">
        <v>39464</v>
      </c>
      <c r="E9976" s="29" t="s">
        <v>51343</v>
      </c>
      <c r="F9976" s="36" t="s">
        <v>54401</v>
      </c>
      <c r="G9976" s="39">
        <v>339948.1</v>
      </c>
      <c r="H9976" s="42">
        <v>211</v>
      </c>
    </row>
    <row r="9977" spans="1:8" ht="15" customHeight="1">
      <c r="A9977" s="26">
        <v>1016034965</v>
      </c>
      <c r="B9977" s="29" t="s">
        <v>12196</v>
      </c>
      <c r="C9977" s="29" t="s">
        <v>26025</v>
      </c>
      <c r="D9977" s="29" t="s">
        <v>39465</v>
      </c>
      <c r="E9977" s="29" t="s">
        <v>48562</v>
      </c>
      <c r="F9977" s="36" t="s">
        <v>54401</v>
      </c>
      <c r="G9977" s="39">
        <v>2129991.2199999997</v>
      </c>
      <c r="H9977" s="42">
        <v>211</v>
      </c>
    </row>
    <row r="9978" spans="1:8" ht="15" customHeight="1">
      <c r="A9978" s="26">
        <v>1016046349</v>
      </c>
      <c r="B9978" s="29" t="s">
        <v>12197</v>
      </c>
      <c r="C9978" s="29" t="s">
        <v>26026</v>
      </c>
      <c r="D9978" s="29" t="s">
        <v>39466</v>
      </c>
      <c r="E9978" s="29" t="s">
        <v>51344</v>
      </c>
      <c r="F9978" s="36" t="s">
        <v>54455</v>
      </c>
      <c r="G9978" s="39">
        <v>458214.47</v>
      </c>
      <c r="H9978" s="42">
        <v>211</v>
      </c>
    </row>
    <row r="9979" spans="1:8" ht="15" customHeight="1">
      <c r="A9979" s="26">
        <v>1016046708</v>
      </c>
      <c r="B9979" s="29" t="s">
        <v>12198</v>
      </c>
      <c r="C9979" s="29" t="s">
        <v>26027</v>
      </c>
      <c r="D9979" s="29" t="s">
        <v>39467</v>
      </c>
      <c r="E9979" s="29" t="s">
        <v>51345</v>
      </c>
      <c r="F9979" s="36" t="s">
        <v>54401</v>
      </c>
      <c r="G9979" s="39">
        <v>67546.22</v>
      </c>
      <c r="H9979" s="42">
        <v>211</v>
      </c>
    </row>
    <row r="9980" spans="1:8" ht="15" customHeight="1">
      <c r="A9980" s="26">
        <v>1016062862</v>
      </c>
      <c r="B9980" s="29" t="s">
        <v>12199</v>
      </c>
      <c r="C9980" s="29" t="s">
        <v>26028</v>
      </c>
      <c r="D9980" s="29" t="s">
        <v>39468</v>
      </c>
      <c r="E9980" s="29" t="s">
        <v>51346</v>
      </c>
      <c r="F9980" s="36" t="s">
        <v>54401</v>
      </c>
      <c r="G9980" s="39">
        <v>462502.41</v>
      </c>
      <c r="H9980" s="42">
        <v>211</v>
      </c>
    </row>
    <row r="9981" spans="1:8" ht="15" customHeight="1">
      <c r="A9981" s="26">
        <v>1016070341</v>
      </c>
      <c r="B9981" s="29" t="s">
        <v>12200</v>
      </c>
      <c r="C9981" s="29" t="s">
        <v>26029</v>
      </c>
      <c r="D9981" s="29" t="s">
        <v>30714</v>
      </c>
      <c r="E9981" s="29" t="s">
        <v>727</v>
      </c>
      <c r="F9981" s="36" t="s">
        <v>54418</v>
      </c>
      <c r="G9981" s="39">
        <v>503882.37</v>
      </c>
      <c r="H9981" s="42">
        <v>211</v>
      </c>
    </row>
    <row r="9982" spans="1:8" ht="15" customHeight="1">
      <c r="A9982" s="26">
        <v>1016072287</v>
      </c>
      <c r="B9982" s="29" t="s">
        <v>12201</v>
      </c>
      <c r="C9982" s="29" t="s">
        <v>26030</v>
      </c>
      <c r="D9982" s="29" t="s">
        <v>39469</v>
      </c>
      <c r="E9982" s="29" t="s">
        <v>51347</v>
      </c>
      <c r="F9982" s="36" t="s">
        <v>54401</v>
      </c>
      <c r="G9982" s="39">
        <v>339217.27</v>
      </c>
      <c r="H9982" s="42">
        <v>211</v>
      </c>
    </row>
    <row r="9983" spans="1:8" ht="15" customHeight="1">
      <c r="A9983" s="26">
        <v>1016076492</v>
      </c>
      <c r="B9983" s="29" t="s">
        <v>12202</v>
      </c>
      <c r="C9983" s="29" t="s">
        <v>26031</v>
      </c>
      <c r="D9983" s="29" t="s">
        <v>39470</v>
      </c>
      <c r="E9983" s="29" t="s">
        <v>51348</v>
      </c>
      <c r="F9983" s="36" t="s">
        <v>54407</v>
      </c>
      <c r="G9983" s="39">
        <v>707679.64</v>
      </c>
      <c r="H9983" s="42">
        <v>211</v>
      </c>
    </row>
    <row r="9984" spans="1:8" ht="15" customHeight="1">
      <c r="A9984" s="26">
        <v>1016099988</v>
      </c>
      <c r="B9984" s="29" t="s">
        <v>12203</v>
      </c>
      <c r="C9984" s="29" t="s">
        <v>26032</v>
      </c>
      <c r="D9984" s="29" t="s">
        <v>39471</v>
      </c>
      <c r="E9984" s="29" t="s">
        <v>51349</v>
      </c>
      <c r="F9984" s="36" t="s">
        <v>54401</v>
      </c>
      <c r="G9984" s="39">
        <v>350855.61</v>
      </c>
      <c r="H9984" s="42">
        <v>211</v>
      </c>
    </row>
    <row r="9985" spans="1:8" ht="15" customHeight="1">
      <c r="A9985" s="26">
        <v>1016110861</v>
      </c>
      <c r="B9985" s="29" t="s">
        <v>12204</v>
      </c>
      <c r="C9985" s="26" t="s">
        <v>17204</v>
      </c>
      <c r="D9985" s="26" t="s">
        <v>30349</v>
      </c>
      <c r="E9985" s="26" t="s">
        <v>43926</v>
      </c>
      <c r="F9985" s="37" t="s">
        <v>54401</v>
      </c>
      <c r="G9985" s="39">
        <v>91587.62</v>
      </c>
      <c r="H9985" s="42">
        <v>211</v>
      </c>
    </row>
    <row r="9986" spans="1:8" ht="15" customHeight="1">
      <c r="A9986" s="26">
        <v>1017146278</v>
      </c>
      <c r="B9986" s="29" t="s">
        <v>12205</v>
      </c>
      <c r="C9986" s="29" t="s">
        <v>26033</v>
      </c>
      <c r="D9986" s="29" t="s">
        <v>39472</v>
      </c>
      <c r="E9986" s="29" t="s">
        <v>45160</v>
      </c>
      <c r="F9986" s="36" t="s">
        <v>54401</v>
      </c>
      <c r="G9986" s="39">
        <v>3259240.21</v>
      </c>
      <c r="H9986" s="42">
        <v>211</v>
      </c>
    </row>
    <row r="9987" spans="1:8" ht="15" customHeight="1">
      <c r="A9987" s="26">
        <v>1017179800</v>
      </c>
      <c r="B9987" s="29" t="s">
        <v>12206</v>
      </c>
      <c r="C9987" s="29" t="s">
        <v>26034</v>
      </c>
      <c r="D9987" s="29" t="s">
        <v>39473</v>
      </c>
      <c r="E9987" s="29" t="s">
        <v>51350</v>
      </c>
      <c r="F9987" s="36" t="s">
        <v>54401</v>
      </c>
      <c r="G9987" s="39">
        <v>3523274.73</v>
      </c>
      <c r="H9987" s="42">
        <v>211</v>
      </c>
    </row>
    <row r="9988" spans="1:8" ht="15" customHeight="1">
      <c r="A9988" s="26">
        <v>1017244531</v>
      </c>
      <c r="B9988" s="29" t="s">
        <v>12207</v>
      </c>
      <c r="C9988" s="29" t="s">
        <v>26035</v>
      </c>
      <c r="D9988" s="29" t="s">
        <v>39474</v>
      </c>
      <c r="E9988" s="29" t="s">
        <v>50212</v>
      </c>
      <c r="F9988" s="36" t="s">
        <v>54401</v>
      </c>
      <c r="G9988" s="39">
        <v>3168875.33</v>
      </c>
      <c r="H9988" s="42">
        <v>211</v>
      </c>
    </row>
    <row r="9989" spans="1:8" ht="15" customHeight="1">
      <c r="A9989" s="26">
        <v>1017267502</v>
      </c>
      <c r="B9989" s="29" t="s">
        <v>12208</v>
      </c>
      <c r="C9989" s="29" t="s">
        <v>26036</v>
      </c>
      <c r="D9989" s="29" t="s">
        <v>39475</v>
      </c>
      <c r="E9989" s="29" t="s">
        <v>51351</v>
      </c>
      <c r="F9989" s="36" t="s">
        <v>54401</v>
      </c>
      <c r="G9989" s="39">
        <v>192678.94</v>
      </c>
      <c r="H9989" s="42">
        <v>211</v>
      </c>
    </row>
    <row r="9990" spans="1:8" ht="15" customHeight="1">
      <c r="A9990" s="26">
        <v>1018403124</v>
      </c>
      <c r="B9990" s="29" t="s">
        <v>12209</v>
      </c>
      <c r="C9990" s="29" t="s">
        <v>26037</v>
      </c>
      <c r="D9990" s="29" t="s">
        <v>39476</v>
      </c>
      <c r="E9990" s="29" t="s">
        <v>51352</v>
      </c>
      <c r="F9990" s="36" t="s">
        <v>54401</v>
      </c>
      <c r="G9990" s="39">
        <v>660890.85</v>
      </c>
      <c r="H9990" s="42">
        <v>211</v>
      </c>
    </row>
    <row r="9991" spans="1:8" ht="15" customHeight="1">
      <c r="A9991" s="26">
        <v>1018403920</v>
      </c>
      <c r="B9991" s="29" t="s">
        <v>12210</v>
      </c>
      <c r="C9991" s="29" t="s">
        <v>26038</v>
      </c>
      <c r="D9991" s="29" t="s">
        <v>39477</v>
      </c>
      <c r="E9991" s="29" t="s">
        <v>51353</v>
      </c>
      <c r="F9991" s="36" t="s">
        <v>54401</v>
      </c>
      <c r="G9991" s="39">
        <v>131374.54999999999</v>
      </c>
      <c r="H9991" s="42">
        <v>211</v>
      </c>
    </row>
    <row r="9992" spans="1:8" ht="15" customHeight="1">
      <c r="A9992" s="26">
        <v>1018404616</v>
      </c>
      <c r="B9992" s="29" t="s">
        <v>12211</v>
      </c>
      <c r="C9992" s="26" t="s">
        <v>26039</v>
      </c>
      <c r="D9992" s="26" t="s">
        <v>39478</v>
      </c>
      <c r="E9992" s="26" t="s">
        <v>51354</v>
      </c>
      <c r="F9992" s="37" t="s">
        <v>54401</v>
      </c>
      <c r="G9992" s="39">
        <v>1364539.11</v>
      </c>
      <c r="H9992" s="42">
        <v>211</v>
      </c>
    </row>
    <row r="9993" spans="1:8" ht="15" customHeight="1">
      <c r="A9993" s="26">
        <v>1018407094</v>
      </c>
      <c r="B9993" s="29" t="s">
        <v>12212</v>
      </c>
      <c r="C9993" s="29" t="s">
        <v>26040</v>
      </c>
      <c r="D9993" s="29" t="s">
        <v>39479</v>
      </c>
      <c r="E9993" s="29" t="s">
        <v>51355</v>
      </c>
      <c r="F9993" s="36" t="s">
        <v>54401</v>
      </c>
      <c r="G9993" s="39">
        <v>2831846.77</v>
      </c>
      <c r="H9993" s="42">
        <v>211</v>
      </c>
    </row>
    <row r="9994" spans="1:8" ht="15" customHeight="1">
      <c r="A9994" s="26">
        <v>1018410922</v>
      </c>
      <c r="B9994" s="29" t="s">
        <v>12213</v>
      </c>
      <c r="C9994" s="29" t="s">
        <v>26041</v>
      </c>
      <c r="D9994" s="29" t="s">
        <v>39480</v>
      </c>
      <c r="E9994" s="29" t="s">
        <v>47421</v>
      </c>
      <c r="F9994" s="36" t="s">
        <v>54401</v>
      </c>
      <c r="G9994" s="39">
        <v>16411</v>
      </c>
      <c r="H9994" s="42">
        <v>211</v>
      </c>
    </row>
    <row r="9995" spans="1:8" ht="15" customHeight="1">
      <c r="A9995" s="26">
        <v>1018411752</v>
      </c>
      <c r="B9995" s="29" t="s">
        <v>12214</v>
      </c>
      <c r="C9995" s="29" t="s">
        <v>26042</v>
      </c>
      <c r="D9995" s="29" t="s">
        <v>39481</v>
      </c>
      <c r="E9995" s="29" t="s">
        <v>51356</v>
      </c>
      <c r="F9995" s="36" t="s">
        <v>54401</v>
      </c>
      <c r="G9995" s="39">
        <v>127345.92</v>
      </c>
      <c r="H9995" s="42">
        <v>211</v>
      </c>
    </row>
    <row r="9996" spans="1:8" ht="15" customHeight="1">
      <c r="A9996" s="26">
        <v>1018419801</v>
      </c>
      <c r="B9996" s="29" t="s">
        <v>12215</v>
      </c>
      <c r="C9996" s="29" t="s">
        <v>26043</v>
      </c>
      <c r="D9996" s="29" t="s">
        <v>39482</v>
      </c>
      <c r="E9996" s="29" t="s">
        <v>51357</v>
      </c>
      <c r="F9996" s="36" t="s">
        <v>54401</v>
      </c>
      <c r="G9996" s="39">
        <v>26547.759999999998</v>
      </c>
      <c r="H9996" s="42">
        <v>211</v>
      </c>
    </row>
    <row r="9997" spans="1:8" ht="15" customHeight="1">
      <c r="A9997" s="26">
        <v>1018423318</v>
      </c>
      <c r="B9997" s="29" t="s">
        <v>12216</v>
      </c>
      <c r="C9997" s="29" t="s">
        <v>26044</v>
      </c>
      <c r="D9997" s="29" t="s">
        <v>39483</v>
      </c>
      <c r="E9997" s="29" t="s">
        <v>51358</v>
      </c>
      <c r="F9997" s="36" t="s">
        <v>54401</v>
      </c>
      <c r="G9997" s="39">
        <v>1659009.22</v>
      </c>
      <c r="H9997" s="42">
        <v>211</v>
      </c>
    </row>
    <row r="9998" spans="1:8" ht="15" customHeight="1">
      <c r="A9998" s="26">
        <v>1018423490</v>
      </c>
      <c r="B9998" s="29" t="s">
        <v>12217</v>
      </c>
      <c r="C9998" s="29" t="s">
        <v>17204</v>
      </c>
      <c r="D9998" s="29" t="s">
        <v>30349</v>
      </c>
      <c r="E9998" s="29" t="s">
        <v>43926</v>
      </c>
      <c r="F9998" s="36" t="s">
        <v>54401</v>
      </c>
      <c r="G9998" s="39">
        <v>309417.84999999998</v>
      </c>
      <c r="H9998" s="42">
        <v>211</v>
      </c>
    </row>
    <row r="9999" spans="1:8" ht="15" customHeight="1">
      <c r="A9999" s="26">
        <v>1018425508</v>
      </c>
      <c r="B9999" s="29" t="s">
        <v>12218</v>
      </c>
      <c r="C9999" s="29" t="s">
        <v>26045</v>
      </c>
      <c r="D9999" s="29" t="s">
        <v>39484</v>
      </c>
      <c r="E9999" s="29" t="s">
        <v>51359</v>
      </c>
      <c r="F9999" s="36" t="s">
        <v>54401</v>
      </c>
      <c r="G9999" s="39">
        <v>5834796.9900000002</v>
      </c>
      <c r="H9999" s="42">
        <v>211</v>
      </c>
    </row>
    <row r="10000" spans="1:8" ht="15" customHeight="1">
      <c r="A10000" s="26">
        <v>1018434383</v>
      </c>
      <c r="B10000" s="29" t="s">
        <v>12219</v>
      </c>
      <c r="C10000" s="29" t="s">
        <v>17204</v>
      </c>
      <c r="D10000" s="29" t="s">
        <v>39485</v>
      </c>
      <c r="E10000" s="29" t="s">
        <v>43926</v>
      </c>
      <c r="F10000" s="36" t="s">
        <v>54401</v>
      </c>
      <c r="G10000" s="39">
        <v>272163.08</v>
      </c>
      <c r="H10000" s="42">
        <v>211</v>
      </c>
    </row>
    <row r="10001" spans="1:8" ht="15" customHeight="1">
      <c r="A10001" s="26">
        <v>1018436922</v>
      </c>
      <c r="B10001" s="29" t="s">
        <v>12220</v>
      </c>
      <c r="C10001" s="29" t="s">
        <v>26046</v>
      </c>
      <c r="D10001" s="29" t="s">
        <v>39486</v>
      </c>
      <c r="E10001" s="29" t="s">
        <v>51360</v>
      </c>
      <c r="F10001" s="36" t="s">
        <v>54401</v>
      </c>
      <c r="G10001" s="39">
        <v>991513.31</v>
      </c>
      <c r="H10001" s="42">
        <v>211</v>
      </c>
    </row>
    <row r="10002" spans="1:8" ht="15" customHeight="1">
      <c r="A10002" s="26">
        <v>1018442480</v>
      </c>
      <c r="B10002" s="29" t="s">
        <v>12221</v>
      </c>
      <c r="C10002" s="29" t="s">
        <v>26047</v>
      </c>
      <c r="D10002" s="29" t="s">
        <v>39487</v>
      </c>
      <c r="E10002" s="29" t="s">
        <v>50016</v>
      </c>
      <c r="F10002" s="36" t="s">
        <v>54401</v>
      </c>
      <c r="G10002" s="39">
        <v>3000034.01</v>
      </c>
      <c r="H10002" s="42">
        <v>211</v>
      </c>
    </row>
    <row r="10003" spans="1:8" ht="15" customHeight="1">
      <c r="A10003" s="26">
        <v>1018447269</v>
      </c>
      <c r="B10003" s="29" t="s">
        <v>12222</v>
      </c>
      <c r="C10003" s="29" t="s">
        <v>26048</v>
      </c>
      <c r="D10003" s="29" t="s">
        <v>39488</v>
      </c>
      <c r="E10003" s="29" t="s">
        <v>44863</v>
      </c>
      <c r="F10003" s="36" t="s">
        <v>54401</v>
      </c>
      <c r="G10003" s="39">
        <v>125913.57</v>
      </c>
      <c r="H10003" s="42">
        <v>211</v>
      </c>
    </row>
    <row r="10004" spans="1:8" ht="15" customHeight="1">
      <c r="A10004" s="26">
        <v>1018447853</v>
      </c>
      <c r="B10004" s="29" t="s">
        <v>12223</v>
      </c>
      <c r="C10004" s="29" t="s">
        <v>26049</v>
      </c>
      <c r="D10004" s="29" t="s">
        <v>39489</v>
      </c>
      <c r="E10004" s="29" t="s">
        <v>51361</v>
      </c>
      <c r="F10004" s="36" t="s">
        <v>54413</v>
      </c>
      <c r="G10004" s="39">
        <v>3550993.83</v>
      </c>
      <c r="H10004" s="42">
        <v>211</v>
      </c>
    </row>
    <row r="10005" spans="1:8" ht="15" customHeight="1">
      <c r="A10005" s="26">
        <v>1018458978</v>
      </c>
      <c r="B10005" s="29" t="s">
        <v>12224</v>
      </c>
      <c r="C10005" s="29" t="s">
        <v>26050</v>
      </c>
      <c r="D10005" s="29" t="s">
        <v>39490</v>
      </c>
      <c r="E10005" s="29" t="s">
        <v>43926</v>
      </c>
      <c r="F10005" s="36" t="s">
        <v>54401</v>
      </c>
      <c r="G10005" s="39">
        <v>285746.07</v>
      </c>
      <c r="H10005" s="42">
        <v>211</v>
      </c>
    </row>
    <row r="10006" spans="1:8" ht="15" customHeight="1">
      <c r="A10006" s="26">
        <v>1018462149</v>
      </c>
      <c r="B10006" s="29" t="s">
        <v>12225</v>
      </c>
      <c r="C10006" s="29" t="s">
        <v>26051</v>
      </c>
      <c r="D10006" s="29" t="s">
        <v>39491</v>
      </c>
      <c r="E10006" s="29" t="s">
        <v>51362</v>
      </c>
      <c r="F10006" s="36" t="s">
        <v>54401</v>
      </c>
      <c r="G10006" s="39">
        <v>401824.01</v>
      </c>
      <c r="H10006" s="42">
        <v>211</v>
      </c>
    </row>
    <row r="10007" spans="1:8" ht="15" customHeight="1">
      <c r="A10007" s="26">
        <v>1018465225</v>
      </c>
      <c r="B10007" s="29" t="s">
        <v>12226</v>
      </c>
      <c r="C10007" s="29" t="s">
        <v>26052</v>
      </c>
      <c r="D10007" s="29" t="s">
        <v>39492</v>
      </c>
      <c r="E10007" s="29" t="s">
        <v>51363</v>
      </c>
      <c r="F10007" s="36" t="s">
        <v>54401</v>
      </c>
      <c r="G10007" s="39">
        <v>6445891.4100000001</v>
      </c>
      <c r="H10007" s="42">
        <v>211</v>
      </c>
    </row>
    <row r="10008" spans="1:8" ht="15" customHeight="1">
      <c r="A10008" s="26">
        <v>1018465912</v>
      </c>
      <c r="B10008" s="29" t="s">
        <v>12227</v>
      </c>
      <c r="C10008" s="29" t="s">
        <v>25414</v>
      </c>
      <c r="D10008" s="29" t="s">
        <v>39493</v>
      </c>
      <c r="E10008" s="29" t="s">
        <v>51364</v>
      </c>
      <c r="F10008" s="36" t="s">
        <v>54414</v>
      </c>
      <c r="G10008" s="39">
        <v>351069.41</v>
      </c>
      <c r="H10008" s="42">
        <v>211</v>
      </c>
    </row>
    <row r="10009" spans="1:8" ht="15" customHeight="1">
      <c r="A10009" s="26">
        <v>1018472270</v>
      </c>
      <c r="B10009" s="29" t="s">
        <v>12228</v>
      </c>
      <c r="C10009" s="29" t="s">
        <v>26053</v>
      </c>
      <c r="D10009" s="29" t="s">
        <v>39494</v>
      </c>
      <c r="E10009" s="29" t="s">
        <v>45755</v>
      </c>
      <c r="F10009" s="36" t="s">
        <v>54401</v>
      </c>
      <c r="G10009" s="39">
        <v>639822.42000000004</v>
      </c>
      <c r="H10009" s="42">
        <v>211</v>
      </c>
    </row>
    <row r="10010" spans="1:8" ht="15" customHeight="1">
      <c r="A10010" s="26">
        <v>1018474810</v>
      </c>
      <c r="B10010" s="29" t="s">
        <v>12229</v>
      </c>
      <c r="C10010" s="29" t="s">
        <v>17204</v>
      </c>
      <c r="D10010" s="29" t="s">
        <v>39495</v>
      </c>
      <c r="E10010" s="29" t="s">
        <v>43926</v>
      </c>
      <c r="F10010" s="36" t="s">
        <v>54401</v>
      </c>
      <c r="G10010" s="39">
        <v>547137.54</v>
      </c>
      <c r="H10010" s="42">
        <v>211</v>
      </c>
    </row>
    <row r="10011" spans="1:8" ht="15" customHeight="1">
      <c r="A10011" s="26">
        <v>1018475747</v>
      </c>
      <c r="B10011" s="29" t="s">
        <v>12230</v>
      </c>
      <c r="C10011" s="29" t="s">
        <v>26054</v>
      </c>
      <c r="D10011" s="29" t="s">
        <v>39496</v>
      </c>
      <c r="E10011" s="29" t="s">
        <v>51365</v>
      </c>
      <c r="F10011" s="36" t="s">
        <v>54401</v>
      </c>
      <c r="G10011" s="39">
        <v>525296.43000000005</v>
      </c>
      <c r="H10011" s="42">
        <v>211</v>
      </c>
    </row>
    <row r="10012" spans="1:8" ht="15" customHeight="1">
      <c r="A10012" s="26">
        <v>1018478038</v>
      </c>
      <c r="B10012" s="29" t="s">
        <v>12231</v>
      </c>
      <c r="C10012" s="29" t="s">
        <v>26055</v>
      </c>
      <c r="D10012" s="29" t="s">
        <v>39497</v>
      </c>
      <c r="E10012" s="29" t="s">
        <v>51366</v>
      </c>
      <c r="F10012" s="36" t="s">
        <v>54401</v>
      </c>
      <c r="G10012" s="39">
        <v>69319.33</v>
      </c>
      <c r="H10012" s="42">
        <v>211</v>
      </c>
    </row>
    <row r="10013" spans="1:8" ht="15" customHeight="1">
      <c r="A10013" s="26">
        <v>1018478805</v>
      </c>
      <c r="B10013" s="29" t="s">
        <v>12232</v>
      </c>
      <c r="C10013" s="29" t="s">
        <v>26056</v>
      </c>
      <c r="D10013" s="29" t="s">
        <v>39498</v>
      </c>
      <c r="E10013" s="29" t="s">
        <v>51367</v>
      </c>
      <c r="F10013" s="36" t="s">
        <v>54401</v>
      </c>
      <c r="G10013" s="39">
        <v>1548368.27</v>
      </c>
      <c r="H10013" s="42">
        <v>211</v>
      </c>
    </row>
    <row r="10014" spans="1:8" ht="15" customHeight="1">
      <c r="A10014" s="26">
        <v>1018483984</v>
      </c>
      <c r="B10014" s="29" t="s">
        <v>12233</v>
      </c>
      <c r="C10014" s="26" t="s">
        <v>26057</v>
      </c>
      <c r="D10014" s="26" t="s">
        <v>39499</v>
      </c>
      <c r="E10014" s="26" t="s">
        <v>51368</v>
      </c>
      <c r="F10014" s="37" t="s">
        <v>54401</v>
      </c>
      <c r="G10014" s="39">
        <v>121609.02</v>
      </c>
      <c r="H10014" s="42">
        <v>211</v>
      </c>
    </row>
    <row r="10015" spans="1:8" ht="15" customHeight="1">
      <c r="A10015" s="26">
        <v>1018486179</v>
      </c>
      <c r="B10015" s="29" t="s">
        <v>12234</v>
      </c>
      <c r="C10015" s="29" t="s">
        <v>26058</v>
      </c>
      <c r="D10015" s="29" t="s">
        <v>39500</v>
      </c>
      <c r="E10015" s="29" t="s">
        <v>51369</v>
      </c>
      <c r="F10015" s="36" t="s">
        <v>54401</v>
      </c>
      <c r="G10015" s="39">
        <v>601684.78</v>
      </c>
      <c r="H10015" s="42">
        <v>211</v>
      </c>
    </row>
    <row r="10016" spans="1:8" ht="15" customHeight="1">
      <c r="A10016" s="26">
        <v>1018486832</v>
      </c>
      <c r="B10016" s="29" t="s">
        <v>12235</v>
      </c>
      <c r="C10016" s="29" t="s">
        <v>26059</v>
      </c>
      <c r="D10016" s="29" t="s">
        <v>39501</v>
      </c>
      <c r="E10016" s="29" t="s">
        <v>51370</v>
      </c>
      <c r="F10016" s="36" t="s">
        <v>54401</v>
      </c>
      <c r="G10016" s="39">
        <v>625487.28</v>
      </c>
      <c r="H10016" s="42">
        <v>211</v>
      </c>
    </row>
    <row r="10017" spans="1:8" ht="15" customHeight="1">
      <c r="A10017" s="26">
        <v>1018497979</v>
      </c>
      <c r="B10017" s="29" t="s">
        <v>12236</v>
      </c>
      <c r="C10017" s="26" t="s">
        <v>26060</v>
      </c>
      <c r="D10017" s="26" t="s">
        <v>39502</v>
      </c>
      <c r="E10017" s="26" t="s">
        <v>51099</v>
      </c>
      <c r="F10017" s="37" t="s">
        <v>54401</v>
      </c>
      <c r="G10017" s="39">
        <v>4266595.5199999996</v>
      </c>
      <c r="H10017" s="42">
        <v>211</v>
      </c>
    </row>
    <row r="10018" spans="1:8" ht="15" customHeight="1">
      <c r="A10018" s="26">
        <v>1018500816</v>
      </c>
      <c r="B10018" s="29" t="s">
        <v>12237</v>
      </c>
      <c r="C10018" s="29" t="s">
        <v>26061</v>
      </c>
      <c r="D10018" s="29" t="s">
        <v>39503</v>
      </c>
      <c r="E10018" s="29" t="s">
        <v>51371</v>
      </c>
      <c r="F10018" s="36" t="s">
        <v>54401</v>
      </c>
      <c r="G10018" s="39">
        <v>2489488.16</v>
      </c>
      <c r="H10018" s="42">
        <v>211</v>
      </c>
    </row>
    <row r="10019" spans="1:8" ht="15" customHeight="1">
      <c r="A10019" s="26">
        <v>1018509032</v>
      </c>
      <c r="B10019" s="29" t="s">
        <v>12238</v>
      </c>
      <c r="C10019" s="26" t="s">
        <v>26062</v>
      </c>
      <c r="D10019" s="26" t="s">
        <v>39504</v>
      </c>
      <c r="E10019" s="26" t="s">
        <v>51372</v>
      </c>
      <c r="F10019" s="37" t="s">
        <v>54401</v>
      </c>
      <c r="G10019" s="39">
        <v>472685.73</v>
      </c>
      <c r="H10019" s="42">
        <v>211</v>
      </c>
    </row>
    <row r="10020" spans="1:8" ht="15" customHeight="1">
      <c r="A10020" s="26">
        <v>1019002898</v>
      </c>
      <c r="B10020" s="29" t="s">
        <v>12239</v>
      </c>
      <c r="C10020" s="29" t="s">
        <v>26063</v>
      </c>
      <c r="D10020" s="29" t="s">
        <v>39505</v>
      </c>
      <c r="E10020" s="29" t="s">
        <v>51373</v>
      </c>
      <c r="F10020" s="36" t="s">
        <v>54401</v>
      </c>
      <c r="G10020" s="39">
        <v>5720117.6100000003</v>
      </c>
      <c r="H10020" s="42">
        <v>211</v>
      </c>
    </row>
    <row r="10021" spans="1:8" ht="15" customHeight="1">
      <c r="A10021" s="26">
        <v>1019007096</v>
      </c>
      <c r="B10021" s="29" t="s">
        <v>12240</v>
      </c>
      <c r="C10021" s="29" t="s">
        <v>26064</v>
      </c>
      <c r="D10021" s="29" t="s">
        <v>39506</v>
      </c>
      <c r="E10021" s="29" t="s">
        <v>51374</v>
      </c>
      <c r="F10021" s="36" t="s">
        <v>54401</v>
      </c>
      <c r="G10021" s="39">
        <v>1720175.82</v>
      </c>
      <c r="H10021" s="42">
        <v>211</v>
      </c>
    </row>
    <row r="10022" spans="1:8" ht="15" customHeight="1">
      <c r="A10022" s="26">
        <v>1019026272</v>
      </c>
      <c r="B10022" s="29" t="s">
        <v>12241</v>
      </c>
      <c r="C10022" s="29" t="s">
        <v>26065</v>
      </c>
      <c r="D10022" s="29" t="s">
        <v>39507</v>
      </c>
      <c r="E10022" s="29" t="s">
        <v>51375</v>
      </c>
      <c r="F10022" s="36" t="s">
        <v>54401</v>
      </c>
      <c r="G10022" s="39">
        <v>4019758.27</v>
      </c>
      <c r="H10022" s="42">
        <v>211</v>
      </c>
    </row>
    <row r="10023" spans="1:8" ht="15" customHeight="1">
      <c r="A10023" s="26">
        <v>1019032341</v>
      </c>
      <c r="B10023" s="29" t="s">
        <v>12242</v>
      </c>
      <c r="C10023" s="29" t="s">
        <v>26066</v>
      </c>
      <c r="D10023" s="29" t="s">
        <v>39508</v>
      </c>
      <c r="E10023" s="29" t="s">
        <v>43926</v>
      </c>
      <c r="F10023" s="36" t="s">
        <v>54401</v>
      </c>
      <c r="G10023" s="39">
        <v>16890.759999999998</v>
      </c>
      <c r="H10023" s="42">
        <v>211</v>
      </c>
    </row>
    <row r="10024" spans="1:8" ht="15" customHeight="1">
      <c r="A10024" s="26">
        <v>1019036646</v>
      </c>
      <c r="B10024" s="29" t="s">
        <v>12243</v>
      </c>
      <c r="C10024" s="29" t="s">
        <v>26067</v>
      </c>
      <c r="D10024" s="29" t="s">
        <v>39509</v>
      </c>
      <c r="E10024" s="29" t="s">
        <v>51376</v>
      </c>
      <c r="F10024" s="36" t="s">
        <v>54414</v>
      </c>
      <c r="G10024" s="39">
        <v>761161.58</v>
      </c>
      <c r="H10024" s="42">
        <v>211</v>
      </c>
    </row>
    <row r="10025" spans="1:8" ht="15" customHeight="1">
      <c r="A10025" s="26">
        <v>1019036879</v>
      </c>
      <c r="B10025" s="29" t="s">
        <v>12244</v>
      </c>
      <c r="C10025" s="29" t="s">
        <v>26068</v>
      </c>
      <c r="D10025" s="29" t="s">
        <v>39510</v>
      </c>
      <c r="E10025" s="29" t="s">
        <v>44973</v>
      </c>
      <c r="F10025" s="36" t="s">
        <v>54401</v>
      </c>
      <c r="G10025" s="39">
        <v>2466948.58</v>
      </c>
      <c r="H10025" s="42">
        <v>211</v>
      </c>
    </row>
    <row r="10026" spans="1:8" ht="15" customHeight="1">
      <c r="A10026" s="26">
        <v>1019041374</v>
      </c>
      <c r="B10026" s="29" t="s">
        <v>12245</v>
      </c>
      <c r="C10026" s="29" t="s">
        <v>26069</v>
      </c>
      <c r="D10026" s="29" t="s">
        <v>39511</v>
      </c>
      <c r="E10026" s="29" t="s">
        <v>43926</v>
      </c>
      <c r="F10026" s="36" t="s">
        <v>54401</v>
      </c>
      <c r="G10026" s="39">
        <v>4272152.8</v>
      </c>
      <c r="H10026" s="42">
        <v>211</v>
      </c>
    </row>
    <row r="10027" spans="1:8" ht="15" customHeight="1">
      <c r="A10027" s="26">
        <v>1019044232</v>
      </c>
      <c r="B10027" s="29" t="s">
        <v>12246</v>
      </c>
      <c r="C10027" s="29" t="s">
        <v>26070</v>
      </c>
      <c r="D10027" s="29" t="s">
        <v>39512</v>
      </c>
      <c r="E10027" s="29" t="s">
        <v>43926</v>
      </c>
      <c r="F10027" s="36" t="s">
        <v>54401</v>
      </c>
      <c r="G10027" s="39">
        <v>1132593.96</v>
      </c>
      <c r="H10027" s="42">
        <v>211</v>
      </c>
    </row>
    <row r="10028" spans="1:8" ht="15" customHeight="1">
      <c r="A10028" s="26">
        <v>1019051906</v>
      </c>
      <c r="B10028" s="29" t="s">
        <v>12247</v>
      </c>
      <c r="C10028" s="29" t="s">
        <v>26071</v>
      </c>
      <c r="D10028" s="29" t="s">
        <v>39513</v>
      </c>
      <c r="E10028" s="29" t="s">
        <v>51377</v>
      </c>
      <c r="F10028" s="36" t="s">
        <v>54401</v>
      </c>
      <c r="G10028" s="39">
        <v>808607.37</v>
      </c>
      <c r="H10028" s="42">
        <v>211</v>
      </c>
    </row>
    <row r="10029" spans="1:8" ht="15" customHeight="1">
      <c r="A10029" s="26">
        <v>1019052787</v>
      </c>
      <c r="B10029" s="29" t="s">
        <v>12248</v>
      </c>
      <c r="C10029" s="29" t="s">
        <v>26072</v>
      </c>
      <c r="D10029" s="29" t="s">
        <v>39514</v>
      </c>
      <c r="E10029" s="29" t="s">
        <v>51378</v>
      </c>
      <c r="F10029" s="36" t="s">
        <v>54401</v>
      </c>
      <c r="G10029" s="39">
        <v>678776.62</v>
      </c>
      <c r="H10029" s="42">
        <v>211</v>
      </c>
    </row>
    <row r="10030" spans="1:8" ht="15" customHeight="1">
      <c r="A10030" s="26">
        <v>1019055604</v>
      </c>
      <c r="B10030" s="29" t="s">
        <v>12249</v>
      </c>
      <c r="C10030" s="29" t="s">
        <v>26073</v>
      </c>
      <c r="D10030" s="29" t="s">
        <v>39515</v>
      </c>
      <c r="E10030" s="29" t="s">
        <v>51379</v>
      </c>
      <c r="F10030" s="36" t="s">
        <v>54401</v>
      </c>
      <c r="G10030" s="39">
        <v>4264612.82</v>
      </c>
      <c r="H10030" s="42">
        <v>211</v>
      </c>
    </row>
    <row r="10031" spans="1:8" ht="15" customHeight="1">
      <c r="A10031" s="26">
        <v>1019060575</v>
      </c>
      <c r="B10031" s="29" t="s">
        <v>12250</v>
      </c>
      <c r="C10031" s="29" t="s">
        <v>26074</v>
      </c>
      <c r="D10031" s="29" t="s">
        <v>39516</v>
      </c>
      <c r="E10031" s="29" t="s">
        <v>51380</v>
      </c>
      <c r="F10031" s="36" t="s">
        <v>54401</v>
      </c>
      <c r="G10031" s="39">
        <v>369658.92</v>
      </c>
      <c r="H10031" s="42">
        <v>211</v>
      </c>
    </row>
    <row r="10032" spans="1:8" ht="15" customHeight="1">
      <c r="A10032" s="26">
        <v>1019062677</v>
      </c>
      <c r="B10032" s="29" t="s">
        <v>12251</v>
      </c>
      <c r="C10032" s="29" t="s">
        <v>26075</v>
      </c>
      <c r="D10032" s="29" t="s">
        <v>39517</v>
      </c>
      <c r="E10032" s="29" t="s">
        <v>51381</v>
      </c>
      <c r="F10032" s="36" t="s">
        <v>54401</v>
      </c>
      <c r="G10032" s="39">
        <v>2996047.91</v>
      </c>
      <c r="H10032" s="42">
        <v>211</v>
      </c>
    </row>
    <row r="10033" spans="1:8" ht="15" customHeight="1">
      <c r="A10033" s="26">
        <v>1019066928</v>
      </c>
      <c r="B10033" s="29" t="s">
        <v>12252</v>
      </c>
      <c r="C10033" s="29" t="s">
        <v>17204</v>
      </c>
      <c r="D10033" s="29" t="s">
        <v>30349</v>
      </c>
      <c r="E10033" s="29" t="s">
        <v>43926</v>
      </c>
      <c r="F10033" s="36" t="s">
        <v>54401</v>
      </c>
      <c r="G10033" s="39">
        <v>305456.02</v>
      </c>
      <c r="H10033" s="42">
        <v>211</v>
      </c>
    </row>
    <row r="10034" spans="1:8" ht="15" customHeight="1">
      <c r="A10034" s="26">
        <v>1019067350</v>
      </c>
      <c r="B10034" s="29" t="s">
        <v>12253</v>
      </c>
      <c r="C10034" s="29" t="s">
        <v>26076</v>
      </c>
      <c r="D10034" s="29" t="s">
        <v>39518</v>
      </c>
      <c r="E10034" s="29" t="s">
        <v>51382</v>
      </c>
      <c r="F10034" s="36" t="s">
        <v>54401</v>
      </c>
      <c r="G10034" s="39">
        <v>342250.72</v>
      </c>
      <c r="H10034" s="42">
        <v>211</v>
      </c>
    </row>
    <row r="10035" spans="1:8" ht="15" customHeight="1">
      <c r="A10035" s="26">
        <v>1019069660</v>
      </c>
      <c r="B10035" s="29" t="s">
        <v>12254</v>
      </c>
      <c r="C10035" s="29" t="s">
        <v>26077</v>
      </c>
      <c r="D10035" s="29" t="s">
        <v>39519</v>
      </c>
      <c r="E10035" s="29" t="s">
        <v>51383</v>
      </c>
      <c r="F10035" s="36" t="s">
        <v>54401</v>
      </c>
      <c r="G10035" s="39">
        <v>137927.73000000001</v>
      </c>
      <c r="H10035" s="42">
        <v>211</v>
      </c>
    </row>
    <row r="10036" spans="1:8" ht="15" customHeight="1">
      <c r="A10036" s="26">
        <v>1019077853</v>
      </c>
      <c r="B10036" s="29" t="s">
        <v>12255</v>
      </c>
      <c r="C10036" s="29" t="s">
        <v>26078</v>
      </c>
      <c r="D10036" s="29" t="s">
        <v>39520</v>
      </c>
      <c r="E10036" s="29" t="s">
        <v>51384</v>
      </c>
      <c r="F10036" s="36" t="s">
        <v>54401</v>
      </c>
      <c r="G10036" s="39">
        <v>323514.43</v>
      </c>
      <c r="H10036" s="42">
        <v>211</v>
      </c>
    </row>
    <row r="10037" spans="1:8" ht="15" customHeight="1">
      <c r="A10037" s="26">
        <v>1019082790</v>
      </c>
      <c r="B10037" s="29" t="s">
        <v>12256</v>
      </c>
      <c r="C10037" s="29" t="s">
        <v>26079</v>
      </c>
      <c r="D10037" s="29" t="s">
        <v>39521</v>
      </c>
      <c r="E10037" s="29" t="s">
        <v>51385</v>
      </c>
      <c r="F10037" s="36" t="s">
        <v>54401</v>
      </c>
      <c r="G10037" s="39">
        <v>2059102.65</v>
      </c>
      <c r="H10037" s="42">
        <v>211</v>
      </c>
    </row>
    <row r="10038" spans="1:8" ht="15" customHeight="1">
      <c r="A10038" s="26">
        <v>1019088007</v>
      </c>
      <c r="B10038" s="29" t="s">
        <v>12257</v>
      </c>
      <c r="C10038" s="29" t="s">
        <v>26080</v>
      </c>
      <c r="D10038" s="29" t="s">
        <v>39522</v>
      </c>
      <c r="E10038" s="29" t="s">
        <v>43926</v>
      </c>
      <c r="F10038" s="36" t="s">
        <v>54401</v>
      </c>
      <c r="G10038" s="39">
        <v>291195.62</v>
      </c>
      <c r="H10038" s="42">
        <v>211</v>
      </c>
    </row>
    <row r="10039" spans="1:8" ht="15" customHeight="1">
      <c r="A10039" s="26">
        <v>1019091550</v>
      </c>
      <c r="B10039" s="29" t="s">
        <v>12258</v>
      </c>
      <c r="C10039" s="29" t="s">
        <v>26081</v>
      </c>
      <c r="D10039" s="29" t="s">
        <v>39523</v>
      </c>
      <c r="E10039" s="29" t="s">
        <v>51386</v>
      </c>
      <c r="F10039" s="36" t="s">
        <v>54401</v>
      </c>
      <c r="G10039" s="39">
        <v>3026696.18</v>
      </c>
      <c r="H10039" s="42">
        <v>211</v>
      </c>
    </row>
    <row r="10040" spans="1:8" ht="15" customHeight="1">
      <c r="A10040" s="26">
        <v>1019098558</v>
      </c>
      <c r="B10040" s="29" t="s">
        <v>12259</v>
      </c>
      <c r="C10040" s="29" t="s">
        <v>26082</v>
      </c>
      <c r="D10040" s="29" t="s">
        <v>39524</v>
      </c>
      <c r="E10040" s="29" t="s">
        <v>43926</v>
      </c>
      <c r="F10040" s="36" t="s">
        <v>54401</v>
      </c>
      <c r="G10040" s="39">
        <v>2125316.61</v>
      </c>
      <c r="H10040" s="42">
        <v>211</v>
      </c>
    </row>
    <row r="10041" spans="1:8" ht="15" customHeight="1">
      <c r="A10041" s="26">
        <v>1019101398</v>
      </c>
      <c r="B10041" s="29" t="s">
        <v>12260</v>
      </c>
      <c r="C10041" s="29" t="s">
        <v>26083</v>
      </c>
      <c r="D10041" s="29" t="s">
        <v>39525</v>
      </c>
      <c r="E10041" s="29" t="s">
        <v>51387</v>
      </c>
      <c r="F10041" s="36" t="s">
        <v>54401</v>
      </c>
      <c r="G10041" s="39">
        <v>2311520.75</v>
      </c>
      <c r="H10041" s="42">
        <v>211</v>
      </c>
    </row>
    <row r="10042" spans="1:8" ht="15" customHeight="1">
      <c r="A10042" s="26">
        <v>1019102379</v>
      </c>
      <c r="B10042" s="29" t="s">
        <v>12261</v>
      </c>
      <c r="C10042" s="29" t="s">
        <v>26084</v>
      </c>
      <c r="D10042" s="29" t="s">
        <v>39526</v>
      </c>
      <c r="E10042" s="29" t="s">
        <v>51388</v>
      </c>
      <c r="F10042" s="36" t="s">
        <v>54401</v>
      </c>
      <c r="G10042" s="39">
        <v>33553.79</v>
      </c>
      <c r="H10042" s="42">
        <v>211</v>
      </c>
    </row>
    <row r="10043" spans="1:8" ht="15" customHeight="1">
      <c r="A10043" s="26">
        <v>1019107689</v>
      </c>
      <c r="B10043" s="29" t="s">
        <v>12262</v>
      </c>
      <c r="C10043" s="29" t="s">
        <v>26085</v>
      </c>
      <c r="D10043" s="29" t="s">
        <v>39527</v>
      </c>
      <c r="E10043" s="29" t="s">
        <v>51389</v>
      </c>
      <c r="F10043" s="36" t="s">
        <v>54401</v>
      </c>
      <c r="G10043" s="39">
        <v>2456035.1799999997</v>
      </c>
      <c r="H10043" s="42">
        <v>211</v>
      </c>
    </row>
    <row r="10044" spans="1:8" ht="15" customHeight="1">
      <c r="A10044" s="26">
        <v>1019111249</v>
      </c>
      <c r="B10044" s="29" t="s">
        <v>12263</v>
      </c>
      <c r="C10044" s="29" t="s">
        <v>25360</v>
      </c>
      <c r="D10044" s="29" t="s">
        <v>39528</v>
      </c>
      <c r="E10044" s="29" t="s">
        <v>51390</v>
      </c>
      <c r="F10044" s="36" t="s">
        <v>54401</v>
      </c>
      <c r="G10044" s="39">
        <v>474421.32</v>
      </c>
      <c r="H10044" s="42">
        <v>211</v>
      </c>
    </row>
    <row r="10045" spans="1:8" ht="15" customHeight="1">
      <c r="A10045" s="26">
        <v>1019119641</v>
      </c>
      <c r="B10045" s="29" t="s">
        <v>12264</v>
      </c>
      <c r="C10045" s="29" t="s">
        <v>26086</v>
      </c>
      <c r="D10045" s="29" t="s">
        <v>39529</v>
      </c>
      <c r="E10045" s="29" t="s">
        <v>43926</v>
      </c>
      <c r="F10045" s="36" t="s">
        <v>54401</v>
      </c>
      <c r="G10045" s="39">
        <v>167737.5</v>
      </c>
      <c r="H10045" s="42">
        <v>211</v>
      </c>
    </row>
    <row r="10046" spans="1:8" ht="15" customHeight="1">
      <c r="A10046" s="26">
        <v>1019133346</v>
      </c>
      <c r="B10046" s="29" t="s">
        <v>12265</v>
      </c>
      <c r="C10046" s="29" t="s">
        <v>26087</v>
      </c>
      <c r="D10046" s="29" t="s">
        <v>30349</v>
      </c>
      <c r="E10046" s="29" t="s">
        <v>43926</v>
      </c>
      <c r="F10046" s="36" t="s">
        <v>54401</v>
      </c>
      <c r="G10046" s="39">
        <v>91968.84</v>
      </c>
      <c r="H10046" s="42">
        <v>211</v>
      </c>
    </row>
    <row r="10047" spans="1:8" ht="15" customHeight="1">
      <c r="A10047" s="26">
        <v>1020722437</v>
      </c>
      <c r="B10047" s="29" t="s">
        <v>12266</v>
      </c>
      <c r="C10047" s="29" t="s">
        <v>26088</v>
      </c>
      <c r="D10047" s="29" t="s">
        <v>39530</v>
      </c>
      <c r="E10047" s="29" t="s">
        <v>51391</v>
      </c>
      <c r="F10047" s="36" t="s">
        <v>54401</v>
      </c>
      <c r="G10047" s="39">
        <v>15550</v>
      </c>
      <c r="H10047" s="42">
        <v>211</v>
      </c>
    </row>
    <row r="10048" spans="1:8" ht="15" customHeight="1">
      <c r="A10048" s="26">
        <v>1020725244</v>
      </c>
      <c r="B10048" s="29" t="s">
        <v>12267</v>
      </c>
      <c r="C10048" s="29" t="s">
        <v>26089</v>
      </c>
      <c r="D10048" s="29" t="s">
        <v>39531</v>
      </c>
      <c r="E10048" s="29" t="s">
        <v>51392</v>
      </c>
      <c r="F10048" s="36" t="s">
        <v>54401</v>
      </c>
      <c r="G10048" s="39">
        <v>2535491</v>
      </c>
      <c r="H10048" s="42">
        <v>211</v>
      </c>
    </row>
    <row r="10049" spans="1:8" ht="15" customHeight="1">
      <c r="A10049" s="26">
        <v>1020726792</v>
      </c>
      <c r="B10049" s="29" t="s">
        <v>12268</v>
      </c>
      <c r="C10049" s="29" t="s">
        <v>26090</v>
      </c>
      <c r="D10049" s="29" t="s">
        <v>39532</v>
      </c>
      <c r="E10049" s="29" t="s">
        <v>51393</v>
      </c>
      <c r="F10049" s="36" t="s">
        <v>54401</v>
      </c>
      <c r="G10049" s="39">
        <v>2259740.61</v>
      </c>
      <c r="H10049" s="42">
        <v>211</v>
      </c>
    </row>
    <row r="10050" spans="1:8" ht="15" customHeight="1">
      <c r="A10050" s="26">
        <v>1020740794</v>
      </c>
      <c r="B10050" s="29" t="s">
        <v>12269</v>
      </c>
      <c r="C10050" s="29" t="s">
        <v>26091</v>
      </c>
      <c r="D10050" s="29" t="s">
        <v>39533</v>
      </c>
      <c r="E10050" s="29" t="s">
        <v>51394</v>
      </c>
      <c r="F10050" s="36" t="s">
        <v>54401</v>
      </c>
      <c r="G10050" s="39">
        <v>614321.43000000005</v>
      </c>
      <c r="H10050" s="42">
        <v>211</v>
      </c>
    </row>
    <row r="10051" spans="1:8" ht="15" customHeight="1">
      <c r="A10051" s="26">
        <v>1020746109</v>
      </c>
      <c r="B10051" s="29" t="s">
        <v>12270</v>
      </c>
      <c r="C10051" s="29" t="s">
        <v>26092</v>
      </c>
      <c r="D10051" s="29" t="s">
        <v>39534</v>
      </c>
      <c r="E10051" s="29" t="s">
        <v>51395</v>
      </c>
      <c r="F10051" s="36" t="s">
        <v>54401</v>
      </c>
      <c r="G10051" s="39">
        <v>3872103.24</v>
      </c>
      <c r="H10051" s="42">
        <v>211</v>
      </c>
    </row>
    <row r="10052" spans="1:8" ht="15" customHeight="1">
      <c r="A10052" s="26">
        <v>1020747726</v>
      </c>
      <c r="B10052" s="29" t="s">
        <v>12271</v>
      </c>
      <c r="C10052" s="26" t="s">
        <v>17204</v>
      </c>
      <c r="D10052" s="26" t="s">
        <v>39535</v>
      </c>
      <c r="E10052" s="26" t="s">
        <v>43926</v>
      </c>
      <c r="F10052" s="37" t="s">
        <v>54401</v>
      </c>
      <c r="G10052" s="39">
        <v>41765.879999999997</v>
      </c>
      <c r="H10052" s="42">
        <v>211</v>
      </c>
    </row>
    <row r="10053" spans="1:8" ht="15" customHeight="1">
      <c r="A10053" s="26">
        <v>1020752500</v>
      </c>
      <c r="B10053" s="29" t="s">
        <v>12272</v>
      </c>
      <c r="C10053" s="29" t="s">
        <v>17204</v>
      </c>
      <c r="D10053" s="29" t="s">
        <v>39536</v>
      </c>
      <c r="E10053" s="29" t="s">
        <v>43926</v>
      </c>
      <c r="F10053" s="36" t="s">
        <v>54401</v>
      </c>
      <c r="G10053" s="39">
        <v>90477.25</v>
      </c>
      <c r="H10053" s="42">
        <v>211</v>
      </c>
    </row>
    <row r="10054" spans="1:8" ht="15" customHeight="1">
      <c r="A10054" s="26">
        <v>1020756547</v>
      </c>
      <c r="B10054" s="29" t="s">
        <v>12273</v>
      </c>
      <c r="C10054" s="29" t="s">
        <v>26093</v>
      </c>
      <c r="D10054" s="29" t="s">
        <v>39537</v>
      </c>
      <c r="E10054" s="29" t="s">
        <v>51396</v>
      </c>
      <c r="F10054" s="36" t="s">
        <v>54401</v>
      </c>
      <c r="G10054" s="39">
        <v>746835.22</v>
      </c>
      <c r="H10054" s="42">
        <v>211</v>
      </c>
    </row>
    <row r="10055" spans="1:8" ht="15" customHeight="1">
      <c r="A10055" s="26">
        <v>1020758426</v>
      </c>
      <c r="B10055" s="29" t="s">
        <v>12274</v>
      </c>
      <c r="C10055" s="29" t="s">
        <v>26094</v>
      </c>
      <c r="D10055" s="29" t="s">
        <v>39538</v>
      </c>
      <c r="E10055" s="29" t="s">
        <v>717</v>
      </c>
      <c r="F10055" s="36" t="s">
        <v>54401</v>
      </c>
      <c r="G10055" s="39">
        <v>886105.29</v>
      </c>
      <c r="H10055" s="42">
        <v>211</v>
      </c>
    </row>
    <row r="10056" spans="1:8" ht="15" customHeight="1">
      <c r="A10056" s="26">
        <v>1020761129</v>
      </c>
      <c r="B10056" s="29" t="s">
        <v>12275</v>
      </c>
      <c r="C10056" s="29" t="s">
        <v>26095</v>
      </c>
      <c r="D10056" s="29" t="s">
        <v>39539</v>
      </c>
      <c r="E10056" s="29" t="s">
        <v>51397</v>
      </c>
      <c r="F10056" s="36" t="s">
        <v>54401</v>
      </c>
      <c r="G10056" s="39">
        <v>8163363.0599999996</v>
      </c>
      <c r="H10056" s="42">
        <v>211</v>
      </c>
    </row>
    <row r="10057" spans="1:8" ht="15" customHeight="1">
      <c r="A10057" s="26">
        <v>1020775865</v>
      </c>
      <c r="B10057" s="29" t="s">
        <v>12276</v>
      </c>
      <c r="C10057" s="29" t="s">
        <v>26096</v>
      </c>
      <c r="D10057" s="29" t="s">
        <v>39540</v>
      </c>
      <c r="E10057" s="29" t="s">
        <v>51398</v>
      </c>
      <c r="F10057" s="36" t="s">
        <v>54401</v>
      </c>
      <c r="G10057" s="39">
        <v>934054.69</v>
      </c>
      <c r="H10057" s="42">
        <v>211</v>
      </c>
    </row>
    <row r="10058" spans="1:8" ht="15" customHeight="1">
      <c r="A10058" s="26">
        <v>1020781263</v>
      </c>
      <c r="B10058" s="29" t="s">
        <v>12277</v>
      </c>
      <c r="C10058" s="29" t="s">
        <v>17204</v>
      </c>
      <c r="D10058" s="29" t="s">
        <v>39541</v>
      </c>
      <c r="E10058" s="29" t="s">
        <v>43926</v>
      </c>
      <c r="F10058" s="36" t="s">
        <v>54401</v>
      </c>
      <c r="G10058" s="39">
        <v>430321.76</v>
      </c>
      <c r="H10058" s="42">
        <v>211</v>
      </c>
    </row>
    <row r="10059" spans="1:8" ht="15" customHeight="1">
      <c r="A10059" s="26">
        <v>1020786311</v>
      </c>
      <c r="B10059" s="29" t="s">
        <v>12278</v>
      </c>
      <c r="C10059" s="29" t="s">
        <v>17204</v>
      </c>
      <c r="D10059" s="29" t="s">
        <v>39542</v>
      </c>
      <c r="E10059" s="29" t="s">
        <v>43926</v>
      </c>
      <c r="F10059" s="36" t="s">
        <v>54401</v>
      </c>
      <c r="G10059" s="39">
        <v>48117.66</v>
      </c>
      <c r="H10059" s="42">
        <v>211</v>
      </c>
    </row>
    <row r="10060" spans="1:8" ht="15" customHeight="1">
      <c r="A10060" s="26">
        <v>1020793176</v>
      </c>
      <c r="B10060" s="29" t="s">
        <v>12279</v>
      </c>
      <c r="C10060" s="29" t="s">
        <v>26097</v>
      </c>
      <c r="D10060" s="29" t="s">
        <v>39543</v>
      </c>
      <c r="E10060" s="29" t="s">
        <v>51399</v>
      </c>
      <c r="F10060" s="36" t="s">
        <v>54401</v>
      </c>
      <c r="G10060" s="39">
        <v>102898.72</v>
      </c>
      <c r="H10060" s="42">
        <v>211</v>
      </c>
    </row>
    <row r="10061" spans="1:8" ht="15" customHeight="1">
      <c r="A10061" s="26">
        <v>1020804779</v>
      </c>
      <c r="B10061" s="29" t="s">
        <v>12280</v>
      </c>
      <c r="C10061" s="29" t="s">
        <v>26098</v>
      </c>
      <c r="D10061" s="29" t="s">
        <v>39544</v>
      </c>
      <c r="E10061" s="29" t="s">
        <v>51400</v>
      </c>
      <c r="F10061" s="36" t="s">
        <v>54401</v>
      </c>
      <c r="G10061" s="39">
        <v>5236677.8499999996</v>
      </c>
      <c r="H10061" s="42">
        <v>211</v>
      </c>
    </row>
    <row r="10062" spans="1:8" ht="15" customHeight="1">
      <c r="A10062" s="26">
        <v>1020807455</v>
      </c>
      <c r="B10062" s="29" t="s">
        <v>12281</v>
      </c>
      <c r="C10062" s="29" t="s">
        <v>26099</v>
      </c>
      <c r="D10062" s="29" t="s">
        <v>39545</v>
      </c>
      <c r="E10062" s="29" t="s">
        <v>51401</v>
      </c>
      <c r="F10062" s="36" t="s">
        <v>54401</v>
      </c>
      <c r="G10062" s="39">
        <v>95010.75</v>
      </c>
      <c r="H10062" s="42">
        <v>211</v>
      </c>
    </row>
    <row r="10063" spans="1:8" ht="15" customHeight="1">
      <c r="A10063" s="26">
        <v>1020810146</v>
      </c>
      <c r="B10063" s="29" t="s">
        <v>12282</v>
      </c>
      <c r="C10063" s="29" t="s">
        <v>26100</v>
      </c>
      <c r="D10063" s="29" t="s">
        <v>39546</v>
      </c>
      <c r="E10063" s="29" t="s">
        <v>51402</v>
      </c>
      <c r="F10063" s="36" t="s">
        <v>54401</v>
      </c>
      <c r="G10063" s="39">
        <v>556307.19999999995</v>
      </c>
      <c r="H10063" s="42">
        <v>211</v>
      </c>
    </row>
    <row r="10064" spans="1:8" ht="15" customHeight="1">
      <c r="A10064" s="26">
        <v>1020817315</v>
      </c>
      <c r="B10064" s="29" t="s">
        <v>12283</v>
      </c>
      <c r="C10064" s="26" t="s">
        <v>26101</v>
      </c>
      <c r="D10064" s="26" t="s">
        <v>39547</v>
      </c>
      <c r="E10064" s="26" t="s">
        <v>51403</v>
      </c>
      <c r="F10064" s="37" t="s">
        <v>54401</v>
      </c>
      <c r="G10064" s="39">
        <v>91418.82</v>
      </c>
      <c r="H10064" s="42">
        <v>211</v>
      </c>
    </row>
    <row r="10065" spans="1:8" ht="15" customHeight="1">
      <c r="A10065" s="26">
        <v>1020823122</v>
      </c>
      <c r="B10065" s="29" t="s">
        <v>12284</v>
      </c>
      <c r="C10065" s="29" t="s">
        <v>17204</v>
      </c>
      <c r="D10065" s="29" t="s">
        <v>30349</v>
      </c>
      <c r="E10065" s="29" t="s">
        <v>43926</v>
      </c>
      <c r="F10065" s="36" t="s">
        <v>54401</v>
      </c>
      <c r="G10065" s="39">
        <v>50140</v>
      </c>
      <c r="H10065" s="42">
        <v>211</v>
      </c>
    </row>
    <row r="10066" spans="1:8" ht="15" customHeight="1">
      <c r="A10066" s="26">
        <v>1020831863</v>
      </c>
      <c r="B10066" s="29" t="s">
        <v>12285</v>
      </c>
      <c r="C10066" s="29" t="s">
        <v>26102</v>
      </c>
      <c r="D10066" s="29" t="s">
        <v>39548</v>
      </c>
      <c r="E10066" s="29" t="s">
        <v>51404</v>
      </c>
      <c r="F10066" s="36" t="s">
        <v>54401</v>
      </c>
      <c r="G10066" s="39">
        <v>26806.720000000001</v>
      </c>
      <c r="H10066" s="42">
        <v>211</v>
      </c>
    </row>
    <row r="10067" spans="1:8" ht="15" customHeight="1">
      <c r="A10067" s="26">
        <v>1020833539</v>
      </c>
      <c r="B10067" s="29" t="s">
        <v>12286</v>
      </c>
      <c r="C10067" s="29" t="s">
        <v>26103</v>
      </c>
      <c r="D10067" s="29" t="s">
        <v>39549</v>
      </c>
      <c r="E10067" s="29" t="s">
        <v>51405</v>
      </c>
      <c r="F10067" s="36" t="s">
        <v>54401</v>
      </c>
      <c r="G10067" s="39">
        <v>213333</v>
      </c>
      <c r="H10067" s="42">
        <v>211</v>
      </c>
    </row>
    <row r="10068" spans="1:8" ht="15" customHeight="1">
      <c r="A10068" s="26">
        <v>1020837182</v>
      </c>
      <c r="B10068" s="29" t="s">
        <v>12287</v>
      </c>
      <c r="C10068" s="29" t="s">
        <v>26104</v>
      </c>
      <c r="D10068" s="29" t="s">
        <v>39550</v>
      </c>
      <c r="E10068" s="29" t="s">
        <v>51406</v>
      </c>
      <c r="F10068" s="36" t="s">
        <v>54401</v>
      </c>
      <c r="G10068" s="39">
        <v>4480874.33</v>
      </c>
      <c r="H10068" s="42">
        <v>211</v>
      </c>
    </row>
    <row r="10069" spans="1:8" ht="15" customHeight="1">
      <c r="A10069" s="26">
        <v>1021393174</v>
      </c>
      <c r="B10069" s="29" t="s">
        <v>12288</v>
      </c>
      <c r="C10069" s="26" t="s">
        <v>26105</v>
      </c>
      <c r="D10069" s="26" t="s">
        <v>39551</v>
      </c>
      <c r="E10069" s="26" t="s">
        <v>51407</v>
      </c>
      <c r="F10069" s="37" t="s">
        <v>54401</v>
      </c>
      <c r="G10069" s="39">
        <v>329099.33</v>
      </c>
      <c r="H10069" s="42">
        <v>211</v>
      </c>
    </row>
    <row r="10070" spans="1:8" ht="15" customHeight="1">
      <c r="A10070" s="26">
        <v>1022327210</v>
      </c>
      <c r="B10070" s="29" t="s">
        <v>12289</v>
      </c>
      <c r="C10070" s="29" t="s">
        <v>26106</v>
      </c>
      <c r="D10070" s="29" t="s">
        <v>39552</v>
      </c>
      <c r="E10070" s="29" t="s">
        <v>51408</v>
      </c>
      <c r="F10070" s="36" t="s">
        <v>54401</v>
      </c>
      <c r="G10070" s="39">
        <v>2925352.91</v>
      </c>
      <c r="H10070" s="42">
        <v>211</v>
      </c>
    </row>
    <row r="10071" spans="1:8" ht="15" customHeight="1">
      <c r="A10071" s="26">
        <v>1022330771</v>
      </c>
      <c r="B10071" s="29" t="s">
        <v>12290</v>
      </c>
      <c r="C10071" s="29" t="s">
        <v>26107</v>
      </c>
      <c r="D10071" s="29" t="s">
        <v>39553</v>
      </c>
      <c r="E10071" s="29" t="s">
        <v>51409</v>
      </c>
      <c r="F10071" s="36" t="s">
        <v>54401</v>
      </c>
      <c r="G10071" s="39">
        <v>586434.84</v>
      </c>
      <c r="H10071" s="42">
        <v>211</v>
      </c>
    </row>
    <row r="10072" spans="1:8" ht="15" customHeight="1">
      <c r="A10072" s="26">
        <v>1022332831</v>
      </c>
      <c r="B10072" s="29" t="s">
        <v>12291</v>
      </c>
      <c r="C10072" s="29" t="s">
        <v>26108</v>
      </c>
      <c r="D10072" s="29" t="s">
        <v>30376</v>
      </c>
      <c r="E10072" s="29" t="s">
        <v>51410</v>
      </c>
      <c r="F10072" s="36" t="s">
        <v>54401</v>
      </c>
      <c r="G10072" s="39">
        <v>504989.9</v>
      </c>
      <c r="H10072" s="42">
        <v>211</v>
      </c>
    </row>
    <row r="10073" spans="1:8" ht="15" customHeight="1">
      <c r="A10073" s="26">
        <v>1022345555</v>
      </c>
      <c r="B10073" s="29" t="s">
        <v>12292</v>
      </c>
      <c r="C10073" s="29" t="s">
        <v>26109</v>
      </c>
      <c r="D10073" s="29" t="s">
        <v>39554</v>
      </c>
      <c r="E10073" s="29" t="s">
        <v>43926</v>
      </c>
      <c r="F10073" s="36" t="s">
        <v>54401</v>
      </c>
      <c r="G10073" s="39">
        <v>136667.23000000001</v>
      </c>
      <c r="H10073" s="42">
        <v>211</v>
      </c>
    </row>
    <row r="10074" spans="1:8" ht="15" customHeight="1">
      <c r="A10074" s="26">
        <v>1022360476</v>
      </c>
      <c r="B10074" s="29" t="s">
        <v>12293</v>
      </c>
      <c r="C10074" s="29" t="s">
        <v>26110</v>
      </c>
      <c r="D10074" s="29" t="s">
        <v>39555</v>
      </c>
      <c r="E10074" s="29" t="s">
        <v>51411</v>
      </c>
      <c r="F10074" s="36" t="s">
        <v>54401</v>
      </c>
      <c r="G10074" s="39">
        <v>35806.74</v>
      </c>
      <c r="H10074" s="42">
        <v>211</v>
      </c>
    </row>
    <row r="10075" spans="1:8" ht="15" customHeight="1">
      <c r="A10075" s="26">
        <v>1022370068</v>
      </c>
      <c r="B10075" s="29" t="s">
        <v>12294</v>
      </c>
      <c r="C10075" s="29" t="s">
        <v>26111</v>
      </c>
      <c r="D10075" s="29" t="s">
        <v>39556</v>
      </c>
      <c r="E10075" s="29" t="s">
        <v>51412</v>
      </c>
      <c r="F10075" s="36" t="s">
        <v>54401</v>
      </c>
      <c r="G10075" s="39">
        <v>946898.99</v>
      </c>
      <c r="H10075" s="42">
        <v>211</v>
      </c>
    </row>
    <row r="10076" spans="1:8" ht="15" customHeight="1">
      <c r="A10076" s="26">
        <v>1022376498</v>
      </c>
      <c r="B10076" s="29" t="s">
        <v>12295</v>
      </c>
      <c r="C10076" s="29" t="s">
        <v>26112</v>
      </c>
      <c r="D10076" s="29" t="s">
        <v>39557</v>
      </c>
      <c r="E10076" s="29" t="s">
        <v>51413</v>
      </c>
      <c r="F10076" s="36" t="s">
        <v>54401</v>
      </c>
      <c r="G10076" s="39">
        <v>4439964</v>
      </c>
      <c r="H10076" s="42">
        <v>211</v>
      </c>
    </row>
    <row r="10077" spans="1:8" ht="15" customHeight="1">
      <c r="A10077" s="26">
        <v>1022386925</v>
      </c>
      <c r="B10077" s="29" t="s">
        <v>12296</v>
      </c>
      <c r="C10077" s="29" t="s">
        <v>26113</v>
      </c>
      <c r="D10077" s="29" t="s">
        <v>39558</v>
      </c>
      <c r="E10077" s="29" t="s">
        <v>51414</v>
      </c>
      <c r="F10077" s="36" t="s">
        <v>54402</v>
      </c>
      <c r="G10077" s="39">
        <v>2724001</v>
      </c>
      <c r="H10077" s="42">
        <v>211</v>
      </c>
    </row>
    <row r="10078" spans="1:8" ht="15" customHeight="1">
      <c r="A10078" s="26">
        <v>1022409108</v>
      </c>
      <c r="B10078" s="29" t="s">
        <v>12297</v>
      </c>
      <c r="C10078" s="29" t="s">
        <v>26114</v>
      </c>
      <c r="D10078" s="29" t="s">
        <v>39559</v>
      </c>
      <c r="E10078" s="29" t="s">
        <v>45285</v>
      </c>
      <c r="F10078" s="36" t="s">
        <v>54401</v>
      </c>
      <c r="G10078" s="39">
        <v>1783352.75</v>
      </c>
      <c r="H10078" s="42">
        <v>211</v>
      </c>
    </row>
    <row r="10079" spans="1:8" ht="15" customHeight="1">
      <c r="A10079" s="26">
        <v>1022411607</v>
      </c>
      <c r="B10079" s="29" t="s">
        <v>12298</v>
      </c>
      <c r="C10079" s="29" t="s">
        <v>26115</v>
      </c>
      <c r="D10079" s="29" t="s">
        <v>39560</v>
      </c>
      <c r="E10079" s="29" t="s">
        <v>51415</v>
      </c>
      <c r="F10079" s="36" t="s">
        <v>54401</v>
      </c>
      <c r="G10079" s="39">
        <v>2496473.81</v>
      </c>
      <c r="H10079" s="42">
        <v>211</v>
      </c>
    </row>
    <row r="10080" spans="1:8" ht="15" customHeight="1">
      <c r="A10080" s="26">
        <v>1022439843</v>
      </c>
      <c r="B10080" s="29" t="s">
        <v>12299</v>
      </c>
      <c r="C10080" s="29" t="s">
        <v>26116</v>
      </c>
      <c r="D10080" s="29" t="s">
        <v>39561</v>
      </c>
      <c r="E10080" s="29" t="s">
        <v>51416</v>
      </c>
      <c r="F10080" s="36" t="s">
        <v>54401</v>
      </c>
      <c r="G10080" s="39">
        <v>695547.44</v>
      </c>
      <c r="H10080" s="42">
        <v>211</v>
      </c>
    </row>
    <row r="10081" spans="1:8" ht="15" customHeight="1">
      <c r="A10081" s="26">
        <v>1022441048</v>
      </c>
      <c r="B10081" s="29" t="s">
        <v>12300</v>
      </c>
      <c r="C10081" s="29" t="s">
        <v>26117</v>
      </c>
      <c r="D10081" s="29" t="s">
        <v>39562</v>
      </c>
      <c r="E10081" s="29" t="s">
        <v>51417</v>
      </c>
      <c r="F10081" s="36" t="s">
        <v>54401</v>
      </c>
      <c r="G10081" s="39">
        <v>404074.4</v>
      </c>
      <c r="H10081" s="42">
        <v>211</v>
      </c>
    </row>
    <row r="10082" spans="1:8" ht="15" customHeight="1">
      <c r="A10082" s="26">
        <v>1022443226</v>
      </c>
      <c r="B10082" s="29" t="s">
        <v>12301</v>
      </c>
      <c r="C10082" s="29" t="s">
        <v>26118</v>
      </c>
      <c r="D10082" s="29" t="s">
        <v>39563</v>
      </c>
      <c r="E10082" s="29" t="s">
        <v>47690</v>
      </c>
      <c r="F10082" s="36" t="s">
        <v>54401</v>
      </c>
      <c r="G10082" s="39">
        <v>313857.36</v>
      </c>
      <c r="H10082" s="42">
        <v>211</v>
      </c>
    </row>
    <row r="10083" spans="1:8" ht="15" customHeight="1">
      <c r="A10083" s="26">
        <v>1022928954</v>
      </c>
      <c r="B10083" s="29" t="s">
        <v>12302</v>
      </c>
      <c r="C10083" s="29" t="s">
        <v>26119</v>
      </c>
      <c r="D10083" s="29" t="s">
        <v>39564</v>
      </c>
      <c r="E10083" s="29" t="s">
        <v>51418</v>
      </c>
      <c r="F10083" s="36" t="s">
        <v>54401</v>
      </c>
      <c r="G10083" s="39">
        <v>180677.18</v>
      </c>
      <c r="H10083" s="42">
        <v>211</v>
      </c>
    </row>
    <row r="10084" spans="1:8" ht="15" customHeight="1">
      <c r="A10084" s="26">
        <v>1022934907</v>
      </c>
      <c r="B10084" s="29" t="s">
        <v>12303</v>
      </c>
      <c r="C10084" s="29" t="s">
        <v>26120</v>
      </c>
      <c r="D10084" s="29" t="s">
        <v>39565</v>
      </c>
      <c r="E10084" s="29" t="s">
        <v>51419</v>
      </c>
      <c r="F10084" s="36" t="s">
        <v>54412</v>
      </c>
      <c r="G10084" s="39">
        <v>1991703</v>
      </c>
      <c r="H10084" s="42">
        <v>211</v>
      </c>
    </row>
    <row r="10085" spans="1:8" ht="15" customHeight="1">
      <c r="A10085" s="26">
        <v>1022960494</v>
      </c>
      <c r="B10085" s="29" t="s">
        <v>12304</v>
      </c>
      <c r="C10085" s="29" t="s">
        <v>26121</v>
      </c>
      <c r="D10085" s="29" t="s">
        <v>39566</v>
      </c>
      <c r="E10085" s="29" t="s">
        <v>45178</v>
      </c>
      <c r="F10085" s="36" t="s">
        <v>54401</v>
      </c>
      <c r="G10085" s="39">
        <v>696581.29</v>
      </c>
      <c r="H10085" s="42">
        <v>211</v>
      </c>
    </row>
    <row r="10086" spans="1:8" ht="15" customHeight="1">
      <c r="A10086" s="26">
        <v>1022991780</v>
      </c>
      <c r="B10086" s="29" t="s">
        <v>12305</v>
      </c>
      <c r="C10086" s="29" t="s">
        <v>26122</v>
      </c>
      <c r="D10086" s="29" t="s">
        <v>39567</v>
      </c>
      <c r="E10086" s="29" t="s">
        <v>51420</v>
      </c>
      <c r="F10086" s="36" t="s">
        <v>54401</v>
      </c>
      <c r="G10086" s="39">
        <v>440894.58</v>
      </c>
      <c r="H10086" s="42">
        <v>211</v>
      </c>
    </row>
    <row r="10087" spans="1:8" ht="15" customHeight="1">
      <c r="A10087" s="26">
        <v>1022998083</v>
      </c>
      <c r="B10087" s="29" t="s">
        <v>12306</v>
      </c>
      <c r="C10087" s="26" t="s">
        <v>17204</v>
      </c>
      <c r="D10087" s="26" t="s">
        <v>30349</v>
      </c>
      <c r="E10087" s="26" t="s">
        <v>43926</v>
      </c>
      <c r="F10087" s="37" t="s">
        <v>54401</v>
      </c>
      <c r="G10087" s="39">
        <v>147336.54</v>
      </c>
      <c r="H10087" s="42">
        <v>211</v>
      </c>
    </row>
    <row r="10088" spans="1:8" ht="15" customHeight="1">
      <c r="A10088" s="26">
        <v>1023003349</v>
      </c>
      <c r="B10088" s="29" t="s">
        <v>12307</v>
      </c>
      <c r="C10088" s="29" t="s">
        <v>26123</v>
      </c>
      <c r="D10088" s="29" t="s">
        <v>39568</v>
      </c>
      <c r="E10088" s="29" t="s">
        <v>51421</v>
      </c>
      <c r="F10088" s="36" t="s">
        <v>54401</v>
      </c>
      <c r="G10088" s="39">
        <v>5116059.51</v>
      </c>
      <c r="H10088" s="42">
        <v>211</v>
      </c>
    </row>
    <row r="10089" spans="1:8" ht="15" customHeight="1">
      <c r="A10089" s="26">
        <v>1023033892</v>
      </c>
      <c r="B10089" s="29" t="s">
        <v>12308</v>
      </c>
      <c r="C10089" s="26" t="s">
        <v>26124</v>
      </c>
      <c r="D10089" s="26" t="s">
        <v>39569</v>
      </c>
      <c r="E10089" s="26" t="s">
        <v>51422</v>
      </c>
      <c r="F10089" s="37" t="s">
        <v>54401</v>
      </c>
      <c r="G10089" s="39">
        <v>1084521.55</v>
      </c>
      <c r="H10089" s="42">
        <v>211</v>
      </c>
    </row>
    <row r="10090" spans="1:8" ht="15" customHeight="1">
      <c r="A10090" s="26">
        <v>1023870527</v>
      </c>
      <c r="B10090" s="29" t="s">
        <v>12309</v>
      </c>
      <c r="C10090" s="26" t="s">
        <v>17204</v>
      </c>
      <c r="D10090" s="26" t="s">
        <v>39570</v>
      </c>
      <c r="E10090" s="26" t="s">
        <v>51423</v>
      </c>
      <c r="F10090" s="37" t="s">
        <v>54420</v>
      </c>
      <c r="G10090" s="39">
        <v>1662800.12</v>
      </c>
      <c r="H10090" s="42">
        <v>211</v>
      </c>
    </row>
    <row r="10091" spans="1:8" ht="15" customHeight="1">
      <c r="A10091" s="26">
        <v>1023874222</v>
      </c>
      <c r="B10091" s="29" t="s">
        <v>12310</v>
      </c>
      <c r="C10091" s="26" t="s">
        <v>26125</v>
      </c>
      <c r="D10091" s="26" t="s">
        <v>39571</v>
      </c>
      <c r="E10091" s="26" t="s">
        <v>51424</v>
      </c>
      <c r="F10091" s="37" t="s">
        <v>54401</v>
      </c>
      <c r="G10091" s="39">
        <v>169781.28</v>
      </c>
      <c r="H10091" s="42">
        <v>211</v>
      </c>
    </row>
    <row r="10092" spans="1:8" ht="15" customHeight="1">
      <c r="A10092" s="26">
        <v>1023885430</v>
      </c>
      <c r="B10092" s="29" t="s">
        <v>12311</v>
      </c>
      <c r="C10092" s="29" t="s">
        <v>26126</v>
      </c>
      <c r="D10092" s="29" t="s">
        <v>39572</v>
      </c>
      <c r="E10092" s="29" t="s">
        <v>51425</v>
      </c>
      <c r="F10092" s="36" t="s">
        <v>54401</v>
      </c>
      <c r="G10092" s="39">
        <v>4211322</v>
      </c>
      <c r="H10092" s="42">
        <v>211</v>
      </c>
    </row>
    <row r="10093" spans="1:8" ht="15" customHeight="1">
      <c r="A10093" s="26">
        <v>1023887448</v>
      </c>
      <c r="B10093" s="29" t="s">
        <v>12312</v>
      </c>
      <c r="C10093" s="26" t="s">
        <v>17204</v>
      </c>
      <c r="D10093" s="26" t="s">
        <v>30349</v>
      </c>
      <c r="E10093" s="26" t="s">
        <v>43926</v>
      </c>
      <c r="F10093" s="37" t="s">
        <v>54401</v>
      </c>
      <c r="G10093" s="39">
        <v>63162.18</v>
      </c>
      <c r="H10093" s="42">
        <v>211</v>
      </c>
    </row>
    <row r="10094" spans="1:8" ht="15" customHeight="1">
      <c r="A10094" s="26">
        <v>1023888006</v>
      </c>
      <c r="B10094" s="29" t="s">
        <v>12313</v>
      </c>
      <c r="C10094" s="29" t="s">
        <v>26127</v>
      </c>
      <c r="D10094" s="29" t="s">
        <v>39573</v>
      </c>
      <c r="E10094" s="29" t="s">
        <v>51426</v>
      </c>
      <c r="F10094" s="36" t="s">
        <v>54401</v>
      </c>
      <c r="G10094" s="39">
        <v>143177.13</v>
      </c>
      <c r="H10094" s="42">
        <v>211</v>
      </c>
    </row>
    <row r="10095" spans="1:8" ht="15" customHeight="1">
      <c r="A10095" s="26">
        <v>1023895813</v>
      </c>
      <c r="B10095" s="29" t="s">
        <v>12314</v>
      </c>
      <c r="C10095" s="29" t="s">
        <v>26128</v>
      </c>
      <c r="D10095" s="29" t="s">
        <v>39574</v>
      </c>
      <c r="E10095" s="29" t="s">
        <v>51427</v>
      </c>
      <c r="F10095" s="36" t="s">
        <v>54401</v>
      </c>
      <c r="G10095" s="39">
        <v>2327270.0699999998</v>
      </c>
      <c r="H10095" s="42">
        <v>211</v>
      </c>
    </row>
    <row r="10096" spans="1:8" ht="15" customHeight="1">
      <c r="A10096" s="26">
        <v>1023911403</v>
      </c>
      <c r="B10096" s="29" t="s">
        <v>12315</v>
      </c>
      <c r="C10096" s="29" t="s">
        <v>26129</v>
      </c>
      <c r="D10096" s="29" t="s">
        <v>39575</v>
      </c>
      <c r="E10096" s="29" t="s">
        <v>51428</v>
      </c>
      <c r="F10096" s="36" t="s">
        <v>54401</v>
      </c>
      <c r="G10096" s="39">
        <v>33176.47</v>
      </c>
      <c r="H10096" s="42">
        <v>211</v>
      </c>
    </row>
    <row r="10097" spans="1:8" ht="15" customHeight="1">
      <c r="A10097" s="26">
        <v>1023930971</v>
      </c>
      <c r="B10097" s="29" t="s">
        <v>12316</v>
      </c>
      <c r="C10097" s="29" t="s">
        <v>26130</v>
      </c>
      <c r="D10097" s="29" t="s">
        <v>39576</v>
      </c>
      <c r="E10097" s="29" t="s">
        <v>51429</v>
      </c>
      <c r="F10097" s="36" t="s">
        <v>54401</v>
      </c>
      <c r="G10097" s="39">
        <v>267202.8</v>
      </c>
      <c r="H10097" s="42">
        <v>211</v>
      </c>
    </row>
    <row r="10098" spans="1:8" ht="15" customHeight="1">
      <c r="A10098" s="26">
        <v>1023943060</v>
      </c>
      <c r="B10098" s="29" t="s">
        <v>12317</v>
      </c>
      <c r="C10098" s="29" t="s">
        <v>26131</v>
      </c>
      <c r="D10098" s="29" t="s">
        <v>30349</v>
      </c>
      <c r="E10098" s="29" t="s">
        <v>43926</v>
      </c>
      <c r="F10098" s="36" t="s">
        <v>54401</v>
      </c>
      <c r="G10098" s="39">
        <v>313574.92</v>
      </c>
      <c r="H10098" s="42">
        <v>211</v>
      </c>
    </row>
    <row r="10099" spans="1:8" ht="15" customHeight="1">
      <c r="A10099" s="26">
        <v>1024466373</v>
      </c>
      <c r="B10099" s="29" t="s">
        <v>12318</v>
      </c>
      <c r="C10099" s="29" t="s">
        <v>26132</v>
      </c>
      <c r="D10099" s="29" t="s">
        <v>39577</v>
      </c>
      <c r="E10099" s="29" t="s">
        <v>44264</v>
      </c>
      <c r="F10099" s="36" t="s">
        <v>54409</v>
      </c>
      <c r="G10099" s="39">
        <v>3819362.63</v>
      </c>
      <c r="H10099" s="42">
        <v>211</v>
      </c>
    </row>
    <row r="10100" spans="1:8" ht="15" customHeight="1">
      <c r="A10100" s="26">
        <v>1024477344</v>
      </c>
      <c r="B10100" s="29" t="s">
        <v>12319</v>
      </c>
      <c r="C10100" s="29" t="s">
        <v>26133</v>
      </c>
      <c r="D10100" s="29" t="s">
        <v>39578</v>
      </c>
      <c r="E10100" s="29" t="s">
        <v>51430</v>
      </c>
      <c r="F10100" s="36" t="s">
        <v>54463</v>
      </c>
      <c r="G10100" s="39">
        <v>437256.29</v>
      </c>
      <c r="H10100" s="42">
        <v>211</v>
      </c>
    </row>
    <row r="10101" spans="1:8" ht="15" customHeight="1">
      <c r="A10101" s="26">
        <v>1024478165</v>
      </c>
      <c r="B10101" s="29" t="s">
        <v>12320</v>
      </c>
      <c r="C10101" s="29" t="s">
        <v>26134</v>
      </c>
      <c r="D10101" s="29" t="s">
        <v>39579</v>
      </c>
      <c r="E10101" s="29" t="s">
        <v>47887</v>
      </c>
      <c r="F10101" s="36" t="s">
        <v>54401</v>
      </c>
      <c r="G10101" s="39">
        <v>25358.71</v>
      </c>
      <c r="H10101" s="42">
        <v>211</v>
      </c>
    </row>
    <row r="10102" spans="1:8" ht="15" customHeight="1">
      <c r="A10102" s="26">
        <v>1024489969</v>
      </c>
      <c r="B10102" s="29" t="s">
        <v>12321</v>
      </c>
      <c r="C10102" s="29" t="s">
        <v>26135</v>
      </c>
      <c r="D10102" s="29" t="s">
        <v>39580</v>
      </c>
      <c r="E10102" s="29" t="s">
        <v>51431</v>
      </c>
      <c r="F10102" s="36" t="s">
        <v>54401</v>
      </c>
      <c r="G10102" s="39">
        <v>2708711</v>
      </c>
      <c r="H10102" s="42">
        <v>211</v>
      </c>
    </row>
    <row r="10103" spans="1:8" ht="15" customHeight="1">
      <c r="A10103" s="26">
        <v>1024520801</v>
      </c>
      <c r="B10103" s="29" t="s">
        <v>12322</v>
      </c>
      <c r="C10103" s="29" t="s">
        <v>26136</v>
      </c>
      <c r="D10103" s="29" t="s">
        <v>39581</v>
      </c>
      <c r="E10103" s="29" t="s">
        <v>48961</v>
      </c>
      <c r="F10103" s="36" t="s">
        <v>54401</v>
      </c>
      <c r="G10103" s="39">
        <v>4442903</v>
      </c>
      <c r="H10103" s="42">
        <v>211</v>
      </c>
    </row>
    <row r="10104" spans="1:8" ht="15" customHeight="1">
      <c r="A10104" s="26">
        <v>1024523847</v>
      </c>
      <c r="B10104" s="29" t="s">
        <v>12323</v>
      </c>
      <c r="C10104" s="29" t="s">
        <v>26137</v>
      </c>
      <c r="D10104" s="29" t="s">
        <v>39582</v>
      </c>
      <c r="E10104" s="29" t="s">
        <v>51432</v>
      </c>
      <c r="F10104" s="36" t="s">
        <v>54401</v>
      </c>
      <c r="G10104" s="39">
        <v>1289711.8700000001</v>
      </c>
      <c r="H10104" s="42">
        <v>211</v>
      </c>
    </row>
    <row r="10105" spans="1:8" ht="15" customHeight="1">
      <c r="A10105" s="26">
        <v>1024550499</v>
      </c>
      <c r="B10105" s="29" t="s">
        <v>12324</v>
      </c>
      <c r="C10105" s="29" t="s">
        <v>26138</v>
      </c>
      <c r="D10105" s="29" t="s">
        <v>39583</v>
      </c>
      <c r="E10105" s="29" t="s">
        <v>51433</v>
      </c>
      <c r="F10105" s="36" t="s">
        <v>54401</v>
      </c>
      <c r="G10105" s="39">
        <v>5204101.1399999997</v>
      </c>
      <c r="H10105" s="42">
        <v>211</v>
      </c>
    </row>
    <row r="10106" spans="1:8" ht="15" customHeight="1">
      <c r="A10106" s="26">
        <v>1024562086</v>
      </c>
      <c r="B10106" s="29" t="s">
        <v>12325</v>
      </c>
      <c r="C10106" s="29" t="s">
        <v>26139</v>
      </c>
      <c r="D10106" s="29" t="s">
        <v>39584</v>
      </c>
      <c r="E10106" s="29" t="s">
        <v>51434</v>
      </c>
      <c r="F10106" s="36" t="s">
        <v>54401</v>
      </c>
      <c r="G10106" s="39">
        <v>2742643</v>
      </c>
      <c r="H10106" s="42">
        <v>211</v>
      </c>
    </row>
    <row r="10107" spans="1:8" ht="15" customHeight="1">
      <c r="A10107" s="26">
        <v>1024564954</v>
      </c>
      <c r="B10107" s="29" t="s">
        <v>12326</v>
      </c>
      <c r="C10107" s="29" t="s">
        <v>17204</v>
      </c>
      <c r="D10107" s="29" t="s">
        <v>39585</v>
      </c>
      <c r="E10107" s="29" t="s">
        <v>43926</v>
      </c>
      <c r="F10107" s="36" t="s">
        <v>54401</v>
      </c>
      <c r="G10107" s="39">
        <v>250327.38</v>
      </c>
      <c r="H10107" s="42">
        <v>211</v>
      </c>
    </row>
    <row r="10108" spans="1:8" ht="15" customHeight="1">
      <c r="A10108" s="26">
        <v>1024580116</v>
      </c>
      <c r="B10108" s="29" t="s">
        <v>12327</v>
      </c>
      <c r="C10108" s="29" t="s">
        <v>17204</v>
      </c>
      <c r="D10108" s="29" t="s">
        <v>39586</v>
      </c>
      <c r="E10108" s="29" t="s">
        <v>43926</v>
      </c>
      <c r="F10108" s="36" t="s">
        <v>54401</v>
      </c>
      <c r="G10108" s="39">
        <v>26631.49</v>
      </c>
      <c r="H10108" s="42">
        <v>211</v>
      </c>
    </row>
    <row r="10109" spans="1:8" ht="15" customHeight="1">
      <c r="A10109" s="26">
        <v>1026190177</v>
      </c>
      <c r="B10109" s="29" t="s">
        <v>12328</v>
      </c>
      <c r="C10109" s="29" t="s">
        <v>26140</v>
      </c>
      <c r="D10109" s="29" t="s">
        <v>39587</v>
      </c>
      <c r="E10109" s="29" t="s">
        <v>51435</v>
      </c>
      <c r="F10109" s="36" t="s">
        <v>54401</v>
      </c>
      <c r="G10109" s="39">
        <v>399992.62</v>
      </c>
      <c r="H10109" s="42">
        <v>211</v>
      </c>
    </row>
    <row r="10110" spans="1:8" ht="15" customHeight="1">
      <c r="A10110" s="26">
        <v>1026255231</v>
      </c>
      <c r="B10110" s="29" t="s">
        <v>12329</v>
      </c>
      <c r="C10110" s="29" t="s">
        <v>26141</v>
      </c>
      <c r="D10110" s="29" t="s">
        <v>39588</v>
      </c>
      <c r="E10110" s="29" t="s">
        <v>51436</v>
      </c>
      <c r="F10110" s="36" t="s">
        <v>54401</v>
      </c>
      <c r="G10110" s="39">
        <v>317651.7</v>
      </c>
      <c r="H10110" s="42">
        <v>211</v>
      </c>
    </row>
    <row r="10111" spans="1:8" ht="15" customHeight="1">
      <c r="A10111" s="26">
        <v>1026262031</v>
      </c>
      <c r="B10111" s="29" t="s">
        <v>12330</v>
      </c>
      <c r="C10111" s="29" t="s">
        <v>26142</v>
      </c>
      <c r="D10111" s="29" t="s">
        <v>39589</v>
      </c>
      <c r="E10111" s="29" t="s">
        <v>51437</v>
      </c>
      <c r="F10111" s="36" t="s">
        <v>54401</v>
      </c>
      <c r="G10111" s="39">
        <v>166082.26</v>
      </c>
      <c r="H10111" s="42">
        <v>211</v>
      </c>
    </row>
    <row r="10112" spans="1:8" ht="15" customHeight="1">
      <c r="A10112" s="26">
        <v>1026267087</v>
      </c>
      <c r="B10112" s="29" t="s">
        <v>12331</v>
      </c>
      <c r="C10112" s="29" t="s">
        <v>26143</v>
      </c>
      <c r="D10112" s="29" t="s">
        <v>39590</v>
      </c>
      <c r="E10112" s="29" t="s">
        <v>51438</v>
      </c>
      <c r="F10112" s="36" t="s">
        <v>54401</v>
      </c>
      <c r="G10112" s="39">
        <v>384132.07</v>
      </c>
      <c r="H10112" s="42">
        <v>211</v>
      </c>
    </row>
    <row r="10113" spans="1:8" ht="15" customHeight="1">
      <c r="A10113" s="26">
        <v>1026268079</v>
      </c>
      <c r="B10113" s="29" t="s">
        <v>12332</v>
      </c>
      <c r="C10113" s="29" t="s">
        <v>26144</v>
      </c>
      <c r="D10113" s="29" t="s">
        <v>39591</v>
      </c>
      <c r="E10113" s="29" t="s">
        <v>45368</v>
      </c>
      <c r="F10113" s="36" t="s">
        <v>54401</v>
      </c>
      <c r="G10113" s="39">
        <v>9793.43</v>
      </c>
      <c r="H10113" s="42">
        <v>211</v>
      </c>
    </row>
    <row r="10114" spans="1:8" ht="15" customHeight="1">
      <c r="A10114" s="26">
        <v>1026270127</v>
      </c>
      <c r="B10114" s="29" t="s">
        <v>12333</v>
      </c>
      <c r="C10114" s="29" t="s">
        <v>26145</v>
      </c>
      <c r="D10114" s="29" t="s">
        <v>39592</v>
      </c>
      <c r="E10114" s="29" t="s">
        <v>51439</v>
      </c>
      <c r="F10114" s="36" t="s">
        <v>54401</v>
      </c>
      <c r="G10114" s="39">
        <v>5888831.8200000003</v>
      </c>
      <c r="H10114" s="42">
        <v>211</v>
      </c>
    </row>
    <row r="10115" spans="1:8" ht="15" customHeight="1">
      <c r="A10115" s="26">
        <v>1026278900</v>
      </c>
      <c r="B10115" s="29" t="s">
        <v>12334</v>
      </c>
      <c r="C10115" s="29" t="s">
        <v>17204</v>
      </c>
      <c r="D10115" s="29" t="s">
        <v>30349</v>
      </c>
      <c r="E10115" s="29" t="s">
        <v>43926</v>
      </c>
      <c r="F10115" s="36" t="s">
        <v>54401</v>
      </c>
      <c r="G10115" s="39">
        <v>79844.039999999994</v>
      </c>
      <c r="H10115" s="42">
        <v>211</v>
      </c>
    </row>
    <row r="10116" spans="1:8" ht="15" customHeight="1">
      <c r="A10116" s="26">
        <v>1026279211</v>
      </c>
      <c r="B10116" s="29" t="s">
        <v>12335</v>
      </c>
      <c r="C10116" s="29" t="s">
        <v>26146</v>
      </c>
      <c r="D10116" s="29" t="s">
        <v>39593</v>
      </c>
      <c r="E10116" s="29" t="s">
        <v>43926</v>
      </c>
      <c r="F10116" s="36" t="s">
        <v>54401</v>
      </c>
      <c r="G10116" s="39">
        <v>1872753.67</v>
      </c>
      <c r="H10116" s="42">
        <v>211</v>
      </c>
    </row>
    <row r="10117" spans="1:8" ht="15" customHeight="1">
      <c r="A10117" s="26">
        <v>1026281730</v>
      </c>
      <c r="B10117" s="29" t="s">
        <v>12336</v>
      </c>
      <c r="C10117" s="29" t="s">
        <v>26147</v>
      </c>
      <c r="D10117" s="29" t="s">
        <v>39594</v>
      </c>
      <c r="E10117" s="29" t="s">
        <v>51437</v>
      </c>
      <c r="F10117" s="36" t="s">
        <v>54401</v>
      </c>
      <c r="G10117" s="39">
        <v>3228741.41</v>
      </c>
      <c r="H10117" s="42">
        <v>211</v>
      </c>
    </row>
    <row r="10118" spans="1:8" ht="15" customHeight="1">
      <c r="A10118" s="26">
        <v>1026286959</v>
      </c>
      <c r="B10118" s="29" t="s">
        <v>12337</v>
      </c>
      <c r="C10118" s="29" t="s">
        <v>26148</v>
      </c>
      <c r="D10118" s="29" t="s">
        <v>39595</v>
      </c>
      <c r="E10118" s="29" t="s">
        <v>51440</v>
      </c>
      <c r="F10118" s="36" t="s">
        <v>54401</v>
      </c>
      <c r="G10118" s="39">
        <v>315874.37</v>
      </c>
      <c r="H10118" s="42">
        <v>211</v>
      </c>
    </row>
    <row r="10119" spans="1:8" ht="15" customHeight="1">
      <c r="A10119" s="26">
        <v>1026289618</v>
      </c>
      <c r="B10119" s="29" t="s">
        <v>12338</v>
      </c>
      <c r="C10119" s="29" t="s">
        <v>26149</v>
      </c>
      <c r="D10119" s="29" t="s">
        <v>39596</v>
      </c>
      <c r="E10119" s="29" t="s">
        <v>51441</v>
      </c>
      <c r="F10119" s="36" t="s">
        <v>54401</v>
      </c>
      <c r="G10119" s="39">
        <v>1788314.98</v>
      </c>
      <c r="H10119" s="42">
        <v>211</v>
      </c>
    </row>
    <row r="10120" spans="1:8" ht="15" customHeight="1">
      <c r="A10120" s="26">
        <v>1026292039</v>
      </c>
      <c r="B10120" s="29" t="s">
        <v>12339</v>
      </c>
      <c r="C10120" s="29" t="s">
        <v>26150</v>
      </c>
      <c r="D10120" s="29" t="s">
        <v>39597</v>
      </c>
      <c r="E10120" s="29" t="s">
        <v>44942</v>
      </c>
      <c r="F10120" s="36" t="s">
        <v>54401</v>
      </c>
      <c r="G10120" s="39">
        <v>688883.56</v>
      </c>
      <c r="H10120" s="42">
        <v>211</v>
      </c>
    </row>
    <row r="10121" spans="1:8" ht="15" customHeight="1">
      <c r="A10121" s="26">
        <v>1026293783</v>
      </c>
      <c r="B10121" s="29" t="s">
        <v>12340</v>
      </c>
      <c r="C10121" s="29" t="s">
        <v>26151</v>
      </c>
      <c r="D10121" s="29" t="s">
        <v>39598</v>
      </c>
      <c r="E10121" s="29" t="s">
        <v>51442</v>
      </c>
      <c r="F10121" s="36" t="s">
        <v>54401</v>
      </c>
      <c r="G10121" s="39">
        <v>325435.38</v>
      </c>
      <c r="H10121" s="42">
        <v>211</v>
      </c>
    </row>
    <row r="10122" spans="1:8" ht="15" customHeight="1">
      <c r="A10122" s="26">
        <v>1026296696</v>
      </c>
      <c r="B10122" s="29" t="s">
        <v>12341</v>
      </c>
      <c r="C10122" s="29" t="s">
        <v>26152</v>
      </c>
      <c r="D10122" s="29" t="s">
        <v>39599</v>
      </c>
      <c r="E10122" s="29" t="s">
        <v>51443</v>
      </c>
      <c r="F10122" s="36" t="s">
        <v>54401</v>
      </c>
      <c r="G10122" s="39">
        <v>97080</v>
      </c>
      <c r="H10122" s="42">
        <v>211</v>
      </c>
    </row>
    <row r="10123" spans="1:8" ht="15" customHeight="1">
      <c r="A10123" s="26">
        <v>1026301013</v>
      </c>
      <c r="B10123" s="29" t="s">
        <v>12342</v>
      </c>
      <c r="C10123" s="29" t="s">
        <v>17204</v>
      </c>
      <c r="D10123" s="29" t="s">
        <v>39600</v>
      </c>
      <c r="E10123" s="29" t="s">
        <v>43926</v>
      </c>
      <c r="F10123" s="36" t="s">
        <v>54401</v>
      </c>
      <c r="G10123" s="39">
        <v>95190.61</v>
      </c>
      <c r="H10123" s="42">
        <v>211</v>
      </c>
    </row>
    <row r="10124" spans="1:8" ht="15" customHeight="1">
      <c r="A10124" s="26">
        <v>1026304825</v>
      </c>
      <c r="B10124" s="29" t="s">
        <v>12343</v>
      </c>
      <c r="C10124" s="29" t="s">
        <v>26153</v>
      </c>
      <c r="D10124" s="29" t="s">
        <v>39601</v>
      </c>
      <c r="E10124" s="29" t="s">
        <v>51444</v>
      </c>
      <c r="F10124" s="36" t="s">
        <v>54401</v>
      </c>
      <c r="G10124" s="39">
        <v>109826.89</v>
      </c>
      <c r="H10124" s="42">
        <v>211</v>
      </c>
    </row>
    <row r="10125" spans="1:8" ht="15" customHeight="1">
      <c r="A10125" s="26">
        <v>1026551135</v>
      </c>
      <c r="B10125" s="29" t="s">
        <v>12344</v>
      </c>
      <c r="C10125" s="29" t="s">
        <v>26154</v>
      </c>
      <c r="D10125" s="29" t="s">
        <v>39602</v>
      </c>
      <c r="E10125" s="29" t="s">
        <v>51445</v>
      </c>
      <c r="F10125" s="36" t="s">
        <v>54409</v>
      </c>
      <c r="G10125" s="39">
        <v>2203145.77</v>
      </c>
      <c r="H10125" s="42">
        <v>211</v>
      </c>
    </row>
    <row r="10126" spans="1:8" ht="15" customHeight="1">
      <c r="A10126" s="26">
        <v>1026558478</v>
      </c>
      <c r="B10126" s="29" t="s">
        <v>12345</v>
      </c>
      <c r="C10126" s="29" t="s">
        <v>26155</v>
      </c>
      <c r="D10126" s="29" t="s">
        <v>39603</v>
      </c>
      <c r="E10126" s="29" t="s">
        <v>45832</v>
      </c>
      <c r="F10126" s="36" t="s">
        <v>54401</v>
      </c>
      <c r="G10126" s="39">
        <v>2605757.6800000002</v>
      </c>
      <c r="H10126" s="42">
        <v>211</v>
      </c>
    </row>
    <row r="10127" spans="1:8" ht="15" customHeight="1">
      <c r="A10127" s="26">
        <v>1026563181</v>
      </c>
      <c r="B10127" s="29" t="s">
        <v>12346</v>
      </c>
      <c r="C10127" s="29" t="s">
        <v>26156</v>
      </c>
      <c r="D10127" s="29" t="s">
        <v>39604</v>
      </c>
      <c r="E10127" s="29" t="s">
        <v>51446</v>
      </c>
      <c r="F10127" s="36" t="s">
        <v>54401</v>
      </c>
      <c r="G10127" s="39">
        <v>1806769.02</v>
      </c>
      <c r="H10127" s="42">
        <v>211</v>
      </c>
    </row>
    <row r="10128" spans="1:8" ht="15" customHeight="1">
      <c r="A10128" s="26">
        <v>1026567942</v>
      </c>
      <c r="B10128" s="29" t="s">
        <v>12347</v>
      </c>
      <c r="C10128" s="29" t="s">
        <v>17204</v>
      </c>
      <c r="D10128" s="29" t="s">
        <v>39605</v>
      </c>
      <c r="E10128" s="29" t="s">
        <v>43926</v>
      </c>
      <c r="F10128" s="36" t="s">
        <v>54401</v>
      </c>
      <c r="G10128" s="39">
        <v>10818.49</v>
      </c>
      <c r="H10128" s="42">
        <v>211</v>
      </c>
    </row>
    <row r="10129" spans="1:8" ht="15" customHeight="1">
      <c r="A10129" s="26">
        <v>1026568491</v>
      </c>
      <c r="B10129" s="29" t="s">
        <v>12348</v>
      </c>
      <c r="C10129" s="29" t="s">
        <v>17204</v>
      </c>
      <c r="D10129" s="29" t="s">
        <v>32828</v>
      </c>
      <c r="E10129" s="29" t="s">
        <v>43926</v>
      </c>
      <c r="F10129" s="36" t="s">
        <v>54401</v>
      </c>
      <c r="G10129" s="39">
        <v>579498.41</v>
      </c>
      <c r="H10129" s="42">
        <v>211</v>
      </c>
    </row>
    <row r="10130" spans="1:8" ht="15" customHeight="1">
      <c r="A10130" s="26">
        <v>1026569417</v>
      </c>
      <c r="B10130" s="29" t="s">
        <v>12349</v>
      </c>
      <c r="C10130" s="29" t="s">
        <v>26157</v>
      </c>
      <c r="D10130" s="29" t="s">
        <v>39606</v>
      </c>
      <c r="E10130" s="29" t="s">
        <v>51447</v>
      </c>
      <c r="F10130" s="36" t="s">
        <v>54401</v>
      </c>
      <c r="G10130" s="39">
        <v>5220409</v>
      </c>
      <c r="H10130" s="42">
        <v>211</v>
      </c>
    </row>
    <row r="10131" spans="1:8" ht="15" customHeight="1">
      <c r="A10131" s="26">
        <v>1026569559</v>
      </c>
      <c r="B10131" s="29" t="s">
        <v>12350</v>
      </c>
      <c r="C10131" s="29" t="s">
        <v>26158</v>
      </c>
      <c r="D10131" s="29" t="s">
        <v>39607</v>
      </c>
      <c r="E10131" s="29" t="s">
        <v>51448</v>
      </c>
      <c r="F10131" s="36" t="s">
        <v>54401</v>
      </c>
      <c r="G10131" s="39">
        <v>28156</v>
      </c>
      <c r="H10131" s="42">
        <v>211</v>
      </c>
    </row>
    <row r="10132" spans="1:8" ht="15" customHeight="1">
      <c r="A10132" s="26">
        <v>1026584151</v>
      </c>
      <c r="B10132" s="29" t="s">
        <v>12351</v>
      </c>
      <c r="C10132" s="29" t="s">
        <v>26159</v>
      </c>
      <c r="D10132" s="29" t="s">
        <v>39608</v>
      </c>
      <c r="E10132" s="29" t="s">
        <v>51449</v>
      </c>
      <c r="F10132" s="36" t="s">
        <v>54401</v>
      </c>
      <c r="G10132" s="39">
        <v>396595.43</v>
      </c>
      <c r="H10132" s="42">
        <v>211</v>
      </c>
    </row>
    <row r="10133" spans="1:8" ht="15" customHeight="1">
      <c r="A10133" s="26">
        <v>1026590009</v>
      </c>
      <c r="B10133" s="29" t="s">
        <v>12352</v>
      </c>
      <c r="C10133" s="29" t="s">
        <v>26160</v>
      </c>
      <c r="D10133" s="29" t="s">
        <v>39609</v>
      </c>
      <c r="E10133" s="29" t="s">
        <v>44313</v>
      </c>
      <c r="F10133" s="36" t="s">
        <v>54401</v>
      </c>
      <c r="G10133" s="39">
        <v>97146.63</v>
      </c>
      <c r="H10133" s="42">
        <v>211</v>
      </c>
    </row>
    <row r="10134" spans="1:8" ht="15" customHeight="1">
      <c r="A10134" s="26">
        <v>1026590177</v>
      </c>
      <c r="B10134" s="29" t="s">
        <v>12328</v>
      </c>
      <c r="C10134" s="29" t="s">
        <v>26140</v>
      </c>
      <c r="D10134" s="29" t="s">
        <v>39587</v>
      </c>
      <c r="E10134" s="29" t="s">
        <v>49494</v>
      </c>
      <c r="F10134" s="36" t="s">
        <v>54401</v>
      </c>
      <c r="G10134" s="39">
        <v>5718579.2400000002</v>
      </c>
      <c r="H10134" s="42">
        <v>211</v>
      </c>
    </row>
    <row r="10135" spans="1:8" ht="15" customHeight="1">
      <c r="A10135" s="26">
        <v>1028784080</v>
      </c>
      <c r="B10135" s="29" t="s">
        <v>12353</v>
      </c>
      <c r="C10135" s="29" t="s">
        <v>17204</v>
      </c>
      <c r="D10135" s="29" t="s">
        <v>30349</v>
      </c>
      <c r="E10135" s="29" t="s">
        <v>43926</v>
      </c>
      <c r="F10135" s="36" t="s">
        <v>54401</v>
      </c>
      <c r="G10135" s="39">
        <v>274350.46999999997</v>
      </c>
      <c r="H10135" s="42">
        <v>211</v>
      </c>
    </row>
    <row r="10136" spans="1:8" ht="15" customHeight="1">
      <c r="A10136" s="26">
        <v>1029642078</v>
      </c>
      <c r="B10136" s="29" t="s">
        <v>12354</v>
      </c>
      <c r="C10136" s="29" t="s">
        <v>26161</v>
      </c>
      <c r="D10136" s="29" t="s">
        <v>39610</v>
      </c>
      <c r="E10136" s="29" t="s">
        <v>51450</v>
      </c>
      <c r="F10136" s="36" t="s">
        <v>54401</v>
      </c>
      <c r="G10136" s="39">
        <v>185112.86</v>
      </c>
      <c r="H10136" s="42">
        <v>211</v>
      </c>
    </row>
    <row r="10137" spans="1:8" ht="15" customHeight="1">
      <c r="A10137" s="26">
        <v>1029642410</v>
      </c>
      <c r="B10137" s="29" t="s">
        <v>12355</v>
      </c>
      <c r="C10137" s="29" t="s">
        <v>26162</v>
      </c>
      <c r="D10137" s="29" t="s">
        <v>39611</v>
      </c>
      <c r="E10137" s="29" t="s">
        <v>51451</v>
      </c>
      <c r="F10137" s="36" t="s">
        <v>54401</v>
      </c>
      <c r="G10137" s="39">
        <v>2308927</v>
      </c>
      <c r="H10137" s="42">
        <v>211</v>
      </c>
    </row>
    <row r="10138" spans="1:8" ht="15" customHeight="1">
      <c r="A10138" s="26">
        <v>1029660790</v>
      </c>
      <c r="B10138" s="29" t="s">
        <v>12356</v>
      </c>
      <c r="C10138" s="29" t="s">
        <v>17204</v>
      </c>
      <c r="D10138" s="29" t="s">
        <v>30349</v>
      </c>
      <c r="E10138" s="29" t="s">
        <v>43926</v>
      </c>
      <c r="F10138" s="36" t="s">
        <v>54401</v>
      </c>
      <c r="G10138" s="39">
        <v>832699.95</v>
      </c>
      <c r="H10138" s="42">
        <v>211</v>
      </c>
    </row>
    <row r="10139" spans="1:8" ht="15" customHeight="1">
      <c r="A10139" s="26">
        <v>1030527985</v>
      </c>
      <c r="B10139" s="29" t="s">
        <v>12357</v>
      </c>
      <c r="C10139" s="29" t="s">
        <v>26163</v>
      </c>
      <c r="D10139" s="29" t="s">
        <v>39612</v>
      </c>
      <c r="E10139" s="29" t="s">
        <v>51452</v>
      </c>
      <c r="F10139" s="36" t="s">
        <v>54401</v>
      </c>
      <c r="G10139" s="39">
        <v>167056.17000000001</v>
      </c>
      <c r="H10139" s="42">
        <v>211</v>
      </c>
    </row>
    <row r="10140" spans="1:8" ht="15" customHeight="1">
      <c r="A10140" s="26">
        <v>1030530534</v>
      </c>
      <c r="B10140" s="29" t="s">
        <v>12358</v>
      </c>
      <c r="C10140" s="29" t="s">
        <v>26164</v>
      </c>
      <c r="D10140" s="29" t="s">
        <v>30699</v>
      </c>
      <c r="E10140" s="29" t="s">
        <v>51453</v>
      </c>
      <c r="F10140" s="36" t="s">
        <v>54401</v>
      </c>
      <c r="G10140" s="39">
        <v>274109.46999999997</v>
      </c>
      <c r="H10140" s="42">
        <v>211</v>
      </c>
    </row>
    <row r="10141" spans="1:8" ht="15" customHeight="1">
      <c r="A10141" s="26">
        <v>1030553891</v>
      </c>
      <c r="B10141" s="29" t="s">
        <v>12359</v>
      </c>
      <c r="C10141" s="29" t="s">
        <v>26165</v>
      </c>
      <c r="D10141" s="29" t="s">
        <v>39613</v>
      </c>
      <c r="E10141" s="29" t="s">
        <v>51454</v>
      </c>
      <c r="F10141" s="36" t="s">
        <v>54401</v>
      </c>
      <c r="G10141" s="39">
        <v>559357.84</v>
      </c>
      <c r="H10141" s="42">
        <v>211</v>
      </c>
    </row>
    <row r="10142" spans="1:8" ht="15" customHeight="1">
      <c r="A10142" s="26">
        <v>1030554006</v>
      </c>
      <c r="B10142" s="29" t="s">
        <v>12360</v>
      </c>
      <c r="C10142" s="29" t="s">
        <v>26166</v>
      </c>
      <c r="D10142" s="29" t="s">
        <v>39614</v>
      </c>
      <c r="E10142" s="29" t="s">
        <v>51455</v>
      </c>
      <c r="F10142" s="36" t="s">
        <v>54401</v>
      </c>
      <c r="G10142" s="39">
        <v>417596.34</v>
      </c>
      <c r="H10142" s="42">
        <v>211</v>
      </c>
    </row>
    <row r="10143" spans="1:8" ht="15" customHeight="1">
      <c r="A10143" s="26">
        <v>1030563801</v>
      </c>
      <c r="B10143" s="29" t="s">
        <v>12361</v>
      </c>
      <c r="C10143" s="29"/>
      <c r="D10143" s="29"/>
      <c r="E10143" s="29"/>
      <c r="F10143" s="36" t="s">
        <v>54410</v>
      </c>
      <c r="G10143" s="39">
        <v>174264.03</v>
      </c>
      <c r="H10143" s="42">
        <v>211</v>
      </c>
    </row>
    <row r="10144" spans="1:8" ht="15" customHeight="1">
      <c r="A10144" s="26">
        <v>1030574265</v>
      </c>
      <c r="B10144" s="29" t="s">
        <v>12362</v>
      </c>
      <c r="C10144" s="29" t="s">
        <v>26167</v>
      </c>
      <c r="D10144" s="29" t="s">
        <v>39615</v>
      </c>
      <c r="E10144" s="29" t="s">
        <v>43926</v>
      </c>
      <c r="F10144" s="36" t="s">
        <v>54401</v>
      </c>
      <c r="G10144" s="39">
        <v>3985424.93</v>
      </c>
      <c r="H10144" s="42">
        <v>211</v>
      </c>
    </row>
    <row r="10145" spans="1:8" ht="15" customHeight="1">
      <c r="A10145" s="26">
        <v>1030583033</v>
      </c>
      <c r="B10145" s="29" t="s">
        <v>12363</v>
      </c>
      <c r="C10145" s="29" t="s">
        <v>26168</v>
      </c>
      <c r="D10145" s="29" t="s">
        <v>39616</v>
      </c>
      <c r="E10145" s="29" t="s">
        <v>51456</v>
      </c>
      <c r="F10145" s="36" t="s">
        <v>54401</v>
      </c>
      <c r="G10145" s="39">
        <v>378880.34</v>
      </c>
      <c r="H10145" s="42">
        <v>211</v>
      </c>
    </row>
    <row r="10146" spans="1:8" ht="15" customHeight="1">
      <c r="A10146" s="26">
        <v>1030591415</v>
      </c>
      <c r="B10146" s="29" t="s">
        <v>12364</v>
      </c>
      <c r="C10146" s="29" t="s">
        <v>26169</v>
      </c>
      <c r="D10146" s="29" t="s">
        <v>39617</v>
      </c>
      <c r="E10146" s="29" t="s">
        <v>44345</v>
      </c>
      <c r="F10146" s="36" t="s">
        <v>54401</v>
      </c>
      <c r="G10146" s="39">
        <v>2740900</v>
      </c>
      <c r="H10146" s="42">
        <v>211</v>
      </c>
    </row>
    <row r="10147" spans="1:8" ht="15" customHeight="1">
      <c r="A10147" s="26">
        <v>1030591615</v>
      </c>
      <c r="B10147" s="29" t="s">
        <v>12365</v>
      </c>
      <c r="C10147" s="29" t="s">
        <v>26170</v>
      </c>
      <c r="D10147" s="29" t="s">
        <v>39618</v>
      </c>
      <c r="E10147" s="29" t="s">
        <v>51457</v>
      </c>
      <c r="F10147" s="36" t="s">
        <v>54401</v>
      </c>
      <c r="G10147" s="39">
        <v>950157.18</v>
      </c>
      <c r="H10147" s="42">
        <v>211</v>
      </c>
    </row>
    <row r="10148" spans="1:8" ht="15" customHeight="1">
      <c r="A10148" s="26">
        <v>1030602255</v>
      </c>
      <c r="B10148" s="29" t="s">
        <v>12366</v>
      </c>
      <c r="C10148" s="29" t="s">
        <v>26171</v>
      </c>
      <c r="D10148" s="29" t="s">
        <v>39619</v>
      </c>
      <c r="E10148" s="29" t="s">
        <v>43926</v>
      </c>
      <c r="F10148" s="36" t="s">
        <v>54401</v>
      </c>
      <c r="G10148" s="39">
        <v>27665.71</v>
      </c>
      <c r="H10148" s="42">
        <v>211</v>
      </c>
    </row>
    <row r="10149" spans="1:8" ht="15" customHeight="1">
      <c r="A10149" s="26">
        <v>1030613294</v>
      </c>
      <c r="B10149" s="29" t="s">
        <v>12367</v>
      </c>
      <c r="C10149" s="29" t="s">
        <v>26172</v>
      </c>
      <c r="D10149" s="29" t="s">
        <v>39620</v>
      </c>
      <c r="E10149" s="29" t="s">
        <v>51458</v>
      </c>
      <c r="F10149" s="36" t="s">
        <v>54401</v>
      </c>
      <c r="G10149" s="39">
        <v>827363.87</v>
      </c>
      <c r="H10149" s="42">
        <v>211</v>
      </c>
    </row>
    <row r="10150" spans="1:8" ht="15" customHeight="1">
      <c r="A10150" s="26">
        <v>1030624055</v>
      </c>
      <c r="B10150" s="29" t="s">
        <v>12368</v>
      </c>
      <c r="C10150" s="29" t="s">
        <v>17204</v>
      </c>
      <c r="D10150" s="29" t="s">
        <v>39621</v>
      </c>
      <c r="E10150" s="29" t="s">
        <v>51459</v>
      </c>
      <c r="F10150" s="36" t="s">
        <v>54401</v>
      </c>
      <c r="G10150" s="39">
        <v>15370</v>
      </c>
      <c r="H10150" s="42">
        <v>211</v>
      </c>
    </row>
    <row r="10151" spans="1:8" ht="15" customHeight="1">
      <c r="A10151" s="26">
        <v>1030628605</v>
      </c>
      <c r="B10151" s="29" t="s">
        <v>12369</v>
      </c>
      <c r="C10151" s="29" t="s">
        <v>26173</v>
      </c>
      <c r="D10151" s="29" t="s">
        <v>39622</v>
      </c>
      <c r="E10151" s="29" t="s">
        <v>51460</v>
      </c>
      <c r="F10151" s="36" t="s">
        <v>54406</v>
      </c>
      <c r="G10151" s="39">
        <v>949304.77</v>
      </c>
      <c r="H10151" s="42">
        <v>211</v>
      </c>
    </row>
    <row r="10152" spans="1:8" ht="15" customHeight="1">
      <c r="A10152" s="26">
        <v>1030630002</v>
      </c>
      <c r="B10152" s="29" t="s">
        <v>12370</v>
      </c>
      <c r="C10152" s="29" t="s">
        <v>26174</v>
      </c>
      <c r="D10152" s="29" t="s">
        <v>39623</v>
      </c>
      <c r="E10152" s="29" t="s">
        <v>51461</v>
      </c>
      <c r="F10152" s="36" t="s">
        <v>54401</v>
      </c>
      <c r="G10152" s="39">
        <v>827120.55</v>
      </c>
      <c r="H10152" s="42">
        <v>211</v>
      </c>
    </row>
    <row r="10153" spans="1:8" ht="15" customHeight="1">
      <c r="A10153" s="26">
        <v>1030631338</v>
      </c>
      <c r="B10153" s="29" t="s">
        <v>12371</v>
      </c>
      <c r="C10153" s="29" t="s">
        <v>26175</v>
      </c>
      <c r="D10153" s="29" t="s">
        <v>39624</v>
      </c>
      <c r="E10153" s="29" t="s">
        <v>51462</v>
      </c>
      <c r="F10153" s="36" t="s">
        <v>54401</v>
      </c>
      <c r="G10153" s="39">
        <v>2194162.91</v>
      </c>
      <c r="H10153" s="42">
        <v>211</v>
      </c>
    </row>
    <row r="10154" spans="1:8" ht="15" customHeight="1">
      <c r="A10154" s="26">
        <v>1030648224</v>
      </c>
      <c r="B10154" s="29" t="s">
        <v>12372</v>
      </c>
      <c r="C10154" s="29" t="s">
        <v>17204</v>
      </c>
      <c r="D10154" s="29" t="s">
        <v>30349</v>
      </c>
      <c r="E10154" s="29" t="s">
        <v>43926</v>
      </c>
      <c r="F10154" s="36" t="s">
        <v>54401</v>
      </c>
      <c r="G10154" s="39">
        <v>259962.06</v>
      </c>
      <c r="H10154" s="42">
        <v>211</v>
      </c>
    </row>
    <row r="10155" spans="1:8" ht="15" customHeight="1">
      <c r="A10155" s="26">
        <v>1030666193</v>
      </c>
      <c r="B10155" s="29" t="s">
        <v>12373</v>
      </c>
      <c r="C10155" s="29" t="s">
        <v>26176</v>
      </c>
      <c r="D10155" s="29" t="s">
        <v>39625</v>
      </c>
      <c r="E10155" s="29" t="s">
        <v>51463</v>
      </c>
      <c r="F10155" s="36" t="s">
        <v>54401</v>
      </c>
      <c r="G10155" s="39">
        <v>559946.16</v>
      </c>
      <c r="H10155" s="42">
        <v>211</v>
      </c>
    </row>
    <row r="10156" spans="1:8" ht="15" customHeight="1">
      <c r="A10156" s="26">
        <v>1030669396</v>
      </c>
      <c r="B10156" s="29" t="s">
        <v>12374</v>
      </c>
      <c r="C10156" s="29" t="s">
        <v>17204</v>
      </c>
      <c r="D10156" s="29" t="s">
        <v>30349</v>
      </c>
      <c r="E10156" s="29" t="s">
        <v>43926</v>
      </c>
      <c r="F10156" s="36" t="s">
        <v>54401</v>
      </c>
      <c r="G10156" s="39">
        <v>175426.41</v>
      </c>
      <c r="H10156" s="42">
        <v>211</v>
      </c>
    </row>
    <row r="10157" spans="1:8" ht="15" customHeight="1">
      <c r="A10157" s="26">
        <v>1030683652</v>
      </c>
      <c r="B10157" s="29" t="s">
        <v>12375</v>
      </c>
      <c r="C10157" s="29" t="s">
        <v>26177</v>
      </c>
      <c r="D10157" s="29" t="s">
        <v>39626</v>
      </c>
      <c r="E10157" s="29" t="s">
        <v>44524</v>
      </c>
      <c r="F10157" s="36" t="s">
        <v>54401</v>
      </c>
      <c r="G10157" s="39">
        <v>3642543.21</v>
      </c>
      <c r="H10157" s="42">
        <v>211</v>
      </c>
    </row>
    <row r="10158" spans="1:8" ht="15" customHeight="1">
      <c r="A10158" s="26">
        <v>1030691308</v>
      </c>
      <c r="B10158" s="29" t="s">
        <v>12376</v>
      </c>
      <c r="C10158" s="29" t="s">
        <v>26178</v>
      </c>
      <c r="D10158" s="29" t="s">
        <v>39627</v>
      </c>
      <c r="E10158" s="29" t="s">
        <v>44313</v>
      </c>
      <c r="F10158" s="36" t="s">
        <v>54401</v>
      </c>
      <c r="G10158" s="39">
        <v>26418.080000000002</v>
      </c>
      <c r="H10158" s="42">
        <v>211</v>
      </c>
    </row>
    <row r="10159" spans="1:8" ht="15" customHeight="1">
      <c r="A10159" s="26">
        <v>1030695294</v>
      </c>
      <c r="B10159" s="29" t="s">
        <v>12377</v>
      </c>
      <c r="C10159" s="29" t="s">
        <v>26179</v>
      </c>
      <c r="D10159" s="29" t="s">
        <v>39628</v>
      </c>
      <c r="E10159" s="29" t="s">
        <v>51464</v>
      </c>
      <c r="F10159" s="36" t="s">
        <v>54402</v>
      </c>
      <c r="G10159" s="39">
        <v>2044531</v>
      </c>
      <c r="H10159" s="42">
        <v>211</v>
      </c>
    </row>
    <row r="10160" spans="1:8" ht="15" customHeight="1">
      <c r="A10160" s="26">
        <v>1031128985</v>
      </c>
      <c r="B10160" s="29" t="s">
        <v>12378</v>
      </c>
      <c r="C10160" s="26" t="s">
        <v>26180</v>
      </c>
      <c r="D10160" s="26" t="s">
        <v>39629</v>
      </c>
      <c r="E10160" s="26" t="s">
        <v>43926</v>
      </c>
      <c r="F10160" s="37" t="s">
        <v>54401</v>
      </c>
      <c r="G10160" s="39">
        <v>398163.44</v>
      </c>
      <c r="H10160" s="42">
        <v>211</v>
      </c>
    </row>
    <row r="10161" spans="1:8" ht="15" customHeight="1">
      <c r="A10161" s="26">
        <v>1031157354</v>
      </c>
      <c r="B10161" s="29" t="s">
        <v>12379</v>
      </c>
      <c r="C10161" s="29" t="s">
        <v>26181</v>
      </c>
      <c r="D10161" s="29" t="s">
        <v>39630</v>
      </c>
      <c r="E10161" s="29" t="s">
        <v>51465</v>
      </c>
      <c r="F10161" s="36" t="s">
        <v>54401</v>
      </c>
      <c r="G10161" s="39">
        <v>429480</v>
      </c>
      <c r="H10161" s="42">
        <v>211</v>
      </c>
    </row>
    <row r="10162" spans="1:8" ht="15" customHeight="1">
      <c r="A10162" s="26">
        <v>1031157374</v>
      </c>
      <c r="B10162" s="29" t="s">
        <v>12379</v>
      </c>
      <c r="C10162" s="29" t="s">
        <v>26182</v>
      </c>
      <c r="D10162" s="29" t="s">
        <v>39630</v>
      </c>
      <c r="E10162" s="29" t="s">
        <v>51466</v>
      </c>
      <c r="F10162" s="36" t="s">
        <v>54401</v>
      </c>
      <c r="G10162" s="39">
        <v>2625595.8199999998</v>
      </c>
      <c r="H10162" s="42">
        <v>211</v>
      </c>
    </row>
    <row r="10163" spans="1:8" ht="15" customHeight="1">
      <c r="A10163" s="26">
        <v>1031161927</v>
      </c>
      <c r="B10163" s="29" t="s">
        <v>12380</v>
      </c>
      <c r="C10163" s="29" t="s">
        <v>26183</v>
      </c>
      <c r="D10163" s="29" t="s">
        <v>39631</v>
      </c>
      <c r="E10163" s="29" t="s">
        <v>49464</v>
      </c>
      <c r="F10163" s="36" t="s">
        <v>54401</v>
      </c>
      <c r="G10163" s="39">
        <v>2325557</v>
      </c>
      <c r="H10163" s="42">
        <v>211</v>
      </c>
    </row>
    <row r="10164" spans="1:8" ht="15" customHeight="1">
      <c r="A10164" s="26">
        <v>1032071121</v>
      </c>
      <c r="B10164" s="29" t="s">
        <v>12381</v>
      </c>
      <c r="C10164" s="29" t="s">
        <v>26184</v>
      </c>
      <c r="D10164" s="29" t="s">
        <v>39632</v>
      </c>
      <c r="E10164" s="29" t="s">
        <v>51467</v>
      </c>
      <c r="F10164" s="36" t="s">
        <v>54401</v>
      </c>
      <c r="G10164" s="39">
        <v>102952.38</v>
      </c>
      <c r="H10164" s="42">
        <v>211</v>
      </c>
    </row>
    <row r="10165" spans="1:8" ht="15" customHeight="1">
      <c r="A10165" s="26">
        <v>1032252988</v>
      </c>
      <c r="B10165" s="29" t="s">
        <v>12382</v>
      </c>
      <c r="C10165" s="29" t="s">
        <v>26185</v>
      </c>
      <c r="D10165" s="29" t="s">
        <v>39633</v>
      </c>
      <c r="E10165" s="29" t="s">
        <v>51468</v>
      </c>
      <c r="F10165" s="36" t="s">
        <v>54401</v>
      </c>
      <c r="G10165" s="39">
        <v>3615041.1</v>
      </c>
      <c r="H10165" s="42">
        <v>211</v>
      </c>
    </row>
    <row r="10166" spans="1:8" ht="15" customHeight="1">
      <c r="A10166" s="26">
        <v>1032356559</v>
      </c>
      <c r="B10166" s="29" t="s">
        <v>12383</v>
      </c>
      <c r="C10166" s="29" t="s">
        <v>17204</v>
      </c>
      <c r="D10166" s="29" t="s">
        <v>39634</v>
      </c>
      <c r="E10166" s="29" t="s">
        <v>43926</v>
      </c>
      <c r="F10166" s="36" t="s">
        <v>54401</v>
      </c>
      <c r="G10166" s="39">
        <v>280971.7</v>
      </c>
      <c r="H10166" s="42">
        <v>211</v>
      </c>
    </row>
    <row r="10167" spans="1:8" ht="15" customHeight="1">
      <c r="A10167" s="26">
        <v>1032357773</v>
      </c>
      <c r="B10167" s="29" t="s">
        <v>12384</v>
      </c>
      <c r="C10167" s="29" t="s">
        <v>26186</v>
      </c>
      <c r="D10167" s="29" t="s">
        <v>39635</v>
      </c>
      <c r="E10167" s="29" t="s">
        <v>51469</v>
      </c>
      <c r="F10167" s="36" t="s">
        <v>54401</v>
      </c>
      <c r="G10167" s="39">
        <v>2925466.01</v>
      </c>
      <c r="H10167" s="42">
        <v>211</v>
      </c>
    </row>
    <row r="10168" spans="1:8" ht="15" customHeight="1">
      <c r="A10168" s="26">
        <v>1032358889</v>
      </c>
      <c r="B10168" s="29" t="s">
        <v>12385</v>
      </c>
      <c r="C10168" s="29" t="s">
        <v>26187</v>
      </c>
      <c r="D10168" s="29" t="s">
        <v>39636</v>
      </c>
      <c r="E10168" s="29" t="s">
        <v>51470</v>
      </c>
      <c r="F10168" s="36" t="s">
        <v>54401</v>
      </c>
      <c r="G10168" s="39">
        <v>369266.48</v>
      </c>
      <c r="H10168" s="42">
        <v>211</v>
      </c>
    </row>
    <row r="10169" spans="1:8" ht="15" customHeight="1">
      <c r="A10169" s="26">
        <v>1032359003</v>
      </c>
      <c r="B10169" s="29" t="s">
        <v>12386</v>
      </c>
      <c r="C10169" s="29" t="s">
        <v>26188</v>
      </c>
      <c r="D10169" s="29" t="s">
        <v>39637</v>
      </c>
      <c r="E10169" s="29" t="s">
        <v>45285</v>
      </c>
      <c r="F10169" s="36" t="s">
        <v>54401</v>
      </c>
      <c r="G10169" s="39">
        <v>3896838</v>
      </c>
      <c r="H10169" s="42">
        <v>211</v>
      </c>
    </row>
    <row r="10170" spans="1:8" ht="15" customHeight="1">
      <c r="A10170" s="26">
        <v>1032368173</v>
      </c>
      <c r="B10170" s="29" t="s">
        <v>12387</v>
      </c>
      <c r="C10170" s="29" t="s">
        <v>26189</v>
      </c>
      <c r="D10170" s="29" t="s">
        <v>39638</v>
      </c>
      <c r="E10170" s="29" t="s">
        <v>44587</v>
      </c>
      <c r="F10170" s="36" t="s">
        <v>54401</v>
      </c>
      <c r="G10170" s="39">
        <v>2093371</v>
      </c>
      <c r="H10170" s="42">
        <v>211</v>
      </c>
    </row>
    <row r="10171" spans="1:8" ht="15" customHeight="1">
      <c r="A10171" s="26">
        <v>1032370491</v>
      </c>
      <c r="B10171" s="29" t="s">
        <v>12388</v>
      </c>
      <c r="C10171" s="29" t="s">
        <v>26190</v>
      </c>
      <c r="D10171" s="29" t="s">
        <v>39639</v>
      </c>
      <c r="E10171" s="29" t="s">
        <v>47856</v>
      </c>
      <c r="F10171" s="36" t="s">
        <v>54401</v>
      </c>
      <c r="G10171" s="39">
        <v>2398997.4500000002</v>
      </c>
      <c r="H10171" s="42">
        <v>211</v>
      </c>
    </row>
    <row r="10172" spans="1:8" ht="15" customHeight="1">
      <c r="A10172" s="26">
        <v>1032373212</v>
      </c>
      <c r="B10172" s="29" t="s">
        <v>12389</v>
      </c>
      <c r="C10172" s="29" t="s">
        <v>17204</v>
      </c>
      <c r="D10172" s="29" t="s">
        <v>39640</v>
      </c>
      <c r="E10172" s="29" t="s">
        <v>43926</v>
      </c>
      <c r="F10172" s="36" t="s">
        <v>54401</v>
      </c>
      <c r="G10172" s="39">
        <v>7299620</v>
      </c>
      <c r="H10172" s="42">
        <v>211</v>
      </c>
    </row>
    <row r="10173" spans="1:8" ht="15" customHeight="1">
      <c r="A10173" s="26">
        <v>1032378332</v>
      </c>
      <c r="B10173" s="29" t="s">
        <v>12390</v>
      </c>
      <c r="C10173" s="29" t="s">
        <v>26191</v>
      </c>
      <c r="D10173" s="29" t="s">
        <v>39641</v>
      </c>
      <c r="E10173" s="29" t="s">
        <v>43926</v>
      </c>
      <c r="F10173" s="36" t="s">
        <v>54401</v>
      </c>
      <c r="G10173" s="39">
        <v>419820.26</v>
      </c>
      <c r="H10173" s="42">
        <v>211</v>
      </c>
    </row>
    <row r="10174" spans="1:8" ht="15" customHeight="1">
      <c r="A10174" s="26">
        <v>1032378445</v>
      </c>
      <c r="B10174" s="29" t="s">
        <v>12391</v>
      </c>
      <c r="C10174" s="29" t="s">
        <v>26192</v>
      </c>
      <c r="D10174" s="29" t="s">
        <v>39642</v>
      </c>
      <c r="E10174" s="29" t="s">
        <v>51471</v>
      </c>
      <c r="F10174" s="36" t="s">
        <v>54401</v>
      </c>
      <c r="G10174" s="39">
        <v>191289.76</v>
      </c>
      <c r="H10174" s="42">
        <v>211</v>
      </c>
    </row>
    <row r="10175" spans="1:8" ht="15" customHeight="1">
      <c r="A10175" s="26">
        <v>1032384639</v>
      </c>
      <c r="B10175" s="29" t="s">
        <v>12392</v>
      </c>
      <c r="C10175" s="29" t="s">
        <v>26193</v>
      </c>
      <c r="D10175" s="29" t="s">
        <v>39643</v>
      </c>
      <c r="E10175" s="29" t="s">
        <v>47649</v>
      </c>
      <c r="F10175" s="36" t="s">
        <v>54401</v>
      </c>
      <c r="G10175" s="39">
        <v>5448833.2800000003</v>
      </c>
      <c r="H10175" s="42">
        <v>211</v>
      </c>
    </row>
    <row r="10176" spans="1:8" ht="15" customHeight="1">
      <c r="A10176" s="26">
        <v>1032386286</v>
      </c>
      <c r="B10176" s="29" t="s">
        <v>12393</v>
      </c>
      <c r="C10176" s="29" t="s">
        <v>26194</v>
      </c>
      <c r="D10176" s="29" t="s">
        <v>39644</v>
      </c>
      <c r="E10176" s="29" t="s">
        <v>51472</v>
      </c>
      <c r="F10176" s="36" t="s">
        <v>54401</v>
      </c>
      <c r="G10176" s="39">
        <v>2283709</v>
      </c>
      <c r="H10176" s="42">
        <v>211</v>
      </c>
    </row>
    <row r="10177" spans="1:8" ht="15" customHeight="1">
      <c r="A10177" s="26">
        <v>1032386552</v>
      </c>
      <c r="B10177" s="29" t="s">
        <v>12394</v>
      </c>
      <c r="C10177" s="29" t="s">
        <v>26195</v>
      </c>
      <c r="D10177" s="29" t="s">
        <v>39645</v>
      </c>
      <c r="E10177" s="29" t="s">
        <v>51473</v>
      </c>
      <c r="F10177" s="36" t="s">
        <v>54401</v>
      </c>
      <c r="G10177" s="39">
        <v>241559.2</v>
      </c>
      <c r="H10177" s="42">
        <v>211</v>
      </c>
    </row>
    <row r="10178" spans="1:8" ht="15" customHeight="1">
      <c r="A10178" s="26">
        <v>1032387428</v>
      </c>
      <c r="B10178" s="29" t="s">
        <v>12395</v>
      </c>
      <c r="C10178" s="29" t="s">
        <v>17204</v>
      </c>
      <c r="D10178" s="29" t="s">
        <v>30349</v>
      </c>
      <c r="E10178" s="29" t="s">
        <v>43926</v>
      </c>
      <c r="F10178" s="36" t="s">
        <v>54401</v>
      </c>
      <c r="G10178" s="39">
        <v>190444.34</v>
      </c>
      <c r="H10178" s="42">
        <v>211</v>
      </c>
    </row>
    <row r="10179" spans="1:8" ht="15" customHeight="1">
      <c r="A10179" s="26">
        <v>1032395220</v>
      </c>
      <c r="B10179" s="29" t="s">
        <v>12396</v>
      </c>
      <c r="C10179" s="26" t="s">
        <v>26196</v>
      </c>
      <c r="D10179" s="26" t="s">
        <v>39646</v>
      </c>
      <c r="E10179" s="26" t="s">
        <v>43926</v>
      </c>
      <c r="F10179" s="37" t="s">
        <v>54401</v>
      </c>
      <c r="G10179" s="39">
        <v>51059</v>
      </c>
      <c r="H10179" s="42">
        <v>211</v>
      </c>
    </row>
    <row r="10180" spans="1:8" ht="15" customHeight="1">
      <c r="A10180" s="26">
        <v>1032395511</v>
      </c>
      <c r="B10180" s="29" t="s">
        <v>12397</v>
      </c>
      <c r="C10180" s="29" t="s">
        <v>26197</v>
      </c>
      <c r="D10180" s="29" t="s">
        <v>39647</v>
      </c>
      <c r="E10180" s="29" t="s">
        <v>47132</v>
      </c>
      <c r="F10180" s="36" t="s">
        <v>54401</v>
      </c>
      <c r="G10180" s="39">
        <v>640526.07999999996</v>
      </c>
      <c r="H10180" s="42">
        <v>211</v>
      </c>
    </row>
    <row r="10181" spans="1:8" ht="15" customHeight="1">
      <c r="A10181" s="26">
        <v>1032397495</v>
      </c>
      <c r="B10181" s="29" t="s">
        <v>12398</v>
      </c>
      <c r="C10181" s="29" t="s">
        <v>26198</v>
      </c>
      <c r="D10181" s="29" t="s">
        <v>39648</v>
      </c>
      <c r="E10181" s="29" t="s">
        <v>43926</v>
      </c>
      <c r="F10181" s="36" t="s">
        <v>54401</v>
      </c>
      <c r="G10181" s="39">
        <v>534909.68000000005</v>
      </c>
      <c r="H10181" s="42">
        <v>211</v>
      </c>
    </row>
    <row r="10182" spans="1:8" ht="15" customHeight="1">
      <c r="A10182" s="26">
        <v>1032401846</v>
      </c>
      <c r="B10182" s="29" t="s">
        <v>12399</v>
      </c>
      <c r="C10182" s="29" t="s">
        <v>26199</v>
      </c>
      <c r="D10182" s="29" t="s">
        <v>39649</v>
      </c>
      <c r="E10182" s="29" t="s">
        <v>51474</v>
      </c>
      <c r="F10182" s="36" t="s">
        <v>54401</v>
      </c>
      <c r="G10182" s="39">
        <v>4044151</v>
      </c>
      <c r="H10182" s="42">
        <v>211</v>
      </c>
    </row>
    <row r="10183" spans="1:8" ht="15" customHeight="1">
      <c r="A10183" s="26">
        <v>1032411847</v>
      </c>
      <c r="B10183" s="29" t="s">
        <v>12400</v>
      </c>
      <c r="C10183" s="29" t="s">
        <v>26200</v>
      </c>
      <c r="D10183" s="29" t="s">
        <v>39650</v>
      </c>
      <c r="E10183" s="29" t="s">
        <v>51475</v>
      </c>
      <c r="F10183" s="36" t="s">
        <v>54414</v>
      </c>
      <c r="G10183" s="39">
        <v>6190578.0099999998</v>
      </c>
      <c r="H10183" s="42">
        <v>211</v>
      </c>
    </row>
    <row r="10184" spans="1:8" ht="15" customHeight="1">
      <c r="A10184" s="26">
        <v>1032418789</v>
      </c>
      <c r="B10184" s="29" t="s">
        <v>12401</v>
      </c>
      <c r="C10184" s="29" t="s">
        <v>26201</v>
      </c>
      <c r="D10184" s="29" t="s">
        <v>39651</v>
      </c>
      <c r="E10184" s="29" t="s">
        <v>43926</v>
      </c>
      <c r="F10184" s="36" t="s">
        <v>54401</v>
      </c>
      <c r="G10184" s="39">
        <v>468802.06</v>
      </c>
      <c r="H10184" s="42">
        <v>211</v>
      </c>
    </row>
    <row r="10185" spans="1:8" ht="15" customHeight="1">
      <c r="A10185" s="26">
        <v>1032433307</v>
      </c>
      <c r="B10185" s="29" t="s">
        <v>12402</v>
      </c>
      <c r="C10185" s="26" t="s">
        <v>26202</v>
      </c>
      <c r="D10185" s="26" t="s">
        <v>39652</v>
      </c>
      <c r="E10185" s="26" t="s">
        <v>51476</v>
      </c>
      <c r="F10185" s="37" t="s">
        <v>54401</v>
      </c>
      <c r="G10185" s="39">
        <v>201686.01</v>
      </c>
      <c r="H10185" s="42">
        <v>211</v>
      </c>
    </row>
    <row r="10186" spans="1:8" ht="15" customHeight="1">
      <c r="A10186" s="26">
        <v>1032434746</v>
      </c>
      <c r="B10186" s="29" t="s">
        <v>12403</v>
      </c>
      <c r="C10186" s="29" t="s">
        <v>26203</v>
      </c>
      <c r="D10186" s="29" t="s">
        <v>39653</v>
      </c>
      <c r="E10186" s="29" t="s">
        <v>45949</v>
      </c>
      <c r="F10186" s="36" t="s">
        <v>54401</v>
      </c>
      <c r="G10186" s="39">
        <v>63927.73</v>
      </c>
      <c r="H10186" s="42">
        <v>211</v>
      </c>
    </row>
    <row r="10187" spans="1:8" ht="15" customHeight="1">
      <c r="A10187" s="26">
        <v>1032436862</v>
      </c>
      <c r="B10187" s="29" t="s">
        <v>12404</v>
      </c>
      <c r="C10187" s="29" t="s">
        <v>26204</v>
      </c>
      <c r="D10187" s="29" t="s">
        <v>39654</v>
      </c>
      <c r="E10187" s="29" t="s">
        <v>51477</v>
      </c>
      <c r="F10187" s="36" t="s">
        <v>54401</v>
      </c>
      <c r="G10187" s="39">
        <v>5870859.7999999998</v>
      </c>
      <c r="H10187" s="42">
        <v>211</v>
      </c>
    </row>
    <row r="10188" spans="1:8" ht="15" customHeight="1">
      <c r="A10188" s="26">
        <v>1032440015</v>
      </c>
      <c r="B10188" s="29" t="s">
        <v>12405</v>
      </c>
      <c r="C10188" s="29" t="s">
        <v>26205</v>
      </c>
      <c r="D10188" s="29" t="s">
        <v>38737</v>
      </c>
      <c r="E10188" s="29" t="s">
        <v>51478</v>
      </c>
      <c r="F10188" s="36" t="s">
        <v>54401</v>
      </c>
      <c r="G10188" s="39">
        <v>1100408.68</v>
      </c>
      <c r="H10188" s="42">
        <v>211</v>
      </c>
    </row>
    <row r="10189" spans="1:8" ht="15" customHeight="1">
      <c r="A10189" s="26">
        <v>1032446228</v>
      </c>
      <c r="B10189" s="29" t="s">
        <v>12406</v>
      </c>
      <c r="C10189" s="29" t="s">
        <v>26206</v>
      </c>
      <c r="D10189" s="29" t="s">
        <v>39655</v>
      </c>
      <c r="E10189" s="29" t="s">
        <v>51479</v>
      </c>
      <c r="F10189" s="36" t="s">
        <v>54401</v>
      </c>
      <c r="G10189" s="39">
        <v>14613.04</v>
      </c>
      <c r="H10189" s="42">
        <v>211</v>
      </c>
    </row>
    <row r="10190" spans="1:8" ht="15" customHeight="1">
      <c r="A10190" s="26">
        <v>1032454421</v>
      </c>
      <c r="B10190" s="29" t="s">
        <v>12407</v>
      </c>
      <c r="C10190" s="29" t="s">
        <v>26207</v>
      </c>
      <c r="D10190" s="29" t="s">
        <v>39656</v>
      </c>
      <c r="E10190" s="29" t="s">
        <v>45264</v>
      </c>
      <c r="F10190" s="36" t="s">
        <v>54401</v>
      </c>
      <c r="G10190" s="39">
        <v>377877.36</v>
      </c>
      <c r="H10190" s="42">
        <v>211</v>
      </c>
    </row>
    <row r="10191" spans="1:8" ht="15" customHeight="1">
      <c r="A10191" s="26">
        <v>1032458610</v>
      </c>
      <c r="B10191" s="29" t="s">
        <v>12408</v>
      </c>
      <c r="C10191" s="29" t="s">
        <v>17204</v>
      </c>
      <c r="D10191" s="29" t="s">
        <v>39657</v>
      </c>
      <c r="E10191" s="29" t="s">
        <v>43926</v>
      </c>
      <c r="F10191" s="36" t="s">
        <v>54401</v>
      </c>
      <c r="G10191" s="39">
        <v>47397.279999999999</v>
      </c>
      <c r="H10191" s="42">
        <v>211</v>
      </c>
    </row>
    <row r="10192" spans="1:8" ht="15" customHeight="1">
      <c r="A10192" s="26">
        <v>1032466347</v>
      </c>
      <c r="B10192" s="29" t="s">
        <v>12409</v>
      </c>
      <c r="C10192" s="29" t="s">
        <v>26208</v>
      </c>
      <c r="D10192" s="29" t="s">
        <v>39658</v>
      </c>
      <c r="E10192" s="29" t="s">
        <v>51480</v>
      </c>
      <c r="F10192" s="36" t="s">
        <v>54401</v>
      </c>
      <c r="G10192" s="39">
        <v>148530.54999999999</v>
      </c>
      <c r="H10192" s="42">
        <v>211</v>
      </c>
    </row>
    <row r="10193" spans="1:8" ht="15" customHeight="1">
      <c r="A10193" s="26">
        <v>1032469563</v>
      </c>
      <c r="B10193" s="29" t="s">
        <v>12410</v>
      </c>
      <c r="C10193" s="29" t="s">
        <v>26209</v>
      </c>
      <c r="D10193" s="29" t="s">
        <v>39659</v>
      </c>
      <c r="E10193" s="29" t="s">
        <v>51481</v>
      </c>
      <c r="F10193" s="36" t="s">
        <v>54401</v>
      </c>
      <c r="G10193" s="39">
        <v>2448367</v>
      </c>
      <c r="H10193" s="42">
        <v>211</v>
      </c>
    </row>
    <row r="10194" spans="1:8" ht="15" customHeight="1">
      <c r="A10194" s="26">
        <v>1032469573</v>
      </c>
      <c r="B10194" s="29" t="s">
        <v>12411</v>
      </c>
      <c r="C10194" s="29" t="s">
        <v>26210</v>
      </c>
      <c r="D10194" s="29" t="s">
        <v>39660</v>
      </c>
      <c r="E10194" s="29" t="s">
        <v>44905</v>
      </c>
      <c r="F10194" s="36" t="s">
        <v>54401</v>
      </c>
      <c r="G10194" s="39">
        <v>36193.839999999997</v>
      </c>
      <c r="H10194" s="42">
        <v>211</v>
      </c>
    </row>
    <row r="10195" spans="1:8" ht="15" customHeight="1">
      <c r="A10195" s="26">
        <v>1032489064</v>
      </c>
      <c r="B10195" s="29" t="s">
        <v>12412</v>
      </c>
      <c r="C10195" s="29" t="s">
        <v>26211</v>
      </c>
      <c r="D10195" s="29" t="s">
        <v>39661</v>
      </c>
      <c r="E10195" s="29" t="s">
        <v>51482</v>
      </c>
      <c r="F10195" s="36" t="s">
        <v>54401</v>
      </c>
      <c r="G10195" s="39">
        <v>4287326</v>
      </c>
      <c r="H10195" s="42">
        <v>211</v>
      </c>
    </row>
    <row r="10196" spans="1:8" ht="15" customHeight="1">
      <c r="A10196" s="26">
        <v>1032496093</v>
      </c>
      <c r="B10196" s="29" t="s">
        <v>12413</v>
      </c>
      <c r="C10196" s="29" t="s">
        <v>26212</v>
      </c>
      <c r="D10196" s="29" t="s">
        <v>39662</v>
      </c>
      <c r="E10196" s="29" t="s">
        <v>51483</v>
      </c>
      <c r="F10196" s="36" t="s">
        <v>54401</v>
      </c>
      <c r="G10196" s="39">
        <v>1264427.8</v>
      </c>
      <c r="H10196" s="42">
        <v>211</v>
      </c>
    </row>
    <row r="10197" spans="1:8" ht="15" customHeight="1">
      <c r="A10197" s="26">
        <v>1032496785</v>
      </c>
      <c r="B10197" s="29" t="s">
        <v>12414</v>
      </c>
      <c r="C10197" s="29" t="s">
        <v>26213</v>
      </c>
      <c r="D10197" s="29" t="s">
        <v>39663</v>
      </c>
      <c r="E10197" s="29" t="s">
        <v>47812</v>
      </c>
      <c r="F10197" s="36" t="s">
        <v>54401</v>
      </c>
      <c r="G10197" s="39">
        <v>391052.35</v>
      </c>
      <c r="H10197" s="42">
        <v>211</v>
      </c>
    </row>
    <row r="10198" spans="1:8" ht="15" customHeight="1">
      <c r="A10198" s="26">
        <v>1032499980</v>
      </c>
      <c r="B10198" s="29" t="s">
        <v>12415</v>
      </c>
      <c r="C10198" s="29" t="s">
        <v>17204</v>
      </c>
      <c r="D10198" s="29" t="s">
        <v>39664</v>
      </c>
      <c r="E10198" s="29" t="s">
        <v>43926</v>
      </c>
      <c r="F10198" s="36" t="s">
        <v>54401</v>
      </c>
      <c r="G10198" s="39">
        <v>510179.94</v>
      </c>
      <c r="H10198" s="42">
        <v>211</v>
      </c>
    </row>
    <row r="10199" spans="1:8" ht="15" customHeight="1">
      <c r="A10199" s="26">
        <v>1032500990</v>
      </c>
      <c r="B10199" s="29" t="s">
        <v>12416</v>
      </c>
      <c r="C10199" s="29" t="s">
        <v>26214</v>
      </c>
      <c r="D10199" s="29" t="s">
        <v>39665</v>
      </c>
      <c r="E10199" s="29" t="s">
        <v>43926</v>
      </c>
      <c r="F10199" s="36" t="s">
        <v>54401</v>
      </c>
      <c r="G10199" s="39">
        <v>45993.99</v>
      </c>
      <c r="H10199" s="42">
        <v>211</v>
      </c>
    </row>
    <row r="10200" spans="1:8" ht="15" customHeight="1">
      <c r="A10200" s="26">
        <v>1032501970</v>
      </c>
      <c r="B10200" s="29" t="s">
        <v>12417</v>
      </c>
      <c r="C10200" s="29" t="s">
        <v>26215</v>
      </c>
      <c r="D10200" s="29" t="s">
        <v>39666</v>
      </c>
      <c r="E10200" s="29" t="s">
        <v>51484</v>
      </c>
      <c r="F10200" s="36" t="s">
        <v>54401</v>
      </c>
      <c r="G10200" s="39">
        <v>526452.62</v>
      </c>
      <c r="H10200" s="42">
        <v>211</v>
      </c>
    </row>
    <row r="10201" spans="1:8" ht="15" customHeight="1">
      <c r="A10201" s="26">
        <v>1032505333</v>
      </c>
      <c r="B10201" s="29" t="s">
        <v>12418</v>
      </c>
      <c r="C10201" s="29" t="s">
        <v>26216</v>
      </c>
      <c r="D10201" s="29" t="s">
        <v>39667</v>
      </c>
      <c r="E10201" s="29" t="s">
        <v>44923</v>
      </c>
      <c r="F10201" s="36" t="s">
        <v>54401</v>
      </c>
      <c r="G10201" s="39">
        <v>225102.6</v>
      </c>
      <c r="H10201" s="42">
        <v>211</v>
      </c>
    </row>
    <row r="10202" spans="1:8" ht="15" customHeight="1">
      <c r="A10202" s="26">
        <v>1032505465</v>
      </c>
      <c r="B10202" s="29" t="s">
        <v>12419</v>
      </c>
      <c r="C10202" s="29" t="s">
        <v>17204</v>
      </c>
      <c r="D10202" s="29" t="s">
        <v>39668</v>
      </c>
      <c r="E10202" s="29" t="s">
        <v>43926</v>
      </c>
      <c r="F10202" s="36" t="s">
        <v>54401</v>
      </c>
      <c r="G10202" s="39">
        <v>12252.1</v>
      </c>
      <c r="H10202" s="42">
        <v>211</v>
      </c>
    </row>
    <row r="10203" spans="1:8" ht="15" customHeight="1">
      <c r="A10203" s="26">
        <v>1033646810</v>
      </c>
      <c r="B10203" s="29" t="s">
        <v>12420</v>
      </c>
      <c r="C10203" s="29" t="s">
        <v>26217</v>
      </c>
      <c r="D10203" s="29" t="s">
        <v>39669</v>
      </c>
      <c r="E10203" s="29" t="s">
        <v>51485</v>
      </c>
      <c r="F10203" s="36" t="s">
        <v>54401</v>
      </c>
      <c r="G10203" s="39">
        <v>496987.28</v>
      </c>
      <c r="H10203" s="42">
        <v>211</v>
      </c>
    </row>
    <row r="10204" spans="1:8" ht="15" customHeight="1">
      <c r="A10204" s="26">
        <v>1033678620</v>
      </c>
      <c r="B10204" s="29" t="s">
        <v>12421</v>
      </c>
      <c r="C10204" s="29" t="s">
        <v>26218</v>
      </c>
      <c r="D10204" s="29" t="s">
        <v>39670</v>
      </c>
      <c r="E10204" s="29" t="s">
        <v>43926</v>
      </c>
      <c r="F10204" s="36" t="s">
        <v>54401</v>
      </c>
      <c r="G10204" s="39">
        <v>2875937</v>
      </c>
      <c r="H10204" s="42">
        <v>211</v>
      </c>
    </row>
    <row r="10205" spans="1:8" ht="15" customHeight="1">
      <c r="A10205" s="26">
        <v>1033702087</v>
      </c>
      <c r="B10205" s="29" t="s">
        <v>12422</v>
      </c>
      <c r="C10205" s="29" t="s">
        <v>26219</v>
      </c>
      <c r="D10205" s="29" t="s">
        <v>39671</v>
      </c>
      <c r="E10205" s="29" t="s">
        <v>51486</v>
      </c>
      <c r="F10205" s="36" t="s">
        <v>54401</v>
      </c>
      <c r="G10205" s="39">
        <v>282546.94</v>
      </c>
      <c r="H10205" s="42">
        <v>211</v>
      </c>
    </row>
    <row r="10206" spans="1:8" ht="15" customHeight="1">
      <c r="A10206" s="26">
        <v>1033708651</v>
      </c>
      <c r="B10206" s="29" t="s">
        <v>12423</v>
      </c>
      <c r="C10206" s="29" t="s">
        <v>26220</v>
      </c>
      <c r="D10206" s="29" t="s">
        <v>39672</v>
      </c>
      <c r="E10206" s="29" t="s">
        <v>51487</v>
      </c>
      <c r="F10206" s="36" t="s">
        <v>54482</v>
      </c>
      <c r="G10206" s="39">
        <v>4757486.84</v>
      </c>
      <c r="H10206" s="42">
        <v>211</v>
      </c>
    </row>
    <row r="10207" spans="1:8" ht="15" customHeight="1">
      <c r="A10207" s="26">
        <v>1033757880</v>
      </c>
      <c r="B10207" s="29" t="s">
        <v>12424</v>
      </c>
      <c r="C10207" s="29" t="s">
        <v>26221</v>
      </c>
      <c r="D10207" s="29" t="s">
        <v>39673</v>
      </c>
      <c r="E10207" s="29" t="s">
        <v>51488</v>
      </c>
      <c r="F10207" s="36" t="s">
        <v>54401</v>
      </c>
      <c r="G10207" s="39">
        <v>840160.28</v>
      </c>
      <c r="H10207" s="42">
        <v>211</v>
      </c>
    </row>
    <row r="10208" spans="1:8" ht="15" customHeight="1">
      <c r="A10208" s="26">
        <v>1033759563</v>
      </c>
      <c r="B10208" s="29" t="s">
        <v>12425</v>
      </c>
      <c r="C10208" s="29" t="s">
        <v>26222</v>
      </c>
      <c r="D10208" s="29" t="s">
        <v>39674</v>
      </c>
      <c r="E10208" s="29" t="s">
        <v>44084</v>
      </c>
      <c r="F10208" s="36" t="s">
        <v>54401</v>
      </c>
      <c r="G10208" s="39">
        <v>324188.61</v>
      </c>
      <c r="H10208" s="42">
        <v>211</v>
      </c>
    </row>
    <row r="10209" spans="1:8" ht="15" customHeight="1">
      <c r="A10209" s="26">
        <v>1033793076</v>
      </c>
      <c r="B10209" s="29" t="s">
        <v>12426</v>
      </c>
      <c r="C10209" s="29" t="s">
        <v>26223</v>
      </c>
      <c r="D10209" s="29" t="s">
        <v>39675</v>
      </c>
      <c r="E10209" s="29" t="s">
        <v>51489</v>
      </c>
      <c r="F10209" s="36" t="s">
        <v>54414</v>
      </c>
      <c r="G10209" s="39">
        <v>541957.56999999995</v>
      </c>
      <c r="H10209" s="42">
        <v>211</v>
      </c>
    </row>
    <row r="10210" spans="1:8" ht="15" customHeight="1">
      <c r="A10210" s="26">
        <v>1034657040</v>
      </c>
      <c r="B10210" s="29" t="s">
        <v>12427</v>
      </c>
      <c r="C10210" s="29" t="s">
        <v>26224</v>
      </c>
      <c r="D10210" s="29" t="s">
        <v>39676</v>
      </c>
      <c r="E10210" s="29" t="s">
        <v>51490</v>
      </c>
      <c r="F10210" s="36" t="s">
        <v>54401</v>
      </c>
      <c r="G10210" s="39">
        <v>1638440.25</v>
      </c>
      <c r="H10210" s="42">
        <v>211</v>
      </c>
    </row>
    <row r="10211" spans="1:8" ht="15" customHeight="1">
      <c r="A10211" s="26">
        <v>1035871815</v>
      </c>
      <c r="B10211" s="29" t="s">
        <v>12428</v>
      </c>
      <c r="C10211" s="29" t="s">
        <v>26225</v>
      </c>
      <c r="D10211" s="29" t="s">
        <v>39677</v>
      </c>
      <c r="E10211" s="29" t="s">
        <v>43949</v>
      </c>
      <c r="F10211" s="36" t="s">
        <v>54401</v>
      </c>
      <c r="G10211" s="39">
        <v>52285.72</v>
      </c>
      <c r="H10211" s="42">
        <v>211</v>
      </c>
    </row>
    <row r="10212" spans="1:8" ht="15" customHeight="1">
      <c r="A10212" s="26">
        <v>1036959050</v>
      </c>
      <c r="B10212" s="29" t="s">
        <v>12429</v>
      </c>
      <c r="C10212" s="29" t="s">
        <v>26226</v>
      </c>
      <c r="D10212" s="29" t="s">
        <v>39678</v>
      </c>
      <c r="E10212" s="29" t="s">
        <v>51491</v>
      </c>
      <c r="F10212" s="36" t="s">
        <v>54401</v>
      </c>
      <c r="G10212" s="39">
        <v>604630.04</v>
      </c>
      <c r="H10212" s="42">
        <v>211</v>
      </c>
    </row>
    <row r="10213" spans="1:8" ht="15" customHeight="1">
      <c r="A10213" s="26">
        <v>1036965773</v>
      </c>
      <c r="B10213" s="29" t="s">
        <v>12430</v>
      </c>
      <c r="C10213" s="29" t="s">
        <v>26227</v>
      </c>
      <c r="D10213" s="29" t="s">
        <v>39679</v>
      </c>
      <c r="E10213" s="29" t="s">
        <v>51492</v>
      </c>
      <c r="F10213" s="36" t="s">
        <v>54401</v>
      </c>
      <c r="G10213" s="39">
        <v>24878121.75</v>
      </c>
      <c r="H10213" s="42">
        <v>211</v>
      </c>
    </row>
    <row r="10214" spans="1:8" ht="15" customHeight="1">
      <c r="A10214" s="26">
        <v>1038119385</v>
      </c>
      <c r="B10214" s="29" t="s">
        <v>12431</v>
      </c>
      <c r="C10214" s="29" t="s">
        <v>26228</v>
      </c>
      <c r="D10214" s="29" t="s">
        <v>39680</v>
      </c>
      <c r="E10214" s="29" t="s">
        <v>51493</v>
      </c>
      <c r="F10214" s="36" t="s">
        <v>54401</v>
      </c>
      <c r="G10214" s="39">
        <v>73281.58</v>
      </c>
      <c r="H10214" s="42">
        <v>211</v>
      </c>
    </row>
    <row r="10215" spans="1:8" ht="15" customHeight="1">
      <c r="A10215" s="26">
        <v>1040351829</v>
      </c>
      <c r="B10215" s="29" t="s">
        <v>12432</v>
      </c>
      <c r="C10215" s="29" t="s">
        <v>26229</v>
      </c>
      <c r="D10215" s="29" t="s">
        <v>39681</v>
      </c>
      <c r="E10215" s="29" t="s">
        <v>44327</v>
      </c>
      <c r="F10215" s="36" t="s">
        <v>54401</v>
      </c>
      <c r="G10215" s="39">
        <v>194132.55</v>
      </c>
      <c r="H10215" s="42">
        <v>211</v>
      </c>
    </row>
    <row r="10216" spans="1:8" ht="15" customHeight="1">
      <c r="A10216" s="26">
        <v>1043018572</v>
      </c>
      <c r="B10216" s="29" t="s">
        <v>12433</v>
      </c>
      <c r="C10216" s="29" t="s">
        <v>26230</v>
      </c>
      <c r="D10216" s="29" t="s">
        <v>39682</v>
      </c>
      <c r="E10216" s="29" t="s">
        <v>44942</v>
      </c>
      <c r="F10216" s="36" t="s">
        <v>54401</v>
      </c>
      <c r="G10216" s="39">
        <v>51751.199999999997</v>
      </c>
      <c r="H10216" s="42">
        <v>211</v>
      </c>
    </row>
    <row r="10217" spans="1:8" ht="15" customHeight="1">
      <c r="A10217" s="26">
        <v>1044924328</v>
      </c>
      <c r="B10217" s="29" t="s">
        <v>12434</v>
      </c>
      <c r="C10217" s="29" t="s">
        <v>26231</v>
      </c>
      <c r="D10217" s="29" t="s">
        <v>30349</v>
      </c>
      <c r="E10217" s="29" t="s">
        <v>46960</v>
      </c>
      <c r="F10217" s="36" t="s">
        <v>54401</v>
      </c>
      <c r="G10217" s="39">
        <v>386454.9</v>
      </c>
      <c r="H10217" s="42">
        <v>211</v>
      </c>
    </row>
    <row r="10218" spans="1:8" ht="15" customHeight="1">
      <c r="A10218" s="26">
        <v>1045023192</v>
      </c>
      <c r="B10218" s="29" t="s">
        <v>12435</v>
      </c>
      <c r="C10218" s="29" t="s">
        <v>26232</v>
      </c>
      <c r="D10218" s="29" t="s">
        <v>39683</v>
      </c>
      <c r="E10218" s="29" t="s">
        <v>51494</v>
      </c>
      <c r="F10218" s="36" t="s">
        <v>54401</v>
      </c>
      <c r="G10218" s="39">
        <v>1155075.1499999999</v>
      </c>
      <c r="H10218" s="42">
        <v>211</v>
      </c>
    </row>
    <row r="10219" spans="1:8" ht="15" customHeight="1">
      <c r="A10219" s="26">
        <v>1045703197</v>
      </c>
      <c r="B10219" s="29" t="s">
        <v>12436</v>
      </c>
      <c r="C10219" s="29" t="s">
        <v>26233</v>
      </c>
      <c r="D10219" s="29" t="s">
        <v>39684</v>
      </c>
      <c r="E10219" s="29" t="s">
        <v>51495</v>
      </c>
      <c r="F10219" s="36" t="s">
        <v>54401</v>
      </c>
      <c r="G10219" s="39">
        <v>165791.88</v>
      </c>
      <c r="H10219" s="42">
        <v>211</v>
      </c>
    </row>
    <row r="10220" spans="1:8" ht="15" customHeight="1">
      <c r="A10220" s="26">
        <v>1048690031</v>
      </c>
      <c r="B10220" s="29" t="s">
        <v>12437</v>
      </c>
      <c r="C10220" s="29" t="s">
        <v>26234</v>
      </c>
      <c r="D10220" s="29" t="s">
        <v>39685</v>
      </c>
      <c r="E10220" s="29" t="s">
        <v>51496</v>
      </c>
      <c r="F10220" s="36" t="s">
        <v>54401</v>
      </c>
      <c r="G10220" s="39">
        <v>2611024.41</v>
      </c>
      <c r="H10220" s="42">
        <v>211</v>
      </c>
    </row>
    <row r="10221" spans="1:8" ht="15" customHeight="1">
      <c r="A10221" s="26">
        <v>1048690113</v>
      </c>
      <c r="B10221" s="29" t="s">
        <v>12438</v>
      </c>
      <c r="C10221" s="29" t="s">
        <v>26235</v>
      </c>
      <c r="D10221" s="29" t="s">
        <v>39686</v>
      </c>
      <c r="E10221" s="29" t="s">
        <v>46258</v>
      </c>
      <c r="F10221" s="36" t="s">
        <v>54401</v>
      </c>
      <c r="G10221" s="39">
        <v>3989595.42</v>
      </c>
      <c r="H10221" s="42">
        <v>211</v>
      </c>
    </row>
    <row r="10222" spans="1:8" ht="15" customHeight="1">
      <c r="A10222" s="26">
        <v>1048690136</v>
      </c>
      <c r="B10222" s="29" t="s">
        <v>12439</v>
      </c>
      <c r="C10222" s="29" t="s">
        <v>26236</v>
      </c>
      <c r="D10222" s="29" t="s">
        <v>39687</v>
      </c>
      <c r="E10222" s="29" t="s">
        <v>43926</v>
      </c>
      <c r="F10222" s="36" t="s">
        <v>54401</v>
      </c>
      <c r="G10222" s="39">
        <v>3861600.68</v>
      </c>
      <c r="H10222" s="42">
        <v>211</v>
      </c>
    </row>
    <row r="10223" spans="1:8" ht="15" customHeight="1">
      <c r="A10223" s="26">
        <v>1048690148</v>
      </c>
      <c r="B10223" s="29" t="s">
        <v>12440</v>
      </c>
      <c r="C10223" s="29" t="s">
        <v>26237</v>
      </c>
      <c r="D10223" s="29" t="s">
        <v>39688</v>
      </c>
      <c r="E10223" s="29" t="s">
        <v>51497</v>
      </c>
      <c r="F10223" s="36" t="s">
        <v>54401</v>
      </c>
      <c r="G10223" s="39">
        <v>4166826.38</v>
      </c>
      <c r="H10223" s="42">
        <v>211</v>
      </c>
    </row>
    <row r="10224" spans="1:8" ht="15" customHeight="1">
      <c r="A10224" s="26">
        <v>1048690170</v>
      </c>
      <c r="B10224" s="29" t="s">
        <v>12441</v>
      </c>
      <c r="C10224" s="29" t="s">
        <v>26238</v>
      </c>
      <c r="D10224" s="29" t="s">
        <v>39689</v>
      </c>
      <c r="E10224" s="29" t="s">
        <v>51498</v>
      </c>
      <c r="F10224" s="36" t="s">
        <v>54401</v>
      </c>
      <c r="G10224" s="39">
        <v>3311286.21</v>
      </c>
      <c r="H10224" s="42">
        <v>211</v>
      </c>
    </row>
    <row r="10225" spans="1:8" ht="15" customHeight="1">
      <c r="A10225" s="26">
        <v>1048690176</v>
      </c>
      <c r="B10225" s="29" t="s">
        <v>12442</v>
      </c>
      <c r="C10225" s="29" t="s">
        <v>26239</v>
      </c>
      <c r="D10225" s="29" t="s">
        <v>39690</v>
      </c>
      <c r="E10225" s="29" t="s">
        <v>51499</v>
      </c>
      <c r="F10225" s="36" t="s">
        <v>54401</v>
      </c>
      <c r="G10225" s="39">
        <v>388520.74</v>
      </c>
      <c r="H10225" s="42">
        <v>211</v>
      </c>
    </row>
    <row r="10226" spans="1:8" ht="15" customHeight="1">
      <c r="A10226" s="26">
        <v>1048690187</v>
      </c>
      <c r="B10226" s="29" t="s">
        <v>12443</v>
      </c>
      <c r="C10226" s="26" t="s">
        <v>17204</v>
      </c>
      <c r="D10226" s="26" t="s">
        <v>39691</v>
      </c>
      <c r="E10226" s="26" t="s">
        <v>51500</v>
      </c>
      <c r="F10226" s="37" t="s">
        <v>54401</v>
      </c>
      <c r="G10226" s="39">
        <v>23149.439999999999</v>
      </c>
      <c r="H10226" s="42">
        <v>211</v>
      </c>
    </row>
    <row r="10227" spans="1:8" ht="15" customHeight="1">
      <c r="A10227" s="26">
        <v>1048690256</v>
      </c>
      <c r="B10227" s="29" t="s">
        <v>12444</v>
      </c>
      <c r="C10227" s="29" t="s">
        <v>26240</v>
      </c>
      <c r="D10227" s="29" t="s">
        <v>39692</v>
      </c>
      <c r="E10227" s="29" t="s">
        <v>51501</v>
      </c>
      <c r="F10227" s="36" t="s">
        <v>54401</v>
      </c>
      <c r="G10227" s="39">
        <v>1791843.87</v>
      </c>
      <c r="H10227" s="42">
        <v>211</v>
      </c>
    </row>
    <row r="10228" spans="1:8" ht="15" customHeight="1">
      <c r="A10228" s="26">
        <v>1048690301</v>
      </c>
      <c r="B10228" s="29" t="s">
        <v>12445</v>
      </c>
      <c r="C10228" s="26" t="s">
        <v>26241</v>
      </c>
      <c r="D10228" s="26" t="s">
        <v>39693</v>
      </c>
      <c r="E10228" s="26" t="s">
        <v>51502</v>
      </c>
      <c r="F10228" s="37" t="s">
        <v>54401</v>
      </c>
      <c r="G10228" s="39">
        <v>822505.26</v>
      </c>
      <c r="H10228" s="42">
        <v>211</v>
      </c>
    </row>
    <row r="10229" spans="1:8" ht="15" customHeight="1">
      <c r="A10229" s="26">
        <v>1048690312</v>
      </c>
      <c r="B10229" s="29" t="s">
        <v>12446</v>
      </c>
      <c r="C10229" s="26" t="s">
        <v>26242</v>
      </c>
      <c r="D10229" s="26" t="s">
        <v>39694</v>
      </c>
      <c r="E10229" s="26" t="s">
        <v>49593</v>
      </c>
      <c r="F10229" s="37" t="s">
        <v>54401</v>
      </c>
      <c r="G10229" s="39">
        <v>325474.08</v>
      </c>
      <c r="H10229" s="42">
        <v>211</v>
      </c>
    </row>
    <row r="10230" spans="1:8" ht="15" customHeight="1">
      <c r="A10230" s="26">
        <v>1048690329</v>
      </c>
      <c r="B10230" s="29" t="s">
        <v>12447</v>
      </c>
      <c r="C10230" s="29" t="s">
        <v>26243</v>
      </c>
      <c r="D10230" s="29" t="s">
        <v>39695</v>
      </c>
      <c r="E10230" s="29" t="s">
        <v>51503</v>
      </c>
      <c r="F10230" s="36" t="s">
        <v>54401</v>
      </c>
      <c r="G10230" s="39">
        <v>173648.63</v>
      </c>
      <c r="H10230" s="42">
        <v>211</v>
      </c>
    </row>
    <row r="10231" spans="1:8" ht="15" customHeight="1">
      <c r="A10231" s="26">
        <v>1048690337</v>
      </c>
      <c r="B10231" s="29" t="s">
        <v>12448</v>
      </c>
      <c r="C10231" s="29" t="s">
        <v>26244</v>
      </c>
      <c r="D10231" s="29" t="s">
        <v>39696</v>
      </c>
      <c r="E10231" s="29" t="s">
        <v>51504</v>
      </c>
      <c r="F10231" s="36" t="s">
        <v>54401</v>
      </c>
      <c r="G10231" s="39">
        <v>157286.29</v>
      </c>
      <c r="H10231" s="42">
        <v>211</v>
      </c>
    </row>
    <row r="10232" spans="1:8" ht="15" customHeight="1">
      <c r="A10232" s="26">
        <v>1048690351</v>
      </c>
      <c r="B10232" s="29" t="s">
        <v>12449</v>
      </c>
      <c r="C10232" s="29" t="s">
        <v>26245</v>
      </c>
      <c r="D10232" s="29" t="s">
        <v>39697</v>
      </c>
      <c r="E10232" s="29" t="s">
        <v>51505</v>
      </c>
      <c r="F10232" s="36" t="s">
        <v>54401</v>
      </c>
      <c r="G10232" s="39">
        <v>5132399.09</v>
      </c>
      <c r="H10232" s="42">
        <v>211</v>
      </c>
    </row>
    <row r="10233" spans="1:8" ht="15" customHeight="1">
      <c r="A10233" s="26">
        <v>1048690359</v>
      </c>
      <c r="B10233" s="29" t="s">
        <v>12450</v>
      </c>
      <c r="C10233" s="29" t="s">
        <v>26246</v>
      </c>
      <c r="D10233" s="29" t="s">
        <v>39698</v>
      </c>
      <c r="E10233" s="29" t="s">
        <v>51506</v>
      </c>
      <c r="F10233" s="36" t="s">
        <v>54401</v>
      </c>
      <c r="G10233" s="39">
        <v>258816.71</v>
      </c>
      <c r="H10233" s="42">
        <v>211</v>
      </c>
    </row>
    <row r="10234" spans="1:8" ht="15" customHeight="1">
      <c r="A10234" s="26">
        <v>1048690385</v>
      </c>
      <c r="B10234" s="29" t="s">
        <v>12451</v>
      </c>
      <c r="C10234" s="29" t="s">
        <v>26247</v>
      </c>
      <c r="D10234" s="29" t="s">
        <v>39699</v>
      </c>
      <c r="E10234" s="29" t="s">
        <v>51507</v>
      </c>
      <c r="F10234" s="36" t="s">
        <v>54401</v>
      </c>
      <c r="G10234" s="39">
        <v>2099181.1</v>
      </c>
      <c r="H10234" s="42">
        <v>211</v>
      </c>
    </row>
    <row r="10235" spans="1:8" ht="15" customHeight="1">
      <c r="A10235" s="26">
        <v>1048690394</v>
      </c>
      <c r="B10235" s="29" t="s">
        <v>12452</v>
      </c>
      <c r="C10235" s="29" t="s">
        <v>17204</v>
      </c>
      <c r="D10235" s="29" t="s">
        <v>30349</v>
      </c>
      <c r="E10235" s="29" t="s">
        <v>43926</v>
      </c>
      <c r="F10235" s="36" t="s">
        <v>54401</v>
      </c>
      <c r="G10235" s="39">
        <v>575917.79</v>
      </c>
      <c r="H10235" s="42">
        <v>211</v>
      </c>
    </row>
    <row r="10236" spans="1:8" ht="15" customHeight="1">
      <c r="A10236" s="26">
        <v>1048690404</v>
      </c>
      <c r="B10236" s="29" t="s">
        <v>12453</v>
      </c>
      <c r="C10236" s="29" t="s">
        <v>26248</v>
      </c>
      <c r="D10236" s="29" t="s">
        <v>39700</v>
      </c>
      <c r="E10236" s="29" t="s">
        <v>43926</v>
      </c>
      <c r="F10236" s="36" t="s">
        <v>54401</v>
      </c>
      <c r="G10236" s="39">
        <v>1253464.3799999999</v>
      </c>
      <c r="H10236" s="42">
        <v>211</v>
      </c>
    </row>
    <row r="10237" spans="1:8" ht="15" customHeight="1">
      <c r="A10237" s="26">
        <v>1048730340</v>
      </c>
      <c r="B10237" s="29" t="s">
        <v>12454</v>
      </c>
      <c r="C10237" s="29" t="s">
        <v>26249</v>
      </c>
      <c r="D10237" s="29" t="s">
        <v>39701</v>
      </c>
      <c r="E10237" s="29" t="s">
        <v>51508</v>
      </c>
      <c r="F10237" s="36" t="s">
        <v>54412</v>
      </c>
      <c r="G10237" s="39">
        <v>742801.69</v>
      </c>
      <c r="H10237" s="42">
        <v>211</v>
      </c>
    </row>
    <row r="10238" spans="1:8" ht="15" customHeight="1">
      <c r="A10238" s="26">
        <v>1048730431</v>
      </c>
      <c r="B10238" s="29" t="s">
        <v>12455</v>
      </c>
      <c r="C10238" s="29" t="s">
        <v>26250</v>
      </c>
      <c r="D10238" s="29" t="s">
        <v>39702</v>
      </c>
      <c r="E10238" s="29" t="s">
        <v>46539</v>
      </c>
      <c r="F10238" s="36" t="s">
        <v>54401</v>
      </c>
      <c r="G10238" s="39">
        <v>682319.62</v>
      </c>
      <c r="H10238" s="42">
        <v>211</v>
      </c>
    </row>
    <row r="10239" spans="1:8" ht="15" customHeight="1">
      <c r="A10239" s="26">
        <v>1048730551</v>
      </c>
      <c r="B10239" s="29" t="s">
        <v>12456</v>
      </c>
      <c r="C10239" s="29" t="s">
        <v>26251</v>
      </c>
      <c r="D10239" s="29" t="s">
        <v>39703</v>
      </c>
      <c r="E10239" s="29" t="s">
        <v>51509</v>
      </c>
      <c r="F10239" s="36" t="s">
        <v>54401</v>
      </c>
      <c r="G10239" s="39">
        <v>10406913</v>
      </c>
      <c r="H10239" s="42">
        <v>211</v>
      </c>
    </row>
    <row r="10240" spans="1:8" ht="15" customHeight="1">
      <c r="A10240" s="26">
        <v>1048730691</v>
      </c>
      <c r="B10240" s="29" t="s">
        <v>12457</v>
      </c>
      <c r="C10240" s="29" t="s">
        <v>26252</v>
      </c>
      <c r="D10240" s="29" t="s">
        <v>39704</v>
      </c>
      <c r="E10240" s="29" t="s">
        <v>51510</v>
      </c>
      <c r="F10240" s="36" t="s">
        <v>54437</v>
      </c>
      <c r="G10240" s="39">
        <v>4056276.47</v>
      </c>
      <c r="H10240" s="42">
        <v>211</v>
      </c>
    </row>
    <row r="10241" spans="1:8" ht="15" customHeight="1">
      <c r="A10241" s="26">
        <v>1048820095</v>
      </c>
      <c r="B10241" s="29" t="s">
        <v>12458</v>
      </c>
      <c r="C10241" s="26" t="s">
        <v>26253</v>
      </c>
      <c r="D10241" s="26" t="s">
        <v>39705</v>
      </c>
      <c r="E10241" s="26" t="s">
        <v>51511</v>
      </c>
      <c r="F10241" s="37" t="s">
        <v>54401</v>
      </c>
      <c r="G10241" s="39">
        <v>38216.06</v>
      </c>
      <c r="H10241" s="42">
        <v>211</v>
      </c>
    </row>
    <row r="10242" spans="1:8" ht="15" customHeight="1">
      <c r="A10242" s="26">
        <v>1048820308</v>
      </c>
      <c r="B10242" s="29" t="s">
        <v>12459</v>
      </c>
      <c r="C10242" s="29" t="s">
        <v>26254</v>
      </c>
      <c r="D10242" s="29" t="s">
        <v>39706</v>
      </c>
      <c r="E10242" s="29" t="s">
        <v>51512</v>
      </c>
      <c r="F10242" s="36" t="s">
        <v>54401</v>
      </c>
      <c r="G10242" s="39">
        <v>4186990</v>
      </c>
      <c r="H10242" s="42">
        <v>211</v>
      </c>
    </row>
    <row r="10243" spans="1:8" ht="15" customHeight="1">
      <c r="A10243" s="26">
        <v>1048820351</v>
      </c>
      <c r="B10243" s="29" t="s">
        <v>12460</v>
      </c>
      <c r="C10243" s="29" t="s">
        <v>26255</v>
      </c>
      <c r="D10243" s="29" t="s">
        <v>39707</v>
      </c>
      <c r="E10243" s="29" t="s">
        <v>51513</v>
      </c>
      <c r="F10243" s="36" t="s">
        <v>54401</v>
      </c>
      <c r="G10243" s="39">
        <v>111458.82</v>
      </c>
      <c r="H10243" s="42">
        <v>211</v>
      </c>
    </row>
    <row r="10244" spans="1:8" ht="15" customHeight="1">
      <c r="A10244" s="26">
        <v>1048820367</v>
      </c>
      <c r="B10244" s="29" t="s">
        <v>12461</v>
      </c>
      <c r="C10244" s="29" t="s">
        <v>17204</v>
      </c>
      <c r="D10244" s="29" t="s">
        <v>30349</v>
      </c>
      <c r="E10244" s="29" t="s">
        <v>43926</v>
      </c>
      <c r="F10244" s="36" t="s">
        <v>54401</v>
      </c>
      <c r="G10244" s="39">
        <v>167774.36</v>
      </c>
      <c r="H10244" s="42">
        <v>211</v>
      </c>
    </row>
    <row r="10245" spans="1:8" ht="15" customHeight="1">
      <c r="A10245" s="26">
        <v>1048820525</v>
      </c>
      <c r="B10245" s="29" t="s">
        <v>12462</v>
      </c>
      <c r="C10245" s="29" t="s">
        <v>26256</v>
      </c>
      <c r="D10245" s="29" t="s">
        <v>39708</v>
      </c>
      <c r="E10245" s="29" t="s">
        <v>43926</v>
      </c>
      <c r="F10245" s="36" t="s">
        <v>54401</v>
      </c>
      <c r="G10245" s="39">
        <v>432528.78</v>
      </c>
      <c r="H10245" s="42">
        <v>211</v>
      </c>
    </row>
    <row r="10246" spans="1:8" ht="15" customHeight="1">
      <c r="A10246" s="26">
        <v>1048820560</v>
      </c>
      <c r="B10246" s="29" t="s">
        <v>12463</v>
      </c>
      <c r="C10246" s="29" t="s">
        <v>26257</v>
      </c>
      <c r="D10246" s="29" t="s">
        <v>39709</v>
      </c>
      <c r="E10246" s="29" t="s">
        <v>46973</v>
      </c>
      <c r="F10246" s="36" t="s">
        <v>54401</v>
      </c>
      <c r="G10246" s="39">
        <v>465080.24</v>
      </c>
      <c r="H10246" s="42">
        <v>211</v>
      </c>
    </row>
    <row r="10247" spans="1:8" ht="15" customHeight="1">
      <c r="A10247" s="26">
        <v>1048820658</v>
      </c>
      <c r="B10247" s="29" t="s">
        <v>12464</v>
      </c>
      <c r="C10247" s="29" t="s">
        <v>25454</v>
      </c>
      <c r="D10247" s="29" t="s">
        <v>39710</v>
      </c>
      <c r="E10247" s="29" t="s">
        <v>51514</v>
      </c>
      <c r="F10247" s="36" t="s">
        <v>54401</v>
      </c>
      <c r="G10247" s="39">
        <v>1203954.8400000001</v>
      </c>
      <c r="H10247" s="42">
        <v>211</v>
      </c>
    </row>
    <row r="10248" spans="1:8" ht="15" customHeight="1">
      <c r="A10248" s="26">
        <v>1048820765</v>
      </c>
      <c r="B10248" s="29" t="s">
        <v>12465</v>
      </c>
      <c r="C10248" s="29" t="s">
        <v>26258</v>
      </c>
      <c r="D10248" s="29" t="s">
        <v>30376</v>
      </c>
      <c r="E10248" s="29" t="s">
        <v>48264</v>
      </c>
      <c r="F10248" s="36" t="s">
        <v>54401</v>
      </c>
      <c r="G10248" s="39">
        <v>194548.33</v>
      </c>
      <c r="H10248" s="42">
        <v>211</v>
      </c>
    </row>
    <row r="10249" spans="1:8" ht="15" customHeight="1">
      <c r="A10249" s="26">
        <v>1048821478</v>
      </c>
      <c r="B10249" s="29" t="s">
        <v>12466</v>
      </c>
      <c r="C10249" s="29" t="s">
        <v>26259</v>
      </c>
      <c r="D10249" s="29" t="s">
        <v>39711</v>
      </c>
      <c r="E10249" s="29" t="s">
        <v>49512</v>
      </c>
      <c r="F10249" s="36" t="s">
        <v>54401</v>
      </c>
      <c r="G10249" s="39">
        <v>224357.08</v>
      </c>
      <c r="H10249" s="42">
        <v>211</v>
      </c>
    </row>
    <row r="10250" spans="1:8" ht="15" customHeight="1">
      <c r="A10250" s="26">
        <v>1048822129</v>
      </c>
      <c r="B10250" s="29" t="s">
        <v>12467</v>
      </c>
      <c r="C10250" s="29" t="s">
        <v>17204</v>
      </c>
      <c r="D10250" s="29" t="s">
        <v>39712</v>
      </c>
      <c r="E10250" s="29" t="s">
        <v>43926</v>
      </c>
      <c r="F10250" s="36" t="s">
        <v>54401</v>
      </c>
      <c r="G10250" s="39">
        <v>246345.3</v>
      </c>
      <c r="H10250" s="42">
        <v>211</v>
      </c>
    </row>
    <row r="10251" spans="1:8" ht="15" customHeight="1">
      <c r="A10251" s="26">
        <v>1048822545</v>
      </c>
      <c r="B10251" s="29" t="s">
        <v>12468</v>
      </c>
      <c r="C10251" s="26" t="s">
        <v>17204</v>
      </c>
      <c r="D10251" s="26" t="s">
        <v>30349</v>
      </c>
      <c r="E10251" s="26" t="s">
        <v>43926</v>
      </c>
      <c r="F10251" s="37" t="s">
        <v>54401</v>
      </c>
      <c r="G10251" s="39">
        <v>190407.47</v>
      </c>
      <c r="H10251" s="42">
        <v>211</v>
      </c>
    </row>
    <row r="10252" spans="1:8" ht="15" customHeight="1">
      <c r="A10252" s="26">
        <v>1048822991</v>
      </c>
      <c r="B10252" s="29" t="s">
        <v>12469</v>
      </c>
      <c r="C10252" s="29" t="s">
        <v>26260</v>
      </c>
      <c r="D10252" s="29" t="s">
        <v>39713</v>
      </c>
      <c r="E10252" s="29" t="s">
        <v>44332</v>
      </c>
      <c r="F10252" s="36" t="s">
        <v>54414</v>
      </c>
      <c r="G10252" s="39">
        <v>1473855.22</v>
      </c>
      <c r="H10252" s="42">
        <v>211</v>
      </c>
    </row>
    <row r="10253" spans="1:8" ht="15" customHeight="1">
      <c r="A10253" s="26">
        <v>1048848616</v>
      </c>
      <c r="B10253" s="29" t="s">
        <v>12470</v>
      </c>
      <c r="C10253" s="29" t="s">
        <v>26261</v>
      </c>
      <c r="D10253" s="29" t="s">
        <v>39714</v>
      </c>
      <c r="E10253" s="29" t="s">
        <v>51515</v>
      </c>
      <c r="F10253" s="36" t="s">
        <v>54401</v>
      </c>
      <c r="G10253" s="39">
        <v>2019612</v>
      </c>
      <c r="H10253" s="42">
        <v>211</v>
      </c>
    </row>
    <row r="10254" spans="1:8" ht="15" customHeight="1">
      <c r="A10254" s="26">
        <v>1048851483</v>
      </c>
      <c r="B10254" s="29" t="s">
        <v>12471</v>
      </c>
      <c r="C10254" s="29" t="s">
        <v>26262</v>
      </c>
      <c r="D10254" s="29" t="s">
        <v>39715</v>
      </c>
      <c r="E10254" s="29" t="s">
        <v>51516</v>
      </c>
      <c r="F10254" s="36" t="s">
        <v>54401</v>
      </c>
      <c r="G10254" s="39">
        <v>3260305.04</v>
      </c>
      <c r="H10254" s="42">
        <v>211</v>
      </c>
    </row>
    <row r="10255" spans="1:8" ht="15" customHeight="1">
      <c r="A10255" s="26">
        <v>1049026887</v>
      </c>
      <c r="B10255" s="29" t="s">
        <v>12472</v>
      </c>
      <c r="C10255" s="29" t="s">
        <v>26263</v>
      </c>
      <c r="D10255" s="29" t="s">
        <v>39716</v>
      </c>
      <c r="E10255" s="29" t="s">
        <v>51517</v>
      </c>
      <c r="F10255" s="36" t="s">
        <v>54401</v>
      </c>
      <c r="G10255" s="39">
        <v>42331.17</v>
      </c>
      <c r="H10255" s="42">
        <v>211</v>
      </c>
    </row>
    <row r="10256" spans="1:8" ht="15" customHeight="1">
      <c r="A10256" s="26">
        <v>1049372108</v>
      </c>
      <c r="B10256" s="29" t="s">
        <v>12473</v>
      </c>
      <c r="C10256" s="29" t="s">
        <v>17204</v>
      </c>
      <c r="D10256" s="29" t="s">
        <v>30349</v>
      </c>
      <c r="E10256" s="29" t="s">
        <v>43926</v>
      </c>
      <c r="F10256" s="36" t="s">
        <v>54401</v>
      </c>
      <c r="G10256" s="39">
        <v>3870812</v>
      </c>
      <c r="H10256" s="42">
        <v>211</v>
      </c>
    </row>
    <row r="10257" spans="1:8" ht="15" customHeight="1">
      <c r="A10257" s="26">
        <v>1049372151</v>
      </c>
      <c r="B10257" s="29" t="s">
        <v>12474</v>
      </c>
      <c r="C10257" s="29" t="s">
        <v>26264</v>
      </c>
      <c r="D10257" s="29" t="s">
        <v>39717</v>
      </c>
      <c r="E10257" s="29" t="s">
        <v>51518</v>
      </c>
      <c r="F10257" s="36" t="s">
        <v>54401</v>
      </c>
      <c r="G10257" s="39">
        <v>375155.63</v>
      </c>
      <c r="H10257" s="42">
        <v>211</v>
      </c>
    </row>
    <row r="10258" spans="1:8" ht="15" customHeight="1">
      <c r="A10258" s="26">
        <v>1049372171</v>
      </c>
      <c r="B10258" s="29" t="s">
        <v>12475</v>
      </c>
      <c r="C10258" s="29" t="s">
        <v>26265</v>
      </c>
      <c r="D10258" s="29" t="s">
        <v>39718</v>
      </c>
      <c r="E10258" s="29" t="s">
        <v>701</v>
      </c>
      <c r="F10258" s="36" t="s">
        <v>54401</v>
      </c>
      <c r="G10258" s="39">
        <v>69290.5</v>
      </c>
      <c r="H10258" s="42">
        <v>211</v>
      </c>
    </row>
    <row r="10259" spans="1:8" ht="15" customHeight="1">
      <c r="A10259" s="26">
        <v>1049372179</v>
      </c>
      <c r="B10259" s="29" t="s">
        <v>12476</v>
      </c>
      <c r="C10259" s="29" t="s">
        <v>17204</v>
      </c>
      <c r="D10259" s="29" t="s">
        <v>39718</v>
      </c>
      <c r="E10259" s="29" t="s">
        <v>43926</v>
      </c>
      <c r="F10259" s="36" t="s">
        <v>54401</v>
      </c>
      <c r="G10259" s="39">
        <v>93746.3</v>
      </c>
      <c r="H10259" s="42">
        <v>211</v>
      </c>
    </row>
    <row r="10260" spans="1:8" ht="15" customHeight="1">
      <c r="A10260" s="26">
        <v>1049372407</v>
      </c>
      <c r="B10260" s="29" t="s">
        <v>12477</v>
      </c>
      <c r="C10260" s="29" t="s">
        <v>26266</v>
      </c>
      <c r="D10260" s="29" t="s">
        <v>39719</v>
      </c>
      <c r="E10260" s="29" t="s">
        <v>51519</v>
      </c>
      <c r="F10260" s="36" t="s">
        <v>54401</v>
      </c>
      <c r="G10260" s="39">
        <v>8461199</v>
      </c>
      <c r="H10260" s="42">
        <v>211</v>
      </c>
    </row>
    <row r="10261" spans="1:8" ht="15" customHeight="1">
      <c r="A10261" s="26">
        <v>1049372416</v>
      </c>
      <c r="B10261" s="29" t="s">
        <v>12478</v>
      </c>
      <c r="C10261" s="26" t="s">
        <v>17204</v>
      </c>
      <c r="D10261" s="26" t="s">
        <v>39720</v>
      </c>
      <c r="E10261" s="26" t="s">
        <v>43926</v>
      </c>
      <c r="F10261" s="37" t="s">
        <v>54401</v>
      </c>
      <c r="G10261" s="39">
        <v>591539.88</v>
      </c>
      <c r="H10261" s="42">
        <v>211</v>
      </c>
    </row>
    <row r="10262" spans="1:8" ht="15" customHeight="1">
      <c r="A10262" s="26">
        <v>1049372481</v>
      </c>
      <c r="B10262" s="29" t="s">
        <v>12479</v>
      </c>
      <c r="C10262" s="29" t="s">
        <v>26267</v>
      </c>
      <c r="D10262" s="29" t="s">
        <v>39721</v>
      </c>
      <c r="E10262" s="29" t="s">
        <v>43926</v>
      </c>
      <c r="F10262" s="36" t="s">
        <v>54401</v>
      </c>
      <c r="G10262" s="39">
        <v>355764.68</v>
      </c>
      <c r="H10262" s="42">
        <v>211</v>
      </c>
    </row>
    <row r="10263" spans="1:8" ht="15" customHeight="1">
      <c r="A10263" s="26">
        <v>1049372925</v>
      </c>
      <c r="B10263" s="29" t="s">
        <v>12480</v>
      </c>
      <c r="C10263" s="29" t="s">
        <v>17204</v>
      </c>
      <c r="D10263" s="29" t="s">
        <v>30349</v>
      </c>
      <c r="E10263" s="29" t="s">
        <v>43926</v>
      </c>
      <c r="F10263" s="36" t="s">
        <v>54401</v>
      </c>
      <c r="G10263" s="39">
        <v>597583.35999999999</v>
      </c>
      <c r="H10263" s="42">
        <v>211</v>
      </c>
    </row>
    <row r="10264" spans="1:8" ht="15" customHeight="1">
      <c r="A10264" s="26">
        <v>1049373039</v>
      </c>
      <c r="B10264" s="29" t="s">
        <v>12481</v>
      </c>
      <c r="C10264" s="29" t="s">
        <v>26268</v>
      </c>
      <c r="D10264" s="29" t="s">
        <v>39722</v>
      </c>
      <c r="E10264" s="29" t="s">
        <v>51520</v>
      </c>
      <c r="F10264" s="36" t="s">
        <v>54401</v>
      </c>
      <c r="G10264" s="39">
        <v>351093.54</v>
      </c>
      <c r="H10264" s="42">
        <v>211</v>
      </c>
    </row>
    <row r="10265" spans="1:8" ht="15" customHeight="1">
      <c r="A10265" s="26">
        <v>1049373053</v>
      </c>
      <c r="B10265" s="29" t="s">
        <v>12482</v>
      </c>
      <c r="C10265" s="29" t="s">
        <v>26269</v>
      </c>
      <c r="D10265" s="29" t="s">
        <v>39723</v>
      </c>
      <c r="E10265" s="29" t="s">
        <v>51521</v>
      </c>
      <c r="F10265" s="36" t="s">
        <v>54416</v>
      </c>
      <c r="G10265" s="39">
        <v>1393291.21</v>
      </c>
      <c r="H10265" s="42">
        <v>211</v>
      </c>
    </row>
    <row r="10266" spans="1:8" ht="15" customHeight="1">
      <c r="A10266" s="26">
        <v>1049373133</v>
      </c>
      <c r="B10266" s="29" t="s">
        <v>12483</v>
      </c>
      <c r="C10266" s="29" t="s">
        <v>26270</v>
      </c>
      <c r="D10266" s="29" t="s">
        <v>39724</v>
      </c>
      <c r="E10266" s="29" t="s">
        <v>51522</v>
      </c>
      <c r="F10266" s="36" t="s">
        <v>54401</v>
      </c>
      <c r="G10266" s="39">
        <v>1725652.88</v>
      </c>
      <c r="H10266" s="42">
        <v>211</v>
      </c>
    </row>
    <row r="10267" spans="1:8" ht="15" customHeight="1">
      <c r="A10267" s="26">
        <v>1049373346</v>
      </c>
      <c r="B10267" s="29" t="s">
        <v>12484</v>
      </c>
      <c r="C10267" s="29" t="s">
        <v>26271</v>
      </c>
      <c r="D10267" s="29" t="s">
        <v>39725</v>
      </c>
      <c r="E10267" s="29" t="s">
        <v>51523</v>
      </c>
      <c r="F10267" s="36" t="s">
        <v>54401</v>
      </c>
      <c r="G10267" s="39">
        <v>3566556.92</v>
      </c>
      <c r="H10267" s="42">
        <v>211</v>
      </c>
    </row>
    <row r="10268" spans="1:8" ht="15" customHeight="1">
      <c r="A10268" s="26">
        <v>1049373522</v>
      </c>
      <c r="B10268" s="29" t="s">
        <v>12485</v>
      </c>
      <c r="C10268" s="26" t="s">
        <v>17204</v>
      </c>
      <c r="D10268" s="26" t="s">
        <v>39726</v>
      </c>
      <c r="E10268" s="26" t="s">
        <v>43926</v>
      </c>
      <c r="F10268" s="37" t="s">
        <v>54401</v>
      </c>
      <c r="G10268" s="39">
        <v>48071.5</v>
      </c>
      <c r="H10268" s="42">
        <v>211</v>
      </c>
    </row>
    <row r="10269" spans="1:8" ht="15" customHeight="1">
      <c r="A10269" s="26">
        <v>1049373579</v>
      </c>
      <c r="B10269" s="29" t="s">
        <v>12486</v>
      </c>
      <c r="C10269" s="26" t="s">
        <v>26272</v>
      </c>
      <c r="D10269" s="26" t="s">
        <v>39727</v>
      </c>
      <c r="E10269" s="26" t="s">
        <v>43926</v>
      </c>
      <c r="F10269" s="37" t="s">
        <v>54401</v>
      </c>
      <c r="G10269" s="39">
        <v>241879.22</v>
      </c>
      <c r="H10269" s="42">
        <v>211</v>
      </c>
    </row>
    <row r="10270" spans="1:8" ht="15" customHeight="1">
      <c r="A10270" s="26">
        <v>1049373752</v>
      </c>
      <c r="B10270" s="29" t="s">
        <v>12487</v>
      </c>
      <c r="C10270" s="29" t="s">
        <v>26273</v>
      </c>
      <c r="D10270" s="29" t="s">
        <v>39728</v>
      </c>
      <c r="E10270" s="29" t="s">
        <v>51524</v>
      </c>
      <c r="F10270" s="36" t="s">
        <v>54401</v>
      </c>
      <c r="G10270" s="39">
        <v>1449936.86</v>
      </c>
      <c r="H10270" s="42">
        <v>211</v>
      </c>
    </row>
    <row r="10271" spans="1:8" ht="15" customHeight="1">
      <c r="A10271" s="26">
        <v>1049412853</v>
      </c>
      <c r="B10271" s="29" t="s">
        <v>12488</v>
      </c>
      <c r="C10271" s="29" t="s">
        <v>26274</v>
      </c>
      <c r="D10271" s="29" t="s">
        <v>39729</v>
      </c>
      <c r="E10271" s="29" t="s">
        <v>45813</v>
      </c>
      <c r="F10271" s="36" t="s">
        <v>54401</v>
      </c>
      <c r="G10271" s="39">
        <v>423509.78</v>
      </c>
      <c r="H10271" s="42">
        <v>211</v>
      </c>
    </row>
    <row r="10272" spans="1:8" ht="15" customHeight="1">
      <c r="A10272" s="26">
        <v>1049413405</v>
      </c>
      <c r="B10272" s="29" t="s">
        <v>12489</v>
      </c>
      <c r="C10272" s="29" t="s">
        <v>17204</v>
      </c>
      <c r="D10272" s="29" t="s">
        <v>30349</v>
      </c>
      <c r="E10272" s="29" t="s">
        <v>43926</v>
      </c>
      <c r="F10272" s="36" t="s">
        <v>54401</v>
      </c>
      <c r="G10272" s="39">
        <v>322307.93</v>
      </c>
      <c r="H10272" s="42">
        <v>211</v>
      </c>
    </row>
    <row r="10273" spans="1:8" ht="15" customHeight="1">
      <c r="A10273" s="26">
        <v>1049413931</v>
      </c>
      <c r="B10273" s="29" t="s">
        <v>12490</v>
      </c>
      <c r="C10273" s="29" t="s">
        <v>26275</v>
      </c>
      <c r="D10273" s="29" t="s">
        <v>39730</v>
      </c>
      <c r="E10273" s="29" t="s">
        <v>51525</v>
      </c>
      <c r="F10273" s="36" t="s">
        <v>54401</v>
      </c>
      <c r="G10273" s="39">
        <v>2450876.31</v>
      </c>
      <c r="H10273" s="42">
        <v>211</v>
      </c>
    </row>
    <row r="10274" spans="1:8" ht="15" customHeight="1">
      <c r="A10274" s="26">
        <v>1049602251</v>
      </c>
      <c r="B10274" s="29" t="s">
        <v>12491</v>
      </c>
      <c r="C10274" s="29" t="s">
        <v>26276</v>
      </c>
      <c r="D10274" s="29" t="s">
        <v>39731</v>
      </c>
      <c r="E10274" s="29" t="s">
        <v>50389</v>
      </c>
      <c r="F10274" s="36" t="s">
        <v>54401</v>
      </c>
      <c r="G10274" s="39">
        <v>2028559</v>
      </c>
      <c r="H10274" s="42">
        <v>211</v>
      </c>
    </row>
    <row r="10275" spans="1:8" ht="15" customHeight="1">
      <c r="A10275" s="26">
        <v>1049602342</v>
      </c>
      <c r="B10275" s="29" t="s">
        <v>12492</v>
      </c>
      <c r="C10275" s="29" t="s">
        <v>26277</v>
      </c>
      <c r="D10275" s="29" t="s">
        <v>39732</v>
      </c>
      <c r="E10275" s="29" t="s">
        <v>51526</v>
      </c>
      <c r="F10275" s="36" t="s">
        <v>54401</v>
      </c>
      <c r="G10275" s="39">
        <v>733277.49</v>
      </c>
      <c r="H10275" s="42">
        <v>211</v>
      </c>
    </row>
    <row r="10276" spans="1:8" ht="15" customHeight="1">
      <c r="A10276" s="26">
        <v>1049602513</v>
      </c>
      <c r="B10276" s="29" t="s">
        <v>12493</v>
      </c>
      <c r="C10276" s="29" t="s">
        <v>26278</v>
      </c>
      <c r="D10276" s="29" t="s">
        <v>39733</v>
      </c>
      <c r="E10276" s="29" t="s">
        <v>51527</v>
      </c>
      <c r="F10276" s="36" t="s">
        <v>54401</v>
      </c>
      <c r="G10276" s="39">
        <v>1741881</v>
      </c>
      <c r="H10276" s="42">
        <v>211</v>
      </c>
    </row>
    <row r="10277" spans="1:8" ht="15" customHeight="1">
      <c r="A10277" s="26">
        <v>1049602720</v>
      </c>
      <c r="B10277" s="29" t="s">
        <v>12494</v>
      </c>
      <c r="C10277" s="29" t="s">
        <v>26279</v>
      </c>
      <c r="D10277" s="29" t="s">
        <v>39734</v>
      </c>
      <c r="E10277" s="29" t="s">
        <v>51528</v>
      </c>
      <c r="F10277" s="36" t="s">
        <v>54401</v>
      </c>
      <c r="G10277" s="39">
        <v>2829324.81</v>
      </c>
      <c r="H10277" s="42">
        <v>211</v>
      </c>
    </row>
    <row r="10278" spans="1:8" ht="15" customHeight="1">
      <c r="A10278" s="26">
        <v>1049603218</v>
      </c>
      <c r="B10278" s="29" t="s">
        <v>12495</v>
      </c>
      <c r="C10278" s="29" t="s">
        <v>26280</v>
      </c>
      <c r="D10278" s="29" t="s">
        <v>39735</v>
      </c>
      <c r="E10278" s="29" t="s">
        <v>51529</v>
      </c>
      <c r="F10278" s="36" t="s">
        <v>54401</v>
      </c>
      <c r="G10278" s="39">
        <v>590100.93000000005</v>
      </c>
      <c r="H10278" s="42">
        <v>211</v>
      </c>
    </row>
    <row r="10279" spans="1:8" ht="15" customHeight="1">
      <c r="A10279" s="26">
        <v>1049603457</v>
      </c>
      <c r="B10279" s="29" t="s">
        <v>12496</v>
      </c>
      <c r="C10279" s="29" t="s">
        <v>26281</v>
      </c>
      <c r="D10279" s="29" t="s">
        <v>39736</v>
      </c>
      <c r="E10279" s="29" t="s">
        <v>51530</v>
      </c>
      <c r="F10279" s="36" t="s">
        <v>54401</v>
      </c>
      <c r="G10279" s="39">
        <v>3857205.19</v>
      </c>
      <c r="H10279" s="42">
        <v>211</v>
      </c>
    </row>
    <row r="10280" spans="1:8" ht="15" customHeight="1">
      <c r="A10280" s="26">
        <v>1049603625</v>
      </c>
      <c r="B10280" s="29" t="s">
        <v>12497</v>
      </c>
      <c r="C10280" s="29" t="s">
        <v>26282</v>
      </c>
      <c r="D10280" s="29" t="s">
        <v>39737</v>
      </c>
      <c r="E10280" s="29" t="s">
        <v>51531</v>
      </c>
      <c r="F10280" s="36" t="s">
        <v>54401</v>
      </c>
      <c r="G10280" s="39">
        <v>2860319.06</v>
      </c>
      <c r="H10280" s="42">
        <v>211</v>
      </c>
    </row>
    <row r="10281" spans="1:8" ht="15" customHeight="1">
      <c r="A10281" s="26">
        <v>1049603804</v>
      </c>
      <c r="B10281" s="29" t="s">
        <v>12498</v>
      </c>
      <c r="C10281" s="29" t="s">
        <v>26283</v>
      </c>
      <c r="D10281" s="29" t="s">
        <v>39738</v>
      </c>
      <c r="E10281" s="29" t="s">
        <v>51532</v>
      </c>
      <c r="F10281" s="36" t="s">
        <v>54401</v>
      </c>
      <c r="G10281" s="39">
        <v>990506.03</v>
      </c>
      <c r="H10281" s="42">
        <v>211</v>
      </c>
    </row>
    <row r="10282" spans="1:8" ht="15" customHeight="1">
      <c r="A10282" s="26">
        <v>1049605053</v>
      </c>
      <c r="B10282" s="29" t="s">
        <v>12499</v>
      </c>
      <c r="C10282" s="29" t="s">
        <v>26284</v>
      </c>
      <c r="D10282" s="29" t="s">
        <v>39739</v>
      </c>
      <c r="E10282" s="29" t="s">
        <v>51533</v>
      </c>
      <c r="F10282" s="36" t="s">
        <v>54401</v>
      </c>
      <c r="G10282" s="39">
        <v>330224.24</v>
      </c>
      <c r="H10282" s="42">
        <v>211</v>
      </c>
    </row>
    <row r="10283" spans="1:8" ht="15" customHeight="1">
      <c r="A10283" s="26">
        <v>1049605129</v>
      </c>
      <c r="B10283" s="29" t="s">
        <v>12500</v>
      </c>
      <c r="C10283" s="29" t="s">
        <v>17204</v>
      </c>
      <c r="D10283" s="29" t="s">
        <v>30349</v>
      </c>
      <c r="E10283" s="29" t="s">
        <v>43926</v>
      </c>
      <c r="F10283" s="36" t="s">
        <v>54401</v>
      </c>
      <c r="G10283" s="39">
        <v>296184.87</v>
      </c>
      <c r="H10283" s="42">
        <v>211</v>
      </c>
    </row>
    <row r="10284" spans="1:8" ht="15" customHeight="1">
      <c r="A10284" s="26">
        <v>1049605174</v>
      </c>
      <c r="B10284" s="29" t="s">
        <v>12501</v>
      </c>
      <c r="C10284" s="29" t="s">
        <v>26285</v>
      </c>
      <c r="D10284" s="29" t="s">
        <v>39740</v>
      </c>
      <c r="E10284" s="29" t="s">
        <v>51534</v>
      </c>
      <c r="F10284" s="36" t="s">
        <v>54401</v>
      </c>
      <c r="G10284" s="39">
        <v>6416468.46</v>
      </c>
      <c r="H10284" s="42">
        <v>211</v>
      </c>
    </row>
    <row r="10285" spans="1:8" ht="15" customHeight="1">
      <c r="A10285" s="26">
        <v>1049605279</v>
      </c>
      <c r="B10285" s="29" t="s">
        <v>12502</v>
      </c>
      <c r="C10285" s="26" t="s">
        <v>17204</v>
      </c>
      <c r="D10285" s="26" t="s">
        <v>30349</v>
      </c>
      <c r="E10285" s="26" t="s">
        <v>43926</v>
      </c>
      <c r="F10285" s="37" t="s">
        <v>54401</v>
      </c>
      <c r="G10285" s="39">
        <v>115140.04</v>
      </c>
      <c r="H10285" s="42">
        <v>211</v>
      </c>
    </row>
    <row r="10286" spans="1:8" ht="15" customHeight="1">
      <c r="A10286" s="26">
        <v>1049605678</v>
      </c>
      <c r="B10286" s="29" t="s">
        <v>12503</v>
      </c>
      <c r="C10286" s="29" t="s">
        <v>26286</v>
      </c>
      <c r="D10286" s="29" t="s">
        <v>39741</v>
      </c>
      <c r="E10286" s="29" t="s">
        <v>44345</v>
      </c>
      <c r="F10286" s="36" t="s">
        <v>54401</v>
      </c>
      <c r="G10286" s="39">
        <v>5502122</v>
      </c>
      <c r="H10286" s="42">
        <v>211</v>
      </c>
    </row>
    <row r="10287" spans="1:8" ht="15" customHeight="1">
      <c r="A10287" s="26">
        <v>1049606024</v>
      </c>
      <c r="B10287" s="29" t="s">
        <v>12504</v>
      </c>
      <c r="C10287" s="29" t="s">
        <v>26287</v>
      </c>
      <c r="D10287" s="29" t="s">
        <v>39742</v>
      </c>
      <c r="E10287" s="29" t="s">
        <v>51535</v>
      </c>
      <c r="F10287" s="36" t="s">
        <v>54401</v>
      </c>
      <c r="G10287" s="39">
        <v>2446246</v>
      </c>
      <c r="H10287" s="42">
        <v>211</v>
      </c>
    </row>
    <row r="10288" spans="1:8" ht="15" customHeight="1">
      <c r="A10288" s="26">
        <v>1049606173</v>
      </c>
      <c r="B10288" s="29" t="s">
        <v>12505</v>
      </c>
      <c r="C10288" s="29" t="s">
        <v>26288</v>
      </c>
      <c r="D10288" s="29" t="s">
        <v>39743</v>
      </c>
      <c r="E10288" s="29" t="s">
        <v>51536</v>
      </c>
      <c r="F10288" s="36" t="s">
        <v>54401</v>
      </c>
      <c r="G10288" s="39">
        <v>626654.09</v>
      </c>
      <c r="H10288" s="42">
        <v>211</v>
      </c>
    </row>
    <row r="10289" spans="1:8" ht="15" customHeight="1">
      <c r="A10289" s="26">
        <v>1049606763</v>
      </c>
      <c r="B10289" s="29" t="s">
        <v>12506</v>
      </c>
      <c r="C10289" s="29" t="s">
        <v>26289</v>
      </c>
      <c r="D10289" s="29" t="s">
        <v>39744</v>
      </c>
      <c r="E10289" s="29" t="s">
        <v>51537</v>
      </c>
      <c r="F10289" s="36" t="s">
        <v>54401</v>
      </c>
      <c r="G10289" s="39">
        <v>232803.57</v>
      </c>
      <c r="H10289" s="42">
        <v>211</v>
      </c>
    </row>
    <row r="10290" spans="1:8" ht="15" customHeight="1">
      <c r="A10290" s="26">
        <v>1049607147</v>
      </c>
      <c r="B10290" s="29" t="s">
        <v>12507</v>
      </c>
      <c r="C10290" s="29" t="s">
        <v>26290</v>
      </c>
      <c r="D10290" s="29" t="s">
        <v>39745</v>
      </c>
      <c r="E10290" s="29" t="s">
        <v>44853</v>
      </c>
      <c r="F10290" s="36" t="s">
        <v>54406</v>
      </c>
      <c r="G10290" s="39">
        <v>8502513.7200000007</v>
      </c>
      <c r="H10290" s="42">
        <v>211</v>
      </c>
    </row>
    <row r="10291" spans="1:8" ht="15" customHeight="1">
      <c r="A10291" s="26">
        <v>1049607289</v>
      </c>
      <c r="B10291" s="29" t="s">
        <v>12508</v>
      </c>
      <c r="C10291" s="29" t="s">
        <v>26291</v>
      </c>
      <c r="D10291" s="29" t="s">
        <v>39746</v>
      </c>
      <c r="E10291" s="29" t="s">
        <v>51538</v>
      </c>
      <c r="F10291" s="36" t="s">
        <v>54401</v>
      </c>
      <c r="G10291" s="39">
        <v>6720.59</v>
      </c>
      <c r="H10291" s="42">
        <v>211</v>
      </c>
    </row>
    <row r="10292" spans="1:8" ht="15" customHeight="1">
      <c r="A10292" s="26">
        <v>1049607333</v>
      </c>
      <c r="B10292" s="29" t="s">
        <v>12509</v>
      </c>
      <c r="C10292" s="29" t="s">
        <v>26292</v>
      </c>
      <c r="D10292" s="29" t="s">
        <v>39747</v>
      </c>
      <c r="E10292" s="29" t="s">
        <v>51539</v>
      </c>
      <c r="F10292" s="36" t="s">
        <v>54401</v>
      </c>
      <c r="G10292" s="39">
        <v>1393785.99</v>
      </c>
      <c r="H10292" s="42">
        <v>211</v>
      </c>
    </row>
    <row r="10293" spans="1:8" ht="15" customHeight="1">
      <c r="A10293" s="26">
        <v>1049607359</v>
      </c>
      <c r="B10293" s="29" t="s">
        <v>12510</v>
      </c>
      <c r="C10293" s="29" t="s">
        <v>26293</v>
      </c>
      <c r="D10293" s="29" t="s">
        <v>39748</v>
      </c>
      <c r="E10293" s="29" t="s">
        <v>51540</v>
      </c>
      <c r="F10293" s="36" t="s">
        <v>54401</v>
      </c>
      <c r="G10293" s="39">
        <v>5843547</v>
      </c>
      <c r="H10293" s="42">
        <v>211</v>
      </c>
    </row>
    <row r="10294" spans="1:8" ht="15" customHeight="1">
      <c r="A10294" s="26">
        <v>1049607758</v>
      </c>
      <c r="B10294" s="29" t="s">
        <v>12511</v>
      </c>
      <c r="C10294" s="29" t="s">
        <v>26294</v>
      </c>
      <c r="D10294" s="29" t="s">
        <v>39749</v>
      </c>
      <c r="E10294" s="29" t="s">
        <v>717</v>
      </c>
      <c r="F10294" s="36" t="s">
        <v>54401</v>
      </c>
      <c r="G10294" s="39">
        <v>2145976</v>
      </c>
      <c r="H10294" s="42">
        <v>211</v>
      </c>
    </row>
    <row r="10295" spans="1:8" ht="15" customHeight="1">
      <c r="A10295" s="26">
        <v>1049607932</v>
      </c>
      <c r="B10295" s="29" t="s">
        <v>12512</v>
      </c>
      <c r="C10295" s="29" t="s">
        <v>26295</v>
      </c>
      <c r="D10295" s="29" t="s">
        <v>39750</v>
      </c>
      <c r="E10295" s="29" t="s">
        <v>51541</v>
      </c>
      <c r="F10295" s="36" t="s">
        <v>54401</v>
      </c>
      <c r="G10295" s="39">
        <v>418882.17</v>
      </c>
      <c r="H10295" s="42">
        <v>211</v>
      </c>
    </row>
    <row r="10296" spans="1:8" ht="15" customHeight="1">
      <c r="A10296" s="26">
        <v>1049608213</v>
      </c>
      <c r="B10296" s="29" t="s">
        <v>12513</v>
      </c>
      <c r="C10296" s="29" t="s">
        <v>26296</v>
      </c>
      <c r="D10296" s="29" t="s">
        <v>39751</v>
      </c>
      <c r="E10296" s="29" t="s">
        <v>51542</v>
      </c>
      <c r="F10296" s="36" t="s">
        <v>54401</v>
      </c>
      <c r="G10296" s="39">
        <v>1255433.44</v>
      </c>
      <c r="H10296" s="42">
        <v>211</v>
      </c>
    </row>
    <row r="10297" spans="1:8" ht="15" customHeight="1">
      <c r="A10297" s="26">
        <v>1049608270</v>
      </c>
      <c r="B10297" s="29" t="s">
        <v>12514</v>
      </c>
      <c r="C10297" s="29" t="s">
        <v>26297</v>
      </c>
      <c r="D10297" s="29" t="s">
        <v>39752</v>
      </c>
      <c r="E10297" s="29" t="s">
        <v>43926</v>
      </c>
      <c r="F10297" s="36" t="s">
        <v>54401</v>
      </c>
      <c r="G10297" s="39">
        <v>2667988.4500000002</v>
      </c>
      <c r="H10297" s="42">
        <v>211</v>
      </c>
    </row>
    <row r="10298" spans="1:8" ht="15" customHeight="1">
      <c r="A10298" s="26">
        <v>1049608359</v>
      </c>
      <c r="B10298" s="29" t="s">
        <v>12515</v>
      </c>
      <c r="C10298" s="29" t="s">
        <v>17204</v>
      </c>
      <c r="D10298" s="29" t="s">
        <v>30349</v>
      </c>
      <c r="E10298" s="29" t="s">
        <v>43926</v>
      </c>
      <c r="F10298" s="36" t="s">
        <v>54401</v>
      </c>
      <c r="G10298" s="39">
        <v>2217411.84</v>
      </c>
      <c r="H10298" s="42">
        <v>211</v>
      </c>
    </row>
    <row r="10299" spans="1:8" ht="15" customHeight="1">
      <c r="A10299" s="26">
        <v>1049608584</v>
      </c>
      <c r="B10299" s="29" t="s">
        <v>12516</v>
      </c>
      <c r="C10299" s="29" t="s">
        <v>26298</v>
      </c>
      <c r="D10299" s="29" t="s">
        <v>39753</v>
      </c>
      <c r="E10299" s="29" t="s">
        <v>51543</v>
      </c>
      <c r="F10299" s="36" t="s">
        <v>54401</v>
      </c>
      <c r="G10299" s="39">
        <v>3984347.99</v>
      </c>
      <c r="H10299" s="42">
        <v>211</v>
      </c>
    </row>
    <row r="10300" spans="1:8" ht="15" customHeight="1">
      <c r="A10300" s="26">
        <v>1049608657</v>
      </c>
      <c r="B10300" s="29" t="s">
        <v>12517</v>
      </c>
      <c r="C10300" s="29" t="s">
        <v>26299</v>
      </c>
      <c r="D10300" s="29" t="s">
        <v>39754</v>
      </c>
      <c r="E10300" s="29" t="s">
        <v>51544</v>
      </c>
      <c r="F10300" s="36" t="s">
        <v>54401</v>
      </c>
      <c r="G10300" s="39">
        <v>331207.81</v>
      </c>
      <c r="H10300" s="42">
        <v>211</v>
      </c>
    </row>
    <row r="10301" spans="1:8" ht="15" customHeight="1">
      <c r="A10301" s="26">
        <v>1049608818</v>
      </c>
      <c r="B10301" s="29" t="s">
        <v>12518</v>
      </c>
      <c r="C10301" s="29" t="s">
        <v>26300</v>
      </c>
      <c r="D10301" s="29" t="s">
        <v>39755</v>
      </c>
      <c r="E10301" s="29" t="s">
        <v>51545</v>
      </c>
      <c r="F10301" s="36" t="s">
        <v>54401</v>
      </c>
      <c r="G10301" s="39">
        <v>4224299.6399999997</v>
      </c>
      <c r="H10301" s="42">
        <v>211</v>
      </c>
    </row>
    <row r="10302" spans="1:8" ht="15" customHeight="1">
      <c r="A10302" s="26">
        <v>1049609889</v>
      </c>
      <c r="B10302" s="29" t="s">
        <v>12519</v>
      </c>
      <c r="C10302" s="29" t="s">
        <v>26301</v>
      </c>
      <c r="D10302" s="29" t="s">
        <v>39756</v>
      </c>
      <c r="E10302" s="29" t="s">
        <v>51546</v>
      </c>
      <c r="F10302" s="36" t="s">
        <v>54401</v>
      </c>
      <c r="G10302" s="39">
        <v>3794070</v>
      </c>
      <c r="H10302" s="42">
        <v>211</v>
      </c>
    </row>
    <row r="10303" spans="1:8" ht="15" customHeight="1">
      <c r="A10303" s="26">
        <v>1049610969</v>
      </c>
      <c r="B10303" s="29" t="s">
        <v>12520</v>
      </c>
      <c r="C10303" s="29" t="s">
        <v>26302</v>
      </c>
      <c r="D10303" s="29" t="s">
        <v>39757</v>
      </c>
      <c r="E10303" s="29" t="s">
        <v>51547</v>
      </c>
      <c r="F10303" s="36" t="s">
        <v>54413</v>
      </c>
      <c r="G10303" s="39">
        <v>240494.98</v>
      </c>
      <c r="H10303" s="42">
        <v>211</v>
      </c>
    </row>
    <row r="10304" spans="1:8" ht="15" customHeight="1">
      <c r="A10304" s="26">
        <v>1049611032</v>
      </c>
      <c r="B10304" s="29" t="s">
        <v>12521</v>
      </c>
      <c r="C10304" s="29" t="s">
        <v>26303</v>
      </c>
      <c r="D10304" s="29" t="s">
        <v>39758</v>
      </c>
      <c r="E10304" s="29" t="s">
        <v>51548</v>
      </c>
      <c r="F10304" s="36" t="s">
        <v>54401</v>
      </c>
      <c r="G10304" s="39">
        <v>1303598.56</v>
      </c>
      <c r="H10304" s="42">
        <v>211</v>
      </c>
    </row>
    <row r="10305" spans="1:8" ht="15" customHeight="1">
      <c r="A10305" s="26">
        <v>1049611104</v>
      </c>
      <c r="B10305" s="29" t="s">
        <v>12522</v>
      </c>
      <c r="C10305" s="26" t="s">
        <v>17204</v>
      </c>
      <c r="D10305" s="26" t="s">
        <v>30349</v>
      </c>
      <c r="E10305" s="26" t="s">
        <v>43926</v>
      </c>
      <c r="F10305" s="37" t="s">
        <v>54401</v>
      </c>
      <c r="G10305" s="39">
        <v>87798.32</v>
      </c>
      <c r="H10305" s="42">
        <v>211</v>
      </c>
    </row>
    <row r="10306" spans="1:8" ht="15" customHeight="1">
      <c r="A10306" s="26">
        <v>1049611108</v>
      </c>
      <c r="B10306" s="29" t="s">
        <v>12523</v>
      </c>
      <c r="C10306" s="29" t="s">
        <v>26304</v>
      </c>
      <c r="D10306" s="29" t="s">
        <v>39759</v>
      </c>
      <c r="E10306" s="29" t="s">
        <v>51549</v>
      </c>
      <c r="F10306" s="36" t="s">
        <v>54412</v>
      </c>
      <c r="G10306" s="39">
        <v>7185213</v>
      </c>
      <c r="H10306" s="42">
        <v>211</v>
      </c>
    </row>
    <row r="10307" spans="1:8" ht="15" customHeight="1">
      <c r="A10307" s="26">
        <v>1049611322</v>
      </c>
      <c r="B10307" s="29" t="s">
        <v>12524</v>
      </c>
      <c r="C10307" s="29" t="s">
        <v>17204</v>
      </c>
      <c r="D10307" s="29" t="s">
        <v>39760</v>
      </c>
      <c r="E10307" s="29" t="s">
        <v>43926</v>
      </c>
      <c r="F10307" s="36" t="s">
        <v>54401</v>
      </c>
      <c r="G10307" s="39">
        <v>2911656.17</v>
      </c>
      <c r="H10307" s="42">
        <v>211</v>
      </c>
    </row>
    <row r="10308" spans="1:8" ht="15" customHeight="1">
      <c r="A10308" s="26">
        <v>1049611753</v>
      </c>
      <c r="B10308" s="29" t="s">
        <v>12525</v>
      </c>
      <c r="C10308" s="26" t="s">
        <v>17204</v>
      </c>
      <c r="D10308" s="26" t="s">
        <v>39761</v>
      </c>
      <c r="E10308" s="26" t="s">
        <v>43926</v>
      </c>
      <c r="F10308" s="37" t="s">
        <v>54401</v>
      </c>
      <c r="G10308" s="39">
        <v>68763.95</v>
      </c>
      <c r="H10308" s="42">
        <v>211</v>
      </c>
    </row>
    <row r="10309" spans="1:8" ht="15" customHeight="1">
      <c r="A10309" s="26">
        <v>1049611768</v>
      </c>
      <c r="B10309" s="29" t="s">
        <v>12526</v>
      </c>
      <c r="C10309" s="29" t="s">
        <v>26305</v>
      </c>
      <c r="D10309" s="29" t="s">
        <v>39762</v>
      </c>
      <c r="E10309" s="29" t="s">
        <v>51550</v>
      </c>
      <c r="F10309" s="36" t="s">
        <v>54412</v>
      </c>
      <c r="G10309" s="39">
        <v>39248779</v>
      </c>
      <c r="H10309" s="42">
        <v>211</v>
      </c>
    </row>
    <row r="10310" spans="1:8" ht="15" customHeight="1">
      <c r="A10310" s="26">
        <v>1049611815</v>
      </c>
      <c r="B10310" s="29" t="s">
        <v>12527</v>
      </c>
      <c r="C10310" s="29" t="s">
        <v>26306</v>
      </c>
      <c r="D10310" s="29" t="s">
        <v>39763</v>
      </c>
      <c r="E10310" s="29" t="s">
        <v>51551</v>
      </c>
      <c r="F10310" s="36" t="s">
        <v>54401</v>
      </c>
      <c r="G10310" s="39">
        <v>382640.9</v>
      </c>
      <c r="H10310" s="42">
        <v>211</v>
      </c>
    </row>
    <row r="10311" spans="1:8" ht="15" customHeight="1">
      <c r="A10311" s="26">
        <v>1049612031</v>
      </c>
      <c r="B10311" s="29" t="s">
        <v>12528</v>
      </c>
      <c r="C10311" s="29" t="s">
        <v>26307</v>
      </c>
      <c r="D10311" s="29" t="s">
        <v>33801</v>
      </c>
      <c r="E10311" s="29" t="s">
        <v>51552</v>
      </c>
      <c r="F10311" s="36" t="s">
        <v>54401</v>
      </c>
      <c r="G10311" s="39">
        <v>1683263.82</v>
      </c>
      <c r="H10311" s="42">
        <v>211</v>
      </c>
    </row>
    <row r="10312" spans="1:8" ht="15" customHeight="1">
      <c r="A10312" s="26">
        <v>1049612131</v>
      </c>
      <c r="B10312" s="29" t="s">
        <v>12529</v>
      </c>
      <c r="C10312" s="29" t="s">
        <v>26308</v>
      </c>
      <c r="D10312" s="29" t="s">
        <v>39764</v>
      </c>
      <c r="E10312" s="29" t="s">
        <v>44345</v>
      </c>
      <c r="F10312" s="36" t="s">
        <v>54401</v>
      </c>
      <c r="G10312" s="39">
        <v>355991.95</v>
      </c>
      <c r="H10312" s="42">
        <v>211</v>
      </c>
    </row>
    <row r="10313" spans="1:8" ht="15" customHeight="1">
      <c r="A10313" s="26">
        <v>1049612476</v>
      </c>
      <c r="B10313" s="29" t="s">
        <v>12530</v>
      </c>
      <c r="C10313" s="29" t="s">
        <v>26309</v>
      </c>
      <c r="D10313" s="29" t="s">
        <v>39765</v>
      </c>
      <c r="E10313" s="29" t="s">
        <v>51553</v>
      </c>
      <c r="F10313" s="36" t="s">
        <v>54401</v>
      </c>
      <c r="G10313" s="39">
        <v>2279747.08</v>
      </c>
      <c r="H10313" s="42">
        <v>211</v>
      </c>
    </row>
    <row r="10314" spans="1:8" ht="15" customHeight="1">
      <c r="A10314" s="26">
        <v>1049613304</v>
      </c>
      <c r="B10314" s="29" t="s">
        <v>12531</v>
      </c>
      <c r="C10314" s="29" t="s">
        <v>26310</v>
      </c>
      <c r="D10314" s="29" t="s">
        <v>39766</v>
      </c>
      <c r="E10314" s="29" t="s">
        <v>51554</v>
      </c>
      <c r="F10314" s="36" t="s">
        <v>54401</v>
      </c>
      <c r="G10314" s="39">
        <v>2158874</v>
      </c>
      <c r="H10314" s="42">
        <v>211</v>
      </c>
    </row>
    <row r="10315" spans="1:8" ht="15" customHeight="1">
      <c r="A10315" s="26">
        <v>1049613692</v>
      </c>
      <c r="B10315" s="29" t="s">
        <v>12532</v>
      </c>
      <c r="C10315" s="29" t="s">
        <v>26311</v>
      </c>
      <c r="D10315" s="29" t="s">
        <v>39767</v>
      </c>
      <c r="E10315" s="29" t="s">
        <v>51555</v>
      </c>
      <c r="F10315" s="36" t="s">
        <v>54401</v>
      </c>
      <c r="G10315" s="39">
        <v>3712299.23</v>
      </c>
      <c r="H10315" s="42">
        <v>211</v>
      </c>
    </row>
    <row r="10316" spans="1:8" ht="15" customHeight="1">
      <c r="A10316" s="26">
        <v>1049613749</v>
      </c>
      <c r="B10316" s="29" t="s">
        <v>12533</v>
      </c>
      <c r="C10316" s="29" t="s">
        <v>26312</v>
      </c>
      <c r="D10316" s="29" t="s">
        <v>39768</v>
      </c>
      <c r="E10316" s="29" t="s">
        <v>51556</v>
      </c>
      <c r="F10316" s="36" t="s">
        <v>54401</v>
      </c>
      <c r="G10316" s="39">
        <v>72516.08</v>
      </c>
      <c r="H10316" s="42">
        <v>211</v>
      </c>
    </row>
    <row r="10317" spans="1:8" ht="15" customHeight="1">
      <c r="A10317" s="26">
        <v>1049614034</v>
      </c>
      <c r="B10317" s="29" t="s">
        <v>12534</v>
      </c>
      <c r="C10317" s="29" t="s">
        <v>26313</v>
      </c>
      <c r="D10317" s="29" t="s">
        <v>39769</v>
      </c>
      <c r="E10317" s="29" t="s">
        <v>51557</v>
      </c>
      <c r="F10317" s="36" t="s">
        <v>54423</v>
      </c>
      <c r="G10317" s="39">
        <v>4074726</v>
      </c>
      <c r="H10317" s="42">
        <v>211</v>
      </c>
    </row>
    <row r="10318" spans="1:8" ht="15" customHeight="1">
      <c r="A10318" s="26">
        <v>1049614142</v>
      </c>
      <c r="B10318" s="29" t="s">
        <v>12535</v>
      </c>
      <c r="C10318" s="29" t="s">
        <v>17204</v>
      </c>
      <c r="D10318" s="29" t="s">
        <v>39770</v>
      </c>
      <c r="E10318" s="29" t="s">
        <v>43926</v>
      </c>
      <c r="F10318" s="36" t="s">
        <v>54401</v>
      </c>
      <c r="G10318" s="39">
        <v>160767.23000000001</v>
      </c>
      <c r="H10318" s="42">
        <v>211</v>
      </c>
    </row>
    <row r="10319" spans="1:8" ht="15" customHeight="1">
      <c r="A10319" s="26">
        <v>1049614400</v>
      </c>
      <c r="B10319" s="29" t="s">
        <v>12536</v>
      </c>
      <c r="C10319" s="29" t="s">
        <v>26314</v>
      </c>
      <c r="D10319" s="29" t="s">
        <v>39771</v>
      </c>
      <c r="E10319" s="29" t="s">
        <v>51558</v>
      </c>
      <c r="F10319" s="36" t="s">
        <v>54401</v>
      </c>
      <c r="G10319" s="39">
        <v>44495.8</v>
      </c>
      <c r="H10319" s="42">
        <v>211</v>
      </c>
    </row>
    <row r="10320" spans="1:8" ht="15" customHeight="1">
      <c r="A10320" s="26">
        <v>1049614630</v>
      </c>
      <c r="B10320" s="29" t="s">
        <v>12537</v>
      </c>
      <c r="C10320" s="29" t="s">
        <v>17204</v>
      </c>
      <c r="D10320" s="29" t="s">
        <v>39772</v>
      </c>
      <c r="E10320" s="29" t="s">
        <v>43926</v>
      </c>
      <c r="F10320" s="36" t="s">
        <v>54401</v>
      </c>
      <c r="G10320" s="39">
        <v>747619.77</v>
      </c>
      <c r="H10320" s="42">
        <v>211</v>
      </c>
    </row>
    <row r="10321" spans="1:8" ht="15" customHeight="1">
      <c r="A10321" s="26">
        <v>1049614889</v>
      </c>
      <c r="B10321" s="29" t="s">
        <v>12538</v>
      </c>
      <c r="C10321" s="29" t="s">
        <v>17204</v>
      </c>
      <c r="D10321" s="29" t="s">
        <v>39773</v>
      </c>
      <c r="E10321" s="29" t="s">
        <v>51559</v>
      </c>
      <c r="F10321" s="36" t="s">
        <v>54401</v>
      </c>
      <c r="G10321" s="39">
        <v>909724.83</v>
      </c>
      <c r="H10321" s="42">
        <v>211</v>
      </c>
    </row>
    <row r="10322" spans="1:8" ht="15" customHeight="1">
      <c r="A10322" s="26">
        <v>1049614931</v>
      </c>
      <c r="B10322" s="29" t="s">
        <v>12539</v>
      </c>
      <c r="C10322" s="29" t="s">
        <v>26315</v>
      </c>
      <c r="D10322" s="29" t="s">
        <v>39774</v>
      </c>
      <c r="E10322" s="29" t="s">
        <v>51560</v>
      </c>
      <c r="F10322" s="36" t="s">
        <v>54401</v>
      </c>
      <c r="G10322" s="39">
        <v>968342.41</v>
      </c>
      <c r="H10322" s="42">
        <v>211</v>
      </c>
    </row>
    <row r="10323" spans="1:8" ht="15" customHeight="1">
      <c r="A10323" s="26">
        <v>1049614988</v>
      </c>
      <c r="B10323" s="29" t="s">
        <v>12540</v>
      </c>
      <c r="C10323" s="29" t="s">
        <v>26316</v>
      </c>
      <c r="D10323" s="29" t="s">
        <v>39775</v>
      </c>
      <c r="E10323" s="29" t="s">
        <v>51561</v>
      </c>
      <c r="F10323" s="36" t="s">
        <v>54438</v>
      </c>
      <c r="G10323" s="39">
        <v>474751.33</v>
      </c>
      <c r="H10323" s="42">
        <v>211</v>
      </c>
    </row>
    <row r="10324" spans="1:8" ht="15" customHeight="1">
      <c r="A10324" s="26">
        <v>1049615058</v>
      </c>
      <c r="B10324" s="29" t="s">
        <v>12541</v>
      </c>
      <c r="C10324" s="29" t="s">
        <v>26317</v>
      </c>
      <c r="D10324" s="29" t="s">
        <v>39776</v>
      </c>
      <c r="E10324" s="29" t="s">
        <v>51562</v>
      </c>
      <c r="F10324" s="36" t="s">
        <v>54401</v>
      </c>
      <c r="G10324" s="39">
        <v>13697.48</v>
      </c>
      <c r="H10324" s="42">
        <v>211</v>
      </c>
    </row>
    <row r="10325" spans="1:8" ht="15" customHeight="1">
      <c r="A10325" s="26">
        <v>1049615462</v>
      </c>
      <c r="B10325" s="29" t="s">
        <v>12542</v>
      </c>
      <c r="C10325" s="29" t="s">
        <v>26318</v>
      </c>
      <c r="D10325" s="29" t="s">
        <v>39777</v>
      </c>
      <c r="E10325" s="29" t="s">
        <v>47389</v>
      </c>
      <c r="F10325" s="36" t="s">
        <v>54401</v>
      </c>
      <c r="G10325" s="39">
        <v>238016.89</v>
      </c>
      <c r="H10325" s="42">
        <v>211</v>
      </c>
    </row>
    <row r="10326" spans="1:8" ht="15" customHeight="1">
      <c r="A10326" s="26">
        <v>1049615715</v>
      </c>
      <c r="B10326" s="29" t="s">
        <v>12543</v>
      </c>
      <c r="C10326" s="29" t="s">
        <v>26319</v>
      </c>
      <c r="D10326" s="29" t="s">
        <v>39778</v>
      </c>
      <c r="E10326" s="29" t="s">
        <v>45009</v>
      </c>
      <c r="F10326" s="36" t="s">
        <v>54401</v>
      </c>
      <c r="G10326" s="39">
        <v>2518301.5</v>
      </c>
      <c r="H10326" s="42">
        <v>211</v>
      </c>
    </row>
    <row r="10327" spans="1:8" ht="15" customHeight="1">
      <c r="A10327" s="26">
        <v>1049616139</v>
      </c>
      <c r="B10327" s="29" t="s">
        <v>12544</v>
      </c>
      <c r="C10327" s="29" t="s">
        <v>26320</v>
      </c>
      <c r="D10327" s="29" t="s">
        <v>39779</v>
      </c>
      <c r="E10327" s="29" t="s">
        <v>51563</v>
      </c>
      <c r="F10327" s="36" t="s">
        <v>54412</v>
      </c>
      <c r="G10327" s="39">
        <v>541992.67000000004</v>
      </c>
      <c r="H10327" s="42">
        <v>211</v>
      </c>
    </row>
    <row r="10328" spans="1:8" ht="15" customHeight="1">
      <c r="A10328" s="26">
        <v>1049616383</v>
      </c>
      <c r="B10328" s="29" t="s">
        <v>12545</v>
      </c>
      <c r="C10328" s="29" t="s">
        <v>26321</v>
      </c>
      <c r="D10328" s="29" t="s">
        <v>39780</v>
      </c>
      <c r="E10328" s="29" t="s">
        <v>51564</v>
      </c>
      <c r="F10328" s="36" t="s">
        <v>54401</v>
      </c>
      <c r="G10328" s="39">
        <v>339300.27</v>
      </c>
      <c r="H10328" s="42">
        <v>211</v>
      </c>
    </row>
    <row r="10329" spans="1:8" ht="15" customHeight="1">
      <c r="A10329" s="26">
        <v>1049616531</v>
      </c>
      <c r="B10329" s="29" t="s">
        <v>12546</v>
      </c>
      <c r="C10329" s="29" t="s">
        <v>26322</v>
      </c>
      <c r="D10329" s="29" t="s">
        <v>39781</v>
      </c>
      <c r="E10329" s="29" t="s">
        <v>51565</v>
      </c>
      <c r="F10329" s="36" t="s">
        <v>54401</v>
      </c>
      <c r="G10329" s="39">
        <v>269674.75</v>
      </c>
      <c r="H10329" s="42">
        <v>211</v>
      </c>
    </row>
    <row r="10330" spans="1:8" ht="15" customHeight="1">
      <c r="A10330" s="26">
        <v>1049616542</v>
      </c>
      <c r="B10330" s="29" t="s">
        <v>12547</v>
      </c>
      <c r="C10330" s="29" t="s">
        <v>26323</v>
      </c>
      <c r="D10330" s="29" t="s">
        <v>39782</v>
      </c>
      <c r="E10330" s="29" t="s">
        <v>51566</v>
      </c>
      <c r="F10330" s="36" t="s">
        <v>54401</v>
      </c>
      <c r="G10330" s="39">
        <v>457216</v>
      </c>
      <c r="H10330" s="42">
        <v>211</v>
      </c>
    </row>
    <row r="10331" spans="1:8" ht="15" customHeight="1">
      <c r="A10331" s="26">
        <v>1049617450</v>
      </c>
      <c r="B10331" s="29" t="s">
        <v>12548</v>
      </c>
      <c r="C10331" s="29" t="s">
        <v>17204</v>
      </c>
      <c r="D10331" s="29" t="s">
        <v>39783</v>
      </c>
      <c r="E10331" s="29" t="s">
        <v>43926</v>
      </c>
      <c r="F10331" s="36" t="s">
        <v>54401</v>
      </c>
      <c r="G10331" s="39">
        <v>297478.98</v>
      </c>
      <c r="H10331" s="42">
        <v>211</v>
      </c>
    </row>
    <row r="10332" spans="1:8" ht="15" customHeight="1">
      <c r="A10332" s="26">
        <v>1049617548</v>
      </c>
      <c r="B10332" s="29" t="s">
        <v>12549</v>
      </c>
      <c r="C10332" s="29" t="s">
        <v>26324</v>
      </c>
      <c r="D10332" s="29" t="s">
        <v>39784</v>
      </c>
      <c r="E10332" s="29" t="s">
        <v>43926</v>
      </c>
      <c r="F10332" s="36" t="s">
        <v>54401</v>
      </c>
      <c r="G10332" s="39">
        <v>243923.77</v>
      </c>
      <c r="H10332" s="42">
        <v>211</v>
      </c>
    </row>
    <row r="10333" spans="1:8" ht="15" customHeight="1">
      <c r="A10333" s="26">
        <v>1049617561</v>
      </c>
      <c r="B10333" s="29" t="s">
        <v>12550</v>
      </c>
      <c r="C10333" s="26" t="s">
        <v>26325</v>
      </c>
      <c r="D10333" s="26" t="s">
        <v>39785</v>
      </c>
      <c r="E10333" s="26" t="s">
        <v>51567</v>
      </c>
      <c r="F10333" s="37" t="s">
        <v>54401</v>
      </c>
      <c r="G10333" s="39">
        <v>779670.94</v>
      </c>
      <c r="H10333" s="42">
        <v>211</v>
      </c>
    </row>
    <row r="10334" spans="1:8" ht="15" customHeight="1">
      <c r="A10334" s="26">
        <v>1049618003</v>
      </c>
      <c r="B10334" s="29" t="s">
        <v>12551</v>
      </c>
      <c r="C10334" s="29" t="s">
        <v>26314</v>
      </c>
      <c r="D10334" s="29" t="s">
        <v>39771</v>
      </c>
      <c r="E10334" s="29" t="s">
        <v>51568</v>
      </c>
      <c r="F10334" s="36" t="s">
        <v>54401</v>
      </c>
      <c r="G10334" s="39">
        <v>2914533</v>
      </c>
      <c r="H10334" s="42">
        <v>211</v>
      </c>
    </row>
    <row r="10335" spans="1:8" ht="15" customHeight="1">
      <c r="A10335" s="26">
        <v>1049618221</v>
      </c>
      <c r="B10335" s="29" t="s">
        <v>12552</v>
      </c>
      <c r="C10335" s="29" t="s">
        <v>26326</v>
      </c>
      <c r="D10335" s="29" t="s">
        <v>39786</v>
      </c>
      <c r="E10335" s="29" t="s">
        <v>51569</v>
      </c>
      <c r="F10335" s="36" t="s">
        <v>54413</v>
      </c>
      <c r="G10335" s="39">
        <v>109815.13</v>
      </c>
      <c r="H10335" s="42">
        <v>211</v>
      </c>
    </row>
    <row r="10336" spans="1:8" ht="15" customHeight="1">
      <c r="A10336" s="26">
        <v>1049619582</v>
      </c>
      <c r="B10336" s="29" t="s">
        <v>12553</v>
      </c>
      <c r="C10336" s="29" t="s">
        <v>17204</v>
      </c>
      <c r="D10336" s="29" t="s">
        <v>30349</v>
      </c>
      <c r="E10336" s="29" t="s">
        <v>43926</v>
      </c>
      <c r="F10336" s="36" t="s">
        <v>54401</v>
      </c>
      <c r="G10336" s="39">
        <v>422414.55</v>
      </c>
      <c r="H10336" s="42">
        <v>211</v>
      </c>
    </row>
    <row r="10337" spans="1:8" ht="15" customHeight="1">
      <c r="A10337" s="26">
        <v>1049620048</v>
      </c>
      <c r="B10337" s="29" t="s">
        <v>12554</v>
      </c>
      <c r="C10337" s="29" t="s">
        <v>26327</v>
      </c>
      <c r="D10337" s="29" t="s">
        <v>39787</v>
      </c>
      <c r="E10337" s="29" t="s">
        <v>44023</v>
      </c>
      <c r="F10337" s="36" t="s">
        <v>54401</v>
      </c>
      <c r="G10337" s="39">
        <v>1005777.91</v>
      </c>
      <c r="H10337" s="42">
        <v>211</v>
      </c>
    </row>
    <row r="10338" spans="1:8" ht="15" customHeight="1">
      <c r="A10338" s="26">
        <v>1049620053</v>
      </c>
      <c r="B10338" s="29" t="s">
        <v>12555</v>
      </c>
      <c r="C10338" s="29" t="s">
        <v>26328</v>
      </c>
      <c r="D10338" s="29" t="s">
        <v>39788</v>
      </c>
      <c r="E10338" s="29" t="s">
        <v>51570</v>
      </c>
      <c r="F10338" s="36" t="s">
        <v>54401</v>
      </c>
      <c r="G10338" s="39">
        <v>17639701</v>
      </c>
      <c r="H10338" s="42">
        <v>211</v>
      </c>
    </row>
    <row r="10339" spans="1:8" ht="15" customHeight="1">
      <c r="A10339" s="26">
        <v>1049620107</v>
      </c>
      <c r="B10339" s="29" t="s">
        <v>12556</v>
      </c>
      <c r="C10339" s="26" t="s">
        <v>17204</v>
      </c>
      <c r="D10339" s="26" t="s">
        <v>30349</v>
      </c>
      <c r="E10339" s="26" t="s">
        <v>43926</v>
      </c>
      <c r="F10339" s="37" t="s">
        <v>54401</v>
      </c>
      <c r="G10339" s="39">
        <v>81258.44</v>
      </c>
      <c r="H10339" s="42">
        <v>211</v>
      </c>
    </row>
    <row r="10340" spans="1:8" ht="15" customHeight="1">
      <c r="A10340" s="26">
        <v>1049620205</v>
      </c>
      <c r="B10340" s="29" t="s">
        <v>12557</v>
      </c>
      <c r="C10340" s="29" t="s">
        <v>26329</v>
      </c>
      <c r="D10340" s="29" t="s">
        <v>39789</v>
      </c>
      <c r="E10340" s="29" t="s">
        <v>51571</v>
      </c>
      <c r="F10340" s="36" t="s">
        <v>54401</v>
      </c>
      <c r="G10340" s="39">
        <v>5649580</v>
      </c>
      <c r="H10340" s="42">
        <v>211</v>
      </c>
    </row>
    <row r="10341" spans="1:8" ht="15" customHeight="1">
      <c r="A10341" s="26">
        <v>1049620416</v>
      </c>
      <c r="B10341" s="29" t="s">
        <v>12558</v>
      </c>
      <c r="C10341" s="26" t="s">
        <v>26330</v>
      </c>
      <c r="D10341" s="26" t="s">
        <v>39790</v>
      </c>
      <c r="E10341" s="26" t="s">
        <v>51572</v>
      </c>
      <c r="F10341" s="37" t="s">
        <v>54401</v>
      </c>
      <c r="G10341" s="39">
        <v>395772.97</v>
      </c>
      <c r="H10341" s="42">
        <v>211</v>
      </c>
    </row>
    <row r="10342" spans="1:8" ht="15" customHeight="1">
      <c r="A10342" s="26">
        <v>1049620748</v>
      </c>
      <c r="B10342" s="29" t="s">
        <v>12559</v>
      </c>
      <c r="C10342" s="29" t="s">
        <v>26331</v>
      </c>
      <c r="D10342" s="29" t="s">
        <v>39791</v>
      </c>
      <c r="E10342" s="29" t="s">
        <v>51573</v>
      </c>
      <c r="F10342" s="36" t="s">
        <v>54401</v>
      </c>
      <c r="G10342" s="39">
        <v>507140.89</v>
      </c>
      <c r="H10342" s="42">
        <v>211</v>
      </c>
    </row>
    <row r="10343" spans="1:8" ht="15" customHeight="1">
      <c r="A10343" s="26">
        <v>1049620867</v>
      </c>
      <c r="B10343" s="29" t="s">
        <v>12560</v>
      </c>
      <c r="C10343" s="29" t="s">
        <v>26332</v>
      </c>
      <c r="D10343" s="29" t="s">
        <v>39792</v>
      </c>
      <c r="E10343" s="29" t="s">
        <v>51574</v>
      </c>
      <c r="F10343" s="36" t="s">
        <v>54401</v>
      </c>
      <c r="G10343" s="39">
        <v>864034.95</v>
      </c>
      <c r="H10343" s="42">
        <v>211</v>
      </c>
    </row>
    <row r="10344" spans="1:8" ht="15" customHeight="1">
      <c r="A10344" s="26">
        <v>1049620983</v>
      </c>
      <c r="B10344" s="29" t="s">
        <v>12561</v>
      </c>
      <c r="C10344" s="29" t="s">
        <v>26333</v>
      </c>
      <c r="D10344" s="29" t="s">
        <v>39793</v>
      </c>
      <c r="E10344" s="29" t="s">
        <v>51575</v>
      </c>
      <c r="F10344" s="36" t="s">
        <v>54401</v>
      </c>
      <c r="G10344" s="39">
        <v>1748009.55</v>
      </c>
      <c r="H10344" s="42">
        <v>211</v>
      </c>
    </row>
    <row r="10345" spans="1:8" ht="15" customHeight="1">
      <c r="A10345" s="26">
        <v>1049621777</v>
      </c>
      <c r="B10345" s="29" t="s">
        <v>12562</v>
      </c>
      <c r="C10345" s="29" t="s">
        <v>26334</v>
      </c>
      <c r="D10345" s="29" t="s">
        <v>39794</v>
      </c>
      <c r="E10345" s="29" t="s">
        <v>51576</v>
      </c>
      <c r="F10345" s="36" t="s">
        <v>54401</v>
      </c>
      <c r="G10345" s="39">
        <v>344480.04</v>
      </c>
      <c r="H10345" s="42">
        <v>211</v>
      </c>
    </row>
    <row r="10346" spans="1:8" ht="15" customHeight="1">
      <c r="A10346" s="26">
        <v>1049621831</v>
      </c>
      <c r="B10346" s="29" t="s">
        <v>12563</v>
      </c>
      <c r="C10346" s="29" t="s">
        <v>26335</v>
      </c>
      <c r="D10346" s="29" t="s">
        <v>39795</v>
      </c>
      <c r="E10346" s="29" t="s">
        <v>51577</v>
      </c>
      <c r="F10346" s="36" t="s">
        <v>54401</v>
      </c>
      <c r="G10346" s="39">
        <v>309750.84000000003</v>
      </c>
      <c r="H10346" s="42">
        <v>211</v>
      </c>
    </row>
    <row r="10347" spans="1:8" ht="15" customHeight="1">
      <c r="A10347" s="26">
        <v>1049622001</v>
      </c>
      <c r="B10347" s="29" t="s">
        <v>12564</v>
      </c>
      <c r="C10347" s="29" t="s">
        <v>17204</v>
      </c>
      <c r="D10347" s="29" t="s">
        <v>39796</v>
      </c>
      <c r="E10347" s="29" t="s">
        <v>43926</v>
      </c>
      <c r="F10347" s="36" t="s">
        <v>54401</v>
      </c>
      <c r="G10347" s="39">
        <v>95087.64</v>
      </c>
      <c r="H10347" s="42">
        <v>211</v>
      </c>
    </row>
    <row r="10348" spans="1:8" ht="15" customHeight="1">
      <c r="A10348" s="26">
        <v>1049622189</v>
      </c>
      <c r="B10348" s="29" t="s">
        <v>12565</v>
      </c>
      <c r="C10348" s="29" t="s">
        <v>26336</v>
      </c>
      <c r="D10348" s="29" t="s">
        <v>39797</v>
      </c>
      <c r="E10348" s="29" t="s">
        <v>43926</v>
      </c>
      <c r="F10348" s="36" t="s">
        <v>54401</v>
      </c>
      <c r="G10348" s="39">
        <v>472510.85</v>
      </c>
      <c r="H10348" s="42">
        <v>211</v>
      </c>
    </row>
    <row r="10349" spans="1:8" ht="15" customHeight="1">
      <c r="A10349" s="26">
        <v>1049622366</v>
      </c>
      <c r="B10349" s="29" t="s">
        <v>12566</v>
      </c>
      <c r="C10349" s="29" t="s">
        <v>26337</v>
      </c>
      <c r="D10349" s="29" t="s">
        <v>39798</v>
      </c>
      <c r="E10349" s="29" t="s">
        <v>51578</v>
      </c>
      <c r="F10349" s="36" t="s">
        <v>54401</v>
      </c>
      <c r="G10349" s="39">
        <v>383660.12</v>
      </c>
      <c r="H10349" s="42">
        <v>211</v>
      </c>
    </row>
    <row r="10350" spans="1:8" ht="15" customHeight="1">
      <c r="A10350" s="26">
        <v>1049622397</v>
      </c>
      <c r="B10350" s="29" t="s">
        <v>12567</v>
      </c>
      <c r="C10350" s="29" t="s">
        <v>26338</v>
      </c>
      <c r="D10350" s="29" t="s">
        <v>39799</v>
      </c>
      <c r="E10350" s="29" t="s">
        <v>51579</v>
      </c>
      <c r="F10350" s="36" t="s">
        <v>54401</v>
      </c>
      <c r="G10350" s="39">
        <v>3751161.08</v>
      </c>
      <c r="H10350" s="42">
        <v>211</v>
      </c>
    </row>
    <row r="10351" spans="1:8" ht="15" customHeight="1">
      <c r="A10351" s="26">
        <v>1049622538</v>
      </c>
      <c r="B10351" s="29" t="s">
        <v>12568</v>
      </c>
      <c r="C10351" s="29" t="s">
        <v>17204</v>
      </c>
      <c r="D10351" s="29" t="s">
        <v>39800</v>
      </c>
      <c r="E10351" s="29" t="s">
        <v>43926</v>
      </c>
      <c r="F10351" s="36" t="s">
        <v>54401</v>
      </c>
      <c r="G10351" s="39">
        <v>69774.820000000007</v>
      </c>
      <c r="H10351" s="42">
        <v>211</v>
      </c>
    </row>
    <row r="10352" spans="1:8" ht="15" customHeight="1">
      <c r="A10352" s="26">
        <v>1049622823</v>
      </c>
      <c r="B10352" s="29" t="s">
        <v>12569</v>
      </c>
      <c r="C10352" s="29" t="s">
        <v>26339</v>
      </c>
      <c r="D10352" s="29" t="s">
        <v>39801</v>
      </c>
      <c r="E10352" s="29" t="s">
        <v>43926</v>
      </c>
      <c r="F10352" s="36" t="s">
        <v>54401</v>
      </c>
      <c r="G10352" s="39">
        <v>749713.68</v>
      </c>
      <c r="H10352" s="42">
        <v>211</v>
      </c>
    </row>
    <row r="10353" spans="1:8" ht="15" customHeight="1">
      <c r="A10353" s="26">
        <v>1049622925</v>
      </c>
      <c r="B10353" s="29" t="s">
        <v>12570</v>
      </c>
      <c r="C10353" s="26" t="s">
        <v>26340</v>
      </c>
      <c r="D10353" s="26" t="s">
        <v>39802</v>
      </c>
      <c r="E10353" s="26" t="s">
        <v>43926</v>
      </c>
      <c r="F10353" s="37" t="s">
        <v>54401</v>
      </c>
      <c r="G10353" s="39">
        <v>1454846.73</v>
      </c>
      <c r="H10353" s="42">
        <v>211</v>
      </c>
    </row>
    <row r="10354" spans="1:8" ht="15" customHeight="1">
      <c r="A10354" s="26">
        <v>1049623993</v>
      </c>
      <c r="B10354" s="29" t="s">
        <v>12571</v>
      </c>
      <c r="C10354" s="29" t="s">
        <v>26341</v>
      </c>
      <c r="D10354" s="29" t="s">
        <v>37701</v>
      </c>
      <c r="E10354" s="29" t="s">
        <v>49913</v>
      </c>
      <c r="F10354" s="36" t="s">
        <v>54401</v>
      </c>
      <c r="G10354" s="39">
        <v>275629.08</v>
      </c>
      <c r="H10354" s="42">
        <v>211</v>
      </c>
    </row>
    <row r="10355" spans="1:8" ht="15" customHeight="1">
      <c r="A10355" s="26">
        <v>1049624286</v>
      </c>
      <c r="B10355" s="29" t="s">
        <v>12572</v>
      </c>
      <c r="C10355" s="29" t="s">
        <v>26342</v>
      </c>
      <c r="D10355" s="29" t="s">
        <v>39803</v>
      </c>
      <c r="E10355" s="29" t="s">
        <v>43926</v>
      </c>
      <c r="F10355" s="36" t="s">
        <v>54401</v>
      </c>
      <c r="G10355" s="39">
        <v>844008.51</v>
      </c>
      <c r="H10355" s="42">
        <v>211</v>
      </c>
    </row>
    <row r="10356" spans="1:8" ht="15" customHeight="1">
      <c r="A10356" s="26">
        <v>1049624297</v>
      </c>
      <c r="B10356" s="29" t="s">
        <v>12573</v>
      </c>
      <c r="C10356" s="29" t="s">
        <v>26343</v>
      </c>
      <c r="D10356" s="29" t="s">
        <v>39804</v>
      </c>
      <c r="E10356" s="29" t="s">
        <v>43926</v>
      </c>
      <c r="F10356" s="36" t="s">
        <v>54401</v>
      </c>
      <c r="G10356" s="39">
        <v>1883963</v>
      </c>
      <c r="H10356" s="42">
        <v>211</v>
      </c>
    </row>
    <row r="10357" spans="1:8" ht="15" customHeight="1">
      <c r="A10357" s="26">
        <v>1049624507</v>
      </c>
      <c r="B10357" s="29" t="s">
        <v>12574</v>
      </c>
      <c r="C10357" s="26" t="s">
        <v>26344</v>
      </c>
      <c r="D10357" s="26" t="s">
        <v>39805</v>
      </c>
      <c r="E10357" s="26" t="s">
        <v>51580</v>
      </c>
      <c r="F10357" s="37" t="s">
        <v>54401</v>
      </c>
      <c r="G10357" s="39">
        <v>3593855.91</v>
      </c>
      <c r="H10357" s="42">
        <v>211</v>
      </c>
    </row>
    <row r="10358" spans="1:8" ht="15" customHeight="1">
      <c r="A10358" s="26">
        <v>1049624518</v>
      </c>
      <c r="B10358" s="29" t="s">
        <v>12575</v>
      </c>
      <c r="C10358" s="29" t="s">
        <v>26345</v>
      </c>
      <c r="D10358" s="29" t="s">
        <v>39806</v>
      </c>
      <c r="E10358" s="29" t="s">
        <v>51581</v>
      </c>
      <c r="F10358" s="36" t="s">
        <v>54402</v>
      </c>
      <c r="G10358" s="39">
        <v>7499199</v>
      </c>
      <c r="H10358" s="42">
        <v>211</v>
      </c>
    </row>
    <row r="10359" spans="1:8" ht="15" customHeight="1">
      <c r="A10359" s="26">
        <v>1049624977</v>
      </c>
      <c r="B10359" s="29" t="s">
        <v>12576</v>
      </c>
      <c r="C10359" s="29" t="s">
        <v>26346</v>
      </c>
      <c r="D10359" s="29" t="s">
        <v>39807</v>
      </c>
      <c r="E10359" s="29" t="s">
        <v>51582</v>
      </c>
      <c r="F10359" s="36" t="s">
        <v>54401</v>
      </c>
      <c r="G10359" s="39">
        <v>54543.02</v>
      </c>
      <c r="H10359" s="42">
        <v>211</v>
      </c>
    </row>
    <row r="10360" spans="1:8" ht="15" customHeight="1">
      <c r="A10360" s="26">
        <v>1049625186</v>
      </c>
      <c r="B10360" s="29" t="s">
        <v>12577</v>
      </c>
      <c r="C10360" s="29" t="s">
        <v>26347</v>
      </c>
      <c r="D10360" s="29" t="s">
        <v>39808</v>
      </c>
      <c r="E10360" s="29" t="s">
        <v>43926</v>
      </c>
      <c r="F10360" s="36" t="s">
        <v>54401</v>
      </c>
      <c r="G10360" s="39">
        <v>850506.77</v>
      </c>
      <c r="H10360" s="42">
        <v>211</v>
      </c>
    </row>
    <row r="10361" spans="1:8" ht="15" customHeight="1">
      <c r="A10361" s="26">
        <v>1049626573</v>
      </c>
      <c r="B10361" s="29" t="s">
        <v>12578</v>
      </c>
      <c r="C10361" s="29" t="s">
        <v>26348</v>
      </c>
      <c r="D10361" s="29" t="s">
        <v>39809</v>
      </c>
      <c r="E10361" s="29" t="s">
        <v>51583</v>
      </c>
      <c r="F10361" s="36" t="s">
        <v>54401</v>
      </c>
      <c r="G10361" s="39">
        <v>2548497.7000000002</v>
      </c>
      <c r="H10361" s="42">
        <v>211</v>
      </c>
    </row>
    <row r="10362" spans="1:8" ht="15" customHeight="1">
      <c r="A10362" s="26">
        <v>1049627107</v>
      </c>
      <c r="B10362" s="29" t="s">
        <v>12579</v>
      </c>
      <c r="C10362" s="29" t="s">
        <v>26349</v>
      </c>
      <c r="D10362" s="29" t="s">
        <v>39810</v>
      </c>
      <c r="E10362" s="29" t="s">
        <v>51584</v>
      </c>
      <c r="F10362" s="36" t="s">
        <v>54401</v>
      </c>
      <c r="G10362" s="39">
        <v>835079.16</v>
      </c>
      <c r="H10362" s="42">
        <v>211</v>
      </c>
    </row>
    <row r="10363" spans="1:8" ht="15" customHeight="1">
      <c r="A10363" s="26">
        <v>1049627472</v>
      </c>
      <c r="B10363" s="29" t="s">
        <v>12580</v>
      </c>
      <c r="C10363" s="29" t="s">
        <v>17204</v>
      </c>
      <c r="D10363" s="29" t="s">
        <v>39811</v>
      </c>
      <c r="E10363" s="29" t="s">
        <v>43926</v>
      </c>
      <c r="F10363" s="36" t="s">
        <v>54401</v>
      </c>
      <c r="G10363" s="39">
        <v>1044629.39</v>
      </c>
      <c r="H10363" s="42">
        <v>211</v>
      </c>
    </row>
    <row r="10364" spans="1:8" ht="15" customHeight="1">
      <c r="A10364" s="26">
        <v>1049627519</v>
      </c>
      <c r="B10364" s="29" t="s">
        <v>12581</v>
      </c>
      <c r="C10364" s="29" t="s">
        <v>26350</v>
      </c>
      <c r="D10364" s="29" t="s">
        <v>39812</v>
      </c>
      <c r="E10364" s="29" t="s">
        <v>51585</v>
      </c>
      <c r="F10364" s="36" t="s">
        <v>54401</v>
      </c>
      <c r="G10364" s="39">
        <v>2375689</v>
      </c>
      <c r="H10364" s="42">
        <v>211</v>
      </c>
    </row>
    <row r="10365" spans="1:8" ht="15" customHeight="1">
      <c r="A10365" s="26">
        <v>1049627627</v>
      </c>
      <c r="B10365" s="29" t="s">
        <v>12582</v>
      </c>
      <c r="C10365" s="29" t="s">
        <v>26351</v>
      </c>
      <c r="D10365" s="29" t="s">
        <v>39813</v>
      </c>
      <c r="E10365" s="29" t="s">
        <v>51586</v>
      </c>
      <c r="F10365" s="36" t="s">
        <v>54401</v>
      </c>
      <c r="G10365" s="39">
        <v>5886534.9000000004</v>
      </c>
      <c r="H10365" s="42">
        <v>211</v>
      </c>
    </row>
    <row r="10366" spans="1:8" ht="15" customHeight="1">
      <c r="A10366" s="26">
        <v>1049627746</v>
      </c>
      <c r="B10366" s="29" t="s">
        <v>12583</v>
      </c>
      <c r="C10366" s="29" t="s">
        <v>26352</v>
      </c>
      <c r="D10366" s="29" t="s">
        <v>39814</v>
      </c>
      <c r="E10366" s="29" t="s">
        <v>43926</v>
      </c>
      <c r="F10366" s="36" t="s">
        <v>54401</v>
      </c>
      <c r="G10366" s="39">
        <v>333460.39</v>
      </c>
      <c r="H10366" s="42">
        <v>211</v>
      </c>
    </row>
    <row r="10367" spans="1:8" ht="15" customHeight="1">
      <c r="A10367" s="26">
        <v>1049628103</v>
      </c>
      <c r="B10367" s="29" t="s">
        <v>12584</v>
      </c>
      <c r="C10367" s="29" t="s">
        <v>26353</v>
      </c>
      <c r="D10367" s="29" t="s">
        <v>39815</v>
      </c>
      <c r="E10367" s="29" t="s">
        <v>51587</v>
      </c>
      <c r="F10367" s="36" t="s">
        <v>54401</v>
      </c>
      <c r="G10367" s="39">
        <v>430446.19</v>
      </c>
      <c r="H10367" s="42">
        <v>211</v>
      </c>
    </row>
    <row r="10368" spans="1:8" ht="15" customHeight="1">
      <c r="A10368" s="26">
        <v>1049628555</v>
      </c>
      <c r="B10368" s="29" t="s">
        <v>12585</v>
      </c>
      <c r="C10368" s="29" t="s">
        <v>26354</v>
      </c>
      <c r="D10368" s="29" t="s">
        <v>39816</v>
      </c>
      <c r="E10368" s="29" t="s">
        <v>43926</v>
      </c>
      <c r="F10368" s="36" t="s">
        <v>54401</v>
      </c>
      <c r="G10368" s="39">
        <v>194327.27</v>
      </c>
      <c r="H10368" s="42">
        <v>211</v>
      </c>
    </row>
    <row r="10369" spans="1:8" ht="15" customHeight="1">
      <c r="A10369" s="26">
        <v>1049629420</v>
      </c>
      <c r="B10369" s="29" t="s">
        <v>12586</v>
      </c>
      <c r="C10369" s="29" t="s">
        <v>26355</v>
      </c>
      <c r="D10369" s="29" t="s">
        <v>39817</v>
      </c>
      <c r="E10369" s="29" t="s">
        <v>51588</v>
      </c>
      <c r="F10369" s="36" t="s">
        <v>54401</v>
      </c>
      <c r="G10369" s="39">
        <v>2920389</v>
      </c>
      <c r="H10369" s="42">
        <v>211</v>
      </c>
    </row>
    <row r="10370" spans="1:8" ht="15" customHeight="1">
      <c r="A10370" s="26">
        <v>1049629858</v>
      </c>
      <c r="B10370" s="29" t="s">
        <v>12587</v>
      </c>
      <c r="C10370" s="29" t="s">
        <v>26356</v>
      </c>
      <c r="D10370" s="29" t="s">
        <v>39818</v>
      </c>
      <c r="E10370" s="29" t="s">
        <v>51589</v>
      </c>
      <c r="F10370" s="36" t="s">
        <v>54401</v>
      </c>
      <c r="G10370" s="39">
        <v>4110399.73</v>
      </c>
      <c r="H10370" s="42">
        <v>211</v>
      </c>
    </row>
    <row r="10371" spans="1:8" ht="15" customHeight="1">
      <c r="A10371" s="26">
        <v>1049629889</v>
      </c>
      <c r="B10371" s="29" t="s">
        <v>12588</v>
      </c>
      <c r="C10371" s="26" t="s">
        <v>26357</v>
      </c>
      <c r="D10371" s="26" t="s">
        <v>30376</v>
      </c>
      <c r="E10371" s="26" t="s">
        <v>1268</v>
      </c>
      <c r="F10371" s="37" t="s">
        <v>54401</v>
      </c>
      <c r="G10371" s="39">
        <v>58029.69</v>
      </c>
      <c r="H10371" s="42">
        <v>211</v>
      </c>
    </row>
    <row r="10372" spans="1:8" ht="15" customHeight="1">
      <c r="A10372" s="26">
        <v>1049630841</v>
      </c>
      <c r="B10372" s="29" t="s">
        <v>12589</v>
      </c>
      <c r="C10372" s="29" t="s">
        <v>26358</v>
      </c>
      <c r="D10372" s="29" t="s">
        <v>39819</v>
      </c>
      <c r="E10372" s="29" t="s">
        <v>51590</v>
      </c>
      <c r="F10372" s="36" t="s">
        <v>54401</v>
      </c>
      <c r="G10372" s="39">
        <v>4206502.74</v>
      </c>
      <c r="H10372" s="42">
        <v>211</v>
      </c>
    </row>
    <row r="10373" spans="1:8" ht="15" customHeight="1">
      <c r="A10373" s="26">
        <v>1049630930</v>
      </c>
      <c r="B10373" s="29" t="s">
        <v>12590</v>
      </c>
      <c r="C10373" s="29" t="s">
        <v>26359</v>
      </c>
      <c r="D10373" s="29" t="s">
        <v>39820</v>
      </c>
      <c r="E10373" s="29" t="s">
        <v>45822</v>
      </c>
      <c r="F10373" s="36" t="s">
        <v>54401</v>
      </c>
      <c r="G10373" s="39">
        <v>296763.78999999998</v>
      </c>
      <c r="H10373" s="42">
        <v>211</v>
      </c>
    </row>
    <row r="10374" spans="1:8" ht="15" customHeight="1">
      <c r="A10374" s="26">
        <v>1049631529</v>
      </c>
      <c r="B10374" s="29" t="s">
        <v>12591</v>
      </c>
      <c r="C10374" s="29" t="s">
        <v>20528</v>
      </c>
      <c r="D10374" s="29" t="s">
        <v>39821</v>
      </c>
      <c r="E10374" s="29" t="s">
        <v>51591</v>
      </c>
      <c r="F10374" s="36" t="s">
        <v>54412</v>
      </c>
      <c r="G10374" s="39">
        <v>99706.05</v>
      </c>
      <c r="H10374" s="42">
        <v>211</v>
      </c>
    </row>
    <row r="10375" spans="1:8" ht="15" customHeight="1">
      <c r="A10375" s="26">
        <v>1049631551</v>
      </c>
      <c r="B10375" s="29" t="s">
        <v>12592</v>
      </c>
      <c r="C10375" s="29" t="s">
        <v>17204</v>
      </c>
      <c r="D10375" s="29" t="s">
        <v>30349</v>
      </c>
      <c r="E10375" s="29" t="s">
        <v>43926</v>
      </c>
      <c r="F10375" s="36" t="s">
        <v>54401</v>
      </c>
      <c r="G10375" s="39">
        <v>382470.5</v>
      </c>
      <c r="H10375" s="42">
        <v>211</v>
      </c>
    </row>
    <row r="10376" spans="1:8" ht="15" customHeight="1">
      <c r="A10376" s="26">
        <v>1049631859</v>
      </c>
      <c r="B10376" s="29" t="s">
        <v>12593</v>
      </c>
      <c r="C10376" s="29" t="s">
        <v>26360</v>
      </c>
      <c r="D10376" s="29" t="s">
        <v>39822</v>
      </c>
      <c r="E10376" s="29" t="s">
        <v>51592</v>
      </c>
      <c r="F10376" s="36" t="s">
        <v>54401</v>
      </c>
      <c r="G10376" s="39">
        <v>1869610.42</v>
      </c>
      <c r="H10376" s="42">
        <v>211</v>
      </c>
    </row>
    <row r="10377" spans="1:8" ht="15" customHeight="1">
      <c r="A10377" s="26">
        <v>1049632115</v>
      </c>
      <c r="B10377" s="29" t="s">
        <v>12594</v>
      </c>
      <c r="C10377" s="26" t="s">
        <v>26361</v>
      </c>
      <c r="D10377" s="26" t="s">
        <v>39823</v>
      </c>
      <c r="E10377" s="26" t="s">
        <v>51593</v>
      </c>
      <c r="F10377" s="37" t="s">
        <v>54401</v>
      </c>
      <c r="G10377" s="39">
        <v>2702675</v>
      </c>
      <c r="H10377" s="42">
        <v>211</v>
      </c>
    </row>
    <row r="10378" spans="1:8" ht="15" customHeight="1">
      <c r="A10378" s="26">
        <v>1049632120</v>
      </c>
      <c r="B10378" s="29" t="s">
        <v>12595</v>
      </c>
      <c r="C10378" s="29" t="s">
        <v>26362</v>
      </c>
      <c r="D10378" s="29" t="s">
        <v>39824</v>
      </c>
      <c r="E10378" s="29" t="s">
        <v>51594</v>
      </c>
      <c r="F10378" s="36" t="s">
        <v>54401</v>
      </c>
      <c r="G10378" s="39">
        <v>531573.91</v>
      </c>
      <c r="H10378" s="42">
        <v>211</v>
      </c>
    </row>
    <row r="10379" spans="1:8" ht="15" customHeight="1">
      <c r="A10379" s="26">
        <v>1049632401</v>
      </c>
      <c r="B10379" s="29" t="s">
        <v>12596</v>
      </c>
      <c r="C10379" s="29" t="s">
        <v>17204</v>
      </c>
      <c r="D10379" s="29" t="s">
        <v>30349</v>
      </c>
      <c r="E10379" s="29" t="s">
        <v>43926</v>
      </c>
      <c r="F10379" s="36" t="s">
        <v>54401</v>
      </c>
      <c r="G10379" s="39">
        <v>442596.5</v>
      </c>
      <c r="H10379" s="42">
        <v>211</v>
      </c>
    </row>
    <row r="10380" spans="1:8" ht="15" customHeight="1">
      <c r="A10380" s="26">
        <v>1049632485</v>
      </c>
      <c r="B10380" s="29" t="s">
        <v>12597</v>
      </c>
      <c r="C10380" s="29" t="s">
        <v>26363</v>
      </c>
      <c r="D10380" s="29" t="s">
        <v>39797</v>
      </c>
      <c r="E10380" s="29" t="s">
        <v>49657</v>
      </c>
      <c r="F10380" s="36" t="s">
        <v>54401</v>
      </c>
      <c r="G10380" s="39">
        <v>958453.71</v>
      </c>
      <c r="H10380" s="42">
        <v>211</v>
      </c>
    </row>
    <row r="10381" spans="1:8" ht="15" customHeight="1">
      <c r="A10381" s="26">
        <v>1049632618</v>
      </c>
      <c r="B10381" s="29" t="s">
        <v>12598</v>
      </c>
      <c r="C10381" s="29" t="s">
        <v>17204</v>
      </c>
      <c r="D10381" s="29" t="s">
        <v>30349</v>
      </c>
      <c r="E10381" s="29" t="s">
        <v>43926</v>
      </c>
      <c r="F10381" s="36" t="s">
        <v>54401</v>
      </c>
      <c r="G10381" s="39">
        <v>981836.68</v>
      </c>
      <c r="H10381" s="42">
        <v>211</v>
      </c>
    </row>
    <row r="10382" spans="1:8" ht="15" customHeight="1">
      <c r="A10382" s="26">
        <v>1049633617</v>
      </c>
      <c r="B10382" s="29" t="s">
        <v>12599</v>
      </c>
      <c r="C10382" s="29" t="s">
        <v>26364</v>
      </c>
      <c r="D10382" s="29" t="s">
        <v>39825</v>
      </c>
      <c r="E10382" s="29" t="s">
        <v>51595</v>
      </c>
      <c r="F10382" s="36" t="s">
        <v>54401</v>
      </c>
      <c r="G10382" s="39">
        <v>1064226.1299999999</v>
      </c>
      <c r="H10382" s="42">
        <v>211</v>
      </c>
    </row>
    <row r="10383" spans="1:8" ht="15" customHeight="1">
      <c r="A10383" s="26">
        <v>1049633673</v>
      </c>
      <c r="B10383" s="29" t="s">
        <v>12600</v>
      </c>
      <c r="C10383" s="29" t="s">
        <v>26365</v>
      </c>
      <c r="D10383" s="29" t="s">
        <v>39826</v>
      </c>
      <c r="E10383" s="29" t="s">
        <v>51030</v>
      </c>
      <c r="F10383" s="36" t="s">
        <v>54423</v>
      </c>
      <c r="G10383" s="39">
        <v>2298688.9</v>
      </c>
      <c r="H10383" s="42">
        <v>211</v>
      </c>
    </row>
    <row r="10384" spans="1:8" ht="15" customHeight="1">
      <c r="A10384" s="26">
        <v>1049633804</v>
      </c>
      <c r="B10384" s="29" t="s">
        <v>12601</v>
      </c>
      <c r="C10384" s="29" t="s">
        <v>26366</v>
      </c>
      <c r="D10384" s="29" t="s">
        <v>39827</v>
      </c>
      <c r="E10384" s="29" t="s">
        <v>51596</v>
      </c>
      <c r="F10384" s="36" t="s">
        <v>54401</v>
      </c>
      <c r="G10384" s="39">
        <v>17486.55</v>
      </c>
      <c r="H10384" s="42">
        <v>211</v>
      </c>
    </row>
    <row r="10385" spans="1:8" ht="15" customHeight="1">
      <c r="A10385" s="26">
        <v>1049634160</v>
      </c>
      <c r="B10385" s="29" t="s">
        <v>12602</v>
      </c>
      <c r="C10385" s="29" t="s">
        <v>26367</v>
      </c>
      <c r="D10385" s="29" t="s">
        <v>39828</v>
      </c>
      <c r="E10385" s="29" t="s">
        <v>51597</v>
      </c>
      <c r="F10385" s="36" t="s">
        <v>54401</v>
      </c>
      <c r="G10385" s="39">
        <v>342821.9</v>
      </c>
      <c r="H10385" s="42">
        <v>211</v>
      </c>
    </row>
    <row r="10386" spans="1:8" ht="15" customHeight="1">
      <c r="A10386" s="26">
        <v>1049634221</v>
      </c>
      <c r="B10386" s="29" t="s">
        <v>12603</v>
      </c>
      <c r="C10386" s="29" t="s">
        <v>26368</v>
      </c>
      <c r="D10386" s="29" t="s">
        <v>39829</v>
      </c>
      <c r="E10386" s="29" t="s">
        <v>51598</v>
      </c>
      <c r="F10386" s="36" t="s">
        <v>54420</v>
      </c>
      <c r="G10386" s="39">
        <v>9984772</v>
      </c>
      <c r="H10386" s="42">
        <v>211</v>
      </c>
    </row>
    <row r="10387" spans="1:8" ht="15" customHeight="1">
      <c r="A10387" s="26">
        <v>1049634856</v>
      </c>
      <c r="B10387" s="29" t="s">
        <v>12604</v>
      </c>
      <c r="C10387" s="29" t="s">
        <v>26369</v>
      </c>
      <c r="D10387" s="29" t="s">
        <v>39830</v>
      </c>
      <c r="E10387" s="29" t="s">
        <v>43926</v>
      </c>
      <c r="F10387" s="36" t="s">
        <v>54401</v>
      </c>
      <c r="G10387" s="39">
        <v>896689.79</v>
      </c>
      <c r="H10387" s="42">
        <v>211</v>
      </c>
    </row>
    <row r="10388" spans="1:8" ht="15" customHeight="1">
      <c r="A10388" s="26">
        <v>1049635890</v>
      </c>
      <c r="B10388" s="29" t="s">
        <v>12605</v>
      </c>
      <c r="C10388" s="29" t="s">
        <v>17204</v>
      </c>
      <c r="D10388" s="29" t="s">
        <v>30349</v>
      </c>
      <c r="E10388" s="29" t="s">
        <v>43926</v>
      </c>
      <c r="F10388" s="36" t="s">
        <v>54401</v>
      </c>
      <c r="G10388" s="39">
        <v>51350.76</v>
      </c>
      <c r="H10388" s="42">
        <v>211</v>
      </c>
    </row>
    <row r="10389" spans="1:8" ht="15" customHeight="1">
      <c r="A10389" s="26">
        <v>1049636132</v>
      </c>
      <c r="B10389" s="29" t="s">
        <v>12606</v>
      </c>
      <c r="C10389" s="29" t="s">
        <v>26370</v>
      </c>
      <c r="D10389" s="29" t="s">
        <v>39831</v>
      </c>
      <c r="E10389" s="29" t="s">
        <v>51599</v>
      </c>
      <c r="F10389" s="36" t="s">
        <v>54401</v>
      </c>
      <c r="G10389" s="39">
        <v>588711.65</v>
      </c>
      <c r="H10389" s="42">
        <v>211</v>
      </c>
    </row>
    <row r="10390" spans="1:8" ht="15" customHeight="1">
      <c r="A10390" s="26">
        <v>1049636331</v>
      </c>
      <c r="B10390" s="29" t="s">
        <v>12607</v>
      </c>
      <c r="C10390" s="26" t="s">
        <v>26371</v>
      </c>
      <c r="D10390" s="26" t="s">
        <v>39832</v>
      </c>
      <c r="E10390" s="26" t="s">
        <v>43926</v>
      </c>
      <c r="F10390" s="37" t="s">
        <v>54401</v>
      </c>
      <c r="G10390" s="39">
        <v>25462.19</v>
      </c>
      <c r="H10390" s="42">
        <v>211</v>
      </c>
    </row>
    <row r="10391" spans="1:8" ht="15" customHeight="1">
      <c r="A10391" s="26">
        <v>1049636472</v>
      </c>
      <c r="B10391" s="29" t="s">
        <v>12608</v>
      </c>
      <c r="C10391" s="29" t="s">
        <v>26372</v>
      </c>
      <c r="D10391" s="29" t="s">
        <v>39833</v>
      </c>
      <c r="E10391" s="29" t="s">
        <v>51600</v>
      </c>
      <c r="F10391" s="36" t="s">
        <v>54401</v>
      </c>
      <c r="G10391" s="39">
        <v>406885.15</v>
      </c>
      <c r="H10391" s="42">
        <v>211</v>
      </c>
    </row>
    <row r="10392" spans="1:8" ht="15" customHeight="1">
      <c r="A10392" s="26">
        <v>1049636842</v>
      </c>
      <c r="B10392" s="29" t="s">
        <v>12609</v>
      </c>
      <c r="C10392" s="29" t="s">
        <v>26373</v>
      </c>
      <c r="D10392" s="29" t="s">
        <v>39834</v>
      </c>
      <c r="E10392" s="29" t="s">
        <v>51601</v>
      </c>
      <c r="F10392" s="36" t="s">
        <v>54401</v>
      </c>
      <c r="G10392" s="39">
        <v>2355526.6</v>
      </c>
      <c r="H10392" s="42">
        <v>211</v>
      </c>
    </row>
    <row r="10393" spans="1:8" ht="15" customHeight="1">
      <c r="A10393" s="26">
        <v>1049637084</v>
      </c>
      <c r="B10393" s="29" t="s">
        <v>12610</v>
      </c>
      <c r="C10393" s="29" t="s">
        <v>26374</v>
      </c>
      <c r="D10393" s="29" t="s">
        <v>39835</v>
      </c>
      <c r="E10393" s="29" t="s">
        <v>51602</v>
      </c>
      <c r="F10393" s="36" t="s">
        <v>54412</v>
      </c>
      <c r="G10393" s="39">
        <v>7427009</v>
      </c>
      <c r="H10393" s="42">
        <v>211</v>
      </c>
    </row>
    <row r="10394" spans="1:8" ht="15" customHeight="1">
      <c r="A10394" s="26">
        <v>1049637168</v>
      </c>
      <c r="B10394" s="29" t="s">
        <v>12611</v>
      </c>
      <c r="C10394" s="29" t="s">
        <v>26375</v>
      </c>
      <c r="D10394" s="29" t="s">
        <v>39836</v>
      </c>
      <c r="E10394" s="29" t="s">
        <v>51603</v>
      </c>
      <c r="F10394" s="36" t="s">
        <v>54401</v>
      </c>
      <c r="G10394" s="39">
        <v>4954950.45</v>
      </c>
      <c r="H10394" s="42">
        <v>211</v>
      </c>
    </row>
    <row r="10395" spans="1:8" ht="15" customHeight="1">
      <c r="A10395" s="26">
        <v>1049637171</v>
      </c>
      <c r="B10395" s="29" t="s">
        <v>12612</v>
      </c>
      <c r="C10395" s="29" t="s">
        <v>26376</v>
      </c>
      <c r="D10395" s="29" t="s">
        <v>39837</v>
      </c>
      <c r="E10395" s="29" t="s">
        <v>44187</v>
      </c>
      <c r="F10395" s="36" t="s">
        <v>54401</v>
      </c>
      <c r="G10395" s="39">
        <v>6099791</v>
      </c>
      <c r="H10395" s="42">
        <v>211</v>
      </c>
    </row>
    <row r="10396" spans="1:8" ht="15" customHeight="1">
      <c r="A10396" s="26">
        <v>1049637429</v>
      </c>
      <c r="B10396" s="29" t="s">
        <v>12613</v>
      </c>
      <c r="C10396" s="29" t="s">
        <v>26377</v>
      </c>
      <c r="D10396" s="29" t="s">
        <v>30349</v>
      </c>
      <c r="E10396" s="29" t="s">
        <v>43926</v>
      </c>
      <c r="F10396" s="36" t="s">
        <v>54401</v>
      </c>
      <c r="G10396" s="39">
        <v>267999.45</v>
      </c>
      <c r="H10396" s="42">
        <v>211</v>
      </c>
    </row>
    <row r="10397" spans="1:8" ht="15" customHeight="1">
      <c r="A10397" s="26">
        <v>1049637604</v>
      </c>
      <c r="B10397" s="29" t="s">
        <v>12614</v>
      </c>
      <c r="C10397" s="29" t="s">
        <v>26378</v>
      </c>
      <c r="D10397" s="29" t="s">
        <v>39838</v>
      </c>
      <c r="E10397" s="29" t="s">
        <v>51604</v>
      </c>
      <c r="F10397" s="36" t="s">
        <v>54401</v>
      </c>
      <c r="G10397" s="39">
        <v>926635.67</v>
      </c>
      <c r="H10397" s="42">
        <v>211</v>
      </c>
    </row>
    <row r="10398" spans="1:8" ht="15" customHeight="1">
      <c r="A10398" s="26">
        <v>1049638085</v>
      </c>
      <c r="B10398" s="29" t="s">
        <v>12615</v>
      </c>
      <c r="C10398" s="26" t="s">
        <v>26379</v>
      </c>
      <c r="D10398" s="26" t="s">
        <v>39839</v>
      </c>
      <c r="E10398" s="26" t="s">
        <v>51605</v>
      </c>
      <c r="F10398" s="37" t="s">
        <v>54401</v>
      </c>
      <c r="G10398" s="39">
        <v>114352.81</v>
      </c>
      <c r="H10398" s="42">
        <v>211</v>
      </c>
    </row>
    <row r="10399" spans="1:8" ht="15" customHeight="1">
      <c r="A10399" s="26">
        <v>1049638203</v>
      </c>
      <c r="B10399" s="29" t="s">
        <v>12616</v>
      </c>
      <c r="C10399" s="29" t="s">
        <v>17204</v>
      </c>
      <c r="D10399" s="29" t="s">
        <v>39840</v>
      </c>
      <c r="E10399" s="29" t="s">
        <v>43926</v>
      </c>
      <c r="F10399" s="36" t="s">
        <v>54401</v>
      </c>
      <c r="G10399" s="39">
        <v>76327.73</v>
      </c>
      <c r="H10399" s="42">
        <v>211</v>
      </c>
    </row>
    <row r="10400" spans="1:8" ht="15" customHeight="1">
      <c r="A10400" s="26">
        <v>1049638594</v>
      </c>
      <c r="B10400" s="29" t="s">
        <v>12617</v>
      </c>
      <c r="C10400" s="29" t="s">
        <v>26380</v>
      </c>
      <c r="D10400" s="29" t="s">
        <v>39841</v>
      </c>
      <c r="E10400" s="29" t="s">
        <v>51606</v>
      </c>
      <c r="F10400" s="36" t="s">
        <v>54401</v>
      </c>
      <c r="G10400" s="39">
        <v>4758919.76</v>
      </c>
      <c r="H10400" s="42">
        <v>211</v>
      </c>
    </row>
    <row r="10401" spans="1:8" ht="15" customHeight="1">
      <c r="A10401" s="26">
        <v>1049638991</v>
      </c>
      <c r="B10401" s="29" t="s">
        <v>12618</v>
      </c>
      <c r="C10401" s="29" t="s">
        <v>26381</v>
      </c>
      <c r="D10401" s="29" t="s">
        <v>39842</v>
      </c>
      <c r="E10401" s="29" t="s">
        <v>51607</v>
      </c>
      <c r="F10401" s="36" t="s">
        <v>54401</v>
      </c>
      <c r="G10401" s="39">
        <v>76733.14</v>
      </c>
      <c r="H10401" s="42">
        <v>211</v>
      </c>
    </row>
    <row r="10402" spans="1:8" ht="15" customHeight="1">
      <c r="A10402" s="26">
        <v>1049639022</v>
      </c>
      <c r="B10402" s="29" t="s">
        <v>12619</v>
      </c>
      <c r="C10402" s="29" t="s">
        <v>26382</v>
      </c>
      <c r="D10402" s="29" t="s">
        <v>39843</v>
      </c>
      <c r="E10402" s="29" t="s">
        <v>48122</v>
      </c>
      <c r="F10402" s="36" t="s">
        <v>54401</v>
      </c>
      <c r="G10402" s="39">
        <v>181304.68</v>
      </c>
      <c r="H10402" s="42">
        <v>211</v>
      </c>
    </row>
    <row r="10403" spans="1:8" ht="15" customHeight="1">
      <c r="A10403" s="26">
        <v>1049639667</v>
      </c>
      <c r="B10403" s="29" t="s">
        <v>12620</v>
      </c>
      <c r="C10403" s="29" t="s">
        <v>26383</v>
      </c>
      <c r="D10403" s="29" t="s">
        <v>39844</v>
      </c>
      <c r="E10403" s="29" t="s">
        <v>51608</v>
      </c>
      <c r="F10403" s="36" t="s">
        <v>54401</v>
      </c>
      <c r="G10403" s="39">
        <v>382823.52</v>
      </c>
      <c r="H10403" s="42">
        <v>211</v>
      </c>
    </row>
    <row r="10404" spans="1:8" ht="15" customHeight="1">
      <c r="A10404" s="26">
        <v>1049640078</v>
      </c>
      <c r="B10404" s="29" t="s">
        <v>12621</v>
      </c>
      <c r="C10404" s="26" t="s">
        <v>26384</v>
      </c>
      <c r="D10404" s="26" t="s">
        <v>30376</v>
      </c>
      <c r="E10404" s="26" t="s">
        <v>51609</v>
      </c>
      <c r="F10404" s="37" t="s">
        <v>54402</v>
      </c>
      <c r="G10404" s="39">
        <v>465255.48</v>
      </c>
      <c r="H10404" s="42">
        <v>211</v>
      </c>
    </row>
    <row r="10405" spans="1:8" ht="15" customHeight="1">
      <c r="A10405" s="26">
        <v>1049640157</v>
      </c>
      <c r="B10405" s="29" t="s">
        <v>12622</v>
      </c>
      <c r="C10405" s="29" t="s">
        <v>26385</v>
      </c>
      <c r="D10405" s="29" t="s">
        <v>39845</v>
      </c>
      <c r="E10405" s="29" t="s">
        <v>51610</v>
      </c>
      <c r="F10405" s="36" t="s">
        <v>54401</v>
      </c>
      <c r="G10405" s="39">
        <v>1487965.32</v>
      </c>
      <c r="H10405" s="42">
        <v>211</v>
      </c>
    </row>
    <row r="10406" spans="1:8" ht="15" customHeight="1">
      <c r="A10406" s="26">
        <v>1049640229</v>
      </c>
      <c r="B10406" s="29" t="s">
        <v>12623</v>
      </c>
      <c r="C10406" s="29" t="s">
        <v>26386</v>
      </c>
      <c r="D10406" s="29" t="s">
        <v>39846</v>
      </c>
      <c r="E10406" s="29" t="s">
        <v>43926</v>
      </c>
      <c r="F10406" s="36" t="s">
        <v>54401</v>
      </c>
      <c r="G10406" s="39">
        <v>919781.86</v>
      </c>
      <c r="H10406" s="42">
        <v>211</v>
      </c>
    </row>
    <row r="10407" spans="1:8" ht="15" customHeight="1">
      <c r="A10407" s="26">
        <v>1049640672</v>
      </c>
      <c r="B10407" s="29" t="s">
        <v>12624</v>
      </c>
      <c r="C10407" s="29" t="s">
        <v>26387</v>
      </c>
      <c r="D10407" s="29" t="s">
        <v>39847</v>
      </c>
      <c r="E10407" s="29" t="s">
        <v>44197</v>
      </c>
      <c r="F10407" s="36" t="s">
        <v>54401</v>
      </c>
      <c r="G10407" s="39">
        <v>3737775</v>
      </c>
      <c r="H10407" s="42">
        <v>211</v>
      </c>
    </row>
    <row r="10408" spans="1:8" ht="15" customHeight="1">
      <c r="A10408" s="26">
        <v>1049640760</v>
      </c>
      <c r="B10408" s="29" t="s">
        <v>12625</v>
      </c>
      <c r="C10408" s="29" t="s">
        <v>26388</v>
      </c>
      <c r="D10408" s="29" t="s">
        <v>39848</v>
      </c>
      <c r="E10408" s="29" t="s">
        <v>51611</v>
      </c>
      <c r="F10408" s="36" t="s">
        <v>54401</v>
      </c>
      <c r="G10408" s="39">
        <v>575260.01</v>
      </c>
      <c r="H10408" s="42">
        <v>211</v>
      </c>
    </row>
    <row r="10409" spans="1:8" ht="15" customHeight="1">
      <c r="A10409" s="26">
        <v>1049640955</v>
      </c>
      <c r="B10409" s="29" t="s">
        <v>12626</v>
      </c>
      <c r="C10409" s="29" t="s">
        <v>26389</v>
      </c>
      <c r="D10409" s="29" t="s">
        <v>39849</v>
      </c>
      <c r="E10409" s="29" t="s">
        <v>49593</v>
      </c>
      <c r="F10409" s="36" t="s">
        <v>54401</v>
      </c>
      <c r="G10409" s="39">
        <v>462087.1</v>
      </c>
      <c r="H10409" s="42">
        <v>211</v>
      </c>
    </row>
    <row r="10410" spans="1:8" ht="15" customHeight="1">
      <c r="A10410" s="26">
        <v>1049642405</v>
      </c>
      <c r="B10410" s="29" t="s">
        <v>12627</v>
      </c>
      <c r="C10410" s="29" t="s">
        <v>26390</v>
      </c>
      <c r="D10410" s="29" t="s">
        <v>39850</v>
      </c>
      <c r="E10410" s="29" t="s">
        <v>51612</v>
      </c>
      <c r="F10410" s="36" t="s">
        <v>54401</v>
      </c>
      <c r="G10410" s="39">
        <v>3082577.28</v>
      </c>
      <c r="H10410" s="42">
        <v>211</v>
      </c>
    </row>
    <row r="10411" spans="1:8" ht="15" customHeight="1">
      <c r="A10411" s="26">
        <v>1049643093</v>
      </c>
      <c r="B10411" s="29" t="s">
        <v>12628</v>
      </c>
      <c r="C10411" s="29" t="s">
        <v>26391</v>
      </c>
      <c r="D10411" s="29" t="s">
        <v>39851</v>
      </c>
      <c r="E10411" s="29" t="s">
        <v>51613</v>
      </c>
      <c r="F10411" s="36" t="s">
        <v>54412</v>
      </c>
      <c r="G10411" s="39">
        <v>109907.96</v>
      </c>
      <c r="H10411" s="42">
        <v>211</v>
      </c>
    </row>
    <row r="10412" spans="1:8" ht="15" customHeight="1">
      <c r="A10412" s="26">
        <v>1049643275</v>
      </c>
      <c r="B10412" s="29" t="s">
        <v>12629</v>
      </c>
      <c r="C10412" s="29" t="s">
        <v>24977</v>
      </c>
      <c r="D10412" s="29" t="s">
        <v>39852</v>
      </c>
      <c r="E10412" s="29" t="s">
        <v>43926</v>
      </c>
      <c r="F10412" s="36" t="s">
        <v>54401</v>
      </c>
      <c r="G10412" s="39">
        <v>1123442.53</v>
      </c>
      <c r="H10412" s="42">
        <v>211</v>
      </c>
    </row>
    <row r="10413" spans="1:8" ht="15" customHeight="1">
      <c r="A10413" s="26">
        <v>1049643337</v>
      </c>
      <c r="B10413" s="29" t="s">
        <v>12630</v>
      </c>
      <c r="C10413" s="29" t="s">
        <v>26392</v>
      </c>
      <c r="D10413" s="29" t="s">
        <v>39853</v>
      </c>
      <c r="E10413" s="29" t="s">
        <v>43926</v>
      </c>
      <c r="F10413" s="36" t="s">
        <v>54401</v>
      </c>
      <c r="G10413" s="39">
        <v>731837.55</v>
      </c>
      <c r="H10413" s="42">
        <v>211</v>
      </c>
    </row>
    <row r="10414" spans="1:8" ht="15" customHeight="1">
      <c r="A10414" s="26">
        <v>1049643579</v>
      </c>
      <c r="B10414" s="29" t="s">
        <v>12631</v>
      </c>
      <c r="C10414" s="29" t="s">
        <v>26393</v>
      </c>
      <c r="D10414" s="29" t="s">
        <v>39854</v>
      </c>
      <c r="E10414" s="29" t="s">
        <v>51614</v>
      </c>
      <c r="F10414" s="36" t="s">
        <v>54401</v>
      </c>
      <c r="G10414" s="39">
        <v>229689.83</v>
      </c>
      <c r="H10414" s="42">
        <v>211</v>
      </c>
    </row>
    <row r="10415" spans="1:8" ht="15" customHeight="1">
      <c r="A10415" s="26">
        <v>1049643636</v>
      </c>
      <c r="B10415" s="29" t="s">
        <v>12632</v>
      </c>
      <c r="C10415" s="29" t="s">
        <v>17204</v>
      </c>
      <c r="D10415" s="29" t="s">
        <v>30349</v>
      </c>
      <c r="E10415" s="29" t="s">
        <v>43926</v>
      </c>
      <c r="F10415" s="36" t="s">
        <v>54401</v>
      </c>
      <c r="G10415" s="39">
        <v>1207086.3400000001</v>
      </c>
      <c r="H10415" s="42">
        <v>211</v>
      </c>
    </row>
    <row r="10416" spans="1:8" ht="15" customHeight="1">
      <c r="A10416" s="26">
        <v>1049643894</v>
      </c>
      <c r="B10416" s="29" t="s">
        <v>12633</v>
      </c>
      <c r="C10416" s="29" t="s">
        <v>26394</v>
      </c>
      <c r="D10416" s="29" t="s">
        <v>39855</v>
      </c>
      <c r="E10416" s="29" t="s">
        <v>51615</v>
      </c>
      <c r="F10416" s="36" t="s">
        <v>54401</v>
      </c>
      <c r="G10416" s="39">
        <v>2134967.67</v>
      </c>
      <c r="H10416" s="42">
        <v>211</v>
      </c>
    </row>
    <row r="10417" spans="1:8" ht="15" customHeight="1">
      <c r="A10417" s="26">
        <v>1049644287</v>
      </c>
      <c r="B10417" s="29" t="s">
        <v>12634</v>
      </c>
      <c r="C10417" s="29" t="s">
        <v>26395</v>
      </c>
      <c r="D10417" s="29" t="s">
        <v>39856</v>
      </c>
      <c r="E10417" s="29" t="s">
        <v>51616</v>
      </c>
      <c r="F10417" s="36" t="s">
        <v>54401</v>
      </c>
      <c r="G10417" s="39">
        <v>304265.05</v>
      </c>
      <c r="H10417" s="42">
        <v>211</v>
      </c>
    </row>
    <row r="10418" spans="1:8" ht="15" customHeight="1">
      <c r="A10418" s="26">
        <v>1049645048</v>
      </c>
      <c r="B10418" s="29" t="s">
        <v>12635</v>
      </c>
      <c r="C10418" s="29" t="s">
        <v>26396</v>
      </c>
      <c r="D10418" s="29" t="s">
        <v>39857</v>
      </c>
      <c r="E10418" s="29" t="s">
        <v>51617</v>
      </c>
      <c r="F10418" s="36" t="s">
        <v>54401</v>
      </c>
      <c r="G10418" s="39">
        <v>372500.02</v>
      </c>
      <c r="H10418" s="42">
        <v>211</v>
      </c>
    </row>
    <row r="10419" spans="1:8" ht="15" customHeight="1">
      <c r="A10419" s="26">
        <v>1049645290</v>
      </c>
      <c r="B10419" s="29" t="s">
        <v>12636</v>
      </c>
      <c r="C10419" s="29" t="s">
        <v>26397</v>
      </c>
      <c r="D10419" s="29" t="s">
        <v>39858</v>
      </c>
      <c r="E10419" s="29" t="s">
        <v>51618</v>
      </c>
      <c r="F10419" s="36" t="s">
        <v>54401</v>
      </c>
      <c r="G10419" s="39">
        <v>746584.66</v>
      </c>
      <c r="H10419" s="42">
        <v>211</v>
      </c>
    </row>
    <row r="10420" spans="1:8" ht="15" customHeight="1">
      <c r="A10420" s="26">
        <v>1049645536</v>
      </c>
      <c r="B10420" s="29" t="s">
        <v>12637</v>
      </c>
      <c r="C10420" s="29" t="s">
        <v>26398</v>
      </c>
      <c r="D10420" s="29" t="s">
        <v>39859</v>
      </c>
      <c r="E10420" s="29" t="s">
        <v>51619</v>
      </c>
      <c r="F10420" s="36" t="s">
        <v>54412</v>
      </c>
      <c r="G10420" s="39">
        <v>2106966</v>
      </c>
      <c r="H10420" s="42">
        <v>211</v>
      </c>
    </row>
    <row r="10421" spans="1:8" ht="15" customHeight="1">
      <c r="A10421" s="26">
        <v>1049645627</v>
      </c>
      <c r="B10421" s="29" t="s">
        <v>12638</v>
      </c>
      <c r="C10421" s="29" t="s">
        <v>26399</v>
      </c>
      <c r="D10421" s="29" t="s">
        <v>39860</v>
      </c>
      <c r="E10421" s="29" t="s">
        <v>51620</v>
      </c>
      <c r="F10421" s="36" t="s">
        <v>54401</v>
      </c>
      <c r="G10421" s="39">
        <v>2176049.4700000002</v>
      </c>
      <c r="H10421" s="42">
        <v>211</v>
      </c>
    </row>
    <row r="10422" spans="1:8" ht="15" customHeight="1">
      <c r="A10422" s="26">
        <v>1049647531</v>
      </c>
      <c r="B10422" s="29" t="s">
        <v>12639</v>
      </c>
      <c r="C10422" s="29" t="s">
        <v>26400</v>
      </c>
      <c r="D10422" s="29" t="s">
        <v>39861</v>
      </c>
      <c r="E10422" s="29" t="s">
        <v>51621</v>
      </c>
      <c r="F10422" s="36" t="s">
        <v>54401</v>
      </c>
      <c r="G10422" s="39">
        <v>2168326.7400000002</v>
      </c>
      <c r="H10422" s="42">
        <v>211</v>
      </c>
    </row>
    <row r="10423" spans="1:8" ht="15" customHeight="1">
      <c r="A10423" s="26">
        <v>1049647605</v>
      </c>
      <c r="B10423" s="29" t="s">
        <v>12640</v>
      </c>
      <c r="C10423" s="29" t="s">
        <v>26401</v>
      </c>
      <c r="D10423" s="29" t="s">
        <v>39862</v>
      </c>
      <c r="E10423" s="29" t="s">
        <v>51622</v>
      </c>
      <c r="F10423" s="36" t="s">
        <v>54401</v>
      </c>
      <c r="G10423" s="39">
        <v>429360.55</v>
      </c>
      <c r="H10423" s="42">
        <v>211</v>
      </c>
    </row>
    <row r="10424" spans="1:8" ht="15" customHeight="1">
      <c r="A10424" s="26">
        <v>1049649261</v>
      </c>
      <c r="B10424" s="29" t="s">
        <v>12641</v>
      </c>
      <c r="C10424" s="29" t="s">
        <v>17204</v>
      </c>
      <c r="D10424" s="29" t="s">
        <v>30349</v>
      </c>
      <c r="E10424" s="29" t="s">
        <v>43926</v>
      </c>
      <c r="F10424" s="36" t="s">
        <v>54401</v>
      </c>
      <c r="G10424" s="39">
        <v>316148.75</v>
      </c>
      <c r="H10424" s="42">
        <v>211</v>
      </c>
    </row>
    <row r="10425" spans="1:8" ht="15" customHeight="1">
      <c r="A10425" s="26">
        <v>1049650003</v>
      </c>
      <c r="B10425" s="29" t="s">
        <v>12642</v>
      </c>
      <c r="C10425" s="29" t="s">
        <v>26402</v>
      </c>
      <c r="D10425" s="29" t="s">
        <v>33044</v>
      </c>
      <c r="E10425" s="29" t="s">
        <v>46284</v>
      </c>
      <c r="F10425" s="36" t="s">
        <v>54406</v>
      </c>
      <c r="G10425" s="39">
        <v>24198.52</v>
      </c>
      <c r="H10425" s="42">
        <v>211</v>
      </c>
    </row>
    <row r="10426" spans="1:8" ht="15" customHeight="1">
      <c r="A10426" s="26">
        <v>1049650193</v>
      </c>
      <c r="B10426" s="29" t="s">
        <v>12643</v>
      </c>
      <c r="C10426" s="29" t="s">
        <v>26403</v>
      </c>
      <c r="D10426" s="29" t="s">
        <v>39863</v>
      </c>
      <c r="E10426" s="29" t="s">
        <v>51623</v>
      </c>
      <c r="F10426" s="36" t="s">
        <v>54401</v>
      </c>
      <c r="G10426" s="39">
        <v>1768032.95</v>
      </c>
      <c r="H10426" s="42">
        <v>211</v>
      </c>
    </row>
    <row r="10427" spans="1:8" ht="15" customHeight="1">
      <c r="A10427" s="26">
        <v>1049650347</v>
      </c>
      <c r="B10427" s="29" t="s">
        <v>12644</v>
      </c>
      <c r="C10427" s="29" t="s">
        <v>26404</v>
      </c>
      <c r="D10427" s="29" t="s">
        <v>39864</v>
      </c>
      <c r="E10427" s="29" t="s">
        <v>51624</v>
      </c>
      <c r="F10427" s="36" t="s">
        <v>54412</v>
      </c>
      <c r="G10427" s="39">
        <v>407947.61</v>
      </c>
      <c r="H10427" s="42">
        <v>211</v>
      </c>
    </row>
    <row r="10428" spans="1:8" ht="15" customHeight="1">
      <c r="A10428" s="26">
        <v>1049650660</v>
      </c>
      <c r="B10428" s="29" t="s">
        <v>12645</v>
      </c>
      <c r="C10428" s="29" t="s">
        <v>26405</v>
      </c>
      <c r="D10428" s="29" t="s">
        <v>39865</v>
      </c>
      <c r="E10428" s="29" t="s">
        <v>43926</v>
      </c>
      <c r="F10428" s="36" t="s">
        <v>54401</v>
      </c>
      <c r="G10428" s="39">
        <v>125660.67</v>
      </c>
      <c r="H10428" s="42">
        <v>211</v>
      </c>
    </row>
    <row r="10429" spans="1:8" ht="15" customHeight="1">
      <c r="A10429" s="26">
        <v>1049651870</v>
      </c>
      <c r="B10429" s="29" t="s">
        <v>12646</v>
      </c>
      <c r="C10429" s="29" t="s">
        <v>26406</v>
      </c>
      <c r="D10429" s="29" t="s">
        <v>39866</v>
      </c>
      <c r="E10429" s="29" t="s">
        <v>51625</v>
      </c>
      <c r="F10429" s="36" t="s">
        <v>54413</v>
      </c>
      <c r="G10429" s="39">
        <v>637798.31999999995</v>
      </c>
      <c r="H10429" s="42">
        <v>211</v>
      </c>
    </row>
    <row r="10430" spans="1:8" ht="15" customHeight="1">
      <c r="A10430" s="26">
        <v>1049656653</v>
      </c>
      <c r="B10430" s="29" t="s">
        <v>12647</v>
      </c>
      <c r="C10430" s="29" t="s">
        <v>17204</v>
      </c>
      <c r="D10430" s="29" t="s">
        <v>30349</v>
      </c>
      <c r="E10430" s="29" t="s">
        <v>43926</v>
      </c>
      <c r="F10430" s="36" t="s">
        <v>54401</v>
      </c>
      <c r="G10430" s="39">
        <v>418043.45</v>
      </c>
      <c r="H10430" s="42">
        <v>211</v>
      </c>
    </row>
    <row r="10431" spans="1:8" ht="15" customHeight="1">
      <c r="A10431" s="26">
        <v>1049656760</v>
      </c>
      <c r="B10431" s="29" t="s">
        <v>12648</v>
      </c>
      <c r="C10431" s="29" t="s">
        <v>17204</v>
      </c>
      <c r="D10431" s="29" t="s">
        <v>39867</v>
      </c>
      <c r="E10431" s="29" t="s">
        <v>51626</v>
      </c>
      <c r="F10431" s="36" t="s">
        <v>54401</v>
      </c>
      <c r="G10431" s="39">
        <v>4800461</v>
      </c>
      <c r="H10431" s="42">
        <v>211</v>
      </c>
    </row>
    <row r="10432" spans="1:8" ht="15" customHeight="1">
      <c r="A10432" s="26">
        <v>1049657274</v>
      </c>
      <c r="B10432" s="29" t="s">
        <v>12649</v>
      </c>
      <c r="C10432" s="29" t="s">
        <v>26407</v>
      </c>
      <c r="D10432" s="29" t="s">
        <v>31936</v>
      </c>
      <c r="E10432" s="29" t="s">
        <v>45344</v>
      </c>
      <c r="F10432" s="36" t="s">
        <v>54401</v>
      </c>
      <c r="G10432" s="39">
        <v>686999.54</v>
      </c>
      <c r="H10432" s="42">
        <v>211</v>
      </c>
    </row>
    <row r="10433" spans="1:8" ht="15" customHeight="1">
      <c r="A10433" s="26">
        <v>1049657375</v>
      </c>
      <c r="B10433" s="29" t="s">
        <v>12650</v>
      </c>
      <c r="C10433" s="29" t="s">
        <v>26408</v>
      </c>
      <c r="D10433" s="29" t="s">
        <v>39868</v>
      </c>
      <c r="E10433" s="29" t="s">
        <v>51627</v>
      </c>
      <c r="F10433" s="36" t="s">
        <v>54401</v>
      </c>
      <c r="G10433" s="39">
        <v>952871.91</v>
      </c>
      <c r="H10433" s="42">
        <v>211</v>
      </c>
    </row>
    <row r="10434" spans="1:8" ht="15" customHeight="1">
      <c r="A10434" s="26">
        <v>1049657688</v>
      </c>
      <c r="B10434" s="29" t="s">
        <v>12651</v>
      </c>
      <c r="C10434" s="29" t="s">
        <v>26409</v>
      </c>
      <c r="D10434" s="29" t="s">
        <v>30349</v>
      </c>
      <c r="E10434" s="29" t="s">
        <v>51628</v>
      </c>
      <c r="F10434" s="36" t="s">
        <v>54401</v>
      </c>
      <c r="G10434" s="39">
        <v>337912.28</v>
      </c>
      <c r="H10434" s="42">
        <v>211</v>
      </c>
    </row>
    <row r="10435" spans="1:8" ht="15" customHeight="1">
      <c r="A10435" s="26">
        <v>1049659035</v>
      </c>
      <c r="B10435" s="29" t="s">
        <v>12652</v>
      </c>
      <c r="C10435" s="29" t="s">
        <v>26410</v>
      </c>
      <c r="D10435" s="29" t="s">
        <v>39869</v>
      </c>
      <c r="E10435" s="29" t="s">
        <v>51629</v>
      </c>
      <c r="F10435" s="36" t="s">
        <v>54401</v>
      </c>
      <c r="G10435" s="39">
        <v>1623481.73</v>
      </c>
      <c r="H10435" s="42">
        <v>211</v>
      </c>
    </row>
    <row r="10436" spans="1:8" ht="15" customHeight="1">
      <c r="A10436" s="26">
        <v>1049659054</v>
      </c>
      <c r="B10436" s="29" t="s">
        <v>12653</v>
      </c>
      <c r="C10436" s="29" t="s">
        <v>26411</v>
      </c>
      <c r="D10436" s="29" t="s">
        <v>39870</v>
      </c>
      <c r="E10436" s="29" t="s">
        <v>47417</v>
      </c>
      <c r="F10436" s="36" t="s">
        <v>54401</v>
      </c>
      <c r="G10436" s="39">
        <v>20378.150000000001</v>
      </c>
      <c r="H10436" s="42">
        <v>211</v>
      </c>
    </row>
    <row r="10437" spans="1:8" ht="15" customHeight="1">
      <c r="A10437" s="26">
        <v>1049659182</v>
      </c>
      <c r="B10437" s="29" t="s">
        <v>12654</v>
      </c>
      <c r="C10437" s="26" t="s">
        <v>17204</v>
      </c>
      <c r="D10437" s="26" t="s">
        <v>30349</v>
      </c>
      <c r="E10437" s="26" t="s">
        <v>43926</v>
      </c>
      <c r="F10437" s="37" t="s">
        <v>54401</v>
      </c>
      <c r="G10437" s="39">
        <v>392072.24</v>
      </c>
      <c r="H10437" s="42">
        <v>211</v>
      </c>
    </row>
    <row r="10438" spans="1:8" ht="15" customHeight="1">
      <c r="A10438" s="26">
        <v>1049659360</v>
      </c>
      <c r="B10438" s="29" t="s">
        <v>12655</v>
      </c>
      <c r="C10438" s="29" t="s">
        <v>26412</v>
      </c>
      <c r="D10438" s="29" t="s">
        <v>39871</v>
      </c>
      <c r="E10438" s="29" t="s">
        <v>44937</v>
      </c>
      <c r="F10438" s="36" t="s">
        <v>54401</v>
      </c>
      <c r="G10438" s="39">
        <v>240191.73</v>
      </c>
      <c r="H10438" s="42">
        <v>211</v>
      </c>
    </row>
    <row r="10439" spans="1:8" ht="15" customHeight="1">
      <c r="A10439" s="26">
        <v>1049659396</v>
      </c>
      <c r="B10439" s="29" t="s">
        <v>12656</v>
      </c>
      <c r="C10439" s="29" t="s">
        <v>26413</v>
      </c>
      <c r="D10439" s="29" t="s">
        <v>39872</v>
      </c>
      <c r="E10439" s="29" t="s">
        <v>51630</v>
      </c>
      <c r="F10439" s="36" t="s">
        <v>54401</v>
      </c>
      <c r="G10439" s="39">
        <v>1473914.25</v>
      </c>
      <c r="H10439" s="42">
        <v>211</v>
      </c>
    </row>
    <row r="10440" spans="1:8" ht="15" customHeight="1">
      <c r="A10440" s="26">
        <v>1049796541</v>
      </c>
      <c r="B10440" s="29" t="s">
        <v>12657</v>
      </c>
      <c r="C10440" s="29" t="s">
        <v>26414</v>
      </c>
      <c r="D10440" s="29" t="s">
        <v>39873</v>
      </c>
      <c r="E10440" s="29" t="s">
        <v>51631</v>
      </c>
      <c r="F10440" s="36" t="s">
        <v>54401</v>
      </c>
      <c r="G10440" s="39">
        <v>35714.29</v>
      </c>
      <c r="H10440" s="42">
        <v>211</v>
      </c>
    </row>
    <row r="10441" spans="1:8" ht="15" customHeight="1">
      <c r="A10441" s="26">
        <v>1050200021</v>
      </c>
      <c r="B10441" s="29" t="s">
        <v>12658</v>
      </c>
      <c r="C10441" s="29" t="s">
        <v>26415</v>
      </c>
      <c r="D10441" s="29" t="s">
        <v>39874</v>
      </c>
      <c r="E10441" s="29" t="s">
        <v>51632</v>
      </c>
      <c r="F10441" s="36" t="s">
        <v>54401</v>
      </c>
      <c r="G10441" s="39">
        <v>701851.25</v>
      </c>
      <c r="H10441" s="42">
        <v>211</v>
      </c>
    </row>
    <row r="10442" spans="1:8" ht="15" customHeight="1">
      <c r="A10442" s="26">
        <v>1050200023</v>
      </c>
      <c r="B10442" s="29" t="s">
        <v>12659</v>
      </c>
      <c r="C10442" s="29" t="s">
        <v>26416</v>
      </c>
      <c r="D10442" s="29" t="s">
        <v>39875</v>
      </c>
      <c r="E10442" s="29" t="s">
        <v>51633</v>
      </c>
      <c r="F10442" s="36" t="s">
        <v>54401</v>
      </c>
      <c r="G10442" s="39">
        <v>840847.17</v>
      </c>
      <c r="H10442" s="42">
        <v>211</v>
      </c>
    </row>
    <row r="10443" spans="1:8" ht="15" customHeight="1">
      <c r="A10443" s="26">
        <v>1050200053</v>
      </c>
      <c r="B10443" s="29" t="s">
        <v>12660</v>
      </c>
      <c r="C10443" s="29" t="s">
        <v>17204</v>
      </c>
      <c r="D10443" s="29" t="s">
        <v>39876</v>
      </c>
      <c r="E10443" s="29" t="s">
        <v>43926</v>
      </c>
      <c r="F10443" s="36" t="s">
        <v>54401</v>
      </c>
      <c r="G10443" s="39">
        <v>119743.21</v>
      </c>
      <c r="H10443" s="42">
        <v>211</v>
      </c>
    </row>
    <row r="10444" spans="1:8" ht="15" customHeight="1">
      <c r="A10444" s="26">
        <v>1050200063</v>
      </c>
      <c r="B10444" s="29" t="s">
        <v>12661</v>
      </c>
      <c r="C10444" s="29" t="s">
        <v>17322</v>
      </c>
      <c r="D10444" s="29" t="s">
        <v>30470</v>
      </c>
      <c r="E10444" s="29" t="s">
        <v>51634</v>
      </c>
      <c r="F10444" s="36" t="s">
        <v>54418</v>
      </c>
      <c r="G10444" s="39">
        <v>30602364</v>
      </c>
      <c r="H10444" s="42">
        <v>211</v>
      </c>
    </row>
    <row r="10445" spans="1:8" ht="15" customHeight="1">
      <c r="A10445" s="26">
        <v>1050200148</v>
      </c>
      <c r="B10445" s="29" t="s">
        <v>12662</v>
      </c>
      <c r="C10445" s="29" t="s">
        <v>26417</v>
      </c>
      <c r="D10445" s="29" t="s">
        <v>39877</v>
      </c>
      <c r="E10445" s="29" t="s">
        <v>51635</v>
      </c>
      <c r="F10445" s="36" t="s">
        <v>54401</v>
      </c>
      <c r="G10445" s="39">
        <v>739669.34</v>
      </c>
      <c r="H10445" s="42">
        <v>211</v>
      </c>
    </row>
    <row r="10446" spans="1:8" ht="15" customHeight="1">
      <c r="A10446" s="26">
        <v>1050200158</v>
      </c>
      <c r="B10446" s="29" t="s">
        <v>12663</v>
      </c>
      <c r="C10446" s="29" t="s">
        <v>26418</v>
      </c>
      <c r="D10446" s="29" t="s">
        <v>39878</v>
      </c>
      <c r="E10446" s="29" t="s">
        <v>51636</v>
      </c>
      <c r="F10446" s="36" t="s">
        <v>54401</v>
      </c>
      <c r="G10446" s="39">
        <v>1170801.96</v>
      </c>
      <c r="H10446" s="42">
        <v>211</v>
      </c>
    </row>
    <row r="10447" spans="1:8" ht="15" customHeight="1">
      <c r="A10447" s="26">
        <v>1050200160</v>
      </c>
      <c r="B10447" s="29" t="s">
        <v>12664</v>
      </c>
      <c r="C10447" s="29" t="s">
        <v>17204</v>
      </c>
      <c r="D10447" s="29" t="s">
        <v>30349</v>
      </c>
      <c r="E10447" s="29" t="s">
        <v>43926</v>
      </c>
      <c r="F10447" s="36" t="s">
        <v>54401</v>
      </c>
      <c r="G10447" s="39">
        <v>322760.19</v>
      </c>
      <c r="H10447" s="42">
        <v>211</v>
      </c>
    </row>
    <row r="10448" spans="1:8" ht="15" customHeight="1">
      <c r="A10448" s="26">
        <v>1050200188</v>
      </c>
      <c r="B10448" s="29" t="s">
        <v>12665</v>
      </c>
      <c r="C10448" s="29" t="s">
        <v>26419</v>
      </c>
      <c r="D10448" s="29" t="s">
        <v>39879</v>
      </c>
      <c r="E10448" s="29" t="s">
        <v>51637</v>
      </c>
      <c r="F10448" s="36" t="s">
        <v>54401</v>
      </c>
      <c r="G10448" s="39">
        <v>799518.47</v>
      </c>
      <c r="H10448" s="42">
        <v>211</v>
      </c>
    </row>
    <row r="10449" spans="1:8" ht="15" customHeight="1">
      <c r="A10449" s="26">
        <v>1050200263</v>
      </c>
      <c r="B10449" s="29" t="s">
        <v>12666</v>
      </c>
      <c r="C10449" s="29" t="s">
        <v>26420</v>
      </c>
      <c r="D10449" s="29" t="s">
        <v>39880</v>
      </c>
      <c r="E10449" s="29" t="s">
        <v>45006</v>
      </c>
      <c r="F10449" s="36" t="s">
        <v>54401</v>
      </c>
      <c r="G10449" s="39">
        <v>2554358.42</v>
      </c>
      <c r="H10449" s="42">
        <v>211</v>
      </c>
    </row>
    <row r="10450" spans="1:8" ht="15" customHeight="1">
      <c r="A10450" s="26">
        <v>1050200264</v>
      </c>
      <c r="B10450" s="29" t="s">
        <v>12667</v>
      </c>
      <c r="C10450" s="29" t="s">
        <v>26421</v>
      </c>
      <c r="D10450" s="29" t="s">
        <v>39881</v>
      </c>
      <c r="E10450" s="29" t="s">
        <v>51638</v>
      </c>
      <c r="F10450" s="36" t="s">
        <v>54401</v>
      </c>
      <c r="G10450" s="39">
        <v>1265354.58</v>
      </c>
      <c r="H10450" s="42">
        <v>211</v>
      </c>
    </row>
    <row r="10451" spans="1:8" ht="15" customHeight="1">
      <c r="A10451" s="26">
        <v>1050200274</v>
      </c>
      <c r="B10451" s="29" t="s">
        <v>12668</v>
      </c>
      <c r="C10451" s="29" t="s">
        <v>26422</v>
      </c>
      <c r="D10451" s="29" t="s">
        <v>39882</v>
      </c>
      <c r="E10451" s="29" t="s">
        <v>727</v>
      </c>
      <c r="F10451" s="36" t="s">
        <v>54401</v>
      </c>
      <c r="G10451" s="39">
        <v>136881.22</v>
      </c>
      <c r="H10451" s="42">
        <v>211</v>
      </c>
    </row>
    <row r="10452" spans="1:8" ht="15" customHeight="1">
      <c r="A10452" s="26">
        <v>1050200300</v>
      </c>
      <c r="B10452" s="29" t="s">
        <v>12669</v>
      </c>
      <c r="C10452" s="29" t="s">
        <v>26423</v>
      </c>
      <c r="D10452" s="29" t="s">
        <v>39883</v>
      </c>
      <c r="E10452" s="29" t="s">
        <v>51639</v>
      </c>
      <c r="F10452" s="36" t="s">
        <v>54401</v>
      </c>
      <c r="G10452" s="39">
        <v>382584.15</v>
      </c>
      <c r="H10452" s="42">
        <v>211</v>
      </c>
    </row>
    <row r="10453" spans="1:8" ht="15" customHeight="1">
      <c r="A10453" s="26">
        <v>1050200302</v>
      </c>
      <c r="B10453" s="29" t="s">
        <v>12670</v>
      </c>
      <c r="C10453" s="29" t="s">
        <v>26424</v>
      </c>
      <c r="D10453" s="29" t="s">
        <v>39884</v>
      </c>
      <c r="E10453" s="29" t="s">
        <v>51640</v>
      </c>
      <c r="F10453" s="36" t="s">
        <v>54401</v>
      </c>
      <c r="G10453" s="39">
        <v>292979.71999999997</v>
      </c>
      <c r="H10453" s="42">
        <v>211</v>
      </c>
    </row>
    <row r="10454" spans="1:8" ht="15" customHeight="1">
      <c r="A10454" s="26">
        <v>1050200318</v>
      </c>
      <c r="B10454" s="29" t="s">
        <v>12671</v>
      </c>
      <c r="C10454" s="29" t="s">
        <v>26425</v>
      </c>
      <c r="D10454" s="29" t="s">
        <v>32675</v>
      </c>
      <c r="E10454" s="29" t="s">
        <v>51641</v>
      </c>
      <c r="F10454" s="36" t="s">
        <v>54401</v>
      </c>
      <c r="G10454" s="39">
        <v>784196.75</v>
      </c>
      <c r="H10454" s="42">
        <v>211</v>
      </c>
    </row>
    <row r="10455" spans="1:8" ht="15" customHeight="1">
      <c r="A10455" s="26">
        <v>1050200321</v>
      </c>
      <c r="B10455" s="29" t="s">
        <v>12672</v>
      </c>
      <c r="C10455" s="26" t="s">
        <v>26426</v>
      </c>
      <c r="D10455" s="26" t="s">
        <v>39885</v>
      </c>
      <c r="E10455" s="26" t="s">
        <v>44431</v>
      </c>
      <c r="F10455" s="37" t="s">
        <v>54401</v>
      </c>
      <c r="G10455" s="39">
        <v>194683.97</v>
      </c>
      <c r="H10455" s="42">
        <v>211</v>
      </c>
    </row>
    <row r="10456" spans="1:8" ht="15" customHeight="1">
      <c r="A10456" s="26">
        <v>1050200349</v>
      </c>
      <c r="B10456" s="29" t="s">
        <v>12673</v>
      </c>
      <c r="C10456" s="29" t="s">
        <v>26427</v>
      </c>
      <c r="D10456" s="29" t="s">
        <v>39886</v>
      </c>
      <c r="E10456" s="29" t="s">
        <v>51642</v>
      </c>
      <c r="F10456" s="36" t="s">
        <v>54401</v>
      </c>
      <c r="G10456" s="39">
        <v>1103727.3999999999</v>
      </c>
      <c r="H10456" s="42">
        <v>211</v>
      </c>
    </row>
    <row r="10457" spans="1:8" ht="15" customHeight="1">
      <c r="A10457" s="26">
        <v>1050200362</v>
      </c>
      <c r="B10457" s="29" t="s">
        <v>12674</v>
      </c>
      <c r="C10457" s="29" t="s">
        <v>26428</v>
      </c>
      <c r="D10457" s="29" t="s">
        <v>39887</v>
      </c>
      <c r="E10457" s="29" t="s">
        <v>45973</v>
      </c>
      <c r="F10457" s="36" t="s">
        <v>54401</v>
      </c>
      <c r="G10457" s="39">
        <v>1490257.22</v>
      </c>
      <c r="H10457" s="42">
        <v>211</v>
      </c>
    </row>
    <row r="10458" spans="1:8" ht="15" customHeight="1">
      <c r="A10458" s="26">
        <v>1050200367</v>
      </c>
      <c r="B10458" s="29" t="s">
        <v>12675</v>
      </c>
      <c r="C10458" s="29" t="s">
        <v>26429</v>
      </c>
      <c r="D10458" s="29" t="s">
        <v>39888</v>
      </c>
      <c r="E10458" s="29" t="s">
        <v>51643</v>
      </c>
      <c r="F10458" s="36" t="s">
        <v>54401</v>
      </c>
      <c r="G10458" s="39">
        <v>104347.56</v>
      </c>
      <c r="H10458" s="42">
        <v>211</v>
      </c>
    </row>
    <row r="10459" spans="1:8" ht="15" customHeight="1">
      <c r="A10459" s="26">
        <v>1050200368</v>
      </c>
      <c r="B10459" s="29" t="s">
        <v>12676</v>
      </c>
      <c r="C10459" s="29" t="s">
        <v>26430</v>
      </c>
      <c r="D10459" s="29" t="s">
        <v>39889</v>
      </c>
      <c r="E10459" s="29" t="s">
        <v>51644</v>
      </c>
      <c r="F10459" s="36" t="s">
        <v>54401</v>
      </c>
      <c r="G10459" s="39">
        <v>4472320.07</v>
      </c>
      <c r="H10459" s="42">
        <v>211</v>
      </c>
    </row>
    <row r="10460" spans="1:8" ht="15" customHeight="1">
      <c r="A10460" s="26">
        <v>1050200381</v>
      </c>
      <c r="B10460" s="29" t="s">
        <v>12677</v>
      </c>
      <c r="C10460" s="29" t="s">
        <v>26431</v>
      </c>
      <c r="D10460" s="29" t="s">
        <v>39890</v>
      </c>
      <c r="E10460" s="29" t="s">
        <v>51645</v>
      </c>
      <c r="F10460" s="36" t="s">
        <v>54401</v>
      </c>
      <c r="G10460" s="39">
        <v>2726585</v>
      </c>
      <c r="H10460" s="42">
        <v>211</v>
      </c>
    </row>
    <row r="10461" spans="1:8" ht="15" customHeight="1">
      <c r="A10461" s="26">
        <v>1050200384</v>
      </c>
      <c r="B10461" s="29" t="s">
        <v>12678</v>
      </c>
      <c r="C10461" s="29" t="s">
        <v>17204</v>
      </c>
      <c r="D10461" s="29" t="s">
        <v>30349</v>
      </c>
      <c r="E10461" s="29" t="s">
        <v>43926</v>
      </c>
      <c r="F10461" s="36" t="s">
        <v>54401</v>
      </c>
      <c r="G10461" s="39">
        <v>56098.32</v>
      </c>
      <c r="H10461" s="42">
        <v>211</v>
      </c>
    </row>
    <row r="10462" spans="1:8" ht="15" customHeight="1">
      <c r="A10462" s="26">
        <v>1050200392</v>
      </c>
      <c r="B10462" s="29" t="s">
        <v>12679</v>
      </c>
      <c r="C10462" s="29" t="s">
        <v>26432</v>
      </c>
      <c r="D10462" s="29" t="s">
        <v>39891</v>
      </c>
      <c r="E10462" s="29" t="s">
        <v>43926</v>
      </c>
      <c r="F10462" s="36" t="s">
        <v>54401</v>
      </c>
      <c r="G10462" s="39">
        <v>506718.64</v>
      </c>
      <c r="H10462" s="42">
        <v>211</v>
      </c>
    </row>
    <row r="10463" spans="1:8" ht="15" customHeight="1">
      <c r="A10463" s="26">
        <v>1050200404</v>
      </c>
      <c r="B10463" s="29" t="s">
        <v>12680</v>
      </c>
      <c r="C10463" s="29" t="s">
        <v>17204</v>
      </c>
      <c r="D10463" s="29" t="s">
        <v>39892</v>
      </c>
      <c r="E10463" s="29" t="s">
        <v>43926</v>
      </c>
      <c r="F10463" s="36" t="s">
        <v>54401</v>
      </c>
      <c r="G10463" s="39">
        <v>485726.32</v>
      </c>
      <c r="H10463" s="42">
        <v>211</v>
      </c>
    </row>
    <row r="10464" spans="1:8" ht="15" customHeight="1">
      <c r="A10464" s="26">
        <v>1050200431</v>
      </c>
      <c r="B10464" s="29" t="s">
        <v>12681</v>
      </c>
      <c r="C10464" s="29" t="s">
        <v>26433</v>
      </c>
      <c r="D10464" s="29" t="s">
        <v>39893</v>
      </c>
      <c r="E10464" s="29" t="s">
        <v>51646</v>
      </c>
      <c r="F10464" s="36" t="s">
        <v>54418</v>
      </c>
      <c r="G10464" s="39">
        <v>762214.57</v>
      </c>
      <c r="H10464" s="42">
        <v>211</v>
      </c>
    </row>
    <row r="10465" spans="1:8" ht="15" customHeight="1">
      <c r="A10465" s="26">
        <v>1050200531</v>
      </c>
      <c r="B10465" s="29" t="s">
        <v>12682</v>
      </c>
      <c r="C10465" s="29" t="s">
        <v>26434</v>
      </c>
      <c r="D10465" s="29" t="s">
        <v>39894</v>
      </c>
      <c r="E10465" s="29" t="s">
        <v>43926</v>
      </c>
      <c r="F10465" s="36" t="s">
        <v>54401</v>
      </c>
      <c r="G10465" s="39">
        <v>228188.54</v>
      </c>
      <c r="H10465" s="42">
        <v>211</v>
      </c>
    </row>
    <row r="10466" spans="1:8" ht="15" customHeight="1">
      <c r="A10466" s="26">
        <v>1050200622</v>
      </c>
      <c r="B10466" s="29" t="s">
        <v>12683</v>
      </c>
      <c r="C10466" s="29" t="s">
        <v>26435</v>
      </c>
      <c r="D10466" s="29" t="s">
        <v>39895</v>
      </c>
      <c r="E10466" s="29" t="s">
        <v>51647</v>
      </c>
      <c r="F10466" s="36" t="s">
        <v>54401</v>
      </c>
      <c r="G10466" s="39">
        <v>3527152</v>
      </c>
      <c r="H10466" s="42">
        <v>211</v>
      </c>
    </row>
    <row r="10467" spans="1:8" ht="15" customHeight="1">
      <c r="A10467" s="26">
        <v>1050200675</v>
      </c>
      <c r="B10467" s="29" t="s">
        <v>12684</v>
      </c>
      <c r="C10467" s="29" t="s">
        <v>26436</v>
      </c>
      <c r="D10467" s="29" t="s">
        <v>39896</v>
      </c>
      <c r="E10467" s="29" t="s">
        <v>727</v>
      </c>
      <c r="F10467" s="36" t="s">
        <v>54401</v>
      </c>
      <c r="G10467" s="39">
        <v>705386.92</v>
      </c>
      <c r="H10467" s="42">
        <v>211</v>
      </c>
    </row>
    <row r="10468" spans="1:8" ht="15" customHeight="1">
      <c r="A10468" s="26">
        <v>1050200677</v>
      </c>
      <c r="B10468" s="29" t="s">
        <v>12685</v>
      </c>
      <c r="C10468" s="29" t="s">
        <v>26437</v>
      </c>
      <c r="D10468" s="29" t="s">
        <v>39897</v>
      </c>
      <c r="E10468" s="29" t="s">
        <v>51648</v>
      </c>
      <c r="F10468" s="36" t="s">
        <v>54401</v>
      </c>
      <c r="G10468" s="39">
        <v>65008.41</v>
      </c>
      <c r="H10468" s="42">
        <v>211</v>
      </c>
    </row>
    <row r="10469" spans="1:8" ht="15" customHeight="1">
      <c r="A10469" s="26">
        <v>1050200746</v>
      </c>
      <c r="B10469" s="29" t="s">
        <v>12686</v>
      </c>
      <c r="C10469" s="26" t="s">
        <v>26438</v>
      </c>
      <c r="D10469" s="26" t="s">
        <v>39898</v>
      </c>
      <c r="E10469" s="26" t="s">
        <v>51649</v>
      </c>
      <c r="F10469" s="37" t="s">
        <v>54401</v>
      </c>
      <c r="G10469" s="39">
        <v>179182.34</v>
      </c>
      <c r="H10469" s="42">
        <v>211</v>
      </c>
    </row>
    <row r="10470" spans="1:8" ht="15" customHeight="1">
      <c r="A10470" s="26">
        <v>1050200865</v>
      </c>
      <c r="B10470" s="29" t="s">
        <v>12687</v>
      </c>
      <c r="C10470" s="29" t="s">
        <v>26439</v>
      </c>
      <c r="D10470" s="29" t="s">
        <v>39899</v>
      </c>
      <c r="E10470" s="29" t="s">
        <v>51650</v>
      </c>
      <c r="F10470" s="36" t="s">
        <v>54401</v>
      </c>
      <c r="G10470" s="39">
        <v>3616537</v>
      </c>
      <c r="H10470" s="42">
        <v>211</v>
      </c>
    </row>
    <row r="10471" spans="1:8" ht="15" customHeight="1">
      <c r="A10471" s="26">
        <v>1050200905</v>
      </c>
      <c r="B10471" s="29" t="s">
        <v>12688</v>
      </c>
      <c r="C10471" s="29" t="s">
        <v>26440</v>
      </c>
      <c r="D10471" s="29" t="s">
        <v>39900</v>
      </c>
      <c r="E10471" s="29" t="s">
        <v>51651</v>
      </c>
      <c r="F10471" s="36" t="s">
        <v>54423</v>
      </c>
      <c r="G10471" s="39">
        <v>32821540</v>
      </c>
      <c r="H10471" s="42">
        <v>211</v>
      </c>
    </row>
    <row r="10472" spans="1:8" ht="15" customHeight="1">
      <c r="A10472" s="26">
        <v>1050602618</v>
      </c>
      <c r="B10472" s="29" t="s">
        <v>12689</v>
      </c>
      <c r="C10472" s="29" t="s">
        <v>17204</v>
      </c>
      <c r="D10472" s="29" t="s">
        <v>30349</v>
      </c>
      <c r="E10472" s="29" t="s">
        <v>43926</v>
      </c>
      <c r="F10472" s="36" t="s">
        <v>54401</v>
      </c>
      <c r="G10472" s="39">
        <v>230298.98</v>
      </c>
      <c r="H10472" s="42">
        <v>211</v>
      </c>
    </row>
    <row r="10473" spans="1:8" ht="15" customHeight="1">
      <c r="A10473" s="26">
        <v>1050604051</v>
      </c>
      <c r="B10473" s="29" t="s">
        <v>12690</v>
      </c>
      <c r="C10473" s="29" t="s">
        <v>26441</v>
      </c>
      <c r="D10473" s="29" t="s">
        <v>39901</v>
      </c>
      <c r="E10473" s="29" t="s">
        <v>51652</v>
      </c>
      <c r="F10473" s="36" t="s">
        <v>54401</v>
      </c>
      <c r="G10473" s="39">
        <v>26866.98</v>
      </c>
      <c r="H10473" s="42">
        <v>211</v>
      </c>
    </row>
    <row r="10474" spans="1:8" ht="15" customHeight="1">
      <c r="A10474" s="26">
        <v>1050604624</v>
      </c>
      <c r="B10474" s="29" t="s">
        <v>12691</v>
      </c>
      <c r="C10474" s="29" t="s">
        <v>26442</v>
      </c>
      <c r="D10474" s="29" t="s">
        <v>39902</v>
      </c>
      <c r="E10474" s="29" t="s">
        <v>51653</v>
      </c>
      <c r="F10474" s="36" t="s">
        <v>54401</v>
      </c>
      <c r="G10474" s="39">
        <v>893076.38</v>
      </c>
      <c r="H10474" s="42">
        <v>211</v>
      </c>
    </row>
    <row r="10475" spans="1:8" ht="15" customHeight="1">
      <c r="A10475" s="26">
        <v>1050604626</v>
      </c>
      <c r="B10475" s="29" t="s">
        <v>12692</v>
      </c>
      <c r="C10475" s="29" t="s">
        <v>26443</v>
      </c>
      <c r="D10475" s="29" t="s">
        <v>39903</v>
      </c>
      <c r="E10475" s="29" t="s">
        <v>51654</v>
      </c>
      <c r="F10475" s="36" t="s">
        <v>54401</v>
      </c>
      <c r="G10475" s="39">
        <v>160997.46</v>
      </c>
      <c r="H10475" s="42">
        <v>211</v>
      </c>
    </row>
    <row r="10476" spans="1:8" ht="15" customHeight="1">
      <c r="A10476" s="26">
        <v>1050693267</v>
      </c>
      <c r="B10476" s="29" t="s">
        <v>12693</v>
      </c>
      <c r="C10476" s="29" t="s">
        <v>26444</v>
      </c>
      <c r="D10476" s="29" t="s">
        <v>39904</v>
      </c>
      <c r="E10476" s="29" t="s">
        <v>51655</v>
      </c>
      <c r="F10476" s="36" t="s">
        <v>54401</v>
      </c>
      <c r="G10476" s="39">
        <v>215234.27</v>
      </c>
      <c r="H10476" s="42">
        <v>211</v>
      </c>
    </row>
    <row r="10477" spans="1:8" ht="15" customHeight="1">
      <c r="A10477" s="26">
        <v>1050693795</v>
      </c>
      <c r="B10477" s="29" t="s">
        <v>12694</v>
      </c>
      <c r="C10477" s="29" t="s">
        <v>26445</v>
      </c>
      <c r="D10477" s="29" t="s">
        <v>39905</v>
      </c>
      <c r="E10477" s="29" t="s">
        <v>48146</v>
      </c>
      <c r="F10477" s="36" t="s">
        <v>54401</v>
      </c>
      <c r="G10477" s="39">
        <v>2594614.4300000002</v>
      </c>
      <c r="H10477" s="42">
        <v>211</v>
      </c>
    </row>
    <row r="10478" spans="1:8" ht="15" customHeight="1">
      <c r="A10478" s="26">
        <v>1051066791</v>
      </c>
      <c r="B10478" s="29" t="s">
        <v>12695</v>
      </c>
      <c r="C10478" s="29" t="s">
        <v>26446</v>
      </c>
      <c r="D10478" s="29" t="s">
        <v>39906</v>
      </c>
      <c r="E10478" s="29" t="s">
        <v>51656</v>
      </c>
      <c r="F10478" s="36" t="s">
        <v>54401</v>
      </c>
      <c r="G10478" s="39">
        <v>143055.84</v>
      </c>
      <c r="H10478" s="42">
        <v>211</v>
      </c>
    </row>
    <row r="10479" spans="1:8" ht="15" customHeight="1">
      <c r="A10479" s="26">
        <v>1051210221</v>
      </c>
      <c r="B10479" s="29" t="s">
        <v>12696</v>
      </c>
      <c r="C10479" s="29" t="s">
        <v>26447</v>
      </c>
      <c r="D10479" s="29" t="s">
        <v>39907</v>
      </c>
      <c r="E10479" s="29" t="s">
        <v>51657</v>
      </c>
      <c r="F10479" s="36" t="s">
        <v>54401</v>
      </c>
      <c r="G10479" s="39">
        <v>891490.75</v>
      </c>
      <c r="H10479" s="42">
        <v>211</v>
      </c>
    </row>
    <row r="10480" spans="1:8" ht="15" customHeight="1">
      <c r="A10480" s="26">
        <v>1051211278</v>
      </c>
      <c r="B10480" s="29" t="s">
        <v>12697</v>
      </c>
      <c r="C10480" s="29" t="s">
        <v>26448</v>
      </c>
      <c r="D10480" s="29" t="s">
        <v>39908</v>
      </c>
      <c r="E10480" s="29" t="s">
        <v>51658</v>
      </c>
      <c r="F10480" s="36" t="s">
        <v>54401</v>
      </c>
      <c r="G10480" s="39">
        <v>1618073.69</v>
      </c>
      <c r="H10480" s="42">
        <v>211</v>
      </c>
    </row>
    <row r="10481" spans="1:8" ht="15" customHeight="1">
      <c r="A10481" s="26">
        <v>1051240284</v>
      </c>
      <c r="B10481" s="29" t="s">
        <v>12698</v>
      </c>
      <c r="C10481" s="29" t="s">
        <v>26449</v>
      </c>
      <c r="D10481" s="29" t="s">
        <v>39909</v>
      </c>
      <c r="E10481" s="29" t="s">
        <v>45276</v>
      </c>
      <c r="F10481" s="36" t="s">
        <v>54401</v>
      </c>
      <c r="G10481" s="39">
        <v>295298.32</v>
      </c>
      <c r="H10481" s="42">
        <v>211</v>
      </c>
    </row>
    <row r="10482" spans="1:8" ht="15" customHeight="1">
      <c r="A10482" s="26">
        <v>1051240480</v>
      </c>
      <c r="B10482" s="29" t="s">
        <v>12699</v>
      </c>
      <c r="C10482" s="29" t="s">
        <v>26450</v>
      </c>
      <c r="D10482" s="29" t="s">
        <v>39910</v>
      </c>
      <c r="E10482" s="29" t="s">
        <v>44260</v>
      </c>
      <c r="F10482" s="36" t="s">
        <v>54401</v>
      </c>
      <c r="G10482" s="39">
        <v>1275730.17</v>
      </c>
      <c r="H10482" s="42">
        <v>211</v>
      </c>
    </row>
    <row r="10483" spans="1:8" ht="15" customHeight="1">
      <c r="A10483" s="26">
        <v>1051240808</v>
      </c>
      <c r="B10483" s="29" t="s">
        <v>12700</v>
      </c>
      <c r="C10483" s="29" t="s">
        <v>26451</v>
      </c>
      <c r="D10483" s="29" t="s">
        <v>39911</v>
      </c>
      <c r="E10483" s="29" t="s">
        <v>51659</v>
      </c>
      <c r="F10483" s="36" t="s">
        <v>54401</v>
      </c>
      <c r="G10483" s="39">
        <v>892135.26</v>
      </c>
      <c r="H10483" s="42">
        <v>211</v>
      </c>
    </row>
    <row r="10484" spans="1:8" ht="15" customHeight="1">
      <c r="A10484" s="26">
        <v>1051316513</v>
      </c>
      <c r="B10484" s="29" t="s">
        <v>12701</v>
      </c>
      <c r="C10484" s="29" t="s">
        <v>26452</v>
      </c>
      <c r="D10484" s="29" t="s">
        <v>39912</v>
      </c>
      <c r="E10484" s="29" t="s">
        <v>51660</v>
      </c>
      <c r="F10484" s="36" t="s">
        <v>54401</v>
      </c>
      <c r="G10484" s="39">
        <v>4560352.7300000004</v>
      </c>
      <c r="H10484" s="42">
        <v>211</v>
      </c>
    </row>
    <row r="10485" spans="1:8" ht="15" customHeight="1">
      <c r="A10485" s="26">
        <v>1051316544</v>
      </c>
      <c r="B10485" s="29" t="s">
        <v>12702</v>
      </c>
      <c r="C10485" s="29" t="s">
        <v>26453</v>
      </c>
      <c r="D10485" s="29" t="s">
        <v>39913</v>
      </c>
      <c r="E10485" s="29" t="s">
        <v>51661</v>
      </c>
      <c r="F10485" s="36" t="s">
        <v>54401</v>
      </c>
      <c r="G10485" s="39">
        <v>360110.7</v>
      </c>
      <c r="H10485" s="42">
        <v>211</v>
      </c>
    </row>
    <row r="10486" spans="1:8" ht="15" customHeight="1">
      <c r="A10486" s="26">
        <v>1051316676</v>
      </c>
      <c r="B10486" s="29" t="s">
        <v>12703</v>
      </c>
      <c r="C10486" s="29" t="s">
        <v>26454</v>
      </c>
      <c r="D10486" s="29" t="s">
        <v>39914</v>
      </c>
      <c r="E10486" s="29" t="s">
        <v>51662</v>
      </c>
      <c r="F10486" s="36" t="s">
        <v>54401</v>
      </c>
      <c r="G10486" s="39">
        <v>50701.38</v>
      </c>
      <c r="H10486" s="42">
        <v>211</v>
      </c>
    </row>
    <row r="10487" spans="1:8" ht="15" customHeight="1">
      <c r="A10487" s="26">
        <v>1051472342</v>
      </c>
      <c r="B10487" s="29" t="s">
        <v>12704</v>
      </c>
      <c r="C10487" s="29" t="s">
        <v>17204</v>
      </c>
      <c r="D10487" s="29" t="s">
        <v>30349</v>
      </c>
      <c r="E10487" s="29" t="s">
        <v>43926</v>
      </c>
      <c r="F10487" s="36" t="s">
        <v>54401</v>
      </c>
      <c r="G10487" s="39">
        <v>578474.1</v>
      </c>
      <c r="H10487" s="42">
        <v>211</v>
      </c>
    </row>
    <row r="10488" spans="1:8" ht="15" customHeight="1">
      <c r="A10488" s="26">
        <v>1051472529</v>
      </c>
      <c r="B10488" s="29" t="s">
        <v>12705</v>
      </c>
      <c r="C10488" s="29" t="s">
        <v>26455</v>
      </c>
      <c r="D10488" s="29" t="s">
        <v>39915</v>
      </c>
      <c r="E10488" s="29" t="s">
        <v>51663</v>
      </c>
      <c r="F10488" s="36" t="s">
        <v>54401</v>
      </c>
      <c r="G10488" s="39">
        <v>1897348.78</v>
      </c>
      <c r="H10488" s="42">
        <v>211</v>
      </c>
    </row>
    <row r="10489" spans="1:8" ht="15" customHeight="1">
      <c r="A10489" s="26">
        <v>1051473314</v>
      </c>
      <c r="B10489" s="29" t="s">
        <v>12706</v>
      </c>
      <c r="C10489" s="29" t="s">
        <v>26456</v>
      </c>
      <c r="D10489" s="29" t="s">
        <v>39916</v>
      </c>
      <c r="E10489" s="29" t="s">
        <v>51664</v>
      </c>
      <c r="F10489" s="36" t="s">
        <v>54401</v>
      </c>
      <c r="G10489" s="39">
        <v>6352776.0300000003</v>
      </c>
      <c r="H10489" s="42">
        <v>211</v>
      </c>
    </row>
    <row r="10490" spans="1:8" ht="15" customHeight="1">
      <c r="A10490" s="26">
        <v>1051473486</v>
      </c>
      <c r="B10490" s="29" t="s">
        <v>12707</v>
      </c>
      <c r="C10490" s="29" t="s">
        <v>26457</v>
      </c>
      <c r="D10490" s="29" t="s">
        <v>39917</v>
      </c>
      <c r="E10490" s="29" t="s">
        <v>51665</v>
      </c>
      <c r="F10490" s="36" t="s">
        <v>54426</v>
      </c>
      <c r="G10490" s="39">
        <v>4965678.8899999997</v>
      </c>
      <c r="H10490" s="42">
        <v>211</v>
      </c>
    </row>
    <row r="10491" spans="1:8" ht="15" customHeight="1">
      <c r="A10491" s="26">
        <v>1051473564</v>
      </c>
      <c r="B10491" s="29" t="s">
        <v>12708</v>
      </c>
      <c r="C10491" s="29" t="s">
        <v>26458</v>
      </c>
      <c r="D10491" s="29" t="s">
        <v>39918</v>
      </c>
      <c r="E10491" s="29" t="s">
        <v>51666</v>
      </c>
      <c r="F10491" s="36" t="s">
        <v>54401</v>
      </c>
      <c r="G10491" s="39">
        <v>32443.64</v>
      </c>
      <c r="H10491" s="42">
        <v>211</v>
      </c>
    </row>
    <row r="10492" spans="1:8" ht="15" customHeight="1">
      <c r="A10492" s="26">
        <v>1051474258</v>
      </c>
      <c r="B10492" s="29" t="s">
        <v>12709</v>
      </c>
      <c r="C10492" s="29" t="s">
        <v>26459</v>
      </c>
      <c r="D10492" s="29" t="s">
        <v>30376</v>
      </c>
      <c r="E10492" s="29" t="s">
        <v>46274</v>
      </c>
      <c r="F10492" s="36" t="s">
        <v>54401</v>
      </c>
      <c r="G10492" s="39">
        <v>4363898.13</v>
      </c>
      <c r="H10492" s="42">
        <v>211</v>
      </c>
    </row>
    <row r="10493" spans="1:8" ht="15" customHeight="1">
      <c r="A10493" s="26">
        <v>1051474401</v>
      </c>
      <c r="B10493" s="29" t="s">
        <v>12710</v>
      </c>
      <c r="C10493" s="29" t="s">
        <v>17204</v>
      </c>
      <c r="D10493" s="29" t="s">
        <v>39919</v>
      </c>
      <c r="E10493" s="29" t="s">
        <v>51667</v>
      </c>
      <c r="F10493" s="36" t="s">
        <v>54401</v>
      </c>
      <c r="G10493" s="39">
        <v>44972.53</v>
      </c>
      <c r="H10493" s="42">
        <v>211</v>
      </c>
    </row>
    <row r="10494" spans="1:8" ht="15" customHeight="1">
      <c r="A10494" s="26">
        <v>1051476358</v>
      </c>
      <c r="B10494" s="29" t="s">
        <v>12711</v>
      </c>
      <c r="C10494" s="29" t="s">
        <v>26460</v>
      </c>
      <c r="D10494" s="29" t="s">
        <v>39920</v>
      </c>
      <c r="E10494" s="29" t="s">
        <v>51668</v>
      </c>
      <c r="F10494" s="36" t="s">
        <v>54414</v>
      </c>
      <c r="G10494" s="39">
        <v>1026990.12</v>
      </c>
      <c r="H10494" s="42">
        <v>211</v>
      </c>
    </row>
    <row r="10495" spans="1:8" ht="15" customHeight="1">
      <c r="A10495" s="26">
        <v>1051476415</v>
      </c>
      <c r="B10495" s="29" t="s">
        <v>12712</v>
      </c>
      <c r="C10495" s="29" t="s">
        <v>26461</v>
      </c>
      <c r="D10495" s="29" t="s">
        <v>39921</v>
      </c>
      <c r="E10495" s="29" t="s">
        <v>51669</v>
      </c>
      <c r="F10495" s="36" t="s">
        <v>54401</v>
      </c>
      <c r="G10495" s="39">
        <v>647264.97</v>
      </c>
      <c r="H10495" s="42">
        <v>211</v>
      </c>
    </row>
    <row r="10496" spans="1:8" ht="15" customHeight="1">
      <c r="A10496" s="26">
        <v>1051476923</v>
      </c>
      <c r="B10496" s="29" t="s">
        <v>12713</v>
      </c>
      <c r="C10496" s="29" t="s">
        <v>26462</v>
      </c>
      <c r="D10496" s="29" t="s">
        <v>39922</v>
      </c>
      <c r="E10496" s="29" t="s">
        <v>51670</v>
      </c>
      <c r="F10496" s="36" t="s">
        <v>54401</v>
      </c>
      <c r="G10496" s="39">
        <v>521909.52</v>
      </c>
      <c r="H10496" s="42">
        <v>211</v>
      </c>
    </row>
    <row r="10497" spans="1:8" ht="15" customHeight="1">
      <c r="A10497" s="26">
        <v>1051477126</v>
      </c>
      <c r="B10497" s="29" t="s">
        <v>12714</v>
      </c>
      <c r="C10497" s="29" t="s">
        <v>26463</v>
      </c>
      <c r="D10497" s="29" t="s">
        <v>39923</v>
      </c>
      <c r="E10497" s="29" t="s">
        <v>51671</v>
      </c>
      <c r="F10497" s="36" t="s">
        <v>54401</v>
      </c>
      <c r="G10497" s="39">
        <v>113012.29</v>
      </c>
      <c r="H10497" s="42">
        <v>211</v>
      </c>
    </row>
    <row r="10498" spans="1:8" ht="15" customHeight="1">
      <c r="A10498" s="26">
        <v>1051477983</v>
      </c>
      <c r="B10498" s="29" t="s">
        <v>12715</v>
      </c>
      <c r="C10498" s="26" t="s">
        <v>26464</v>
      </c>
      <c r="D10498" s="26" t="s">
        <v>39924</v>
      </c>
      <c r="E10498" s="26" t="s">
        <v>51672</v>
      </c>
      <c r="F10498" s="37" t="s">
        <v>54401</v>
      </c>
      <c r="G10498" s="39">
        <v>2210685.42</v>
      </c>
      <c r="H10498" s="42">
        <v>211</v>
      </c>
    </row>
    <row r="10499" spans="1:8" ht="15" customHeight="1">
      <c r="A10499" s="26">
        <v>1051478212</v>
      </c>
      <c r="B10499" s="29" t="s">
        <v>12716</v>
      </c>
      <c r="C10499" s="29" t="s">
        <v>17204</v>
      </c>
      <c r="D10499" s="29" t="s">
        <v>39925</v>
      </c>
      <c r="E10499" s="29" t="s">
        <v>43926</v>
      </c>
      <c r="F10499" s="36" t="s">
        <v>54401</v>
      </c>
      <c r="G10499" s="39">
        <v>83769.149999999994</v>
      </c>
      <c r="H10499" s="42">
        <v>211</v>
      </c>
    </row>
    <row r="10500" spans="1:8" ht="15" customHeight="1">
      <c r="A10500" s="26">
        <v>1051522385</v>
      </c>
      <c r="B10500" s="29" t="s">
        <v>12717</v>
      </c>
      <c r="C10500" s="29" t="s">
        <v>26465</v>
      </c>
      <c r="D10500" s="29" t="s">
        <v>39926</v>
      </c>
      <c r="E10500" s="29" t="s">
        <v>43926</v>
      </c>
      <c r="F10500" s="36" t="s">
        <v>54401</v>
      </c>
      <c r="G10500" s="39">
        <v>209362.59</v>
      </c>
      <c r="H10500" s="42">
        <v>211</v>
      </c>
    </row>
    <row r="10501" spans="1:8" ht="15" customHeight="1">
      <c r="A10501" s="26">
        <v>1051568375</v>
      </c>
      <c r="B10501" s="29" t="s">
        <v>12718</v>
      </c>
      <c r="C10501" s="29" t="s">
        <v>26466</v>
      </c>
      <c r="D10501" s="29" t="s">
        <v>39927</v>
      </c>
      <c r="E10501" s="29" t="s">
        <v>46539</v>
      </c>
      <c r="F10501" s="36" t="s">
        <v>54401</v>
      </c>
      <c r="G10501" s="39">
        <v>2731705</v>
      </c>
      <c r="H10501" s="42">
        <v>211</v>
      </c>
    </row>
    <row r="10502" spans="1:8" ht="15" customHeight="1">
      <c r="A10502" s="26">
        <v>1051588008</v>
      </c>
      <c r="B10502" s="29" t="s">
        <v>12719</v>
      </c>
      <c r="C10502" s="29" t="s">
        <v>26467</v>
      </c>
      <c r="D10502" s="29" t="s">
        <v>39928</v>
      </c>
      <c r="E10502" s="29" t="s">
        <v>51673</v>
      </c>
      <c r="F10502" s="36" t="s">
        <v>54420</v>
      </c>
      <c r="G10502" s="39">
        <v>1137275.06</v>
      </c>
      <c r="H10502" s="42">
        <v>211</v>
      </c>
    </row>
    <row r="10503" spans="1:8" ht="15" customHeight="1">
      <c r="A10503" s="26">
        <v>1051588122</v>
      </c>
      <c r="B10503" s="29" t="s">
        <v>12720</v>
      </c>
      <c r="C10503" s="29" t="s">
        <v>26468</v>
      </c>
      <c r="D10503" s="29" t="s">
        <v>39929</v>
      </c>
      <c r="E10503" s="29" t="s">
        <v>51674</v>
      </c>
      <c r="F10503" s="36" t="s">
        <v>54401</v>
      </c>
      <c r="G10503" s="39">
        <v>951335.87</v>
      </c>
      <c r="H10503" s="42">
        <v>211</v>
      </c>
    </row>
    <row r="10504" spans="1:8" ht="15" customHeight="1">
      <c r="A10504" s="26">
        <v>1051588183</v>
      </c>
      <c r="B10504" s="29" t="s">
        <v>12721</v>
      </c>
      <c r="C10504" s="29" t="s">
        <v>26469</v>
      </c>
      <c r="D10504" s="29" t="s">
        <v>39930</v>
      </c>
      <c r="E10504" s="29" t="s">
        <v>51675</v>
      </c>
      <c r="F10504" s="36" t="s">
        <v>54407</v>
      </c>
      <c r="G10504" s="39">
        <v>2482745.48</v>
      </c>
      <c r="H10504" s="42">
        <v>211</v>
      </c>
    </row>
    <row r="10505" spans="1:8" ht="15" customHeight="1">
      <c r="A10505" s="26">
        <v>1051588258</v>
      </c>
      <c r="B10505" s="29" t="s">
        <v>12722</v>
      </c>
      <c r="C10505" s="29" t="s">
        <v>26470</v>
      </c>
      <c r="D10505" s="29" t="s">
        <v>39931</v>
      </c>
      <c r="E10505" s="29" t="s">
        <v>51561</v>
      </c>
      <c r="F10505" s="36" t="s">
        <v>54438</v>
      </c>
      <c r="G10505" s="39">
        <v>497426.34</v>
      </c>
      <c r="H10505" s="42">
        <v>211</v>
      </c>
    </row>
    <row r="10506" spans="1:8" ht="15" customHeight="1">
      <c r="A10506" s="26">
        <v>1051588259</v>
      </c>
      <c r="B10506" s="29" t="s">
        <v>12723</v>
      </c>
      <c r="C10506" s="29" t="s">
        <v>26471</v>
      </c>
      <c r="D10506" s="29" t="s">
        <v>39932</v>
      </c>
      <c r="E10506" s="29" t="s">
        <v>44942</v>
      </c>
      <c r="F10506" s="36" t="s">
        <v>54401</v>
      </c>
      <c r="G10506" s="39">
        <v>4595382.01</v>
      </c>
      <c r="H10506" s="42">
        <v>211</v>
      </c>
    </row>
    <row r="10507" spans="1:8" ht="15" customHeight="1">
      <c r="A10507" s="26">
        <v>1051588276</v>
      </c>
      <c r="B10507" s="29" t="s">
        <v>12724</v>
      </c>
      <c r="C10507" s="29" t="s">
        <v>26472</v>
      </c>
      <c r="D10507" s="29" t="s">
        <v>39933</v>
      </c>
      <c r="E10507" s="29" t="s">
        <v>43926</v>
      </c>
      <c r="F10507" s="36" t="s">
        <v>54401</v>
      </c>
      <c r="G10507" s="39">
        <v>3472236</v>
      </c>
      <c r="H10507" s="42">
        <v>211</v>
      </c>
    </row>
    <row r="10508" spans="1:8" ht="15" customHeight="1">
      <c r="A10508" s="26">
        <v>1051588389</v>
      </c>
      <c r="B10508" s="29" t="s">
        <v>12725</v>
      </c>
      <c r="C10508" s="29" t="s">
        <v>26473</v>
      </c>
      <c r="D10508" s="29" t="s">
        <v>30349</v>
      </c>
      <c r="E10508" s="29" t="s">
        <v>43926</v>
      </c>
      <c r="F10508" s="36" t="s">
        <v>54401</v>
      </c>
      <c r="G10508" s="39">
        <v>86904.35</v>
      </c>
      <c r="H10508" s="42">
        <v>211</v>
      </c>
    </row>
    <row r="10509" spans="1:8" ht="15" customHeight="1">
      <c r="A10509" s="26">
        <v>1051588427</v>
      </c>
      <c r="B10509" s="29" t="s">
        <v>12726</v>
      </c>
      <c r="C10509" s="26" t="s">
        <v>26474</v>
      </c>
      <c r="D10509" s="26" t="s">
        <v>30376</v>
      </c>
      <c r="E10509" s="26" t="s">
        <v>45314</v>
      </c>
      <c r="F10509" s="37" t="s">
        <v>54401</v>
      </c>
      <c r="G10509" s="39">
        <v>450304.34</v>
      </c>
      <c r="H10509" s="42">
        <v>211</v>
      </c>
    </row>
    <row r="10510" spans="1:8" ht="15" customHeight="1">
      <c r="A10510" s="26">
        <v>1051588455</v>
      </c>
      <c r="B10510" s="29" t="s">
        <v>12727</v>
      </c>
      <c r="C10510" s="29" t="s">
        <v>26475</v>
      </c>
      <c r="D10510" s="29" t="s">
        <v>39934</v>
      </c>
      <c r="E10510" s="29" t="s">
        <v>51676</v>
      </c>
      <c r="F10510" s="36" t="s">
        <v>54401</v>
      </c>
      <c r="G10510" s="39">
        <v>418346.38</v>
      </c>
      <c r="H10510" s="42">
        <v>211</v>
      </c>
    </row>
    <row r="10511" spans="1:8" ht="15" customHeight="1">
      <c r="A10511" s="26">
        <v>1051588611</v>
      </c>
      <c r="B10511" s="29" t="s">
        <v>12728</v>
      </c>
      <c r="C10511" s="26" t="s">
        <v>17204</v>
      </c>
      <c r="D10511" s="26" t="s">
        <v>30349</v>
      </c>
      <c r="E10511" s="26" t="s">
        <v>43926</v>
      </c>
      <c r="F10511" s="37" t="s">
        <v>54401</v>
      </c>
      <c r="G10511" s="39">
        <v>39747.129999999997</v>
      </c>
      <c r="H10511" s="42">
        <v>211</v>
      </c>
    </row>
    <row r="10512" spans="1:8" ht="15" customHeight="1">
      <c r="A10512" s="26">
        <v>1051588626</v>
      </c>
      <c r="B10512" s="29" t="s">
        <v>12729</v>
      </c>
      <c r="C10512" s="29" t="s">
        <v>26476</v>
      </c>
      <c r="D10512" s="29" t="s">
        <v>39935</v>
      </c>
      <c r="E10512" s="29" t="s">
        <v>51677</v>
      </c>
      <c r="F10512" s="36" t="s">
        <v>54401</v>
      </c>
      <c r="G10512" s="39">
        <v>1636190.85</v>
      </c>
      <c r="H10512" s="42">
        <v>211</v>
      </c>
    </row>
    <row r="10513" spans="1:8" ht="15" customHeight="1">
      <c r="A10513" s="26">
        <v>1051588814</v>
      </c>
      <c r="B10513" s="29" t="s">
        <v>12730</v>
      </c>
      <c r="C10513" s="29" t="s">
        <v>17204</v>
      </c>
      <c r="D10513" s="29" t="s">
        <v>30349</v>
      </c>
      <c r="E10513" s="29" t="s">
        <v>43926</v>
      </c>
      <c r="F10513" s="36" t="s">
        <v>54401</v>
      </c>
      <c r="G10513" s="39">
        <v>519699.67</v>
      </c>
      <c r="H10513" s="42">
        <v>211</v>
      </c>
    </row>
    <row r="10514" spans="1:8" ht="15" customHeight="1">
      <c r="A10514" s="26">
        <v>1051588853</v>
      </c>
      <c r="B10514" s="29" t="s">
        <v>12731</v>
      </c>
      <c r="C10514" s="29" t="s">
        <v>26477</v>
      </c>
      <c r="D10514" s="29" t="s">
        <v>39936</v>
      </c>
      <c r="E10514" s="29" t="s">
        <v>51678</v>
      </c>
      <c r="F10514" s="36" t="s">
        <v>54401</v>
      </c>
      <c r="G10514" s="39">
        <v>443048.24</v>
      </c>
      <c r="H10514" s="42">
        <v>211</v>
      </c>
    </row>
    <row r="10515" spans="1:8" ht="15" customHeight="1">
      <c r="A10515" s="26">
        <v>1051588935</v>
      </c>
      <c r="B10515" s="29" t="s">
        <v>12732</v>
      </c>
      <c r="C10515" s="29" t="s">
        <v>26478</v>
      </c>
      <c r="D10515" s="29" t="s">
        <v>39937</v>
      </c>
      <c r="E10515" s="29" t="s">
        <v>51679</v>
      </c>
      <c r="F10515" s="36" t="s">
        <v>54402</v>
      </c>
      <c r="G10515" s="39">
        <v>2679196</v>
      </c>
      <c r="H10515" s="42">
        <v>211</v>
      </c>
    </row>
    <row r="10516" spans="1:8" ht="15" customHeight="1">
      <c r="A10516" s="26">
        <v>1051589062</v>
      </c>
      <c r="B10516" s="29" t="s">
        <v>12733</v>
      </c>
      <c r="C10516" s="29" t="s">
        <v>26479</v>
      </c>
      <c r="D10516" s="29" t="s">
        <v>39938</v>
      </c>
      <c r="E10516" s="29" t="s">
        <v>711</v>
      </c>
      <c r="F10516" s="36" t="s">
        <v>54406</v>
      </c>
      <c r="G10516" s="39">
        <v>2204455.84</v>
      </c>
      <c r="H10516" s="42">
        <v>211</v>
      </c>
    </row>
    <row r="10517" spans="1:8" ht="15" customHeight="1">
      <c r="A10517" s="26">
        <v>1051589154</v>
      </c>
      <c r="B10517" s="29" t="s">
        <v>12734</v>
      </c>
      <c r="C10517" s="29" t="s">
        <v>26480</v>
      </c>
      <c r="D10517" s="29" t="s">
        <v>39939</v>
      </c>
      <c r="E10517" s="29" t="s">
        <v>51680</v>
      </c>
      <c r="F10517" s="36" t="s">
        <v>54401</v>
      </c>
      <c r="G10517" s="39">
        <v>5701096</v>
      </c>
      <c r="H10517" s="42">
        <v>211</v>
      </c>
    </row>
    <row r="10518" spans="1:8" ht="15" customHeight="1">
      <c r="A10518" s="26">
        <v>1051589173</v>
      </c>
      <c r="B10518" s="29" t="s">
        <v>12735</v>
      </c>
      <c r="C10518" s="29" t="s">
        <v>26481</v>
      </c>
      <c r="D10518" s="29" t="s">
        <v>39940</v>
      </c>
      <c r="E10518" s="29" t="s">
        <v>51681</v>
      </c>
      <c r="F10518" s="36" t="s">
        <v>54401</v>
      </c>
      <c r="G10518" s="39">
        <v>550365.52</v>
      </c>
      <c r="H10518" s="42">
        <v>211</v>
      </c>
    </row>
    <row r="10519" spans="1:8" ht="15" customHeight="1">
      <c r="A10519" s="26">
        <v>1051589272</v>
      </c>
      <c r="B10519" s="29" t="s">
        <v>12736</v>
      </c>
      <c r="C10519" s="26" t="s">
        <v>26482</v>
      </c>
      <c r="D10519" s="26" t="s">
        <v>39941</v>
      </c>
      <c r="E10519" s="26" t="s">
        <v>51682</v>
      </c>
      <c r="F10519" s="37" t="s">
        <v>54409</v>
      </c>
      <c r="G10519" s="39">
        <v>12297.94</v>
      </c>
      <c r="H10519" s="42">
        <v>211</v>
      </c>
    </row>
    <row r="10520" spans="1:8" ht="15" customHeight="1">
      <c r="A10520" s="26">
        <v>1051589467</v>
      </c>
      <c r="B10520" s="29" t="s">
        <v>12737</v>
      </c>
      <c r="C10520" s="29" t="s">
        <v>26483</v>
      </c>
      <c r="D10520" s="29" t="s">
        <v>39942</v>
      </c>
      <c r="E10520" s="29" t="s">
        <v>51683</v>
      </c>
      <c r="F10520" s="36" t="s">
        <v>54430</v>
      </c>
      <c r="G10520" s="39">
        <v>17885197</v>
      </c>
      <c r="H10520" s="42">
        <v>211</v>
      </c>
    </row>
    <row r="10521" spans="1:8" ht="15" customHeight="1">
      <c r="A10521" s="26">
        <v>1051589702</v>
      </c>
      <c r="B10521" s="29" t="s">
        <v>12738</v>
      </c>
      <c r="C10521" s="26" t="s">
        <v>17204</v>
      </c>
      <c r="D10521" s="26" t="s">
        <v>39943</v>
      </c>
      <c r="E10521" s="26" t="s">
        <v>51684</v>
      </c>
      <c r="F10521" s="37" t="s">
        <v>54401</v>
      </c>
      <c r="G10521" s="39">
        <v>2655162.14</v>
      </c>
      <c r="H10521" s="42">
        <v>211</v>
      </c>
    </row>
    <row r="10522" spans="1:8" ht="15" customHeight="1">
      <c r="A10522" s="26">
        <v>1051589756</v>
      </c>
      <c r="B10522" s="29" t="s">
        <v>12739</v>
      </c>
      <c r="C10522" s="29" t="s">
        <v>26484</v>
      </c>
      <c r="D10522" s="29" t="s">
        <v>39944</v>
      </c>
      <c r="E10522" s="29" t="s">
        <v>51685</v>
      </c>
      <c r="F10522" s="36" t="s">
        <v>54401</v>
      </c>
      <c r="G10522" s="39">
        <v>579917.78</v>
      </c>
      <c r="H10522" s="42">
        <v>211</v>
      </c>
    </row>
    <row r="10523" spans="1:8" ht="15" customHeight="1">
      <c r="A10523" s="26">
        <v>1051590009</v>
      </c>
      <c r="B10523" s="29" t="s">
        <v>12740</v>
      </c>
      <c r="C10523" s="29" t="s">
        <v>26485</v>
      </c>
      <c r="D10523" s="29" t="s">
        <v>39945</v>
      </c>
      <c r="E10523" s="29" t="s">
        <v>51686</v>
      </c>
      <c r="F10523" s="36" t="s">
        <v>54401</v>
      </c>
      <c r="G10523" s="39">
        <v>237837.57</v>
      </c>
      <c r="H10523" s="42">
        <v>211</v>
      </c>
    </row>
    <row r="10524" spans="1:8" ht="15" customHeight="1">
      <c r="A10524" s="26">
        <v>1051590282</v>
      </c>
      <c r="B10524" s="29" t="s">
        <v>12741</v>
      </c>
      <c r="C10524" s="29" t="s">
        <v>26486</v>
      </c>
      <c r="D10524" s="29" t="s">
        <v>39946</v>
      </c>
      <c r="E10524" s="29" t="s">
        <v>44345</v>
      </c>
      <c r="F10524" s="36" t="s">
        <v>54401</v>
      </c>
      <c r="G10524" s="39">
        <v>688263.34</v>
      </c>
      <c r="H10524" s="42">
        <v>211</v>
      </c>
    </row>
    <row r="10525" spans="1:8" ht="15" customHeight="1">
      <c r="A10525" s="26">
        <v>1051590390</v>
      </c>
      <c r="B10525" s="29" t="s">
        <v>12742</v>
      </c>
      <c r="C10525" s="29" t="s">
        <v>26487</v>
      </c>
      <c r="D10525" s="29" t="s">
        <v>39947</v>
      </c>
      <c r="E10525" s="29" t="s">
        <v>43926</v>
      </c>
      <c r="F10525" s="36" t="s">
        <v>54401</v>
      </c>
      <c r="G10525" s="39">
        <v>253285.93</v>
      </c>
      <c r="H10525" s="42">
        <v>211</v>
      </c>
    </row>
    <row r="10526" spans="1:8" ht="15" customHeight="1">
      <c r="A10526" s="26">
        <v>1051954552</v>
      </c>
      <c r="B10526" s="29" t="s">
        <v>12743</v>
      </c>
      <c r="C10526" s="29" t="s">
        <v>26488</v>
      </c>
      <c r="D10526" s="29" t="s">
        <v>39948</v>
      </c>
      <c r="E10526" s="29" t="s">
        <v>51687</v>
      </c>
      <c r="F10526" s="36" t="s">
        <v>54401</v>
      </c>
      <c r="G10526" s="39">
        <v>2323702.0499999998</v>
      </c>
      <c r="H10526" s="42">
        <v>211</v>
      </c>
    </row>
    <row r="10527" spans="1:8" ht="15" customHeight="1">
      <c r="A10527" s="26">
        <v>1051955363</v>
      </c>
      <c r="B10527" s="29" t="s">
        <v>12744</v>
      </c>
      <c r="C10527" s="29" t="s">
        <v>26489</v>
      </c>
      <c r="D10527" s="29" t="s">
        <v>39949</v>
      </c>
      <c r="E10527" s="29" t="s">
        <v>51688</v>
      </c>
      <c r="F10527" s="36" t="s">
        <v>54401</v>
      </c>
      <c r="G10527" s="39">
        <v>584176.27</v>
      </c>
      <c r="H10527" s="42">
        <v>211</v>
      </c>
    </row>
    <row r="10528" spans="1:8" ht="15" customHeight="1">
      <c r="A10528" s="26">
        <v>1051955478</v>
      </c>
      <c r="B10528" s="29" t="s">
        <v>12745</v>
      </c>
      <c r="C10528" s="29" t="s">
        <v>26490</v>
      </c>
      <c r="D10528" s="29" t="s">
        <v>38934</v>
      </c>
      <c r="E10528" s="29" t="s">
        <v>51689</v>
      </c>
      <c r="F10528" s="36" t="s">
        <v>54401</v>
      </c>
      <c r="G10528" s="39">
        <v>2477547.87</v>
      </c>
      <c r="H10528" s="42">
        <v>211</v>
      </c>
    </row>
    <row r="10529" spans="1:8" ht="15" customHeight="1">
      <c r="A10529" s="26">
        <v>1051980026</v>
      </c>
      <c r="B10529" s="29" t="s">
        <v>12746</v>
      </c>
      <c r="C10529" s="26" t="s">
        <v>17204</v>
      </c>
      <c r="D10529" s="26" t="s">
        <v>30349</v>
      </c>
      <c r="E10529" s="26" t="s">
        <v>43926</v>
      </c>
      <c r="F10529" s="37" t="s">
        <v>54401</v>
      </c>
      <c r="G10529" s="39">
        <v>67712.98</v>
      </c>
      <c r="H10529" s="42">
        <v>211</v>
      </c>
    </row>
    <row r="10530" spans="1:8" ht="15" customHeight="1">
      <c r="A10530" s="26">
        <v>1052020002</v>
      </c>
      <c r="B10530" s="29" t="s">
        <v>12747</v>
      </c>
      <c r="C10530" s="29" t="s">
        <v>26491</v>
      </c>
      <c r="D10530" s="29" t="s">
        <v>39950</v>
      </c>
      <c r="E10530" s="29" t="s">
        <v>51690</v>
      </c>
      <c r="F10530" s="36" t="s">
        <v>54401</v>
      </c>
      <c r="G10530" s="39">
        <v>6740492.4800000004</v>
      </c>
      <c r="H10530" s="42">
        <v>211</v>
      </c>
    </row>
    <row r="10531" spans="1:8" ht="15" customHeight="1">
      <c r="A10531" s="26">
        <v>1052020049</v>
      </c>
      <c r="B10531" s="29" t="s">
        <v>12748</v>
      </c>
      <c r="C10531" s="29" t="s">
        <v>26492</v>
      </c>
      <c r="D10531" s="29" t="s">
        <v>39951</v>
      </c>
      <c r="E10531" s="29" t="s">
        <v>51691</v>
      </c>
      <c r="F10531" s="36" t="s">
        <v>54440</v>
      </c>
      <c r="G10531" s="39">
        <v>231605.14</v>
      </c>
      <c r="H10531" s="42">
        <v>211</v>
      </c>
    </row>
    <row r="10532" spans="1:8" ht="15" customHeight="1">
      <c r="A10532" s="26">
        <v>1052020096</v>
      </c>
      <c r="B10532" s="29" t="s">
        <v>12749</v>
      </c>
      <c r="C10532" s="29" t="s">
        <v>26493</v>
      </c>
      <c r="D10532" s="29" t="s">
        <v>39952</v>
      </c>
      <c r="E10532" s="29" t="s">
        <v>51692</v>
      </c>
      <c r="F10532" s="36" t="s">
        <v>54401</v>
      </c>
      <c r="G10532" s="39">
        <v>2390582</v>
      </c>
      <c r="H10532" s="42">
        <v>211</v>
      </c>
    </row>
    <row r="10533" spans="1:8" ht="15" customHeight="1">
      <c r="A10533" s="26">
        <v>1052020315</v>
      </c>
      <c r="B10533" s="29" t="s">
        <v>12750</v>
      </c>
      <c r="C10533" s="29" t="s">
        <v>26494</v>
      </c>
      <c r="D10533" s="29" t="s">
        <v>39953</v>
      </c>
      <c r="E10533" s="29" t="s">
        <v>46220</v>
      </c>
      <c r="F10533" s="36" t="s">
        <v>54440</v>
      </c>
      <c r="G10533" s="39">
        <v>3362726</v>
      </c>
      <c r="H10533" s="42">
        <v>211</v>
      </c>
    </row>
    <row r="10534" spans="1:8" ht="15" customHeight="1">
      <c r="A10534" s="26">
        <v>1052020469</v>
      </c>
      <c r="B10534" s="29" t="s">
        <v>12751</v>
      </c>
      <c r="C10534" s="29" t="s">
        <v>26495</v>
      </c>
      <c r="D10534" s="29" t="s">
        <v>39954</v>
      </c>
      <c r="E10534" s="29" t="s">
        <v>51693</v>
      </c>
      <c r="F10534" s="36" t="s">
        <v>54401</v>
      </c>
      <c r="G10534" s="39">
        <v>459488.22</v>
      </c>
      <c r="H10534" s="42">
        <v>211</v>
      </c>
    </row>
    <row r="10535" spans="1:8" ht="15" customHeight="1">
      <c r="A10535" s="26">
        <v>1052020644</v>
      </c>
      <c r="B10535" s="29" t="s">
        <v>12752</v>
      </c>
      <c r="C10535" s="29" t="s">
        <v>26496</v>
      </c>
      <c r="D10535" s="29" t="s">
        <v>39955</v>
      </c>
      <c r="E10535" s="29" t="s">
        <v>51694</v>
      </c>
      <c r="F10535" s="36" t="s">
        <v>54401</v>
      </c>
      <c r="G10535" s="39">
        <v>3973765.53</v>
      </c>
      <c r="H10535" s="42">
        <v>211</v>
      </c>
    </row>
    <row r="10536" spans="1:8" ht="15" customHeight="1">
      <c r="A10536" s="26">
        <v>1052020686</v>
      </c>
      <c r="B10536" s="29" t="s">
        <v>12753</v>
      </c>
      <c r="C10536" s="29" t="s">
        <v>26497</v>
      </c>
      <c r="D10536" s="29" t="s">
        <v>39956</v>
      </c>
      <c r="E10536" s="29" t="s">
        <v>51695</v>
      </c>
      <c r="F10536" s="36" t="s">
        <v>54401</v>
      </c>
      <c r="G10536" s="39">
        <v>1376055.9</v>
      </c>
      <c r="H10536" s="42">
        <v>211</v>
      </c>
    </row>
    <row r="10537" spans="1:8" ht="15" customHeight="1">
      <c r="A10537" s="26">
        <v>1052020736</v>
      </c>
      <c r="B10537" s="29" t="s">
        <v>12754</v>
      </c>
      <c r="C10537" s="29" t="s">
        <v>17204</v>
      </c>
      <c r="D10537" s="29" t="s">
        <v>39957</v>
      </c>
      <c r="E10537" s="29" t="s">
        <v>43926</v>
      </c>
      <c r="F10537" s="36" t="s">
        <v>54401</v>
      </c>
      <c r="G10537" s="39">
        <v>844159.78</v>
      </c>
      <c r="H10537" s="42">
        <v>211</v>
      </c>
    </row>
    <row r="10538" spans="1:8" ht="15" customHeight="1">
      <c r="A10538" s="26">
        <v>1052020808</v>
      </c>
      <c r="B10538" s="29" t="s">
        <v>12755</v>
      </c>
      <c r="C10538" s="29" t="s">
        <v>26498</v>
      </c>
      <c r="D10538" s="29" t="s">
        <v>39958</v>
      </c>
      <c r="E10538" s="29" t="s">
        <v>51696</v>
      </c>
      <c r="F10538" s="36" t="s">
        <v>54401</v>
      </c>
      <c r="G10538" s="39">
        <v>1538666.8</v>
      </c>
      <c r="H10538" s="42">
        <v>211</v>
      </c>
    </row>
    <row r="10539" spans="1:8" ht="15" customHeight="1">
      <c r="A10539" s="26">
        <v>1052020883</v>
      </c>
      <c r="B10539" s="29" t="s">
        <v>12756</v>
      </c>
      <c r="C10539" s="29" t="s">
        <v>26499</v>
      </c>
      <c r="D10539" s="29" t="s">
        <v>39959</v>
      </c>
      <c r="E10539" s="29" t="s">
        <v>51697</v>
      </c>
      <c r="F10539" s="36" t="s">
        <v>54401</v>
      </c>
      <c r="G10539" s="39">
        <v>1969568.8</v>
      </c>
      <c r="H10539" s="42">
        <v>211</v>
      </c>
    </row>
    <row r="10540" spans="1:8" ht="15" customHeight="1">
      <c r="A10540" s="26">
        <v>1052020970</v>
      </c>
      <c r="B10540" s="29" t="s">
        <v>12757</v>
      </c>
      <c r="C10540" s="29" t="s">
        <v>26500</v>
      </c>
      <c r="D10540" s="29" t="s">
        <v>39960</v>
      </c>
      <c r="E10540" s="29" t="s">
        <v>51698</v>
      </c>
      <c r="F10540" s="36" t="s">
        <v>54401</v>
      </c>
      <c r="G10540" s="39">
        <v>2369573.16</v>
      </c>
      <c r="H10540" s="42">
        <v>211</v>
      </c>
    </row>
    <row r="10541" spans="1:8" ht="15" customHeight="1">
      <c r="A10541" s="26">
        <v>1052020991</v>
      </c>
      <c r="B10541" s="29" t="s">
        <v>12758</v>
      </c>
      <c r="C10541" s="29" t="s">
        <v>26501</v>
      </c>
      <c r="D10541" s="29" t="s">
        <v>39961</v>
      </c>
      <c r="E10541" s="29" t="s">
        <v>51699</v>
      </c>
      <c r="F10541" s="36" t="s">
        <v>54401</v>
      </c>
      <c r="G10541" s="39">
        <v>2820413.87</v>
      </c>
      <c r="H10541" s="42">
        <v>211</v>
      </c>
    </row>
    <row r="10542" spans="1:8" ht="15" customHeight="1">
      <c r="A10542" s="26">
        <v>1052021051</v>
      </c>
      <c r="B10542" s="29" t="s">
        <v>12759</v>
      </c>
      <c r="C10542" s="29" t="s">
        <v>26502</v>
      </c>
      <c r="D10542" s="29" t="s">
        <v>39962</v>
      </c>
      <c r="E10542" s="29" t="s">
        <v>51700</v>
      </c>
      <c r="F10542" s="36" t="s">
        <v>54401</v>
      </c>
      <c r="G10542" s="39">
        <v>211683.92</v>
      </c>
      <c r="H10542" s="42">
        <v>211</v>
      </c>
    </row>
    <row r="10543" spans="1:8" ht="15" customHeight="1">
      <c r="A10543" s="26">
        <v>1052021077</v>
      </c>
      <c r="B10543" s="29" t="s">
        <v>12760</v>
      </c>
      <c r="C10543" s="29" t="s">
        <v>26503</v>
      </c>
      <c r="D10543" s="29" t="s">
        <v>39963</v>
      </c>
      <c r="E10543" s="29" t="s">
        <v>51701</v>
      </c>
      <c r="F10543" s="36" t="s">
        <v>54401</v>
      </c>
      <c r="G10543" s="39">
        <v>2455015.23</v>
      </c>
      <c r="H10543" s="42">
        <v>211</v>
      </c>
    </row>
    <row r="10544" spans="1:8" ht="15" customHeight="1">
      <c r="A10544" s="26">
        <v>1052021108</v>
      </c>
      <c r="B10544" s="29" t="s">
        <v>12761</v>
      </c>
      <c r="C10544" s="29" t="s">
        <v>26504</v>
      </c>
      <c r="D10544" s="29" t="s">
        <v>39964</v>
      </c>
      <c r="E10544" s="29" t="s">
        <v>51702</v>
      </c>
      <c r="F10544" s="36" t="s">
        <v>54401</v>
      </c>
      <c r="G10544" s="39">
        <v>1398453.37</v>
      </c>
      <c r="H10544" s="42">
        <v>211</v>
      </c>
    </row>
    <row r="10545" spans="1:8" ht="15" customHeight="1">
      <c r="A10545" s="26">
        <v>1052021237</v>
      </c>
      <c r="B10545" s="29" t="s">
        <v>12762</v>
      </c>
      <c r="C10545" s="29" t="s">
        <v>17204</v>
      </c>
      <c r="D10545" s="29" t="s">
        <v>30349</v>
      </c>
      <c r="E10545" s="29" t="s">
        <v>43926</v>
      </c>
      <c r="F10545" s="36" t="s">
        <v>54401</v>
      </c>
      <c r="G10545" s="39">
        <v>558748.85</v>
      </c>
      <c r="H10545" s="42">
        <v>211</v>
      </c>
    </row>
    <row r="10546" spans="1:8" ht="15" customHeight="1">
      <c r="A10546" s="26">
        <v>1052095873</v>
      </c>
      <c r="B10546" s="29" t="s">
        <v>12763</v>
      </c>
      <c r="C10546" s="29" t="s">
        <v>26505</v>
      </c>
      <c r="D10546" s="29" t="s">
        <v>39965</v>
      </c>
      <c r="E10546" s="29" t="s">
        <v>51703</v>
      </c>
      <c r="F10546" s="36" t="s">
        <v>54401</v>
      </c>
      <c r="G10546" s="39">
        <v>4916077.34</v>
      </c>
      <c r="H10546" s="42">
        <v>211</v>
      </c>
    </row>
    <row r="10547" spans="1:8" ht="15" customHeight="1">
      <c r="A10547" s="26">
        <v>1052312062</v>
      </c>
      <c r="B10547" s="29" t="s">
        <v>12764</v>
      </c>
      <c r="C10547" s="29" t="s">
        <v>26260</v>
      </c>
      <c r="D10547" s="29" t="s">
        <v>39966</v>
      </c>
      <c r="E10547" s="29" t="s">
        <v>51704</v>
      </c>
      <c r="F10547" s="36" t="s">
        <v>54414</v>
      </c>
      <c r="G10547" s="39">
        <v>833939.04</v>
      </c>
      <c r="H10547" s="42">
        <v>211</v>
      </c>
    </row>
    <row r="10548" spans="1:8" ht="15" customHeight="1">
      <c r="A10548" s="26">
        <v>1052312072</v>
      </c>
      <c r="B10548" s="29" t="s">
        <v>12765</v>
      </c>
      <c r="C10548" s="29" t="s">
        <v>26506</v>
      </c>
      <c r="D10548" s="29" t="s">
        <v>39967</v>
      </c>
      <c r="E10548" s="29" t="s">
        <v>51705</v>
      </c>
      <c r="F10548" s="36" t="s">
        <v>54401</v>
      </c>
      <c r="G10548" s="39">
        <v>2291509.62</v>
      </c>
      <c r="H10548" s="42">
        <v>211</v>
      </c>
    </row>
    <row r="10549" spans="1:8" ht="15" customHeight="1">
      <c r="A10549" s="26">
        <v>1052312083</v>
      </c>
      <c r="B10549" s="29" t="s">
        <v>12766</v>
      </c>
      <c r="C10549" s="29" t="s">
        <v>26507</v>
      </c>
      <c r="D10549" s="29" t="s">
        <v>39968</v>
      </c>
      <c r="E10549" s="29" t="s">
        <v>51706</v>
      </c>
      <c r="F10549" s="36" t="s">
        <v>54401</v>
      </c>
      <c r="G10549" s="39">
        <v>3211924</v>
      </c>
      <c r="H10549" s="42">
        <v>211</v>
      </c>
    </row>
    <row r="10550" spans="1:8" ht="15" customHeight="1">
      <c r="A10550" s="26">
        <v>1052312103</v>
      </c>
      <c r="B10550" s="29" t="s">
        <v>12767</v>
      </c>
      <c r="C10550" s="29" t="s">
        <v>26508</v>
      </c>
      <c r="D10550" s="29" t="s">
        <v>39969</v>
      </c>
      <c r="E10550" s="29" t="s">
        <v>43926</v>
      </c>
      <c r="F10550" s="36" t="s">
        <v>54401</v>
      </c>
      <c r="G10550" s="39">
        <v>158271.51</v>
      </c>
      <c r="H10550" s="42">
        <v>211</v>
      </c>
    </row>
    <row r="10551" spans="1:8" ht="15" customHeight="1">
      <c r="A10551" s="26">
        <v>1052312124</v>
      </c>
      <c r="B10551" s="29" t="s">
        <v>12768</v>
      </c>
      <c r="C10551" s="29" t="s">
        <v>26509</v>
      </c>
      <c r="D10551" s="29" t="s">
        <v>39970</v>
      </c>
      <c r="E10551" s="29" t="s">
        <v>51707</v>
      </c>
      <c r="F10551" s="36" t="s">
        <v>54401</v>
      </c>
      <c r="G10551" s="39">
        <v>1995987</v>
      </c>
      <c r="H10551" s="42">
        <v>211</v>
      </c>
    </row>
    <row r="10552" spans="1:8" ht="15" customHeight="1">
      <c r="A10552" s="26">
        <v>1052312202</v>
      </c>
      <c r="B10552" s="29" t="s">
        <v>12769</v>
      </c>
      <c r="C10552" s="29" t="s">
        <v>26510</v>
      </c>
      <c r="D10552" s="29" t="s">
        <v>39971</v>
      </c>
      <c r="E10552" s="29" t="s">
        <v>43926</v>
      </c>
      <c r="F10552" s="36" t="s">
        <v>54401</v>
      </c>
      <c r="G10552" s="39">
        <v>459956.35</v>
      </c>
      <c r="H10552" s="42">
        <v>211</v>
      </c>
    </row>
    <row r="10553" spans="1:8" ht="15" customHeight="1">
      <c r="A10553" s="26">
        <v>1052312233</v>
      </c>
      <c r="B10553" s="29" t="s">
        <v>12770</v>
      </c>
      <c r="C10553" s="29" t="s">
        <v>26511</v>
      </c>
      <c r="D10553" s="29" t="s">
        <v>39972</v>
      </c>
      <c r="E10553" s="29" t="s">
        <v>51708</v>
      </c>
      <c r="F10553" s="36" t="s">
        <v>54401</v>
      </c>
      <c r="G10553" s="39">
        <v>724017.69</v>
      </c>
      <c r="H10553" s="42">
        <v>211</v>
      </c>
    </row>
    <row r="10554" spans="1:8" ht="15" customHeight="1">
      <c r="A10554" s="26">
        <v>1052312299</v>
      </c>
      <c r="B10554" s="29" t="s">
        <v>12771</v>
      </c>
      <c r="C10554" s="29" t="s">
        <v>26512</v>
      </c>
      <c r="D10554" s="29" t="s">
        <v>39973</v>
      </c>
      <c r="E10554" s="29" t="s">
        <v>50016</v>
      </c>
      <c r="F10554" s="36" t="s">
        <v>54401</v>
      </c>
      <c r="G10554" s="39">
        <v>2831041.01</v>
      </c>
      <c r="H10554" s="42">
        <v>211</v>
      </c>
    </row>
    <row r="10555" spans="1:8" ht="15" customHeight="1">
      <c r="A10555" s="26">
        <v>1052312308</v>
      </c>
      <c r="B10555" s="29" t="s">
        <v>12772</v>
      </c>
      <c r="C10555" s="29" t="s">
        <v>26513</v>
      </c>
      <c r="D10555" s="29" t="s">
        <v>39974</v>
      </c>
      <c r="E10555" s="29" t="s">
        <v>51709</v>
      </c>
      <c r="F10555" s="36" t="s">
        <v>54401</v>
      </c>
      <c r="G10555" s="39">
        <v>3409326</v>
      </c>
      <c r="H10555" s="42">
        <v>211</v>
      </c>
    </row>
    <row r="10556" spans="1:8" ht="15" customHeight="1">
      <c r="A10556" s="26">
        <v>1052312320</v>
      </c>
      <c r="B10556" s="29" t="s">
        <v>12773</v>
      </c>
      <c r="C10556" s="29" t="s">
        <v>26514</v>
      </c>
      <c r="D10556" s="29" t="s">
        <v>39975</v>
      </c>
      <c r="E10556" s="29" t="s">
        <v>51710</v>
      </c>
      <c r="F10556" s="36" t="s">
        <v>54401</v>
      </c>
      <c r="G10556" s="39">
        <v>1784572.23</v>
      </c>
      <c r="H10556" s="42">
        <v>211</v>
      </c>
    </row>
    <row r="10557" spans="1:8" ht="15" customHeight="1">
      <c r="A10557" s="26">
        <v>1052312331</v>
      </c>
      <c r="B10557" s="29" t="s">
        <v>12774</v>
      </c>
      <c r="C10557" s="29" t="s">
        <v>26515</v>
      </c>
      <c r="D10557" s="29" t="s">
        <v>39976</v>
      </c>
      <c r="E10557" s="29" t="s">
        <v>43926</v>
      </c>
      <c r="F10557" s="36" t="s">
        <v>54401</v>
      </c>
      <c r="G10557" s="39">
        <v>2161108.0699999998</v>
      </c>
      <c r="H10557" s="42">
        <v>211</v>
      </c>
    </row>
    <row r="10558" spans="1:8" ht="15" customHeight="1">
      <c r="A10558" s="26">
        <v>1052312395</v>
      </c>
      <c r="B10558" s="29" t="s">
        <v>12775</v>
      </c>
      <c r="C10558" s="29" t="s">
        <v>26516</v>
      </c>
      <c r="D10558" s="29" t="s">
        <v>39977</v>
      </c>
      <c r="E10558" s="29" t="s">
        <v>51711</v>
      </c>
      <c r="F10558" s="36" t="s">
        <v>54414</v>
      </c>
      <c r="G10558" s="39">
        <v>24565564</v>
      </c>
      <c r="H10558" s="42">
        <v>211</v>
      </c>
    </row>
    <row r="10559" spans="1:8" ht="15" customHeight="1">
      <c r="A10559" s="26">
        <v>1052312422</v>
      </c>
      <c r="B10559" s="29" t="s">
        <v>12776</v>
      </c>
      <c r="C10559" s="29" t="s">
        <v>26517</v>
      </c>
      <c r="D10559" s="29" t="s">
        <v>39978</v>
      </c>
      <c r="E10559" s="29" t="s">
        <v>51712</v>
      </c>
      <c r="F10559" s="36" t="s">
        <v>54401</v>
      </c>
      <c r="G10559" s="39">
        <v>374306.38</v>
      </c>
      <c r="H10559" s="42">
        <v>211</v>
      </c>
    </row>
    <row r="10560" spans="1:8" ht="15" customHeight="1">
      <c r="A10560" s="26">
        <v>1052312423</v>
      </c>
      <c r="B10560" s="29" t="s">
        <v>12777</v>
      </c>
      <c r="C10560" s="29" t="s">
        <v>17204</v>
      </c>
      <c r="D10560" s="29" t="s">
        <v>30349</v>
      </c>
      <c r="E10560" s="29" t="s">
        <v>43926</v>
      </c>
      <c r="F10560" s="36" t="s">
        <v>54401</v>
      </c>
      <c r="G10560" s="39">
        <v>353201.38</v>
      </c>
      <c r="H10560" s="42">
        <v>211</v>
      </c>
    </row>
    <row r="10561" spans="1:8" ht="15" customHeight="1">
      <c r="A10561" s="26">
        <v>1052312433</v>
      </c>
      <c r="B10561" s="29" t="s">
        <v>12778</v>
      </c>
      <c r="C10561" s="29" t="s">
        <v>17204</v>
      </c>
      <c r="D10561" s="29" t="s">
        <v>39979</v>
      </c>
      <c r="E10561" s="29" t="s">
        <v>51713</v>
      </c>
      <c r="F10561" s="36" t="s">
        <v>54414</v>
      </c>
      <c r="G10561" s="39">
        <v>83185.58</v>
      </c>
      <c r="H10561" s="42">
        <v>211</v>
      </c>
    </row>
    <row r="10562" spans="1:8" ht="15" customHeight="1">
      <c r="A10562" s="26">
        <v>1052312449</v>
      </c>
      <c r="B10562" s="29" t="s">
        <v>12779</v>
      </c>
      <c r="C10562" s="26" t="s">
        <v>26518</v>
      </c>
      <c r="D10562" s="26" t="s">
        <v>39980</v>
      </c>
      <c r="E10562" s="26" t="s">
        <v>51714</v>
      </c>
      <c r="F10562" s="37" t="s">
        <v>54401</v>
      </c>
      <c r="G10562" s="39">
        <v>294266.32</v>
      </c>
      <c r="H10562" s="42">
        <v>211</v>
      </c>
    </row>
    <row r="10563" spans="1:8" ht="15" customHeight="1">
      <c r="A10563" s="26">
        <v>1052312472</v>
      </c>
      <c r="B10563" s="29" t="s">
        <v>12780</v>
      </c>
      <c r="C10563" s="29" t="s">
        <v>26519</v>
      </c>
      <c r="D10563" s="29" t="s">
        <v>39981</v>
      </c>
      <c r="E10563" s="29" t="s">
        <v>51715</v>
      </c>
      <c r="F10563" s="36" t="s">
        <v>54401</v>
      </c>
      <c r="G10563" s="39">
        <v>136477.65</v>
      </c>
      <c r="H10563" s="42">
        <v>211</v>
      </c>
    </row>
    <row r="10564" spans="1:8" ht="15" customHeight="1">
      <c r="A10564" s="26">
        <v>1052312476</v>
      </c>
      <c r="B10564" s="29" t="s">
        <v>12781</v>
      </c>
      <c r="C10564" s="29" t="s">
        <v>26520</v>
      </c>
      <c r="D10564" s="29" t="s">
        <v>39982</v>
      </c>
      <c r="E10564" s="29" t="s">
        <v>51716</v>
      </c>
      <c r="F10564" s="36" t="s">
        <v>54401</v>
      </c>
      <c r="G10564" s="39">
        <v>4325090</v>
      </c>
      <c r="H10564" s="42">
        <v>211</v>
      </c>
    </row>
    <row r="10565" spans="1:8" ht="15" customHeight="1">
      <c r="A10565" s="26">
        <v>1052312477</v>
      </c>
      <c r="B10565" s="29" t="s">
        <v>12782</v>
      </c>
      <c r="C10565" s="29" t="s">
        <v>26521</v>
      </c>
      <c r="D10565" s="29" t="s">
        <v>39983</v>
      </c>
      <c r="E10565" s="29" t="s">
        <v>51717</v>
      </c>
      <c r="F10565" s="36" t="s">
        <v>54401</v>
      </c>
      <c r="G10565" s="39">
        <v>1149675.5</v>
      </c>
      <c r="H10565" s="42">
        <v>211</v>
      </c>
    </row>
    <row r="10566" spans="1:8" ht="15" customHeight="1">
      <c r="A10566" s="26">
        <v>1052312502</v>
      </c>
      <c r="B10566" s="29" t="s">
        <v>12783</v>
      </c>
      <c r="C10566" s="29" t="s">
        <v>26522</v>
      </c>
      <c r="D10566" s="29" t="s">
        <v>39984</v>
      </c>
      <c r="E10566" s="29" t="s">
        <v>51718</v>
      </c>
      <c r="F10566" s="36" t="s">
        <v>54401</v>
      </c>
      <c r="G10566" s="39">
        <v>371966.31</v>
      </c>
      <c r="H10566" s="42">
        <v>211</v>
      </c>
    </row>
    <row r="10567" spans="1:8" ht="15" customHeight="1">
      <c r="A10567" s="26">
        <v>1052312509</v>
      </c>
      <c r="B10567" s="29" t="s">
        <v>12784</v>
      </c>
      <c r="C10567" s="29" t="s">
        <v>26523</v>
      </c>
      <c r="D10567" s="29" t="s">
        <v>39985</v>
      </c>
      <c r="E10567" s="29" t="s">
        <v>44023</v>
      </c>
      <c r="F10567" s="36" t="s">
        <v>54401</v>
      </c>
      <c r="G10567" s="39">
        <v>1620373.48</v>
      </c>
      <c r="H10567" s="42">
        <v>211</v>
      </c>
    </row>
    <row r="10568" spans="1:8" ht="15" customHeight="1">
      <c r="A10568" s="26">
        <v>1052312530</v>
      </c>
      <c r="B10568" s="29" t="s">
        <v>12785</v>
      </c>
      <c r="C10568" s="29" t="s">
        <v>26008</v>
      </c>
      <c r="D10568" s="29" t="s">
        <v>39986</v>
      </c>
      <c r="E10568" s="29" t="s">
        <v>43926</v>
      </c>
      <c r="F10568" s="36" t="s">
        <v>54401</v>
      </c>
      <c r="G10568" s="39">
        <v>2770911.48</v>
      </c>
      <c r="H10568" s="42">
        <v>211</v>
      </c>
    </row>
    <row r="10569" spans="1:8" ht="15" customHeight="1">
      <c r="A10569" s="26">
        <v>1052312577</v>
      </c>
      <c r="B10569" s="29" t="s">
        <v>12786</v>
      </c>
      <c r="C10569" s="26" t="s">
        <v>26524</v>
      </c>
      <c r="D10569" s="26" t="s">
        <v>39987</v>
      </c>
      <c r="E10569" s="26" t="s">
        <v>51719</v>
      </c>
      <c r="F10569" s="37" t="s">
        <v>54414</v>
      </c>
      <c r="G10569" s="39">
        <v>1568082.5</v>
      </c>
      <c r="H10569" s="42">
        <v>211</v>
      </c>
    </row>
    <row r="10570" spans="1:8" ht="15" customHeight="1">
      <c r="A10570" s="26">
        <v>1052312583</v>
      </c>
      <c r="B10570" s="29" t="s">
        <v>12787</v>
      </c>
      <c r="C10570" s="29" t="s">
        <v>26525</v>
      </c>
      <c r="D10570" s="29" t="s">
        <v>39988</v>
      </c>
      <c r="E10570" s="29" t="s">
        <v>51720</v>
      </c>
      <c r="F10570" s="36" t="s">
        <v>54401</v>
      </c>
      <c r="G10570" s="39">
        <v>219065.78</v>
      </c>
      <c r="H10570" s="42">
        <v>211</v>
      </c>
    </row>
    <row r="10571" spans="1:8" ht="15" customHeight="1">
      <c r="A10571" s="26">
        <v>1052312616</v>
      </c>
      <c r="B10571" s="29" t="s">
        <v>12788</v>
      </c>
      <c r="C10571" s="29" t="s">
        <v>26526</v>
      </c>
      <c r="D10571" s="29" t="s">
        <v>39989</v>
      </c>
      <c r="E10571" s="29" t="s">
        <v>51721</v>
      </c>
      <c r="F10571" s="36" t="s">
        <v>54414</v>
      </c>
      <c r="G10571" s="39">
        <v>500323.23</v>
      </c>
      <c r="H10571" s="42">
        <v>211</v>
      </c>
    </row>
    <row r="10572" spans="1:8" ht="15" customHeight="1">
      <c r="A10572" s="26">
        <v>1052312630</v>
      </c>
      <c r="B10572" s="29" t="s">
        <v>12789</v>
      </c>
      <c r="C10572" s="29" t="s">
        <v>26527</v>
      </c>
      <c r="D10572" s="29" t="s">
        <v>39990</v>
      </c>
      <c r="E10572" s="29" t="s">
        <v>1643</v>
      </c>
      <c r="F10572" s="36" t="s">
        <v>54401</v>
      </c>
      <c r="G10572" s="39">
        <v>324540.53999999998</v>
      </c>
      <c r="H10572" s="42">
        <v>211</v>
      </c>
    </row>
    <row r="10573" spans="1:8" ht="15" customHeight="1">
      <c r="A10573" s="26">
        <v>1052312666</v>
      </c>
      <c r="B10573" s="29" t="s">
        <v>12790</v>
      </c>
      <c r="C10573" s="29" t="s">
        <v>26528</v>
      </c>
      <c r="D10573" s="29" t="s">
        <v>30807</v>
      </c>
      <c r="E10573" s="29" t="s">
        <v>51722</v>
      </c>
      <c r="F10573" s="36" t="s">
        <v>54401</v>
      </c>
      <c r="G10573" s="39">
        <v>3680515.1</v>
      </c>
      <c r="H10573" s="42">
        <v>211</v>
      </c>
    </row>
    <row r="10574" spans="1:8" ht="15" customHeight="1">
      <c r="A10574" s="26">
        <v>1052312736</v>
      </c>
      <c r="B10574" s="29" t="s">
        <v>12791</v>
      </c>
      <c r="C10574" s="29" t="s">
        <v>17204</v>
      </c>
      <c r="D10574" s="29" t="s">
        <v>39991</v>
      </c>
      <c r="E10574" s="29" t="s">
        <v>1643</v>
      </c>
      <c r="F10574" s="36" t="s">
        <v>54414</v>
      </c>
      <c r="G10574" s="39">
        <v>1594950.14</v>
      </c>
      <c r="H10574" s="42">
        <v>211</v>
      </c>
    </row>
    <row r="10575" spans="1:8" ht="15" customHeight="1">
      <c r="A10575" s="26">
        <v>1052312832</v>
      </c>
      <c r="B10575" s="29" t="s">
        <v>12792</v>
      </c>
      <c r="C10575" s="29" t="s">
        <v>26529</v>
      </c>
      <c r="D10575" s="29" t="s">
        <v>39992</v>
      </c>
      <c r="E10575" s="29" t="s">
        <v>51723</v>
      </c>
      <c r="F10575" s="36" t="s">
        <v>54414</v>
      </c>
      <c r="G10575" s="39">
        <v>617876.24</v>
      </c>
      <c r="H10575" s="42">
        <v>211</v>
      </c>
    </row>
    <row r="10576" spans="1:8" ht="15" customHeight="1">
      <c r="A10576" s="26">
        <v>1052312948</v>
      </c>
      <c r="B10576" s="29" t="s">
        <v>12793</v>
      </c>
      <c r="C10576" s="29" t="s">
        <v>26530</v>
      </c>
      <c r="D10576" s="29" t="s">
        <v>39993</v>
      </c>
      <c r="E10576" s="29" t="s">
        <v>51724</v>
      </c>
      <c r="F10576" s="36" t="s">
        <v>54401</v>
      </c>
      <c r="G10576" s="39">
        <v>3438704.2</v>
      </c>
      <c r="H10576" s="42">
        <v>211</v>
      </c>
    </row>
    <row r="10577" spans="1:8" ht="15" customHeight="1">
      <c r="A10577" s="26">
        <v>1052312993</v>
      </c>
      <c r="B10577" s="29" t="s">
        <v>12794</v>
      </c>
      <c r="C10577" s="29" t="s">
        <v>26531</v>
      </c>
      <c r="D10577" s="29" t="s">
        <v>39994</v>
      </c>
      <c r="E10577" s="29" t="s">
        <v>51725</v>
      </c>
      <c r="F10577" s="36" t="s">
        <v>54401</v>
      </c>
      <c r="G10577" s="39">
        <v>2033127.18</v>
      </c>
      <c r="H10577" s="42">
        <v>211</v>
      </c>
    </row>
    <row r="10578" spans="1:8" ht="15" customHeight="1">
      <c r="A10578" s="26">
        <v>1052313004</v>
      </c>
      <c r="B10578" s="29" t="s">
        <v>12795</v>
      </c>
      <c r="C10578" s="29" t="s">
        <v>26532</v>
      </c>
      <c r="D10578" s="29" t="s">
        <v>39995</v>
      </c>
      <c r="E10578" s="29" t="s">
        <v>51726</v>
      </c>
      <c r="F10578" s="36" t="s">
        <v>54401</v>
      </c>
      <c r="G10578" s="39">
        <v>558772.56999999995</v>
      </c>
      <c r="H10578" s="42">
        <v>211</v>
      </c>
    </row>
    <row r="10579" spans="1:8" ht="15" customHeight="1">
      <c r="A10579" s="26">
        <v>1052313008</v>
      </c>
      <c r="B10579" s="29" t="s">
        <v>12796</v>
      </c>
      <c r="C10579" s="26" t="s">
        <v>26533</v>
      </c>
      <c r="D10579" s="26" t="s">
        <v>39996</v>
      </c>
      <c r="E10579" s="26" t="s">
        <v>51727</v>
      </c>
      <c r="F10579" s="37" t="s">
        <v>54401</v>
      </c>
      <c r="G10579" s="39">
        <v>1270496.46</v>
      </c>
      <c r="H10579" s="42">
        <v>211</v>
      </c>
    </row>
    <row r="10580" spans="1:8" ht="15" customHeight="1">
      <c r="A10580" s="26">
        <v>1052313037</v>
      </c>
      <c r="B10580" s="29" t="s">
        <v>12797</v>
      </c>
      <c r="C10580" s="29" t="s">
        <v>26534</v>
      </c>
      <c r="D10580" s="29" t="s">
        <v>39997</v>
      </c>
      <c r="E10580" s="29" t="s">
        <v>43926</v>
      </c>
      <c r="F10580" s="36" t="s">
        <v>54401</v>
      </c>
      <c r="G10580" s="39">
        <v>570227.41</v>
      </c>
      <c r="H10580" s="42">
        <v>211</v>
      </c>
    </row>
    <row r="10581" spans="1:8" ht="15" customHeight="1">
      <c r="A10581" s="26">
        <v>1052313055</v>
      </c>
      <c r="B10581" s="29" t="s">
        <v>12798</v>
      </c>
      <c r="C10581" s="29" t="s">
        <v>26535</v>
      </c>
      <c r="D10581" s="29" t="s">
        <v>39998</v>
      </c>
      <c r="E10581" s="29" t="s">
        <v>663</v>
      </c>
      <c r="F10581" s="36" t="s">
        <v>54483</v>
      </c>
      <c r="G10581" s="39">
        <v>3220981.23</v>
      </c>
      <c r="H10581" s="42">
        <v>211</v>
      </c>
    </row>
    <row r="10582" spans="1:8" ht="15" customHeight="1">
      <c r="A10582" s="26">
        <v>1052313063</v>
      </c>
      <c r="B10582" s="29" t="s">
        <v>12799</v>
      </c>
      <c r="C10582" s="29" t="s">
        <v>26536</v>
      </c>
      <c r="D10582" s="29" t="s">
        <v>39999</v>
      </c>
      <c r="E10582" s="29" t="s">
        <v>51707</v>
      </c>
      <c r="F10582" s="36" t="s">
        <v>54401</v>
      </c>
      <c r="G10582" s="39">
        <v>1679259.59</v>
      </c>
      <c r="H10582" s="42">
        <v>211</v>
      </c>
    </row>
    <row r="10583" spans="1:8" ht="15" customHeight="1">
      <c r="A10583" s="26">
        <v>1052313105</v>
      </c>
      <c r="B10583" s="29" t="s">
        <v>12800</v>
      </c>
      <c r="C10583" s="29" t="s">
        <v>26537</v>
      </c>
      <c r="D10583" s="29" t="s">
        <v>40000</v>
      </c>
      <c r="E10583" s="29" t="s">
        <v>51728</v>
      </c>
      <c r="F10583" s="36" t="s">
        <v>54414</v>
      </c>
      <c r="G10583" s="39">
        <v>3663253.43</v>
      </c>
      <c r="H10583" s="42">
        <v>211</v>
      </c>
    </row>
    <row r="10584" spans="1:8" ht="15" customHeight="1">
      <c r="A10584" s="26">
        <v>1052313113</v>
      </c>
      <c r="B10584" s="29" t="s">
        <v>12801</v>
      </c>
      <c r="C10584" s="29" t="s">
        <v>17204</v>
      </c>
      <c r="D10584" s="29" t="s">
        <v>40001</v>
      </c>
      <c r="E10584" s="29" t="s">
        <v>43926</v>
      </c>
      <c r="F10584" s="36" t="s">
        <v>54401</v>
      </c>
      <c r="G10584" s="39">
        <v>1172946.1599999999</v>
      </c>
      <c r="H10584" s="42">
        <v>211</v>
      </c>
    </row>
    <row r="10585" spans="1:8" ht="15" customHeight="1">
      <c r="A10585" s="26">
        <v>1052313152</v>
      </c>
      <c r="B10585" s="29" t="s">
        <v>12802</v>
      </c>
      <c r="C10585" s="29" t="s">
        <v>26538</v>
      </c>
      <c r="D10585" s="29" t="s">
        <v>40002</v>
      </c>
      <c r="E10585" s="29" t="s">
        <v>51729</v>
      </c>
      <c r="F10585" s="36" t="s">
        <v>54401</v>
      </c>
      <c r="G10585" s="39">
        <v>109296.47</v>
      </c>
      <c r="H10585" s="42">
        <v>211</v>
      </c>
    </row>
    <row r="10586" spans="1:8" ht="15" customHeight="1">
      <c r="A10586" s="26">
        <v>1052313184</v>
      </c>
      <c r="B10586" s="29" t="s">
        <v>12803</v>
      </c>
      <c r="C10586" s="29" t="s">
        <v>26539</v>
      </c>
      <c r="D10586" s="29" t="s">
        <v>30376</v>
      </c>
      <c r="E10586" s="29" t="s">
        <v>47110</v>
      </c>
      <c r="F10586" s="36" t="s">
        <v>54401</v>
      </c>
      <c r="G10586" s="39">
        <v>2483780.4500000002</v>
      </c>
      <c r="H10586" s="42">
        <v>211</v>
      </c>
    </row>
    <row r="10587" spans="1:8" ht="15" customHeight="1">
      <c r="A10587" s="26">
        <v>1052313195</v>
      </c>
      <c r="B10587" s="29" t="s">
        <v>12804</v>
      </c>
      <c r="C10587" s="29" t="s">
        <v>26540</v>
      </c>
      <c r="D10587" s="29" t="s">
        <v>40003</v>
      </c>
      <c r="E10587" s="29" t="s">
        <v>46369</v>
      </c>
      <c r="F10587" s="36" t="s">
        <v>54401</v>
      </c>
      <c r="G10587" s="39">
        <v>1985242.15</v>
      </c>
      <c r="H10587" s="42">
        <v>211</v>
      </c>
    </row>
    <row r="10588" spans="1:8" ht="15" customHeight="1">
      <c r="A10588" s="26">
        <v>1052313221</v>
      </c>
      <c r="B10588" s="29" t="s">
        <v>12805</v>
      </c>
      <c r="C10588" s="29" t="s">
        <v>26541</v>
      </c>
      <c r="D10588" s="29" t="s">
        <v>40004</v>
      </c>
      <c r="E10588" s="29" t="s">
        <v>51730</v>
      </c>
      <c r="F10588" s="36" t="s">
        <v>54401</v>
      </c>
      <c r="G10588" s="39">
        <v>405426.79</v>
      </c>
      <c r="H10588" s="42">
        <v>211</v>
      </c>
    </row>
    <row r="10589" spans="1:8" ht="15" customHeight="1">
      <c r="A10589" s="26">
        <v>1052313224</v>
      </c>
      <c r="B10589" s="29" t="s">
        <v>12806</v>
      </c>
      <c r="C10589" s="29" t="s">
        <v>26542</v>
      </c>
      <c r="D10589" s="29" t="s">
        <v>40005</v>
      </c>
      <c r="E10589" s="29" t="s">
        <v>43926</v>
      </c>
      <c r="F10589" s="36" t="s">
        <v>54401</v>
      </c>
      <c r="G10589" s="39">
        <v>267443.71999999997</v>
      </c>
      <c r="H10589" s="42">
        <v>211</v>
      </c>
    </row>
    <row r="10590" spans="1:8" ht="15" customHeight="1">
      <c r="A10590" s="26">
        <v>1052313233</v>
      </c>
      <c r="B10590" s="29" t="s">
        <v>12807</v>
      </c>
      <c r="C10590" s="26" t="s">
        <v>26543</v>
      </c>
      <c r="D10590" s="26" t="s">
        <v>40006</v>
      </c>
      <c r="E10590" s="26" t="s">
        <v>43926</v>
      </c>
      <c r="F10590" s="37" t="s">
        <v>54401</v>
      </c>
      <c r="G10590" s="39">
        <v>79590.53</v>
      </c>
      <c r="H10590" s="42">
        <v>211</v>
      </c>
    </row>
    <row r="10591" spans="1:8" ht="15" customHeight="1">
      <c r="A10591" s="26">
        <v>1052313257</v>
      </c>
      <c r="B10591" s="29" t="s">
        <v>10516</v>
      </c>
      <c r="C10591" s="29" t="s">
        <v>26544</v>
      </c>
      <c r="D10591" s="29" t="s">
        <v>40007</v>
      </c>
      <c r="E10591" s="29" t="s">
        <v>51731</v>
      </c>
      <c r="F10591" s="36" t="s">
        <v>54401</v>
      </c>
      <c r="G10591" s="39">
        <v>1309674.3400000001</v>
      </c>
      <c r="H10591" s="42">
        <v>211</v>
      </c>
    </row>
    <row r="10592" spans="1:8" ht="15" customHeight="1">
      <c r="A10592" s="26">
        <v>1052313258</v>
      </c>
      <c r="B10592" s="29" t="s">
        <v>12808</v>
      </c>
      <c r="C10592" s="29" t="s">
        <v>17204</v>
      </c>
      <c r="D10592" s="29" t="s">
        <v>40008</v>
      </c>
      <c r="E10592" s="29" t="s">
        <v>43926</v>
      </c>
      <c r="F10592" s="36" t="s">
        <v>54401</v>
      </c>
      <c r="G10592" s="39">
        <v>61794.22</v>
      </c>
      <c r="H10592" s="42">
        <v>211</v>
      </c>
    </row>
    <row r="10593" spans="1:8" ht="15" customHeight="1">
      <c r="A10593" s="26">
        <v>1052313296</v>
      </c>
      <c r="B10593" s="29" t="s">
        <v>12809</v>
      </c>
      <c r="C10593" s="29" t="s">
        <v>26545</v>
      </c>
      <c r="D10593" s="29" t="s">
        <v>40009</v>
      </c>
      <c r="E10593" s="29" t="s">
        <v>51732</v>
      </c>
      <c r="F10593" s="36" t="s">
        <v>54401</v>
      </c>
      <c r="G10593" s="39">
        <v>105747.9</v>
      </c>
      <c r="H10593" s="42">
        <v>211</v>
      </c>
    </row>
    <row r="10594" spans="1:8" ht="15" customHeight="1">
      <c r="A10594" s="26">
        <v>1052313301</v>
      </c>
      <c r="B10594" s="29" t="s">
        <v>12810</v>
      </c>
      <c r="C10594" s="29" t="s">
        <v>26546</v>
      </c>
      <c r="D10594" s="29" t="s">
        <v>40010</v>
      </c>
      <c r="E10594" s="29" t="s">
        <v>51733</v>
      </c>
      <c r="F10594" s="36" t="s">
        <v>54401</v>
      </c>
      <c r="G10594" s="39">
        <v>4889686.49</v>
      </c>
      <c r="H10594" s="42">
        <v>211</v>
      </c>
    </row>
    <row r="10595" spans="1:8" ht="15" customHeight="1">
      <c r="A10595" s="26">
        <v>1052313332</v>
      </c>
      <c r="B10595" s="29" t="s">
        <v>12811</v>
      </c>
      <c r="C10595" s="29" t="s">
        <v>26547</v>
      </c>
      <c r="D10595" s="29" t="s">
        <v>40011</v>
      </c>
      <c r="E10595" s="29" t="s">
        <v>51734</v>
      </c>
      <c r="F10595" s="36" t="s">
        <v>54414</v>
      </c>
      <c r="G10595" s="39">
        <v>6209330.1299999999</v>
      </c>
      <c r="H10595" s="42">
        <v>211</v>
      </c>
    </row>
    <row r="10596" spans="1:8" ht="15" customHeight="1">
      <c r="A10596" s="26">
        <v>1052313338</v>
      </c>
      <c r="B10596" s="29" t="s">
        <v>12812</v>
      </c>
      <c r="C10596" s="29" t="s">
        <v>26548</v>
      </c>
      <c r="D10596" s="29" t="s">
        <v>32617</v>
      </c>
      <c r="E10596" s="29" t="s">
        <v>44345</v>
      </c>
      <c r="F10596" s="36" t="s">
        <v>54401</v>
      </c>
      <c r="G10596" s="39">
        <v>598104.93000000005</v>
      </c>
      <c r="H10596" s="42">
        <v>211</v>
      </c>
    </row>
    <row r="10597" spans="1:8" ht="15" customHeight="1">
      <c r="A10597" s="26">
        <v>1052313339</v>
      </c>
      <c r="B10597" s="29" t="s">
        <v>12813</v>
      </c>
      <c r="C10597" s="29" t="s">
        <v>26549</v>
      </c>
      <c r="D10597" s="29" t="s">
        <v>40012</v>
      </c>
      <c r="E10597" s="29" t="s">
        <v>1643</v>
      </c>
      <c r="F10597" s="36" t="s">
        <v>54401</v>
      </c>
      <c r="G10597" s="39">
        <v>229845.44</v>
      </c>
      <c r="H10597" s="42">
        <v>211</v>
      </c>
    </row>
    <row r="10598" spans="1:8" ht="15" customHeight="1">
      <c r="A10598" s="26">
        <v>1052313346</v>
      </c>
      <c r="B10598" s="29" t="s">
        <v>12814</v>
      </c>
      <c r="C10598" s="29" t="s">
        <v>26550</v>
      </c>
      <c r="D10598" s="29" t="s">
        <v>40013</v>
      </c>
      <c r="E10598" s="29" t="s">
        <v>51735</v>
      </c>
      <c r="F10598" s="36" t="s">
        <v>54401</v>
      </c>
      <c r="G10598" s="39">
        <v>3513023</v>
      </c>
      <c r="H10598" s="42">
        <v>211</v>
      </c>
    </row>
    <row r="10599" spans="1:8" ht="15" customHeight="1">
      <c r="A10599" s="26">
        <v>1052313347</v>
      </c>
      <c r="B10599" s="29" t="s">
        <v>12815</v>
      </c>
      <c r="C10599" s="29" t="s">
        <v>26551</v>
      </c>
      <c r="D10599" s="29" t="s">
        <v>40014</v>
      </c>
      <c r="E10599" s="29" t="s">
        <v>51736</v>
      </c>
      <c r="F10599" s="36" t="s">
        <v>54401</v>
      </c>
      <c r="G10599" s="39">
        <v>1878338.39</v>
      </c>
      <c r="H10599" s="42">
        <v>211</v>
      </c>
    </row>
    <row r="10600" spans="1:8" ht="15" customHeight="1">
      <c r="A10600" s="26">
        <v>1052313381</v>
      </c>
      <c r="B10600" s="29" t="s">
        <v>12816</v>
      </c>
      <c r="C10600" s="29" t="s">
        <v>26552</v>
      </c>
      <c r="D10600" s="29" t="s">
        <v>40015</v>
      </c>
      <c r="E10600" s="29" t="s">
        <v>45652</v>
      </c>
      <c r="F10600" s="36" t="s">
        <v>54401</v>
      </c>
      <c r="G10600" s="39">
        <v>3209763</v>
      </c>
      <c r="H10600" s="42">
        <v>211</v>
      </c>
    </row>
    <row r="10601" spans="1:8" ht="15" customHeight="1">
      <c r="A10601" s="26">
        <v>1052313411</v>
      </c>
      <c r="B10601" s="29" t="s">
        <v>12817</v>
      </c>
      <c r="C10601" s="29" t="s">
        <v>26553</v>
      </c>
      <c r="D10601" s="29" t="s">
        <v>40016</v>
      </c>
      <c r="E10601" s="29" t="s">
        <v>46377</v>
      </c>
      <c r="F10601" s="36" t="s">
        <v>54401</v>
      </c>
      <c r="G10601" s="39">
        <v>2431140.09</v>
      </c>
      <c r="H10601" s="42">
        <v>211</v>
      </c>
    </row>
    <row r="10602" spans="1:8" ht="15" customHeight="1">
      <c r="A10602" s="26">
        <v>1052313417</v>
      </c>
      <c r="B10602" s="29" t="s">
        <v>12818</v>
      </c>
      <c r="C10602" s="29" t="s">
        <v>26554</v>
      </c>
      <c r="D10602" s="29" t="s">
        <v>40017</v>
      </c>
      <c r="E10602" s="29" t="s">
        <v>43926</v>
      </c>
      <c r="F10602" s="36" t="s">
        <v>54401</v>
      </c>
      <c r="G10602" s="39">
        <v>2489332.36</v>
      </c>
      <c r="H10602" s="42">
        <v>211</v>
      </c>
    </row>
    <row r="10603" spans="1:8" ht="15" customHeight="1">
      <c r="A10603" s="26">
        <v>1052313430</v>
      </c>
      <c r="B10603" s="29" t="s">
        <v>12819</v>
      </c>
      <c r="C10603" s="29" t="s">
        <v>26555</v>
      </c>
      <c r="D10603" s="29" t="s">
        <v>40018</v>
      </c>
      <c r="E10603" s="29" t="s">
        <v>51737</v>
      </c>
      <c r="F10603" s="36" t="s">
        <v>54401</v>
      </c>
      <c r="G10603" s="39">
        <v>451360.03</v>
      </c>
      <c r="H10603" s="42">
        <v>211</v>
      </c>
    </row>
    <row r="10604" spans="1:8" ht="15" customHeight="1">
      <c r="A10604" s="26">
        <v>1052313431</v>
      </c>
      <c r="B10604" s="29" t="s">
        <v>12820</v>
      </c>
      <c r="C10604" s="29" t="s">
        <v>26556</v>
      </c>
      <c r="D10604" s="29" t="s">
        <v>40019</v>
      </c>
      <c r="E10604" s="29" t="s">
        <v>51738</v>
      </c>
      <c r="F10604" s="36" t="s">
        <v>54401</v>
      </c>
      <c r="G10604" s="39">
        <v>2988289</v>
      </c>
      <c r="H10604" s="42">
        <v>211</v>
      </c>
    </row>
    <row r="10605" spans="1:8" ht="15" customHeight="1">
      <c r="A10605" s="26">
        <v>1052313445</v>
      </c>
      <c r="B10605" s="29" t="s">
        <v>12821</v>
      </c>
      <c r="C10605" s="29" t="s">
        <v>26557</v>
      </c>
      <c r="D10605" s="29" t="s">
        <v>40020</v>
      </c>
      <c r="E10605" s="29" t="s">
        <v>51739</v>
      </c>
      <c r="F10605" s="36" t="s">
        <v>54401</v>
      </c>
      <c r="G10605" s="39">
        <v>471716.02</v>
      </c>
      <c r="H10605" s="42">
        <v>211</v>
      </c>
    </row>
    <row r="10606" spans="1:8" ht="15" customHeight="1">
      <c r="A10606" s="26">
        <v>1052313451</v>
      </c>
      <c r="B10606" s="29" t="s">
        <v>12822</v>
      </c>
      <c r="C10606" s="29" t="s">
        <v>26558</v>
      </c>
      <c r="D10606" s="29" t="s">
        <v>40021</v>
      </c>
      <c r="E10606" s="29" t="s">
        <v>51740</v>
      </c>
      <c r="F10606" s="36" t="s">
        <v>54401</v>
      </c>
      <c r="G10606" s="39">
        <v>2574760.2599999998</v>
      </c>
      <c r="H10606" s="42">
        <v>211</v>
      </c>
    </row>
    <row r="10607" spans="1:8" ht="15" customHeight="1">
      <c r="A10607" s="26">
        <v>1052313463</v>
      </c>
      <c r="B10607" s="29" t="s">
        <v>12823</v>
      </c>
      <c r="C10607" s="29" t="s">
        <v>26559</v>
      </c>
      <c r="D10607" s="29" t="s">
        <v>40022</v>
      </c>
      <c r="E10607" s="29" t="s">
        <v>51741</v>
      </c>
      <c r="F10607" s="36" t="s">
        <v>54401</v>
      </c>
      <c r="G10607" s="39">
        <v>2606139.96</v>
      </c>
      <c r="H10607" s="42">
        <v>211</v>
      </c>
    </row>
    <row r="10608" spans="1:8" ht="15" customHeight="1">
      <c r="A10608" s="26">
        <v>1052313479</v>
      </c>
      <c r="B10608" s="29" t="s">
        <v>12824</v>
      </c>
      <c r="C10608" s="29" t="s">
        <v>26560</v>
      </c>
      <c r="D10608" s="29" t="s">
        <v>40023</v>
      </c>
      <c r="E10608" s="29" t="s">
        <v>51742</v>
      </c>
      <c r="F10608" s="36" t="s">
        <v>54401</v>
      </c>
      <c r="G10608" s="39">
        <v>627155.5</v>
      </c>
      <c r="H10608" s="42">
        <v>211</v>
      </c>
    </row>
    <row r="10609" spans="1:8" ht="15" customHeight="1">
      <c r="A10609" s="26">
        <v>1052313487</v>
      </c>
      <c r="B10609" s="29" t="s">
        <v>12825</v>
      </c>
      <c r="C10609" s="29" t="s">
        <v>17204</v>
      </c>
      <c r="D10609" s="29" t="s">
        <v>30349</v>
      </c>
      <c r="E10609" s="29" t="s">
        <v>43926</v>
      </c>
      <c r="F10609" s="36" t="s">
        <v>54401</v>
      </c>
      <c r="G10609" s="39">
        <v>62713.279999999999</v>
      </c>
      <c r="H10609" s="42">
        <v>211</v>
      </c>
    </row>
    <row r="10610" spans="1:8" ht="15" customHeight="1">
      <c r="A10610" s="26">
        <v>1052313491</v>
      </c>
      <c r="B10610" s="29" t="s">
        <v>12826</v>
      </c>
      <c r="C10610" s="29" t="s">
        <v>17204</v>
      </c>
      <c r="D10610" s="29" t="s">
        <v>30349</v>
      </c>
      <c r="E10610" s="29" t="s">
        <v>43926</v>
      </c>
      <c r="F10610" s="36" t="s">
        <v>54401</v>
      </c>
      <c r="G10610" s="39">
        <v>341427.16</v>
      </c>
      <c r="H10610" s="42">
        <v>211</v>
      </c>
    </row>
    <row r="10611" spans="1:8" ht="15" customHeight="1">
      <c r="A10611" s="26">
        <v>1052313532</v>
      </c>
      <c r="B10611" s="29" t="s">
        <v>12827</v>
      </c>
      <c r="C10611" s="29" t="s">
        <v>26561</v>
      </c>
      <c r="D10611" s="29" t="s">
        <v>40024</v>
      </c>
      <c r="E10611" s="29" t="s">
        <v>51743</v>
      </c>
      <c r="F10611" s="36" t="s">
        <v>54401</v>
      </c>
      <c r="G10611" s="39">
        <v>4679199.1500000004</v>
      </c>
      <c r="H10611" s="42">
        <v>211</v>
      </c>
    </row>
    <row r="10612" spans="1:8" ht="15" customHeight="1">
      <c r="A10612" s="26">
        <v>1052313590</v>
      </c>
      <c r="B10612" s="29" t="s">
        <v>12828</v>
      </c>
      <c r="C10612" s="29" t="s">
        <v>26562</v>
      </c>
      <c r="D10612" s="29" t="s">
        <v>40025</v>
      </c>
      <c r="E10612" s="29" t="s">
        <v>51744</v>
      </c>
      <c r="F10612" s="36" t="s">
        <v>54401</v>
      </c>
      <c r="G10612" s="39">
        <v>517791.34</v>
      </c>
      <c r="H10612" s="42">
        <v>211</v>
      </c>
    </row>
    <row r="10613" spans="1:8" ht="15" customHeight="1">
      <c r="A10613" s="26">
        <v>1052313612</v>
      </c>
      <c r="B10613" s="29" t="s">
        <v>12829</v>
      </c>
      <c r="C10613" s="26" t="s">
        <v>25197</v>
      </c>
      <c r="D10613" s="26" t="s">
        <v>38564</v>
      </c>
      <c r="E10613" s="26" t="s">
        <v>51745</v>
      </c>
      <c r="F10613" s="37" t="s">
        <v>54401</v>
      </c>
      <c r="G10613" s="39">
        <v>961018.91</v>
      </c>
      <c r="H10613" s="42">
        <v>211</v>
      </c>
    </row>
    <row r="10614" spans="1:8" ht="15" customHeight="1">
      <c r="A10614" s="26">
        <v>1052313649</v>
      </c>
      <c r="B10614" s="29" t="s">
        <v>12830</v>
      </c>
      <c r="C10614" s="29" t="s">
        <v>26563</v>
      </c>
      <c r="D10614" s="29" t="s">
        <v>40026</v>
      </c>
      <c r="E10614" s="29" t="s">
        <v>51746</v>
      </c>
      <c r="F10614" s="36" t="s">
        <v>54401</v>
      </c>
      <c r="G10614" s="39">
        <v>2555167</v>
      </c>
      <c r="H10614" s="42">
        <v>211</v>
      </c>
    </row>
    <row r="10615" spans="1:8" ht="15" customHeight="1">
      <c r="A10615" s="26">
        <v>1052313659</v>
      </c>
      <c r="B10615" s="29" t="s">
        <v>12831</v>
      </c>
      <c r="C10615" s="29" t="s">
        <v>26564</v>
      </c>
      <c r="D10615" s="29" t="s">
        <v>40027</v>
      </c>
      <c r="E10615" s="29" t="s">
        <v>43926</v>
      </c>
      <c r="F10615" s="36" t="s">
        <v>54401</v>
      </c>
      <c r="G10615" s="39">
        <v>1828087.6</v>
      </c>
      <c r="H10615" s="42">
        <v>211</v>
      </c>
    </row>
    <row r="10616" spans="1:8" ht="15" customHeight="1">
      <c r="A10616" s="26">
        <v>1052313674</v>
      </c>
      <c r="B10616" s="29" t="s">
        <v>12832</v>
      </c>
      <c r="C10616" s="29" t="s">
        <v>26565</v>
      </c>
      <c r="D10616" s="29" t="s">
        <v>40028</v>
      </c>
      <c r="E10616" s="29" t="s">
        <v>1643</v>
      </c>
      <c r="F10616" s="36" t="s">
        <v>54401</v>
      </c>
      <c r="G10616" s="39">
        <v>126297.67</v>
      </c>
      <c r="H10616" s="42">
        <v>211</v>
      </c>
    </row>
    <row r="10617" spans="1:8" ht="15" customHeight="1">
      <c r="A10617" s="26">
        <v>1052313694</v>
      </c>
      <c r="B10617" s="29" t="s">
        <v>12833</v>
      </c>
      <c r="C10617" s="29" t="s">
        <v>26534</v>
      </c>
      <c r="D10617" s="29" t="s">
        <v>39997</v>
      </c>
      <c r="E10617" s="29" t="s">
        <v>43926</v>
      </c>
      <c r="F10617" s="36" t="s">
        <v>54401</v>
      </c>
      <c r="G10617" s="39">
        <v>273896.03999999998</v>
      </c>
      <c r="H10617" s="42">
        <v>211</v>
      </c>
    </row>
    <row r="10618" spans="1:8" ht="15" customHeight="1">
      <c r="A10618" s="26">
        <v>1052313712</v>
      </c>
      <c r="B10618" s="29" t="s">
        <v>12834</v>
      </c>
      <c r="C10618" s="29" t="s">
        <v>26566</v>
      </c>
      <c r="D10618" s="29" t="s">
        <v>40029</v>
      </c>
      <c r="E10618" s="29" t="s">
        <v>51747</v>
      </c>
      <c r="F10618" s="36" t="s">
        <v>54401</v>
      </c>
      <c r="G10618" s="39">
        <v>1455269.95</v>
      </c>
      <c r="H10618" s="42">
        <v>211</v>
      </c>
    </row>
    <row r="10619" spans="1:8" ht="15" customHeight="1">
      <c r="A10619" s="26">
        <v>1052313714</v>
      </c>
      <c r="B10619" s="29" t="s">
        <v>12835</v>
      </c>
      <c r="C10619" s="29" t="s">
        <v>26567</v>
      </c>
      <c r="D10619" s="29" t="s">
        <v>40030</v>
      </c>
      <c r="E10619" s="29" t="s">
        <v>51748</v>
      </c>
      <c r="F10619" s="36" t="s">
        <v>54401</v>
      </c>
      <c r="G10619" s="39">
        <v>1530378.31</v>
      </c>
      <c r="H10619" s="42">
        <v>211</v>
      </c>
    </row>
    <row r="10620" spans="1:8" ht="15" customHeight="1">
      <c r="A10620" s="26">
        <v>1052313726</v>
      </c>
      <c r="B10620" s="29" t="s">
        <v>12836</v>
      </c>
      <c r="C10620" s="29" t="s">
        <v>26568</v>
      </c>
      <c r="D10620" s="29" t="s">
        <v>40031</v>
      </c>
      <c r="E10620" s="29" t="s">
        <v>51749</v>
      </c>
      <c r="F10620" s="36" t="s">
        <v>54401</v>
      </c>
      <c r="G10620" s="39">
        <v>393998.86</v>
      </c>
      <c r="H10620" s="42">
        <v>211</v>
      </c>
    </row>
    <row r="10621" spans="1:8" ht="15" customHeight="1">
      <c r="A10621" s="26">
        <v>1052313766</v>
      </c>
      <c r="B10621" s="29" t="s">
        <v>12837</v>
      </c>
      <c r="C10621" s="29" t="s">
        <v>26569</v>
      </c>
      <c r="D10621" s="29" t="s">
        <v>40032</v>
      </c>
      <c r="E10621" s="29" t="s">
        <v>50716</v>
      </c>
      <c r="F10621" s="36" t="s">
        <v>54401</v>
      </c>
      <c r="G10621" s="39">
        <v>1051340.3</v>
      </c>
      <c r="H10621" s="42">
        <v>211</v>
      </c>
    </row>
    <row r="10622" spans="1:8" ht="15" customHeight="1">
      <c r="A10622" s="26">
        <v>1052313813</v>
      </c>
      <c r="B10622" s="29" t="s">
        <v>12838</v>
      </c>
      <c r="C10622" s="29" t="s">
        <v>26570</v>
      </c>
      <c r="D10622" s="29" t="s">
        <v>40033</v>
      </c>
      <c r="E10622" s="29" t="s">
        <v>51750</v>
      </c>
      <c r="F10622" s="36" t="s">
        <v>54401</v>
      </c>
      <c r="G10622" s="39">
        <v>569531.73</v>
      </c>
      <c r="H10622" s="42">
        <v>211</v>
      </c>
    </row>
    <row r="10623" spans="1:8" ht="15" customHeight="1">
      <c r="A10623" s="26">
        <v>1052313870</v>
      </c>
      <c r="B10623" s="29" t="s">
        <v>12839</v>
      </c>
      <c r="C10623" s="29" t="s">
        <v>26571</v>
      </c>
      <c r="D10623" s="29" t="s">
        <v>40034</v>
      </c>
      <c r="E10623" s="29" t="s">
        <v>51751</v>
      </c>
      <c r="F10623" s="36" t="s">
        <v>54414</v>
      </c>
      <c r="G10623" s="39">
        <v>3122143</v>
      </c>
      <c r="H10623" s="42">
        <v>211</v>
      </c>
    </row>
    <row r="10624" spans="1:8" ht="15" customHeight="1">
      <c r="A10624" s="26">
        <v>1052313929</v>
      </c>
      <c r="B10624" s="29" t="s">
        <v>12840</v>
      </c>
      <c r="C10624" s="29" t="s">
        <v>26572</v>
      </c>
      <c r="D10624" s="29" t="s">
        <v>40035</v>
      </c>
      <c r="E10624" s="29" t="s">
        <v>51752</v>
      </c>
      <c r="F10624" s="36" t="s">
        <v>54401</v>
      </c>
      <c r="G10624" s="39">
        <v>526952.97</v>
      </c>
      <c r="H10624" s="42">
        <v>211</v>
      </c>
    </row>
    <row r="10625" spans="1:8" ht="15" customHeight="1">
      <c r="A10625" s="26">
        <v>1052313931</v>
      </c>
      <c r="B10625" s="29" t="s">
        <v>12841</v>
      </c>
      <c r="C10625" s="29" t="s">
        <v>26573</v>
      </c>
      <c r="D10625" s="29" t="s">
        <v>40036</v>
      </c>
      <c r="E10625" s="29" t="s">
        <v>44958</v>
      </c>
      <c r="F10625" s="36" t="s">
        <v>54401</v>
      </c>
      <c r="G10625" s="39">
        <v>4527585.78</v>
      </c>
      <c r="H10625" s="42">
        <v>211</v>
      </c>
    </row>
    <row r="10626" spans="1:8" ht="15" customHeight="1">
      <c r="A10626" s="26">
        <v>1052313974</v>
      </c>
      <c r="B10626" s="29" t="s">
        <v>12842</v>
      </c>
      <c r="C10626" s="29" t="s">
        <v>26574</v>
      </c>
      <c r="D10626" s="29" t="s">
        <v>40037</v>
      </c>
      <c r="E10626" s="29" t="s">
        <v>51753</v>
      </c>
      <c r="F10626" s="36" t="s">
        <v>54401</v>
      </c>
      <c r="G10626" s="39">
        <v>372916.12</v>
      </c>
      <c r="H10626" s="42">
        <v>211</v>
      </c>
    </row>
    <row r="10627" spans="1:8" ht="15" customHeight="1">
      <c r="A10627" s="26">
        <v>1052314045</v>
      </c>
      <c r="B10627" s="29" t="s">
        <v>12843</v>
      </c>
      <c r="C10627" s="29" t="s">
        <v>26575</v>
      </c>
      <c r="D10627" s="29" t="s">
        <v>40038</v>
      </c>
      <c r="E10627" s="29" t="s">
        <v>51754</v>
      </c>
      <c r="F10627" s="36" t="s">
        <v>54401</v>
      </c>
      <c r="G10627" s="39">
        <v>2359945.7799999998</v>
      </c>
      <c r="H10627" s="42">
        <v>211</v>
      </c>
    </row>
    <row r="10628" spans="1:8" ht="15" customHeight="1">
      <c r="A10628" s="26">
        <v>1052314133</v>
      </c>
      <c r="B10628" s="29" t="s">
        <v>12844</v>
      </c>
      <c r="C10628" s="29" t="s">
        <v>26576</v>
      </c>
      <c r="D10628" s="29" t="s">
        <v>40039</v>
      </c>
      <c r="E10628" s="29" t="s">
        <v>51755</v>
      </c>
      <c r="F10628" s="36" t="s">
        <v>54401</v>
      </c>
      <c r="G10628" s="39">
        <v>2432951.7000000002</v>
      </c>
      <c r="H10628" s="42">
        <v>211</v>
      </c>
    </row>
    <row r="10629" spans="1:8" ht="15" customHeight="1">
      <c r="A10629" s="26">
        <v>1052314193</v>
      </c>
      <c r="B10629" s="29" t="s">
        <v>12845</v>
      </c>
      <c r="C10629" s="29" t="s">
        <v>26577</v>
      </c>
      <c r="D10629" s="29" t="s">
        <v>40040</v>
      </c>
      <c r="E10629" s="29" t="s">
        <v>51756</v>
      </c>
      <c r="F10629" s="36" t="s">
        <v>54401</v>
      </c>
      <c r="G10629" s="39">
        <v>18369.77</v>
      </c>
      <c r="H10629" s="42">
        <v>211</v>
      </c>
    </row>
    <row r="10630" spans="1:8" ht="15" customHeight="1">
      <c r="A10630" s="26">
        <v>1052314215</v>
      </c>
      <c r="B10630" s="29" t="s">
        <v>12846</v>
      </c>
      <c r="C10630" s="29" t="s">
        <v>26578</v>
      </c>
      <c r="D10630" s="29" t="s">
        <v>40041</v>
      </c>
      <c r="E10630" s="29" t="s">
        <v>731</v>
      </c>
      <c r="F10630" s="36" t="s">
        <v>54401</v>
      </c>
      <c r="G10630" s="39">
        <v>662101</v>
      </c>
      <c r="H10630" s="42">
        <v>211</v>
      </c>
    </row>
    <row r="10631" spans="1:8" ht="15" customHeight="1">
      <c r="A10631" s="26">
        <v>1052314334</v>
      </c>
      <c r="B10631" s="29" t="s">
        <v>12847</v>
      </c>
      <c r="C10631" s="29" t="s">
        <v>26579</v>
      </c>
      <c r="D10631" s="29" t="s">
        <v>40042</v>
      </c>
      <c r="E10631" s="29" t="s">
        <v>48333</v>
      </c>
      <c r="F10631" s="36" t="s">
        <v>54401</v>
      </c>
      <c r="G10631" s="39">
        <v>405255.3</v>
      </c>
      <c r="H10631" s="42">
        <v>211</v>
      </c>
    </row>
    <row r="10632" spans="1:8" ht="15" customHeight="1">
      <c r="A10632" s="26">
        <v>1052314347</v>
      </c>
      <c r="B10632" s="29" t="s">
        <v>12848</v>
      </c>
      <c r="C10632" s="29" t="s">
        <v>26580</v>
      </c>
      <c r="D10632" s="29" t="s">
        <v>40043</v>
      </c>
      <c r="E10632" s="29" t="s">
        <v>51757</v>
      </c>
      <c r="F10632" s="36" t="s">
        <v>54401</v>
      </c>
      <c r="G10632" s="39">
        <v>321141.15000000002</v>
      </c>
      <c r="H10632" s="42">
        <v>211</v>
      </c>
    </row>
    <row r="10633" spans="1:8" ht="15" customHeight="1">
      <c r="A10633" s="26">
        <v>1052314353</v>
      </c>
      <c r="B10633" s="29" t="s">
        <v>12849</v>
      </c>
      <c r="C10633" s="26" t="s">
        <v>17204</v>
      </c>
      <c r="D10633" s="26" t="s">
        <v>30349</v>
      </c>
      <c r="E10633" s="26" t="s">
        <v>43926</v>
      </c>
      <c r="F10633" s="37" t="s">
        <v>54401</v>
      </c>
      <c r="G10633" s="39">
        <v>243337.8</v>
      </c>
      <c r="H10633" s="42">
        <v>211</v>
      </c>
    </row>
    <row r="10634" spans="1:8" ht="15" customHeight="1">
      <c r="A10634" s="26">
        <v>1052314378</v>
      </c>
      <c r="B10634" s="29" t="s">
        <v>12850</v>
      </c>
      <c r="C10634" s="29" t="s">
        <v>26581</v>
      </c>
      <c r="D10634" s="29" t="s">
        <v>40044</v>
      </c>
      <c r="E10634" s="29" t="s">
        <v>43926</v>
      </c>
      <c r="F10634" s="36" t="s">
        <v>54401</v>
      </c>
      <c r="G10634" s="39">
        <v>4562560.8</v>
      </c>
      <c r="H10634" s="42">
        <v>211</v>
      </c>
    </row>
    <row r="10635" spans="1:8" ht="15" customHeight="1">
      <c r="A10635" s="26">
        <v>1052314382</v>
      </c>
      <c r="B10635" s="29" t="s">
        <v>12851</v>
      </c>
      <c r="C10635" s="26" t="s">
        <v>26582</v>
      </c>
      <c r="D10635" s="26" t="s">
        <v>40045</v>
      </c>
      <c r="E10635" s="26" t="s">
        <v>51758</v>
      </c>
      <c r="F10635" s="37" t="s">
        <v>54414</v>
      </c>
      <c r="G10635" s="39">
        <v>402411.29</v>
      </c>
      <c r="H10635" s="42">
        <v>211</v>
      </c>
    </row>
    <row r="10636" spans="1:8" ht="15" customHeight="1">
      <c r="A10636" s="26">
        <v>1052314506</v>
      </c>
      <c r="B10636" s="29" t="s">
        <v>12852</v>
      </c>
      <c r="C10636" s="29" t="s">
        <v>26583</v>
      </c>
      <c r="D10636" s="29" t="s">
        <v>40046</v>
      </c>
      <c r="E10636" s="29" t="s">
        <v>51759</v>
      </c>
      <c r="F10636" s="36" t="s">
        <v>54401</v>
      </c>
      <c r="G10636" s="39">
        <v>180727.11</v>
      </c>
      <c r="H10636" s="42">
        <v>211</v>
      </c>
    </row>
    <row r="10637" spans="1:8" ht="15" customHeight="1">
      <c r="A10637" s="26">
        <v>1052314578</v>
      </c>
      <c r="B10637" s="29" t="s">
        <v>12853</v>
      </c>
      <c r="C10637" s="29" t="s">
        <v>26584</v>
      </c>
      <c r="D10637" s="29" t="s">
        <v>40047</v>
      </c>
      <c r="E10637" s="29" t="s">
        <v>51760</v>
      </c>
      <c r="F10637" s="36" t="s">
        <v>54401</v>
      </c>
      <c r="G10637" s="39">
        <v>224908.89</v>
      </c>
      <c r="H10637" s="42">
        <v>211</v>
      </c>
    </row>
    <row r="10638" spans="1:8" ht="15" customHeight="1">
      <c r="A10638" s="26">
        <v>1052314627</v>
      </c>
      <c r="B10638" s="29" t="s">
        <v>12854</v>
      </c>
      <c r="C10638" s="29" t="s">
        <v>26585</v>
      </c>
      <c r="D10638" s="29" t="s">
        <v>40048</v>
      </c>
      <c r="E10638" s="29" t="s">
        <v>51761</v>
      </c>
      <c r="F10638" s="36" t="s">
        <v>54401</v>
      </c>
      <c r="G10638" s="39">
        <v>3383835.62</v>
      </c>
      <c r="H10638" s="42">
        <v>211</v>
      </c>
    </row>
    <row r="10639" spans="1:8" ht="15" customHeight="1">
      <c r="A10639" s="26">
        <v>1052314675</v>
      </c>
      <c r="B10639" s="29" t="s">
        <v>12855</v>
      </c>
      <c r="C10639" s="29" t="s">
        <v>26586</v>
      </c>
      <c r="D10639" s="29" t="s">
        <v>40049</v>
      </c>
      <c r="E10639" s="29" t="s">
        <v>44242</v>
      </c>
      <c r="F10639" s="36" t="s">
        <v>54401</v>
      </c>
      <c r="G10639" s="39">
        <v>267256.63</v>
      </c>
      <c r="H10639" s="42">
        <v>211</v>
      </c>
    </row>
    <row r="10640" spans="1:8" ht="15" customHeight="1">
      <c r="A10640" s="26">
        <v>1052314786</v>
      </c>
      <c r="B10640" s="29" t="s">
        <v>12856</v>
      </c>
      <c r="C10640" s="29" t="s">
        <v>26587</v>
      </c>
      <c r="D10640" s="29" t="s">
        <v>40050</v>
      </c>
      <c r="E10640" s="29" t="s">
        <v>51762</v>
      </c>
      <c r="F10640" s="36" t="s">
        <v>54401</v>
      </c>
      <c r="G10640" s="39">
        <v>303017.67</v>
      </c>
      <c r="H10640" s="42">
        <v>211</v>
      </c>
    </row>
    <row r="10641" spans="1:8" ht="15" customHeight="1">
      <c r="A10641" s="26">
        <v>1052314899</v>
      </c>
      <c r="B10641" s="29" t="s">
        <v>12857</v>
      </c>
      <c r="C10641" s="29" t="s">
        <v>26588</v>
      </c>
      <c r="D10641" s="29" t="s">
        <v>40051</v>
      </c>
      <c r="E10641" s="29" t="s">
        <v>43926</v>
      </c>
      <c r="F10641" s="36" t="s">
        <v>54401</v>
      </c>
      <c r="G10641" s="39">
        <v>1231628.78</v>
      </c>
      <c r="H10641" s="42">
        <v>211</v>
      </c>
    </row>
    <row r="10642" spans="1:8" ht="15" customHeight="1">
      <c r="A10642" s="26">
        <v>1052314900</v>
      </c>
      <c r="B10642" s="29" t="s">
        <v>12858</v>
      </c>
      <c r="C10642" s="29" t="s">
        <v>26589</v>
      </c>
      <c r="D10642" s="29" t="s">
        <v>40052</v>
      </c>
      <c r="E10642" s="29" t="s">
        <v>51763</v>
      </c>
      <c r="F10642" s="36" t="s">
        <v>54401</v>
      </c>
      <c r="G10642" s="39">
        <v>267037.96999999997</v>
      </c>
      <c r="H10642" s="42">
        <v>211</v>
      </c>
    </row>
    <row r="10643" spans="1:8" ht="15" customHeight="1">
      <c r="A10643" s="26">
        <v>1052314917</v>
      </c>
      <c r="B10643" s="29" t="s">
        <v>12859</v>
      </c>
      <c r="C10643" s="29" t="s">
        <v>26590</v>
      </c>
      <c r="D10643" s="29" t="s">
        <v>40053</v>
      </c>
      <c r="E10643" s="29" t="s">
        <v>51764</v>
      </c>
      <c r="F10643" s="36" t="s">
        <v>54401</v>
      </c>
      <c r="G10643" s="39">
        <v>6263824.2699999996</v>
      </c>
      <c r="H10643" s="42">
        <v>211</v>
      </c>
    </row>
    <row r="10644" spans="1:8" ht="15" customHeight="1">
      <c r="A10644" s="26">
        <v>1052314923</v>
      </c>
      <c r="B10644" s="29" t="s">
        <v>12860</v>
      </c>
      <c r="C10644" s="26" t="s">
        <v>26591</v>
      </c>
      <c r="D10644" s="26" t="s">
        <v>40054</v>
      </c>
      <c r="E10644" s="26" t="s">
        <v>51765</v>
      </c>
      <c r="F10644" s="37" t="s">
        <v>54401</v>
      </c>
      <c r="G10644" s="39">
        <v>25848.74</v>
      </c>
      <c r="H10644" s="42">
        <v>211</v>
      </c>
    </row>
    <row r="10645" spans="1:8" ht="15" customHeight="1">
      <c r="A10645" s="26">
        <v>1052314928</v>
      </c>
      <c r="B10645" s="29" t="s">
        <v>12861</v>
      </c>
      <c r="C10645" s="29" t="s">
        <v>26592</v>
      </c>
      <c r="D10645" s="29" t="s">
        <v>40055</v>
      </c>
      <c r="E10645" s="29" t="s">
        <v>51766</v>
      </c>
      <c r="F10645" s="36" t="s">
        <v>54401</v>
      </c>
      <c r="G10645" s="39">
        <v>419109.56</v>
      </c>
      <c r="H10645" s="42">
        <v>211</v>
      </c>
    </row>
    <row r="10646" spans="1:8" ht="15" customHeight="1">
      <c r="A10646" s="26">
        <v>1052314963</v>
      </c>
      <c r="B10646" s="29" t="s">
        <v>12862</v>
      </c>
      <c r="C10646" s="29" t="s">
        <v>26593</v>
      </c>
      <c r="D10646" s="29" t="s">
        <v>40056</v>
      </c>
      <c r="E10646" s="29" t="s">
        <v>51767</v>
      </c>
      <c r="F10646" s="36" t="s">
        <v>54401</v>
      </c>
      <c r="G10646" s="39">
        <v>3975899.77</v>
      </c>
      <c r="H10646" s="42">
        <v>211</v>
      </c>
    </row>
    <row r="10647" spans="1:8" ht="15" customHeight="1">
      <c r="A10647" s="26">
        <v>1052314994</v>
      </c>
      <c r="B10647" s="29" t="s">
        <v>12863</v>
      </c>
      <c r="C10647" s="29" t="s">
        <v>26594</v>
      </c>
      <c r="D10647" s="29" t="s">
        <v>40057</v>
      </c>
      <c r="E10647" s="29" t="s">
        <v>44313</v>
      </c>
      <c r="F10647" s="36" t="s">
        <v>54401</v>
      </c>
      <c r="G10647" s="39">
        <v>1477135.43</v>
      </c>
      <c r="H10647" s="42">
        <v>211</v>
      </c>
    </row>
    <row r="10648" spans="1:8" ht="15" customHeight="1">
      <c r="A10648" s="26">
        <v>1052335074</v>
      </c>
      <c r="B10648" s="29" t="s">
        <v>12864</v>
      </c>
      <c r="C10648" s="29" t="s">
        <v>26595</v>
      </c>
      <c r="D10648" s="29" t="s">
        <v>40058</v>
      </c>
      <c r="E10648" s="29" t="s">
        <v>51768</v>
      </c>
      <c r="F10648" s="36" t="s">
        <v>54401</v>
      </c>
      <c r="G10648" s="39">
        <v>1028109.62</v>
      </c>
      <c r="H10648" s="42">
        <v>211</v>
      </c>
    </row>
    <row r="10649" spans="1:8" ht="15" customHeight="1">
      <c r="A10649" s="26">
        <v>1052338044</v>
      </c>
      <c r="B10649" s="29" t="s">
        <v>12865</v>
      </c>
      <c r="C10649" s="29" t="s">
        <v>26596</v>
      </c>
      <c r="D10649" s="29" t="s">
        <v>40059</v>
      </c>
      <c r="E10649" s="29" t="s">
        <v>51769</v>
      </c>
      <c r="F10649" s="36" t="s">
        <v>54401</v>
      </c>
      <c r="G10649" s="39">
        <v>5323869</v>
      </c>
      <c r="H10649" s="42">
        <v>211</v>
      </c>
    </row>
    <row r="10650" spans="1:8" ht="15" customHeight="1">
      <c r="A10650" s="26">
        <v>1052356559</v>
      </c>
      <c r="B10650" s="29" t="s">
        <v>12383</v>
      </c>
      <c r="C10650" s="29" t="s">
        <v>26597</v>
      </c>
      <c r="D10650" s="29" t="s">
        <v>39634</v>
      </c>
      <c r="E10650" s="29" t="s">
        <v>51770</v>
      </c>
      <c r="F10650" s="36" t="s">
        <v>54423</v>
      </c>
      <c r="G10650" s="39">
        <v>354635</v>
      </c>
      <c r="H10650" s="42">
        <v>211</v>
      </c>
    </row>
    <row r="10651" spans="1:8" ht="15" customHeight="1">
      <c r="A10651" s="26">
        <v>1052358483</v>
      </c>
      <c r="B10651" s="29" t="s">
        <v>12866</v>
      </c>
      <c r="C10651" s="29" t="s">
        <v>26598</v>
      </c>
      <c r="D10651" s="29" t="s">
        <v>40060</v>
      </c>
      <c r="E10651" s="29" t="s">
        <v>51771</v>
      </c>
      <c r="F10651" s="36" t="s">
        <v>54401</v>
      </c>
      <c r="G10651" s="39">
        <v>4312334</v>
      </c>
      <c r="H10651" s="42">
        <v>211</v>
      </c>
    </row>
    <row r="10652" spans="1:8" ht="15" customHeight="1">
      <c r="A10652" s="26">
        <v>1052378045</v>
      </c>
      <c r="B10652" s="29" t="s">
        <v>12867</v>
      </c>
      <c r="C10652" s="29" t="s">
        <v>26599</v>
      </c>
      <c r="D10652" s="29" t="s">
        <v>40061</v>
      </c>
      <c r="E10652" s="29" t="s">
        <v>51772</v>
      </c>
      <c r="F10652" s="36" t="s">
        <v>54401</v>
      </c>
      <c r="G10652" s="39">
        <v>1094089.82</v>
      </c>
      <c r="H10652" s="42">
        <v>211</v>
      </c>
    </row>
    <row r="10653" spans="1:8" ht="15" customHeight="1">
      <c r="A10653" s="26">
        <v>1052378142</v>
      </c>
      <c r="B10653" s="29" t="s">
        <v>12868</v>
      </c>
      <c r="C10653" s="29" t="s">
        <v>26600</v>
      </c>
      <c r="D10653" s="29" t="s">
        <v>31265</v>
      </c>
      <c r="E10653" s="29" t="s">
        <v>49360</v>
      </c>
      <c r="F10653" s="36" t="s">
        <v>54401</v>
      </c>
      <c r="G10653" s="39">
        <v>594130.13</v>
      </c>
      <c r="H10653" s="42">
        <v>211</v>
      </c>
    </row>
    <row r="10654" spans="1:8" ht="15" customHeight="1">
      <c r="A10654" s="26">
        <v>1052378177</v>
      </c>
      <c r="B10654" s="29" t="s">
        <v>12869</v>
      </c>
      <c r="C10654" s="26" t="s">
        <v>17204</v>
      </c>
      <c r="D10654" s="26" t="s">
        <v>38299</v>
      </c>
      <c r="E10654" s="26" t="s">
        <v>43926</v>
      </c>
      <c r="F10654" s="37" t="s">
        <v>54401</v>
      </c>
      <c r="G10654" s="39">
        <v>96863.2</v>
      </c>
      <c r="H10654" s="42">
        <v>211</v>
      </c>
    </row>
    <row r="10655" spans="1:8" ht="15" customHeight="1">
      <c r="A10655" s="26">
        <v>1052378185</v>
      </c>
      <c r="B10655" s="29" t="s">
        <v>12870</v>
      </c>
      <c r="C10655" s="29" t="s">
        <v>26601</v>
      </c>
      <c r="D10655" s="29" t="s">
        <v>40062</v>
      </c>
      <c r="E10655" s="29" t="s">
        <v>51773</v>
      </c>
      <c r="F10655" s="36" t="s">
        <v>54401</v>
      </c>
      <c r="G10655" s="39">
        <v>261942.67</v>
      </c>
      <c r="H10655" s="42">
        <v>211</v>
      </c>
    </row>
    <row r="10656" spans="1:8" ht="15" customHeight="1">
      <c r="A10656" s="26">
        <v>1052378193</v>
      </c>
      <c r="B10656" s="29" t="s">
        <v>12871</v>
      </c>
      <c r="C10656" s="29" t="s">
        <v>26602</v>
      </c>
      <c r="D10656" s="29" t="s">
        <v>40063</v>
      </c>
      <c r="E10656" s="29" t="s">
        <v>44911</v>
      </c>
      <c r="F10656" s="36" t="s">
        <v>54401</v>
      </c>
      <c r="G10656" s="39">
        <v>896190.48</v>
      </c>
      <c r="H10656" s="42">
        <v>211</v>
      </c>
    </row>
    <row r="10657" spans="1:8" ht="15" customHeight="1">
      <c r="A10657" s="26">
        <v>1052378203</v>
      </c>
      <c r="B10657" s="29" t="s">
        <v>12872</v>
      </c>
      <c r="C10657" s="29" t="s">
        <v>26603</v>
      </c>
      <c r="D10657" s="29" t="s">
        <v>40064</v>
      </c>
      <c r="E10657" s="29" t="s">
        <v>47389</v>
      </c>
      <c r="F10657" s="36" t="s">
        <v>54401</v>
      </c>
      <c r="G10657" s="39">
        <v>261166.53</v>
      </c>
      <c r="H10657" s="42">
        <v>211</v>
      </c>
    </row>
    <row r="10658" spans="1:8" ht="15" customHeight="1">
      <c r="A10658" s="26">
        <v>1052378228</v>
      </c>
      <c r="B10658" s="29" t="s">
        <v>12873</v>
      </c>
      <c r="C10658" s="26" t="s">
        <v>26604</v>
      </c>
      <c r="D10658" s="26" t="s">
        <v>40065</v>
      </c>
      <c r="E10658" s="26" t="s">
        <v>51774</v>
      </c>
      <c r="F10658" s="37" t="s">
        <v>54401</v>
      </c>
      <c r="G10658" s="39">
        <v>809411.41</v>
      </c>
      <c r="H10658" s="42">
        <v>211</v>
      </c>
    </row>
    <row r="10659" spans="1:8" ht="15" customHeight="1">
      <c r="A10659" s="26">
        <v>1052378233</v>
      </c>
      <c r="B10659" s="29" t="s">
        <v>12874</v>
      </c>
      <c r="C10659" s="26" t="s">
        <v>26605</v>
      </c>
      <c r="D10659" s="26" t="s">
        <v>40066</v>
      </c>
      <c r="E10659" s="26" t="s">
        <v>51775</v>
      </c>
      <c r="F10659" s="37" t="s">
        <v>54401</v>
      </c>
      <c r="G10659" s="39">
        <v>65491.68</v>
      </c>
      <c r="H10659" s="42">
        <v>211</v>
      </c>
    </row>
    <row r="10660" spans="1:8" ht="15" customHeight="1">
      <c r="A10660" s="26">
        <v>1052378246</v>
      </c>
      <c r="B10660" s="29" t="s">
        <v>12875</v>
      </c>
      <c r="C10660" s="26" t="s">
        <v>26606</v>
      </c>
      <c r="D10660" s="26" t="s">
        <v>40067</v>
      </c>
      <c r="E10660" s="26" t="s">
        <v>51776</v>
      </c>
      <c r="F10660" s="37" t="s">
        <v>54401</v>
      </c>
      <c r="G10660" s="39">
        <v>123100.78</v>
      </c>
      <c r="H10660" s="42">
        <v>211</v>
      </c>
    </row>
    <row r="10661" spans="1:8" ht="15" customHeight="1">
      <c r="A10661" s="26">
        <v>1052378280</v>
      </c>
      <c r="B10661" s="29" t="s">
        <v>12876</v>
      </c>
      <c r="C10661" s="29" t="s">
        <v>26607</v>
      </c>
      <c r="D10661" s="29" t="s">
        <v>40068</v>
      </c>
      <c r="E10661" s="29" t="s">
        <v>51777</v>
      </c>
      <c r="F10661" s="36" t="s">
        <v>54401</v>
      </c>
      <c r="G10661" s="39">
        <v>166600.29999999999</v>
      </c>
      <c r="H10661" s="42">
        <v>211</v>
      </c>
    </row>
    <row r="10662" spans="1:8" ht="15" customHeight="1">
      <c r="A10662" s="26">
        <v>1052378286</v>
      </c>
      <c r="B10662" s="29" t="s">
        <v>12877</v>
      </c>
      <c r="C10662" s="29" t="s">
        <v>26608</v>
      </c>
      <c r="D10662" s="29" t="s">
        <v>40069</v>
      </c>
      <c r="E10662" s="29" t="s">
        <v>51778</v>
      </c>
      <c r="F10662" s="36" t="s">
        <v>54401</v>
      </c>
      <c r="G10662" s="39">
        <v>2461631</v>
      </c>
      <c r="H10662" s="42">
        <v>211</v>
      </c>
    </row>
    <row r="10663" spans="1:8" ht="15" customHeight="1">
      <c r="A10663" s="26">
        <v>1052378292</v>
      </c>
      <c r="B10663" s="29" t="s">
        <v>12878</v>
      </c>
      <c r="C10663" s="26" t="s">
        <v>26609</v>
      </c>
      <c r="D10663" s="26" t="s">
        <v>40070</v>
      </c>
      <c r="E10663" s="26" t="s">
        <v>51779</v>
      </c>
      <c r="F10663" s="37" t="s">
        <v>54423</v>
      </c>
      <c r="G10663" s="39">
        <v>237491.21</v>
      </c>
      <c r="H10663" s="42">
        <v>211</v>
      </c>
    </row>
    <row r="10664" spans="1:8" ht="15" customHeight="1">
      <c r="A10664" s="26">
        <v>1052378296</v>
      </c>
      <c r="B10664" s="29" t="s">
        <v>12879</v>
      </c>
      <c r="C10664" s="26" t="s">
        <v>26610</v>
      </c>
      <c r="D10664" s="26" t="s">
        <v>40071</v>
      </c>
      <c r="E10664" s="26" t="s">
        <v>51780</v>
      </c>
      <c r="F10664" s="37" t="s">
        <v>54401</v>
      </c>
      <c r="G10664" s="39">
        <v>16736.13</v>
      </c>
      <c r="H10664" s="42">
        <v>211</v>
      </c>
    </row>
    <row r="10665" spans="1:8" ht="15" customHeight="1">
      <c r="A10665" s="26">
        <v>1052378320</v>
      </c>
      <c r="B10665" s="29" t="s">
        <v>12880</v>
      </c>
      <c r="C10665" s="29" t="s">
        <v>26611</v>
      </c>
      <c r="D10665" s="29" t="s">
        <v>40072</v>
      </c>
      <c r="E10665" s="29" t="s">
        <v>51781</v>
      </c>
      <c r="F10665" s="36" t="s">
        <v>54401</v>
      </c>
      <c r="G10665" s="39">
        <v>1964250</v>
      </c>
      <c r="H10665" s="42">
        <v>211</v>
      </c>
    </row>
    <row r="10666" spans="1:8" ht="15" customHeight="1">
      <c r="A10666" s="26">
        <v>1052378327</v>
      </c>
      <c r="B10666" s="29" t="s">
        <v>12881</v>
      </c>
      <c r="C10666" s="26" t="s">
        <v>26612</v>
      </c>
      <c r="D10666" s="26" t="s">
        <v>40073</v>
      </c>
      <c r="E10666" s="26" t="s">
        <v>51782</v>
      </c>
      <c r="F10666" s="37" t="s">
        <v>54401</v>
      </c>
      <c r="G10666" s="39">
        <v>1388403.65</v>
      </c>
      <c r="H10666" s="42">
        <v>211</v>
      </c>
    </row>
    <row r="10667" spans="1:8" ht="15" customHeight="1">
      <c r="A10667" s="26">
        <v>1052378330</v>
      </c>
      <c r="B10667" s="29" t="s">
        <v>12882</v>
      </c>
      <c r="C10667" s="29" t="s">
        <v>26613</v>
      </c>
      <c r="D10667" s="29" t="s">
        <v>40074</v>
      </c>
      <c r="E10667" s="29" t="s">
        <v>51783</v>
      </c>
      <c r="F10667" s="36" t="s">
        <v>54401</v>
      </c>
      <c r="G10667" s="39">
        <v>45016.639999999999</v>
      </c>
      <c r="H10667" s="42">
        <v>211</v>
      </c>
    </row>
    <row r="10668" spans="1:8" ht="15" customHeight="1">
      <c r="A10668" s="26">
        <v>1052378337</v>
      </c>
      <c r="B10668" s="29" t="s">
        <v>12883</v>
      </c>
      <c r="C10668" s="29" t="s">
        <v>26614</v>
      </c>
      <c r="D10668" s="29" t="s">
        <v>40075</v>
      </c>
      <c r="E10668" s="29" t="s">
        <v>43926</v>
      </c>
      <c r="F10668" s="36" t="s">
        <v>54401</v>
      </c>
      <c r="G10668" s="39">
        <v>132391.43</v>
      </c>
      <c r="H10668" s="42">
        <v>211</v>
      </c>
    </row>
    <row r="10669" spans="1:8" ht="15" customHeight="1">
      <c r="A10669" s="26">
        <v>1052378350</v>
      </c>
      <c r="B10669" s="29" t="s">
        <v>12884</v>
      </c>
      <c r="C10669" s="29" t="s">
        <v>26615</v>
      </c>
      <c r="D10669" s="29" t="s">
        <v>40076</v>
      </c>
      <c r="E10669" s="29" t="s">
        <v>44019</v>
      </c>
      <c r="F10669" s="36" t="s">
        <v>54401</v>
      </c>
      <c r="G10669" s="39">
        <v>671243.12</v>
      </c>
      <c r="H10669" s="42">
        <v>211</v>
      </c>
    </row>
    <row r="10670" spans="1:8" ht="15" customHeight="1">
      <c r="A10670" s="26">
        <v>1052378374</v>
      </c>
      <c r="B10670" s="29" t="s">
        <v>12885</v>
      </c>
      <c r="C10670" s="26" t="s">
        <v>26616</v>
      </c>
      <c r="D10670" s="26" t="s">
        <v>30376</v>
      </c>
      <c r="E10670" s="26" t="s">
        <v>51784</v>
      </c>
      <c r="F10670" s="37" t="s">
        <v>54401</v>
      </c>
      <c r="G10670" s="39">
        <v>365356.59</v>
      </c>
      <c r="H10670" s="42">
        <v>211</v>
      </c>
    </row>
    <row r="10671" spans="1:8" ht="15" customHeight="1">
      <c r="A10671" s="26">
        <v>1052378381</v>
      </c>
      <c r="B10671" s="29" t="s">
        <v>12886</v>
      </c>
      <c r="C10671" s="29" t="s">
        <v>26617</v>
      </c>
      <c r="D10671" s="29" t="s">
        <v>40077</v>
      </c>
      <c r="E10671" s="29" t="s">
        <v>51785</v>
      </c>
      <c r="F10671" s="36" t="s">
        <v>54402</v>
      </c>
      <c r="G10671" s="39">
        <v>42222.71</v>
      </c>
      <c r="H10671" s="42">
        <v>211</v>
      </c>
    </row>
    <row r="10672" spans="1:8" ht="15" customHeight="1">
      <c r="A10672" s="26">
        <v>1052378387</v>
      </c>
      <c r="B10672" s="29" t="s">
        <v>12887</v>
      </c>
      <c r="C10672" s="29" t="s">
        <v>26618</v>
      </c>
      <c r="D10672" s="29" t="s">
        <v>40078</v>
      </c>
      <c r="E10672" s="29" t="s">
        <v>51786</v>
      </c>
      <c r="F10672" s="36" t="s">
        <v>54401</v>
      </c>
      <c r="G10672" s="39">
        <v>3251761.42</v>
      </c>
      <c r="H10672" s="42">
        <v>211</v>
      </c>
    </row>
    <row r="10673" spans="1:8" ht="15" customHeight="1">
      <c r="A10673" s="26">
        <v>1052378405</v>
      </c>
      <c r="B10673" s="29" t="s">
        <v>12888</v>
      </c>
      <c r="C10673" s="29" t="s">
        <v>17204</v>
      </c>
      <c r="D10673" s="29" t="s">
        <v>30349</v>
      </c>
      <c r="E10673" s="29" t="s">
        <v>43926</v>
      </c>
      <c r="F10673" s="36" t="s">
        <v>54401</v>
      </c>
      <c r="G10673" s="39">
        <v>73867.23</v>
      </c>
      <c r="H10673" s="42">
        <v>211</v>
      </c>
    </row>
    <row r="10674" spans="1:8" ht="15" customHeight="1">
      <c r="A10674" s="26">
        <v>1052378415</v>
      </c>
      <c r="B10674" s="29" t="s">
        <v>12889</v>
      </c>
      <c r="C10674" s="29" t="s">
        <v>17204</v>
      </c>
      <c r="D10674" s="29" t="s">
        <v>40079</v>
      </c>
      <c r="E10674" s="29" t="s">
        <v>43926</v>
      </c>
      <c r="F10674" s="36" t="s">
        <v>54401</v>
      </c>
      <c r="G10674" s="39">
        <v>43865.53</v>
      </c>
      <c r="H10674" s="42">
        <v>211</v>
      </c>
    </row>
    <row r="10675" spans="1:8" ht="15" customHeight="1">
      <c r="A10675" s="26">
        <v>1052378418</v>
      </c>
      <c r="B10675" s="29" t="s">
        <v>12890</v>
      </c>
      <c r="C10675" s="29" t="s">
        <v>17204</v>
      </c>
      <c r="D10675" s="29" t="s">
        <v>40080</v>
      </c>
      <c r="E10675" s="29" t="s">
        <v>43926</v>
      </c>
      <c r="F10675" s="36" t="s">
        <v>54401</v>
      </c>
      <c r="G10675" s="39">
        <v>66292.929999999993</v>
      </c>
      <c r="H10675" s="42">
        <v>211</v>
      </c>
    </row>
    <row r="10676" spans="1:8" ht="15" customHeight="1">
      <c r="A10676" s="26">
        <v>1052378422</v>
      </c>
      <c r="B10676" s="29" t="s">
        <v>12891</v>
      </c>
      <c r="C10676" s="29" t="s">
        <v>26619</v>
      </c>
      <c r="D10676" s="29" t="s">
        <v>40081</v>
      </c>
      <c r="E10676" s="29" t="s">
        <v>51787</v>
      </c>
      <c r="F10676" s="36" t="s">
        <v>54401</v>
      </c>
      <c r="G10676" s="39">
        <v>609513.72</v>
      </c>
      <c r="H10676" s="42">
        <v>211</v>
      </c>
    </row>
    <row r="10677" spans="1:8" ht="15" customHeight="1">
      <c r="A10677" s="26">
        <v>1052378425</v>
      </c>
      <c r="B10677" s="29" t="s">
        <v>12892</v>
      </c>
      <c r="C10677" s="26" t="s">
        <v>26620</v>
      </c>
      <c r="D10677" s="26" t="s">
        <v>40082</v>
      </c>
      <c r="E10677" s="26" t="s">
        <v>51788</v>
      </c>
      <c r="F10677" s="37" t="s">
        <v>54401</v>
      </c>
      <c r="G10677" s="39">
        <v>3539531.1</v>
      </c>
      <c r="H10677" s="42">
        <v>211</v>
      </c>
    </row>
    <row r="10678" spans="1:8" ht="15" customHeight="1">
      <c r="A10678" s="26">
        <v>1052378431</v>
      </c>
      <c r="B10678" s="29" t="s">
        <v>12893</v>
      </c>
      <c r="C10678" s="26" t="s">
        <v>26621</v>
      </c>
      <c r="D10678" s="26" t="s">
        <v>40083</v>
      </c>
      <c r="E10678" s="26" t="s">
        <v>51789</v>
      </c>
      <c r="F10678" s="37" t="s">
        <v>54401</v>
      </c>
      <c r="G10678" s="39">
        <v>153643.97</v>
      </c>
      <c r="H10678" s="42">
        <v>211</v>
      </c>
    </row>
    <row r="10679" spans="1:8" ht="15" customHeight="1">
      <c r="A10679" s="26">
        <v>1052378437</v>
      </c>
      <c r="B10679" s="29" t="s">
        <v>12894</v>
      </c>
      <c r="C10679" s="29" t="s">
        <v>26622</v>
      </c>
      <c r="D10679" s="29" t="s">
        <v>40084</v>
      </c>
      <c r="E10679" s="29" t="s">
        <v>51790</v>
      </c>
      <c r="F10679" s="36" t="s">
        <v>54401</v>
      </c>
      <c r="G10679" s="39">
        <v>3553418.26</v>
      </c>
      <c r="H10679" s="42">
        <v>211</v>
      </c>
    </row>
    <row r="10680" spans="1:8" ht="15" customHeight="1">
      <c r="A10680" s="26">
        <v>1052378445</v>
      </c>
      <c r="B10680" s="29" t="s">
        <v>12895</v>
      </c>
      <c r="C10680" s="29" t="s">
        <v>26623</v>
      </c>
      <c r="D10680" s="29" t="s">
        <v>40085</v>
      </c>
      <c r="E10680" s="29" t="s">
        <v>44337</v>
      </c>
      <c r="F10680" s="36" t="s">
        <v>54401</v>
      </c>
      <c r="G10680" s="39">
        <v>9697692.3200000003</v>
      </c>
      <c r="H10680" s="42">
        <v>211</v>
      </c>
    </row>
    <row r="10681" spans="1:8" ht="15" customHeight="1">
      <c r="A10681" s="26">
        <v>1052378458</v>
      </c>
      <c r="B10681" s="29" t="s">
        <v>12896</v>
      </c>
      <c r="C10681" s="29" t="s">
        <v>26624</v>
      </c>
      <c r="D10681" s="29" t="s">
        <v>40086</v>
      </c>
      <c r="E10681" s="29" t="s">
        <v>51791</v>
      </c>
      <c r="F10681" s="36" t="s">
        <v>54401</v>
      </c>
      <c r="G10681" s="39">
        <v>269276.53000000003</v>
      </c>
      <c r="H10681" s="42">
        <v>211</v>
      </c>
    </row>
    <row r="10682" spans="1:8" ht="15" customHeight="1">
      <c r="A10682" s="26">
        <v>1052378466</v>
      </c>
      <c r="B10682" s="29" t="s">
        <v>12897</v>
      </c>
      <c r="C10682" s="29" t="s">
        <v>26625</v>
      </c>
      <c r="D10682" s="29" t="s">
        <v>40087</v>
      </c>
      <c r="E10682" s="29" t="s">
        <v>45314</v>
      </c>
      <c r="F10682" s="36" t="s">
        <v>54401</v>
      </c>
      <c r="G10682" s="39">
        <v>491049.9</v>
      </c>
      <c r="H10682" s="42">
        <v>211</v>
      </c>
    </row>
    <row r="10683" spans="1:8" ht="15" customHeight="1">
      <c r="A10683" s="26">
        <v>1052378484</v>
      </c>
      <c r="B10683" s="29" t="s">
        <v>12898</v>
      </c>
      <c r="C10683" s="29" t="s">
        <v>26626</v>
      </c>
      <c r="D10683" s="29" t="s">
        <v>40088</v>
      </c>
      <c r="E10683" s="29" t="s">
        <v>43926</v>
      </c>
      <c r="F10683" s="36" t="s">
        <v>54401</v>
      </c>
      <c r="G10683" s="39">
        <v>70780.98</v>
      </c>
      <c r="H10683" s="42">
        <v>211</v>
      </c>
    </row>
    <row r="10684" spans="1:8" ht="15" customHeight="1">
      <c r="A10684" s="26">
        <v>1052378522</v>
      </c>
      <c r="B10684" s="29" t="s">
        <v>12899</v>
      </c>
      <c r="C10684" s="29" t="s">
        <v>26627</v>
      </c>
      <c r="D10684" s="29" t="s">
        <v>40089</v>
      </c>
      <c r="E10684" s="29" t="s">
        <v>51792</v>
      </c>
      <c r="F10684" s="36" t="s">
        <v>54401</v>
      </c>
      <c r="G10684" s="39">
        <v>315052.71999999997</v>
      </c>
      <c r="H10684" s="42">
        <v>211</v>
      </c>
    </row>
    <row r="10685" spans="1:8" ht="15" customHeight="1">
      <c r="A10685" s="26">
        <v>1052378530</v>
      </c>
      <c r="B10685" s="29" t="s">
        <v>12900</v>
      </c>
      <c r="C10685" s="29" t="s">
        <v>26628</v>
      </c>
      <c r="D10685" s="29" t="s">
        <v>40090</v>
      </c>
      <c r="E10685" s="29" t="s">
        <v>51793</v>
      </c>
      <c r="F10685" s="36" t="s">
        <v>54401</v>
      </c>
      <c r="G10685" s="39">
        <v>751155.95</v>
      </c>
      <c r="H10685" s="42">
        <v>211</v>
      </c>
    </row>
    <row r="10686" spans="1:8" ht="15" customHeight="1">
      <c r="A10686" s="26">
        <v>1052378544</v>
      </c>
      <c r="B10686" s="29" t="s">
        <v>12901</v>
      </c>
      <c r="C10686" s="29" t="s">
        <v>26629</v>
      </c>
      <c r="D10686" s="29" t="s">
        <v>40091</v>
      </c>
      <c r="E10686" s="29" t="s">
        <v>47370</v>
      </c>
      <c r="F10686" s="36" t="s">
        <v>54401</v>
      </c>
      <c r="G10686" s="39">
        <v>157174.94</v>
      </c>
      <c r="H10686" s="42">
        <v>211</v>
      </c>
    </row>
    <row r="10687" spans="1:8" ht="15" customHeight="1">
      <c r="A10687" s="26">
        <v>1052378562</v>
      </c>
      <c r="B10687" s="29" t="s">
        <v>12902</v>
      </c>
      <c r="C10687" s="29" t="s">
        <v>17204</v>
      </c>
      <c r="D10687" s="29" t="s">
        <v>30349</v>
      </c>
      <c r="E10687" s="29" t="s">
        <v>43926</v>
      </c>
      <c r="F10687" s="36" t="s">
        <v>54401</v>
      </c>
      <c r="G10687" s="39">
        <v>449440.23</v>
      </c>
      <c r="H10687" s="42">
        <v>211</v>
      </c>
    </row>
    <row r="10688" spans="1:8" ht="15" customHeight="1">
      <c r="A10688" s="26">
        <v>1052378602</v>
      </c>
      <c r="B10688" s="29" t="s">
        <v>12903</v>
      </c>
      <c r="C10688" s="29" t="s">
        <v>26630</v>
      </c>
      <c r="D10688" s="29" t="s">
        <v>40092</v>
      </c>
      <c r="E10688" s="29" t="s">
        <v>51794</v>
      </c>
      <c r="F10688" s="36" t="s">
        <v>54401</v>
      </c>
      <c r="G10688" s="39">
        <v>924216.74</v>
      </c>
      <c r="H10688" s="42">
        <v>211</v>
      </c>
    </row>
    <row r="10689" spans="1:8" ht="15" customHeight="1">
      <c r="A10689" s="26">
        <v>1052378629</v>
      </c>
      <c r="B10689" s="29" t="s">
        <v>12904</v>
      </c>
      <c r="C10689" s="29" t="s">
        <v>26631</v>
      </c>
      <c r="D10689" s="29" t="s">
        <v>40093</v>
      </c>
      <c r="E10689" s="29" t="s">
        <v>51795</v>
      </c>
      <c r="F10689" s="36" t="s">
        <v>54401</v>
      </c>
      <c r="G10689" s="39">
        <v>2810453</v>
      </c>
      <c r="H10689" s="42">
        <v>211</v>
      </c>
    </row>
    <row r="10690" spans="1:8" ht="15" customHeight="1">
      <c r="A10690" s="26">
        <v>1052378651</v>
      </c>
      <c r="B10690" s="29" t="s">
        <v>12905</v>
      </c>
      <c r="C10690" s="29" t="s">
        <v>26632</v>
      </c>
      <c r="D10690" s="29" t="s">
        <v>40094</v>
      </c>
      <c r="E10690" s="29" t="s">
        <v>51796</v>
      </c>
      <c r="F10690" s="36" t="s">
        <v>54401</v>
      </c>
      <c r="G10690" s="39">
        <v>285287.56</v>
      </c>
      <c r="H10690" s="42">
        <v>211</v>
      </c>
    </row>
    <row r="10691" spans="1:8" ht="15" customHeight="1">
      <c r="A10691" s="26">
        <v>1052378656</v>
      </c>
      <c r="B10691" s="29" t="s">
        <v>12906</v>
      </c>
      <c r="C10691" s="29" t="s">
        <v>26633</v>
      </c>
      <c r="D10691" s="29" t="s">
        <v>40095</v>
      </c>
      <c r="E10691" s="29" t="s">
        <v>51797</v>
      </c>
      <c r="F10691" s="36" t="s">
        <v>54401</v>
      </c>
      <c r="G10691" s="39">
        <v>311243.7</v>
      </c>
      <c r="H10691" s="42">
        <v>211</v>
      </c>
    </row>
    <row r="10692" spans="1:8" ht="15" customHeight="1">
      <c r="A10692" s="26">
        <v>1052378687</v>
      </c>
      <c r="B10692" s="29" t="s">
        <v>12907</v>
      </c>
      <c r="C10692" s="29" t="s">
        <v>17204</v>
      </c>
      <c r="D10692" s="29" t="s">
        <v>30349</v>
      </c>
      <c r="E10692" s="29" t="s">
        <v>43926</v>
      </c>
      <c r="F10692" s="36" t="s">
        <v>54401</v>
      </c>
      <c r="G10692" s="39">
        <v>345834.77</v>
      </c>
      <c r="H10692" s="42">
        <v>211</v>
      </c>
    </row>
    <row r="10693" spans="1:8" ht="15" customHeight="1">
      <c r="A10693" s="26">
        <v>1052378693</v>
      </c>
      <c r="B10693" s="29" t="s">
        <v>12908</v>
      </c>
      <c r="C10693" s="29" t="s">
        <v>17204</v>
      </c>
      <c r="D10693" s="29" t="s">
        <v>30349</v>
      </c>
      <c r="E10693" s="29" t="s">
        <v>43926</v>
      </c>
      <c r="F10693" s="36" t="s">
        <v>54401</v>
      </c>
      <c r="G10693" s="39">
        <v>238138.63</v>
      </c>
      <c r="H10693" s="42">
        <v>211</v>
      </c>
    </row>
    <row r="10694" spans="1:8" ht="15" customHeight="1">
      <c r="A10694" s="26">
        <v>1052378698</v>
      </c>
      <c r="B10694" s="29" t="s">
        <v>12909</v>
      </c>
      <c r="C10694" s="29" t="s">
        <v>26634</v>
      </c>
      <c r="D10694" s="29" t="s">
        <v>30376</v>
      </c>
      <c r="E10694" s="29" t="s">
        <v>47572</v>
      </c>
      <c r="F10694" s="36" t="s">
        <v>54401</v>
      </c>
      <c r="G10694" s="39">
        <v>2140887</v>
      </c>
      <c r="H10694" s="42">
        <v>211</v>
      </c>
    </row>
    <row r="10695" spans="1:8" ht="15" customHeight="1">
      <c r="A10695" s="26">
        <v>1052378724</v>
      </c>
      <c r="B10695" s="29" t="s">
        <v>12910</v>
      </c>
      <c r="C10695" s="29" t="s">
        <v>26635</v>
      </c>
      <c r="D10695" s="29" t="s">
        <v>40096</v>
      </c>
      <c r="E10695" s="29" t="s">
        <v>51798</v>
      </c>
      <c r="F10695" s="36" t="s">
        <v>54401</v>
      </c>
      <c r="G10695" s="39">
        <v>11700</v>
      </c>
      <c r="H10695" s="42">
        <v>211</v>
      </c>
    </row>
    <row r="10696" spans="1:8" ht="15" customHeight="1">
      <c r="A10696" s="26">
        <v>1052378727</v>
      </c>
      <c r="B10696" s="29" t="s">
        <v>12911</v>
      </c>
      <c r="C10696" s="29" t="s">
        <v>26636</v>
      </c>
      <c r="D10696" s="29" t="s">
        <v>40097</v>
      </c>
      <c r="E10696" s="29" t="s">
        <v>45285</v>
      </c>
      <c r="F10696" s="36" t="s">
        <v>54401</v>
      </c>
      <c r="G10696" s="39">
        <v>31720.67</v>
      </c>
      <c r="H10696" s="42">
        <v>211</v>
      </c>
    </row>
    <row r="10697" spans="1:8" ht="15" customHeight="1">
      <c r="A10697" s="26">
        <v>1052378758</v>
      </c>
      <c r="B10697" s="29" t="s">
        <v>12912</v>
      </c>
      <c r="C10697" s="29" t="s">
        <v>26637</v>
      </c>
      <c r="D10697" s="29" t="s">
        <v>40098</v>
      </c>
      <c r="E10697" s="29" t="s">
        <v>51799</v>
      </c>
      <c r="F10697" s="36" t="s">
        <v>54401</v>
      </c>
      <c r="G10697" s="39">
        <v>1513388.55</v>
      </c>
      <c r="H10697" s="42">
        <v>211</v>
      </c>
    </row>
    <row r="10698" spans="1:8" ht="15" customHeight="1">
      <c r="A10698" s="26">
        <v>1052378770</v>
      </c>
      <c r="B10698" s="29" t="s">
        <v>12913</v>
      </c>
      <c r="C10698" s="29" t="s">
        <v>26638</v>
      </c>
      <c r="D10698" s="29" t="s">
        <v>40099</v>
      </c>
      <c r="E10698" s="29" t="s">
        <v>45006</v>
      </c>
      <c r="F10698" s="36" t="s">
        <v>54401</v>
      </c>
      <c r="G10698" s="39">
        <v>3944429</v>
      </c>
      <c r="H10698" s="42">
        <v>211</v>
      </c>
    </row>
    <row r="10699" spans="1:8" ht="15" customHeight="1">
      <c r="A10699" s="26">
        <v>1052378782</v>
      </c>
      <c r="B10699" s="29" t="s">
        <v>12914</v>
      </c>
      <c r="C10699" s="26" t="s">
        <v>26639</v>
      </c>
      <c r="D10699" s="26" t="s">
        <v>40100</v>
      </c>
      <c r="E10699" s="26" t="s">
        <v>51800</v>
      </c>
      <c r="F10699" s="37" t="s">
        <v>54401</v>
      </c>
      <c r="G10699" s="39">
        <v>1903288.42</v>
      </c>
      <c r="H10699" s="42">
        <v>211</v>
      </c>
    </row>
    <row r="10700" spans="1:8" ht="15" customHeight="1">
      <c r="A10700" s="26">
        <v>1052378823</v>
      </c>
      <c r="B10700" s="29" t="s">
        <v>12915</v>
      </c>
      <c r="C10700" s="29" t="s">
        <v>17204</v>
      </c>
      <c r="D10700" s="29" t="s">
        <v>40101</v>
      </c>
      <c r="E10700" s="29" t="s">
        <v>43926</v>
      </c>
      <c r="F10700" s="36" t="s">
        <v>54401</v>
      </c>
      <c r="G10700" s="39">
        <v>914784.03</v>
      </c>
      <c r="H10700" s="42">
        <v>211</v>
      </c>
    </row>
    <row r="10701" spans="1:8" ht="15" customHeight="1">
      <c r="A10701" s="26">
        <v>1052378835</v>
      </c>
      <c r="B10701" s="29" t="s">
        <v>12916</v>
      </c>
      <c r="C10701" s="29" t="s">
        <v>26640</v>
      </c>
      <c r="D10701" s="29" t="s">
        <v>40102</v>
      </c>
      <c r="E10701" s="29" t="s">
        <v>51801</v>
      </c>
      <c r="F10701" s="36" t="s">
        <v>54401</v>
      </c>
      <c r="G10701" s="39">
        <v>1801145.08</v>
      </c>
      <c r="H10701" s="42">
        <v>211</v>
      </c>
    </row>
    <row r="10702" spans="1:8" ht="15" customHeight="1">
      <c r="A10702" s="26">
        <v>1052378865</v>
      </c>
      <c r="B10702" s="29" t="s">
        <v>12917</v>
      </c>
      <c r="C10702" s="29" t="s">
        <v>26641</v>
      </c>
      <c r="D10702" s="29" t="s">
        <v>40103</v>
      </c>
      <c r="E10702" s="29" t="s">
        <v>51802</v>
      </c>
      <c r="F10702" s="36" t="s">
        <v>54401</v>
      </c>
      <c r="G10702" s="39">
        <v>4100989</v>
      </c>
      <c r="H10702" s="42">
        <v>211</v>
      </c>
    </row>
    <row r="10703" spans="1:8" ht="15" customHeight="1">
      <c r="A10703" s="26">
        <v>1052378869</v>
      </c>
      <c r="B10703" s="29" t="s">
        <v>12918</v>
      </c>
      <c r="C10703" s="26" t="s">
        <v>26642</v>
      </c>
      <c r="D10703" s="26" t="s">
        <v>40104</v>
      </c>
      <c r="E10703" s="26" t="s">
        <v>43926</v>
      </c>
      <c r="F10703" s="37" t="s">
        <v>54401</v>
      </c>
      <c r="G10703" s="39">
        <v>79823.98</v>
      </c>
      <c r="H10703" s="42">
        <v>211</v>
      </c>
    </row>
    <row r="10704" spans="1:8" ht="15" customHeight="1">
      <c r="A10704" s="26">
        <v>1052378876</v>
      </c>
      <c r="B10704" s="29" t="s">
        <v>12919</v>
      </c>
      <c r="C10704" s="29" t="s">
        <v>26643</v>
      </c>
      <c r="D10704" s="29" t="s">
        <v>40105</v>
      </c>
      <c r="E10704" s="29" t="s">
        <v>45285</v>
      </c>
      <c r="F10704" s="36" t="s">
        <v>54401</v>
      </c>
      <c r="G10704" s="39">
        <v>2839607</v>
      </c>
      <c r="H10704" s="42">
        <v>211</v>
      </c>
    </row>
    <row r="10705" spans="1:8" ht="15" customHeight="1">
      <c r="A10705" s="26">
        <v>1052378879</v>
      </c>
      <c r="B10705" s="29" t="s">
        <v>12920</v>
      </c>
      <c r="C10705" s="29" t="s">
        <v>26644</v>
      </c>
      <c r="D10705" s="29" t="s">
        <v>40106</v>
      </c>
      <c r="E10705" s="29" t="s">
        <v>51803</v>
      </c>
      <c r="F10705" s="36" t="s">
        <v>54401</v>
      </c>
      <c r="G10705" s="39">
        <v>4750507.1900000004</v>
      </c>
      <c r="H10705" s="42">
        <v>211</v>
      </c>
    </row>
    <row r="10706" spans="1:8" ht="15" customHeight="1">
      <c r="A10706" s="26">
        <v>1052378885</v>
      </c>
      <c r="B10706" s="29" t="s">
        <v>12921</v>
      </c>
      <c r="C10706" s="29" t="s">
        <v>26645</v>
      </c>
      <c r="D10706" s="29" t="s">
        <v>40107</v>
      </c>
      <c r="E10706" s="29" t="s">
        <v>44327</v>
      </c>
      <c r="F10706" s="36" t="s">
        <v>54401</v>
      </c>
      <c r="G10706" s="39">
        <v>823435.88</v>
      </c>
      <c r="H10706" s="42">
        <v>211</v>
      </c>
    </row>
    <row r="10707" spans="1:8" ht="15" customHeight="1">
      <c r="A10707" s="26">
        <v>1052378920</v>
      </c>
      <c r="B10707" s="29" t="s">
        <v>12922</v>
      </c>
      <c r="C10707" s="29" t="s">
        <v>26646</v>
      </c>
      <c r="D10707" s="29" t="s">
        <v>40108</v>
      </c>
      <c r="E10707" s="29" t="s">
        <v>51804</v>
      </c>
      <c r="F10707" s="36" t="s">
        <v>54401</v>
      </c>
      <c r="G10707" s="39">
        <v>427912.52</v>
      </c>
      <c r="H10707" s="42">
        <v>211</v>
      </c>
    </row>
    <row r="10708" spans="1:8" ht="15" customHeight="1">
      <c r="A10708" s="26">
        <v>1052378922</v>
      </c>
      <c r="B10708" s="29" t="s">
        <v>12923</v>
      </c>
      <c r="C10708" s="29" t="s">
        <v>26647</v>
      </c>
      <c r="D10708" s="29" t="s">
        <v>40109</v>
      </c>
      <c r="E10708" s="29" t="s">
        <v>51805</v>
      </c>
      <c r="F10708" s="36" t="s">
        <v>54401</v>
      </c>
      <c r="G10708" s="39">
        <v>117173.84</v>
      </c>
      <c r="H10708" s="42">
        <v>211</v>
      </c>
    </row>
    <row r="10709" spans="1:8" ht="15" customHeight="1">
      <c r="A10709" s="26">
        <v>1052378929</v>
      </c>
      <c r="B10709" s="29" t="s">
        <v>12924</v>
      </c>
      <c r="C10709" s="29" t="s">
        <v>26648</v>
      </c>
      <c r="D10709" s="29" t="s">
        <v>39043</v>
      </c>
      <c r="E10709" s="29" t="s">
        <v>51806</v>
      </c>
      <c r="F10709" s="36" t="s">
        <v>54401</v>
      </c>
      <c r="G10709" s="39">
        <v>415369.61</v>
      </c>
      <c r="H10709" s="42">
        <v>211</v>
      </c>
    </row>
    <row r="10710" spans="1:8" ht="15" customHeight="1">
      <c r="A10710" s="26">
        <v>1052378958</v>
      </c>
      <c r="B10710" s="29" t="s">
        <v>12925</v>
      </c>
      <c r="C10710" s="29" t="s">
        <v>17204</v>
      </c>
      <c r="D10710" s="29" t="s">
        <v>30349</v>
      </c>
      <c r="E10710" s="29" t="s">
        <v>43926</v>
      </c>
      <c r="F10710" s="36" t="s">
        <v>54401</v>
      </c>
      <c r="G10710" s="39">
        <v>466359.4</v>
      </c>
      <c r="H10710" s="42">
        <v>211</v>
      </c>
    </row>
    <row r="10711" spans="1:8" ht="15" customHeight="1">
      <c r="A10711" s="26">
        <v>1052378997</v>
      </c>
      <c r="B10711" s="29" t="s">
        <v>12926</v>
      </c>
      <c r="C10711" s="29" t="s">
        <v>26649</v>
      </c>
      <c r="D10711" s="29" t="s">
        <v>40110</v>
      </c>
      <c r="E10711" s="29" t="s">
        <v>51807</v>
      </c>
      <c r="F10711" s="36" t="s">
        <v>54401</v>
      </c>
      <c r="G10711" s="39">
        <v>330118.98</v>
      </c>
      <c r="H10711" s="42">
        <v>211</v>
      </c>
    </row>
    <row r="10712" spans="1:8" ht="15" customHeight="1">
      <c r="A10712" s="26">
        <v>1052378999</v>
      </c>
      <c r="B10712" s="29" t="s">
        <v>12927</v>
      </c>
      <c r="C10712" s="29" t="s">
        <v>26650</v>
      </c>
      <c r="D10712" s="29" t="s">
        <v>40111</v>
      </c>
      <c r="E10712" s="29" t="s">
        <v>51808</v>
      </c>
      <c r="F10712" s="36" t="s">
        <v>54401</v>
      </c>
      <c r="G10712" s="39">
        <v>54247.41</v>
      </c>
      <c r="H10712" s="42">
        <v>211</v>
      </c>
    </row>
    <row r="10713" spans="1:8" ht="15" customHeight="1">
      <c r="A10713" s="26">
        <v>1052379024</v>
      </c>
      <c r="B10713" s="29" t="s">
        <v>12928</v>
      </c>
      <c r="C10713" s="29" t="s">
        <v>26651</v>
      </c>
      <c r="D10713" s="29" t="s">
        <v>40112</v>
      </c>
      <c r="E10713" s="29" t="s">
        <v>51809</v>
      </c>
      <c r="F10713" s="36" t="s">
        <v>54401</v>
      </c>
      <c r="G10713" s="39">
        <v>5214996.1399999997</v>
      </c>
      <c r="H10713" s="42">
        <v>211</v>
      </c>
    </row>
    <row r="10714" spans="1:8" ht="15" customHeight="1">
      <c r="A10714" s="26">
        <v>1052379032</v>
      </c>
      <c r="B10714" s="29" t="s">
        <v>12929</v>
      </c>
      <c r="C10714" s="29" t="s">
        <v>17204</v>
      </c>
      <c r="D10714" s="29" t="s">
        <v>30349</v>
      </c>
      <c r="E10714" s="29" t="s">
        <v>43926</v>
      </c>
      <c r="F10714" s="36" t="s">
        <v>54401</v>
      </c>
      <c r="G10714" s="39">
        <v>92190.720000000001</v>
      </c>
      <c r="H10714" s="42">
        <v>211</v>
      </c>
    </row>
    <row r="10715" spans="1:8" ht="15" customHeight="1">
      <c r="A10715" s="26">
        <v>1052379044</v>
      </c>
      <c r="B10715" s="29" t="s">
        <v>12930</v>
      </c>
      <c r="C10715" s="29" t="s">
        <v>26652</v>
      </c>
      <c r="D10715" s="29" t="s">
        <v>40113</v>
      </c>
      <c r="E10715" s="29" t="s">
        <v>51810</v>
      </c>
      <c r="F10715" s="36" t="s">
        <v>54401</v>
      </c>
      <c r="G10715" s="39">
        <v>6542916.8799999999</v>
      </c>
      <c r="H10715" s="42">
        <v>211</v>
      </c>
    </row>
    <row r="10716" spans="1:8" ht="15" customHeight="1">
      <c r="A10716" s="26">
        <v>1052379046</v>
      </c>
      <c r="B10716" s="29" t="s">
        <v>12931</v>
      </c>
      <c r="C10716" s="26" t="s">
        <v>26653</v>
      </c>
      <c r="D10716" s="26" t="s">
        <v>40114</v>
      </c>
      <c r="E10716" s="26" t="s">
        <v>51811</v>
      </c>
      <c r="F10716" s="37" t="s">
        <v>54401</v>
      </c>
      <c r="G10716" s="39">
        <v>382980.52</v>
      </c>
      <c r="H10716" s="42">
        <v>211</v>
      </c>
    </row>
    <row r="10717" spans="1:8" ht="15" customHeight="1">
      <c r="A10717" s="26">
        <v>1052379062</v>
      </c>
      <c r="B10717" s="29" t="s">
        <v>12932</v>
      </c>
      <c r="C10717" s="29" t="s">
        <v>26654</v>
      </c>
      <c r="D10717" s="29" t="s">
        <v>40115</v>
      </c>
      <c r="E10717" s="29" t="s">
        <v>44093</v>
      </c>
      <c r="F10717" s="36" t="s">
        <v>54401</v>
      </c>
      <c r="G10717" s="39">
        <v>1069799.71</v>
      </c>
      <c r="H10717" s="42">
        <v>211</v>
      </c>
    </row>
    <row r="10718" spans="1:8" ht="15" customHeight="1">
      <c r="A10718" s="26">
        <v>1052379109</v>
      </c>
      <c r="B10718" s="29" t="s">
        <v>12933</v>
      </c>
      <c r="C10718" s="29" t="s">
        <v>26655</v>
      </c>
      <c r="D10718" s="29" t="s">
        <v>40116</v>
      </c>
      <c r="E10718" s="29" t="s">
        <v>43926</v>
      </c>
      <c r="F10718" s="36" t="s">
        <v>54401</v>
      </c>
      <c r="G10718" s="39">
        <v>1074888.79</v>
      </c>
      <c r="H10718" s="42">
        <v>211</v>
      </c>
    </row>
    <row r="10719" spans="1:8" ht="15" customHeight="1">
      <c r="A10719" s="26">
        <v>1052379114</v>
      </c>
      <c r="B10719" s="29" t="s">
        <v>12934</v>
      </c>
      <c r="C10719" s="29" t="s">
        <v>26656</v>
      </c>
      <c r="D10719" s="29" t="s">
        <v>40117</v>
      </c>
      <c r="E10719" s="29" t="s">
        <v>51812</v>
      </c>
      <c r="F10719" s="36" t="s">
        <v>54401</v>
      </c>
      <c r="G10719" s="39">
        <v>1356595.15</v>
      </c>
      <c r="H10719" s="42">
        <v>211</v>
      </c>
    </row>
    <row r="10720" spans="1:8" ht="15" customHeight="1">
      <c r="A10720" s="26">
        <v>1052379120</v>
      </c>
      <c r="B10720" s="29" t="s">
        <v>12935</v>
      </c>
      <c r="C10720" s="29" t="s">
        <v>26657</v>
      </c>
      <c r="D10720" s="29" t="s">
        <v>40118</v>
      </c>
      <c r="E10720" s="29" t="s">
        <v>51813</v>
      </c>
      <c r="F10720" s="36" t="s">
        <v>54401</v>
      </c>
      <c r="G10720" s="39">
        <v>135874.01</v>
      </c>
      <c r="H10720" s="42">
        <v>211</v>
      </c>
    </row>
    <row r="10721" spans="1:8" ht="15" customHeight="1">
      <c r="A10721" s="26">
        <v>1052379131</v>
      </c>
      <c r="B10721" s="29" t="s">
        <v>12936</v>
      </c>
      <c r="C10721" s="29" t="s">
        <v>17204</v>
      </c>
      <c r="D10721" s="29" t="s">
        <v>40119</v>
      </c>
      <c r="E10721" s="29" t="s">
        <v>43926</v>
      </c>
      <c r="F10721" s="36" t="s">
        <v>54401</v>
      </c>
      <c r="G10721" s="39">
        <v>1578480.34</v>
      </c>
      <c r="H10721" s="42">
        <v>211</v>
      </c>
    </row>
    <row r="10722" spans="1:8" ht="15" customHeight="1">
      <c r="A10722" s="26">
        <v>1052379143</v>
      </c>
      <c r="B10722" s="29" t="s">
        <v>12937</v>
      </c>
      <c r="C10722" s="29" t="s">
        <v>26658</v>
      </c>
      <c r="D10722" s="29" t="s">
        <v>40120</v>
      </c>
      <c r="E10722" s="29" t="s">
        <v>51814</v>
      </c>
      <c r="F10722" s="36" t="s">
        <v>54401</v>
      </c>
      <c r="G10722" s="39">
        <v>1877481.19</v>
      </c>
      <c r="H10722" s="42">
        <v>211</v>
      </c>
    </row>
    <row r="10723" spans="1:8" ht="15" customHeight="1">
      <c r="A10723" s="26">
        <v>1052379147</v>
      </c>
      <c r="B10723" s="29" t="s">
        <v>12938</v>
      </c>
      <c r="C10723" s="29" t="s">
        <v>26659</v>
      </c>
      <c r="D10723" s="29" t="s">
        <v>40121</v>
      </c>
      <c r="E10723" s="29" t="s">
        <v>51815</v>
      </c>
      <c r="F10723" s="36" t="s">
        <v>54401</v>
      </c>
      <c r="G10723" s="39">
        <v>4364489.17</v>
      </c>
      <c r="H10723" s="42">
        <v>211</v>
      </c>
    </row>
    <row r="10724" spans="1:8" ht="15" customHeight="1">
      <c r="A10724" s="26">
        <v>1052379177</v>
      </c>
      <c r="B10724" s="29" t="s">
        <v>12939</v>
      </c>
      <c r="C10724" s="29" t="s">
        <v>17204</v>
      </c>
      <c r="D10724" s="29" t="s">
        <v>30349</v>
      </c>
      <c r="E10724" s="29" t="s">
        <v>43926</v>
      </c>
      <c r="F10724" s="36" t="s">
        <v>54401</v>
      </c>
      <c r="G10724" s="39">
        <v>1161623.69</v>
      </c>
      <c r="H10724" s="42">
        <v>211</v>
      </c>
    </row>
    <row r="10725" spans="1:8" ht="15" customHeight="1">
      <c r="A10725" s="26">
        <v>1052379200</v>
      </c>
      <c r="B10725" s="29" t="s">
        <v>12940</v>
      </c>
      <c r="C10725" s="29" t="s">
        <v>26660</v>
      </c>
      <c r="D10725" s="29" t="s">
        <v>40122</v>
      </c>
      <c r="E10725" s="29" t="s">
        <v>51816</v>
      </c>
      <c r="F10725" s="36" t="s">
        <v>54401</v>
      </c>
      <c r="G10725" s="39">
        <v>414183.84</v>
      </c>
      <c r="H10725" s="42">
        <v>211</v>
      </c>
    </row>
    <row r="10726" spans="1:8" ht="15" customHeight="1">
      <c r="A10726" s="26">
        <v>1052379245</v>
      </c>
      <c r="B10726" s="29" t="s">
        <v>12941</v>
      </c>
      <c r="C10726" s="29" t="s">
        <v>26661</v>
      </c>
      <c r="D10726" s="29" t="s">
        <v>40123</v>
      </c>
      <c r="E10726" s="29" t="s">
        <v>51817</v>
      </c>
      <c r="F10726" s="36" t="s">
        <v>54401</v>
      </c>
      <c r="G10726" s="39">
        <v>3153787.76</v>
      </c>
      <c r="H10726" s="42">
        <v>211</v>
      </c>
    </row>
    <row r="10727" spans="1:8" ht="15" customHeight="1">
      <c r="A10727" s="26">
        <v>1052379248</v>
      </c>
      <c r="B10727" s="29" t="s">
        <v>12942</v>
      </c>
      <c r="C10727" s="29" t="s">
        <v>17337</v>
      </c>
      <c r="D10727" s="29" t="s">
        <v>40124</v>
      </c>
      <c r="E10727" s="29" t="s">
        <v>43926</v>
      </c>
      <c r="F10727" s="36" t="s">
        <v>54401</v>
      </c>
      <c r="G10727" s="39">
        <v>199811.99</v>
      </c>
      <c r="H10727" s="42">
        <v>211</v>
      </c>
    </row>
    <row r="10728" spans="1:8" ht="15" customHeight="1">
      <c r="A10728" s="26">
        <v>1052379258</v>
      </c>
      <c r="B10728" s="29" t="s">
        <v>12943</v>
      </c>
      <c r="C10728" s="29" t="s">
        <v>26662</v>
      </c>
      <c r="D10728" s="29" t="s">
        <v>40125</v>
      </c>
      <c r="E10728" s="29" t="s">
        <v>51818</v>
      </c>
      <c r="F10728" s="36" t="s">
        <v>54401</v>
      </c>
      <c r="G10728" s="39">
        <v>5232133.97</v>
      </c>
      <c r="H10728" s="42">
        <v>211</v>
      </c>
    </row>
    <row r="10729" spans="1:8" ht="15" customHeight="1">
      <c r="A10729" s="26">
        <v>1052379265</v>
      </c>
      <c r="B10729" s="29" t="s">
        <v>12944</v>
      </c>
      <c r="C10729" s="29" t="s">
        <v>26663</v>
      </c>
      <c r="D10729" s="29" t="s">
        <v>40126</v>
      </c>
      <c r="E10729" s="29" t="s">
        <v>51819</v>
      </c>
      <c r="F10729" s="36" t="s">
        <v>54401</v>
      </c>
      <c r="G10729" s="39">
        <v>107808.6</v>
      </c>
      <c r="H10729" s="42">
        <v>211</v>
      </c>
    </row>
    <row r="10730" spans="1:8" ht="15" customHeight="1">
      <c r="A10730" s="26">
        <v>1052379307</v>
      </c>
      <c r="B10730" s="29" t="s">
        <v>12945</v>
      </c>
      <c r="C10730" s="29" t="s">
        <v>26664</v>
      </c>
      <c r="D10730" s="29" t="s">
        <v>40127</v>
      </c>
      <c r="E10730" s="29" t="s">
        <v>51820</v>
      </c>
      <c r="F10730" s="36" t="s">
        <v>54401</v>
      </c>
      <c r="G10730" s="39">
        <v>150504.04999999999</v>
      </c>
      <c r="H10730" s="42">
        <v>211</v>
      </c>
    </row>
    <row r="10731" spans="1:8" ht="15" customHeight="1">
      <c r="A10731" s="26">
        <v>1052379308</v>
      </c>
      <c r="B10731" s="29" t="s">
        <v>12946</v>
      </c>
      <c r="C10731" s="29" t="s">
        <v>26665</v>
      </c>
      <c r="D10731" s="29" t="s">
        <v>40128</v>
      </c>
      <c r="E10731" s="29" t="s">
        <v>51821</v>
      </c>
      <c r="F10731" s="36" t="s">
        <v>54401</v>
      </c>
      <c r="G10731" s="39">
        <v>241949.83</v>
      </c>
      <c r="H10731" s="42">
        <v>211</v>
      </c>
    </row>
    <row r="10732" spans="1:8" ht="15" customHeight="1">
      <c r="A10732" s="26">
        <v>1052379326</v>
      </c>
      <c r="B10732" s="29" t="s">
        <v>12947</v>
      </c>
      <c r="C10732" s="29" t="s">
        <v>22510</v>
      </c>
      <c r="D10732" s="29" t="s">
        <v>35765</v>
      </c>
      <c r="E10732" s="29" t="s">
        <v>51822</v>
      </c>
      <c r="F10732" s="36" t="s">
        <v>54401</v>
      </c>
      <c r="G10732" s="39">
        <v>2271519</v>
      </c>
      <c r="H10732" s="42">
        <v>211</v>
      </c>
    </row>
    <row r="10733" spans="1:8" ht="15" customHeight="1">
      <c r="A10733" s="26">
        <v>1052379328</v>
      </c>
      <c r="B10733" s="29" t="s">
        <v>12948</v>
      </c>
      <c r="C10733" s="29" t="s">
        <v>26666</v>
      </c>
      <c r="D10733" s="29" t="s">
        <v>40129</v>
      </c>
      <c r="E10733" s="29" t="s">
        <v>51823</v>
      </c>
      <c r="F10733" s="36" t="s">
        <v>54401</v>
      </c>
      <c r="G10733" s="39">
        <v>3084252.14</v>
      </c>
      <c r="H10733" s="42">
        <v>211</v>
      </c>
    </row>
    <row r="10734" spans="1:8" ht="15" customHeight="1">
      <c r="A10734" s="26">
        <v>1052379351</v>
      </c>
      <c r="B10734" s="29" t="s">
        <v>12949</v>
      </c>
      <c r="C10734" s="29" t="s">
        <v>26667</v>
      </c>
      <c r="D10734" s="29" t="s">
        <v>40130</v>
      </c>
      <c r="E10734" s="29" t="s">
        <v>51824</v>
      </c>
      <c r="F10734" s="36" t="s">
        <v>54401</v>
      </c>
      <c r="G10734" s="39">
        <v>409103.59</v>
      </c>
      <c r="H10734" s="42">
        <v>211</v>
      </c>
    </row>
    <row r="10735" spans="1:8" ht="15" customHeight="1">
      <c r="A10735" s="26">
        <v>1052379372</v>
      </c>
      <c r="B10735" s="29" t="s">
        <v>12950</v>
      </c>
      <c r="C10735" s="29" t="s">
        <v>26668</v>
      </c>
      <c r="D10735" s="29" t="s">
        <v>40131</v>
      </c>
      <c r="E10735" s="29" t="s">
        <v>51825</v>
      </c>
      <c r="F10735" s="36" t="s">
        <v>54401</v>
      </c>
      <c r="G10735" s="39">
        <v>131533.18</v>
      </c>
      <c r="H10735" s="42">
        <v>211</v>
      </c>
    </row>
    <row r="10736" spans="1:8" ht="15" customHeight="1">
      <c r="A10736" s="26">
        <v>1052379374</v>
      </c>
      <c r="B10736" s="29" t="s">
        <v>12951</v>
      </c>
      <c r="C10736" s="29" t="s">
        <v>26669</v>
      </c>
      <c r="D10736" s="29" t="s">
        <v>40132</v>
      </c>
      <c r="E10736" s="29" t="s">
        <v>51826</v>
      </c>
      <c r="F10736" s="36" t="s">
        <v>54401</v>
      </c>
      <c r="G10736" s="39">
        <v>571550.86</v>
      </c>
      <c r="H10736" s="42">
        <v>211</v>
      </c>
    </row>
    <row r="10737" spans="1:8" ht="15" customHeight="1">
      <c r="A10737" s="26">
        <v>1052379379</v>
      </c>
      <c r="B10737" s="29" t="s">
        <v>12952</v>
      </c>
      <c r="C10737" s="29" t="s">
        <v>21471</v>
      </c>
      <c r="D10737" s="29" t="s">
        <v>40133</v>
      </c>
      <c r="E10737" s="29" t="s">
        <v>51827</v>
      </c>
      <c r="F10737" s="36" t="s">
        <v>54401</v>
      </c>
      <c r="G10737" s="39">
        <v>321230.15000000002</v>
      </c>
      <c r="H10737" s="42">
        <v>211</v>
      </c>
    </row>
    <row r="10738" spans="1:8" ht="15" customHeight="1">
      <c r="A10738" s="26">
        <v>1052379390</v>
      </c>
      <c r="B10738" s="29" t="s">
        <v>12953</v>
      </c>
      <c r="C10738" s="26" t="s">
        <v>17204</v>
      </c>
      <c r="D10738" s="26" t="s">
        <v>30349</v>
      </c>
      <c r="E10738" s="26" t="s">
        <v>43926</v>
      </c>
      <c r="F10738" s="37" t="s">
        <v>54401</v>
      </c>
      <c r="G10738" s="39">
        <v>460205.36</v>
      </c>
      <c r="H10738" s="42">
        <v>211</v>
      </c>
    </row>
    <row r="10739" spans="1:8" ht="15" customHeight="1">
      <c r="A10739" s="26">
        <v>1052379392</v>
      </c>
      <c r="B10739" s="29" t="s">
        <v>12954</v>
      </c>
      <c r="C10739" s="29" t="s">
        <v>26670</v>
      </c>
      <c r="D10739" s="29" t="s">
        <v>40134</v>
      </c>
      <c r="E10739" s="29" t="s">
        <v>51828</v>
      </c>
      <c r="F10739" s="36" t="s">
        <v>54401</v>
      </c>
      <c r="G10739" s="39">
        <v>901026.72</v>
      </c>
      <c r="H10739" s="42">
        <v>211</v>
      </c>
    </row>
    <row r="10740" spans="1:8" ht="15" customHeight="1">
      <c r="A10740" s="26">
        <v>1052379401</v>
      </c>
      <c r="B10740" s="29" t="s">
        <v>12955</v>
      </c>
      <c r="C10740" s="29" t="s">
        <v>26671</v>
      </c>
      <c r="D10740" s="29" t="s">
        <v>40135</v>
      </c>
      <c r="E10740" s="29" t="s">
        <v>44023</v>
      </c>
      <c r="F10740" s="36" t="s">
        <v>54401</v>
      </c>
      <c r="G10740" s="39">
        <v>4820129.5</v>
      </c>
      <c r="H10740" s="42">
        <v>211</v>
      </c>
    </row>
    <row r="10741" spans="1:8" ht="15" customHeight="1">
      <c r="A10741" s="26">
        <v>1052379412</v>
      </c>
      <c r="B10741" s="29" t="s">
        <v>12956</v>
      </c>
      <c r="C10741" s="29" t="s">
        <v>26672</v>
      </c>
      <c r="D10741" s="29" t="s">
        <v>40136</v>
      </c>
      <c r="E10741" s="29" t="s">
        <v>46971</v>
      </c>
      <c r="F10741" s="36" t="s">
        <v>54409</v>
      </c>
      <c r="G10741" s="39">
        <v>3325597.71</v>
      </c>
      <c r="H10741" s="42">
        <v>211</v>
      </c>
    </row>
    <row r="10742" spans="1:8" ht="15" customHeight="1">
      <c r="A10742" s="26">
        <v>1052379421</v>
      </c>
      <c r="B10742" s="29" t="s">
        <v>12957</v>
      </c>
      <c r="C10742" s="29" t="s">
        <v>26673</v>
      </c>
      <c r="D10742" s="29" t="s">
        <v>40137</v>
      </c>
      <c r="E10742" s="29" t="s">
        <v>45261</v>
      </c>
      <c r="F10742" s="36" t="s">
        <v>54401</v>
      </c>
      <c r="G10742" s="39">
        <v>3331947</v>
      </c>
      <c r="H10742" s="42">
        <v>211</v>
      </c>
    </row>
    <row r="10743" spans="1:8" ht="15" customHeight="1">
      <c r="A10743" s="26">
        <v>1052379444</v>
      </c>
      <c r="B10743" s="29" t="s">
        <v>12958</v>
      </c>
      <c r="C10743" s="29" t="s">
        <v>26674</v>
      </c>
      <c r="D10743" s="29" t="s">
        <v>30376</v>
      </c>
      <c r="E10743" s="29" t="s">
        <v>51829</v>
      </c>
      <c r="F10743" s="36" t="s">
        <v>54401</v>
      </c>
      <c r="G10743" s="39">
        <v>1417925.36</v>
      </c>
      <c r="H10743" s="42">
        <v>211</v>
      </c>
    </row>
    <row r="10744" spans="1:8" ht="15" customHeight="1">
      <c r="A10744" s="26">
        <v>1052379445</v>
      </c>
      <c r="B10744" s="29" t="s">
        <v>12959</v>
      </c>
      <c r="C10744" s="29" t="s">
        <v>26675</v>
      </c>
      <c r="D10744" s="29" t="s">
        <v>40138</v>
      </c>
      <c r="E10744" s="29" t="s">
        <v>51830</v>
      </c>
      <c r="F10744" s="36" t="s">
        <v>54401</v>
      </c>
      <c r="G10744" s="39">
        <v>793530.44</v>
      </c>
      <c r="H10744" s="42">
        <v>211</v>
      </c>
    </row>
    <row r="10745" spans="1:8" ht="15" customHeight="1">
      <c r="A10745" s="26">
        <v>1052379450</v>
      </c>
      <c r="B10745" s="29" t="s">
        <v>12960</v>
      </c>
      <c r="C10745" s="29" t="s">
        <v>26676</v>
      </c>
      <c r="D10745" s="29" t="s">
        <v>40139</v>
      </c>
      <c r="E10745" s="29" t="s">
        <v>51831</v>
      </c>
      <c r="F10745" s="36" t="s">
        <v>54401</v>
      </c>
      <c r="G10745" s="39">
        <v>2930838</v>
      </c>
      <c r="H10745" s="42">
        <v>211</v>
      </c>
    </row>
    <row r="10746" spans="1:8" ht="15" customHeight="1">
      <c r="A10746" s="26">
        <v>1052379475</v>
      </c>
      <c r="B10746" s="29" t="s">
        <v>12961</v>
      </c>
      <c r="C10746" s="29" t="s">
        <v>26677</v>
      </c>
      <c r="D10746" s="29" t="s">
        <v>40140</v>
      </c>
      <c r="E10746" s="29" t="s">
        <v>51832</v>
      </c>
      <c r="F10746" s="36" t="s">
        <v>54401</v>
      </c>
      <c r="G10746" s="39">
        <v>2201292.42</v>
      </c>
      <c r="H10746" s="42">
        <v>211</v>
      </c>
    </row>
    <row r="10747" spans="1:8" ht="15" customHeight="1">
      <c r="A10747" s="26">
        <v>1052379480</v>
      </c>
      <c r="B10747" s="29" t="s">
        <v>12962</v>
      </c>
      <c r="C10747" s="29" t="s">
        <v>26678</v>
      </c>
      <c r="D10747" s="29" t="s">
        <v>40141</v>
      </c>
      <c r="E10747" s="29" t="s">
        <v>51833</v>
      </c>
      <c r="F10747" s="36" t="s">
        <v>54401</v>
      </c>
      <c r="G10747" s="39">
        <v>1598477.88</v>
      </c>
      <c r="H10747" s="42">
        <v>211</v>
      </c>
    </row>
    <row r="10748" spans="1:8" ht="15" customHeight="1">
      <c r="A10748" s="26">
        <v>1052379514</v>
      </c>
      <c r="B10748" s="29" t="s">
        <v>12963</v>
      </c>
      <c r="C10748" s="29" t="s">
        <v>26679</v>
      </c>
      <c r="D10748" s="29" t="s">
        <v>40142</v>
      </c>
      <c r="E10748" s="29" t="s">
        <v>51834</v>
      </c>
      <c r="F10748" s="36" t="s">
        <v>54401</v>
      </c>
      <c r="G10748" s="39">
        <v>180360.24</v>
      </c>
      <c r="H10748" s="42">
        <v>211</v>
      </c>
    </row>
    <row r="10749" spans="1:8" ht="15" customHeight="1">
      <c r="A10749" s="26">
        <v>1052379536</v>
      </c>
      <c r="B10749" s="29" t="s">
        <v>12964</v>
      </c>
      <c r="C10749" s="29" t="s">
        <v>26680</v>
      </c>
      <c r="D10749" s="29" t="s">
        <v>40143</v>
      </c>
      <c r="E10749" s="29" t="s">
        <v>51835</v>
      </c>
      <c r="F10749" s="36" t="s">
        <v>54401</v>
      </c>
      <c r="G10749" s="39">
        <v>247893.19</v>
      </c>
      <c r="H10749" s="42">
        <v>211</v>
      </c>
    </row>
    <row r="10750" spans="1:8" ht="15" customHeight="1">
      <c r="A10750" s="26">
        <v>1052379547</v>
      </c>
      <c r="B10750" s="29" t="s">
        <v>12965</v>
      </c>
      <c r="C10750" s="29" t="s">
        <v>26681</v>
      </c>
      <c r="D10750" s="29" t="s">
        <v>40144</v>
      </c>
      <c r="E10750" s="29" t="s">
        <v>47162</v>
      </c>
      <c r="F10750" s="36" t="s">
        <v>54401</v>
      </c>
      <c r="G10750" s="39">
        <v>4285598.74</v>
      </c>
      <c r="H10750" s="42">
        <v>211</v>
      </c>
    </row>
    <row r="10751" spans="1:8" ht="15" customHeight="1">
      <c r="A10751" s="26">
        <v>1052379553</v>
      </c>
      <c r="B10751" s="29" t="s">
        <v>12966</v>
      </c>
      <c r="C10751" s="29" t="s">
        <v>17204</v>
      </c>
      <c r="D10751" s="29" t="s">
        <v>30349</v>
      </c>
      <c r="E10751" s="29" t="s">
        <v>43926</v>
      </c>
      <c r="F10751" s="36" t="s">
        <v>54401</v>
      </c>
      <c r="G10751" s="39">
        <v>1545172.02</v>
      </c>
      <c r="H10751" s="42">
        <v>211</v>
      </c>
    </row>
    <row r="10752" spans="1:8" ht="15" customHeight="1">
      <c r="A10752" s="26">
        <v>1052379596</v>
      </c>
      <c r="B10752" s="29" t="s">
        <v>12967</v>
      </c>
      <c r="C10752" s="29" t="s">
        <v>26682</v>
      </c>
      <c r="D10752" s="29" t="s">
        <v>40145</v>
      </c>
      <c r="E10752" s="29" t="s">
        <v>51836</v>
      </c>
      <c r="F10752" s="36" t="s">
        <v>54401</v>
      </c>
      <c r="G10752" s="39">
        <v>361623</v>
      </c>
      <c r="H10752" s="42">
        <v>211</v>
      </c>
    </row>
    <row r="10753" spans="1:8" ht="15" customHeight="1">
      <c r="A10753" s="26">
        <v>1052379603</v>
      </c>
      <c r="B10753" s="29" t="s">
        <v>12968</v>
      </c>
      <c r="C10753" s="26" t="s">
        <v>26683</v>
      </c>
      <c r="D10753" s="26" t="s">
        <v>40146</v>
      </c>
      <c r="E10753" s="26" t="s">
        <v>51837</v>
      </c>
      <c r="F10753" s="37" t="s">
        <v>54401</v>
      </c>
      <c r="G10753" s="39">
        <v>194733.44</v>
      </c>
      <c r="H10753" s="42">
        <v>211</v>
      </c>
    </row>
    <row r="10754" spans="1:8" ht="15" customHeight="1">
      <c r="A10754" s="26">
        <v>1052379610</v>
      </c>
      <c r="B10754" s="29" t="s">
        <v>12969</v>
      </c>
      <c r="C10754" s="29" t="s">
        <v>25024</v>
      </c>
      <c r="D10754" s="29" t="s">
        <v>40147</v>
      </c>
      <c r="E10754" s="29" t="s">
        <v>51838</v>
      </c>
      <c r="F10754" s="36" t="s">
        <v>54401</v>
      </c>
      <c r="G10754" s="39">
        <v>1709610.95</v>
      </c>
      <c r="H10754" s="42">
        <v>211</v>
      </c>
    </row>
    <row r="10755" spans="1:8" ht="15" customHeight="1">
      <c r="A10755" s="26">
        <v>1052379633</v>
      </c>
      <c r="B10755" s="29" t="s">
        <v>12970</v>
      </c>
      <c r="C10755" s="29" t="s">
        <v>26684</v>
      </c>
      <c r="D10755" s="29" t="s">
        <v>40148</v>
      </c>
      <c r="E10755" s="29" t="s">
        <v>51839</v>
      </c>
      <c r="F10755" s="36" t="s">
        <v>54412</v>
      </c>
      <c r="G10755" s="39">
        <v>81306.95</v>
      </c>
      <c r="H10755" s="42">
        <v>211</v>
      </c>
    </row>
    <row r="10756" spans="1:8" ht="15" customHeight="1">
      <c r="A10756" s="26">
        <v>1052379641</v>
      </c>
      <c r="B10756" s="29" t="s">
        <v>12971</v>
      </c>
      <c r="C10756" s="29" t="s">
        <v>26685</v>
      </c>
      <c r="D10756" s="29" t="s">
        <v>40149</v>
      </c>
      <c r="E10756" s="29" t="s">
        <v>45430</v>
      </c>
      <c r="F10756" s="36" t="s">
        <v>54401</v>
      </c>
      <c r="G10756" s="39">
        <v>6119280.6399999997</v>
      </c>
      <c r="H10756" s="42">
        <v>211</v>
      </c>
    </row>
    <row r="10757" spans="1:8" ht="15" customHeight="1">
      <c r="A10757" s="26">
        <v>1052379649</v>
      </c>
      <c r="B10757" s="29" t="s">
        <v>12972</v>
      </c>
      <c r="C10757" s="29" t="s">
        <v>26686</v>
      </c>
      <c r="D10757" s="29" t="s">
        <v>40150</v>
      </c>
      <c r="E10757" s="29" t="s">
        <v>43926</v>
      </c>
      <c r="F10757" s="36" t="s">
        <v>54401</v>
      </c>
      <c r="G10757" s="39">
        <v>51416.22</v>
      </c>
      <c r="H10757" s="42">
        <v>211</v>
      </c>
    </row>
    <row r="10758" spans="1:8" ht="15" customHeight="1">
      <c r="A10758" s="26">
        <v>1052379672</v>
      </c>
      <c r="B10758" s="29" t="s">
        <v>12973</v>
      </c>
      <c r="C10758" s="29" t="s">
        <v>17204</v>
      </c>
      <c r="D10758" s="29" t="s">
        <v>30349</v>
      </c>
      <c r="E10758" s="29" t="s">
        <v>43926</v>
      </c>
      <c r="F10758" s="36" t="s">
        <v>54401</v>
      </c>
      <c r="G10758" s="39">
        <v>26766.720000000001</v>
      </c>
      <c r="H10758" s="42">
        <v>211</v>
      </c>
    </row>
    <row r="10759" spans="1:8" ht="15" customHeight="1">
      <c r="A10759" s="26">
        <v>1052379705</v>
      </c>
      <c r="B10759" s="29" t="s">
        <v>12974</v>
      </c>
      <c r="C10759" s="26" t="s">
        <v>26687</v>
      </c>
      <c r="D10759" s="26" t="s">
        <v>40151</v>
      </c>
      <c r="E10759" s="26" t="s">
        <v>51840</v>
      </c>
      <c r="F10759" s="37" t="s">
        <v>54401</v>
      </c>
      <c r="G10759" s="39">
        <v>3771571.25</v>
      </c>
      <c r="H10759" s="42">
        <v>211</v>
      </c>
    </row>
    <row r="10760" spans="1:8" ht="15" customHeight="1">
      <c r="A10760" s="26">
        <v>1052379714</v>
      </c>
      <c r="B10760" s="29" t="s">
        <v>12975</v>
      </c>
      <c r="C10760" s="26" t="s">
        <v>17204</v>
      </c>
      <c r="D10760" s="26" t="s">
        <v>30349</v>
      </c>
      <c r="E10760" s="26" t="s">
        <v>43926</v>
      </c>
      <c r="F10760" s="37" t="s">
        <v>54401</v>
      </c>
      <c r="G10760" s="39">
        <v>554461.84</v>
      </c>
      <c r="H10760" s="42">
        <v>211</v>
      </c>
    </row>
    <row r="10761" spans="1:8" ht="15" customHeight="1">
      <c r="A10761" s="26">
        <v>1052379732</v>
      </c>
      <c r="B10761" s="29" t="s">
        <v>12976</v>
      </c>
      <c r="C10761" s="29" t="s">
        <v>26688</v>
      </c>
      <c r="D10761" s="29" t="s">
        <v>40152</v>
      </c>
      <c r="E10761" s="29" t="s">
        <v>51841</v>
      </c>
      <c r="F10761" s="36" t="s">
        <v>54401</v>
      </c>
      <c r="G10761" s="39">
        <v>159776.76</v>
      </c>
      <c r="H10761" s="42">
        <v>211</v>
      </c>
    </row>
    <row r="10762" spans="1:8" ht="15" customHeight="1">
      <c r="A10762" s="26">
        <v>1052379738</v>
      </c>
      <c r="B10762" s="29" t="s">
        <v>12977</v>
      </c>
      <c r="C10762" s="29" t="s">
        <v>26689</v>
      </c>
      <c r="D10762" s="29" t="s">
        <v>40153</v>
      </c>
      <c r="E10762" s="29" t="s">
        <v>51842</v>
      </c>
      <c r="F10762" s="36" t="s">
        <v>54401</v>
      </c>
      <c r="G10762" s="39">
        <v>4781103</v>
      </c>
      <c r="H10762" s="42">
        <v>211</v>
      </c>
    </row>
    <row r="10763" spans="1:8" ht="15" customHeight="1">
      <c r="A10763" s="26">
        <v>1052379746</v>
      </c>
      <c r="B10763" s="29" t="s">
        <v>12978</v>
      </c>
      <c r="C10763" s="26" t="s">
        <v>26690</v>
      </c>
      <c r="D10763" s="26" t="s">
        <v>40154</v>
      </c>
      <c r="E10763" s="26" t="s">
        <v>51843</v>
      </c>
      <c r="F10763" s="37" t="s">
        <v>54401</v>
      </c>
      <c r="G10763" s="39">
        <v>27310.92</v>
      </c>
      <c r="H10763" s="42">
        <v>211</v>
      </c>
    </row>
    <row r="10764" spans="1:8" ht="15" customHeight="1">
      <c r="A10764" s="26">
        <v>1052379752</v>
      </c>
      <c r="B10764" s="29" t="s">
        <v>12979</v>
      </c>
      <c r="C10764" s="29" t="s">
        <v>26691</v>
      </c>
      <c r="D10764" s="29" t="s">
        <v>40155</v>
      </c>
      <c r="E10764" s="29" t="s">
        <v>44794</v>
      </c>
      <c r="F10764" s="36" t="s">
        <v>54401</v>
      </c>
      <c r="G10764" s="39">
        <v>2732940</v>
      </c>
      <c r="H10764" s="42">
        <v>211</v>
      </c>
    </row>
    <row r="10765" spans="1:8" ht="15" customHeight="1">
      <c r="A10765" s="26">
        <v>1052379767</v>
      </c>
      <c r="B10765" s="29" t="s">
        <v>12980</v>
      </c>
      <c r="C10765" s="26" t="s">
        <v>26692</v>
      </c>
      <c r="D10765" s="26" t="s">
        <v>40156</v>
      </c>
      <c r="E10765" s="26" t="s">
        <v>51844</v>
      </c>
      <c r="F10765" s="37" t="s">
        <v>54401</v>
      </c>
      <c r="G10765" s="39">
        <v>2299292.44</v>
      </c>
      <c r="H10765" s="42">
        <v>211</v>
      </c>
    </row>
    <row r="10766" spans="1:8" ht="15" customHeight="1">
      <c r="A10766" s="26">
        <v>1052379795</v>
      </c>
      <c r="B10766" s="29" t="s">
        <v>12981</v>
      </c>
      <c r="C10766" s="26" t="s">
        <v>17204</v>
      </c>
      <c r="D10766" s="26" t="s">
        <v>40157</v>
      </c>
      <c r="E10766" s="26" t="s">
        <v>43926</v>
      </c>
      <c r="F10766" s="37" t="s">
        <v>54401</v>
      </c>
      <c r="G10766" s="39">
        <v>1731356.91</v>
      </c>
      <c r="H10766" s="42">
        <v>211</v>
      </c>
    </row>
    <row r="10767" spans="1:8" ht="15" customHeight="1">
      <c r="A10767" s="26">
        <v>1052379824</v>
      </c>
      <c r="B10767" s="29" t="s">
        <v>12982</v>
      </c>
      <c r="C10767" s="26" t="s">
        <v>26693</v>
      </c>
      <c r="D10767" s="26" t="s">
        <v>40158</v>
      </c>
      <c r="E10767" s="26" t="s">
        <v>51845</v>
      </c>
      <c r="F10767" s="37" t="s">
        <v>54401</v>
      </c>
      <c r="G10767" s="39">
        <v>5234930</v>
      </c>
      <c r="H10767" s="42">
        <v>211</v>
      </c>
    </row>
    <row r="10768" spans="1:8" ht="15" customHeight="1">
      <c r="A10768" s="26">
        <v>1052379836</v>
      </c>
      <c r="B10768" s="29" t="s">
        <v>12983</v>
      </c>
      <c r="C10768" s="29" t="s">
        <v>26694</v>
      </c>
      <c r="D10768" s="29" t="s">
        <v>40159</v>
      </c>
      <c r="E10768" s="29" t="s">
        <v>51846</v>
      </c>
      <c r="F10768" s="36" t="s">
        <v>54401</v>
      </c>
      <c r="G10768" s="39">
        <v>1029410.81</v>
      </c>
      <c r="H10768" s="42">
        <v>211</v>
      </c>
    </row>
    <row r="10769" spans="1:8" ht="15" customHeight="1">
      <c r="A10769" s="26">
        <v>1052379842</v>
      </c>
      <c r="B10769" s="29" t="s">
        <v>12984</v>
      </c>
      <c r="C10769" s="29" t="s">
        <v>26695</v>
      </c>
      <c r="D10769" s="29" t="s">
        <v>40160</v>
      </c>
      <c r="E10769" s="29" t="s">
        <v>51847</v>
      </c>
      <c r="F10769" s="36" t="s">
        <v>54401</v>
      </c>
      <c r="G10769" s="39">
        <v>188194.99</v>
      </c>
      <c r="H10769" s="42">
        <v>211</v>
      </c>
    </row>
    <row r="10770" spans="1:8" ht="15" customHeight="1">
      <c r="A10770" s="26">
        <v>1052379848</v>
      </c>
      <c r="B10770" s="29" t="s">
        <v>12985</v>
      </c>
      <c r="C10770" s="29" t="s">
        <v>26696</v>
      </c>
      <c r="D10770" s="29" t="s">
        <v>40161</v>
      </c>
      <c r="E10770" s="29" t="s">
        <v>51848</v>
      </c>
      <c r="F10770" s="36" t="s">
        <v>54401</v>
      </c>
      <c r="G10770" s="39">
        <v>236781.84</v>
      </c>
      <c r="H10770" s="42">
        <v>211</v>
      </c>
    </row>
    <row r="10771" spans="1:8" ht="15" customHeight="1">
      <c r="A10771" s="26">
        <v>1052379881</v>
      </c>
      <c r="B10771" s="29" t="s">
        <v>12986</v>
      </c>
      <c r="C10771" s="29" t="s">
        <v>26697</v>
      </c>
      <c r="D10771" s="29" t="s">
        <v>40162</v>
      </c>
      <c r="E10771" s="29" t="s">
        <v>43926</v>
      </c>
      <c r="F10771" s="36" t="s">
        <v>54401</v>
      </c>
      <c r="G10771" s="39">
        <v>244411.76</v>
      </c>
      <c r="H10771" s="42">
        <v>211</v>
      </c>
    </row>
    <row r="10772" spans="1:8" ht="15" customHeight="1">
      <c r="A10772" s="26">
        <v>1052379891</v>
      </c>
      <c r="B10772" s="29" t="s">
        <v>12987</v>
      </c>
      <c r="C10772" s="29" t="s">
        <v>26698</v>
      </c>
      <c r="D10772" s="29" t="s">
        <v>40163</v>
      </c>
      <c r="E10772" s="29" t="s">
        <v>51849</v>
      </c>
      <c r="F10772" s="36" t="s">
        <v>54401</v>
      </c>
      <c r="G10772" s="39">
        <v>6581892.9199999999</v>
      </c>
      <c r="H10772" s="42">
        <v>211</v>
      </c>
    </row>
    <row r="10773" spans="1:8" ht="15" customHeight="1">
      <c r="A10773" s="26">
        <v>1052379923</v>
      </c>
      <c r="B10773" s="29" t="s">
        <v>12988</v>
      </c>
      <c r="C10773" s="29" t="s">
        <v>26699</v>
      </c>
      <c r="D10773" s="29" t="s">
        <v>40164</v>
      </c>
      <c r="E10773" s="29" t="s">
        <v>51850</v>
      </c>
      <c r="F10773" s="36" t="s">
        <v>54401</v>
      </c>
      <c r="G10773" s="39">
        <v>685577.66</v>
      </c>
      <c r="H10773" s="42">
        <v>211</v>
      </c>
    </row>
    <row r="10774" spans="1:8" ht="15" customHeight="1">
      <c r="A10774" s="26">
        <v>1052379927</v>
      </c>
      <c r="B10774" s="29" t="s">
        <v>12989</v>
      </c>
      <c r="C10774" s="26" t="s">
        <v>26700</v>
      </c>
      <c r="D10774" s="26" t="s">
        <v>40165</v>
      </c>
      <c r="E10774" s="26" t="s">
        <v>43926</v>
      </c>
      <c r="F10774" s="37" t="s">
        <v>54401</v>
      </c>
      <c r="G10774" s="39">
        <v>139123.93</v>
      </c>
      <c r="H10774" s="42">
        <v>211</v>
      </c>
    </row>
    <row r="10775" spans="1:8" ht="15" customHeight="1">
      <c r="A10775" s="26">
        <v>1052379936</v>
      </c>
      <c r="B10775" s="29" t="s">
        <v>12990</v>
      </c>
      <c r="C10775" s="29" t="s">
        <v>26701</v>
      </c>
      <c r="D10775" s="29" t="s">
        <v>40166</v>
      </c>
      <c r="E10775" s="29" t="s">
        <v>51851</v>
      </c>
      <c r="F10775" s="36" t="s">
        <v>54401</v>
      </c>
      <c r="G10775" s="39">
        <v>623645.53</v>
      </c>
      <c r="H10775" s="42">
        <v>211</v>
      </c>
    </row>
    <row r="10776" spans="1:8" ht="15" customHeight="1">
      <c r="A10776" s="26">
        <v>1052379955</v>
      </c>
      <c r="B10776" s="29" t="s">
        <v>12991</v>
      </c>
      <c r="C10776" s="26" t="s">
        <v>26702</v>
      </c>
      <c r="D10776" s="26" t="s">
        <v>40167</v>
      </c>
      <c r="E10776" s="26" t="s">
        <v>51852</v>
      </c>
      <c r="F10776" s="37" t="s">
        <v>54401</v>
      </c>
      <c r="G10776" s="39">
        <v>3375745.29</v>
      </c>
      <c r="H10776" s="42">
        <v>211</v>
      </c>
    </row>
    <row r="10777" spans="1:8" ht="15" customHeight="1">
      <c r="A10777" s="26">
        <v>1052379963</v>
      </c>
      <c r="B10777" s="29" t="s">
        <v>12992</v>
      </c>
      <c r="C10777" s="29" t="s">
        <v>26703</v>
      </c>
      <c r="D10777" s="29" t="s">
        <v>40168</v>
      </c>
      <c r="E10777" s="29" t="s">
        <v>43926</v>
      </c>
      <c r="F10777" s="36" t="s">
        <v>54401</v>
      </c>
      <c r="G10777" s="39">
        <v>109540.73</v>
      </c>
      <c r="H10777" s="42">
        <v>211</v>
      </c>
    </row>
    <row r="10778" spans="1:8" ht="15" customHeight="1">
      <c r="A10778" s="26">
        <v>1052379993</v>
      </c>
      <c r="B10778" s="29" t="s">
        <v>12993</v>
      </c>
      <c r="C10778" s="29" t="s">
        <v>26704</v>
      </c>
      <c r="D10778" s="29" t="s">
        <v>40169</v>
      </c>
      <c r="E10778" s="29" t="s">
        <v>51382</v>
      </c>
      <c r="F10778" s="36" t="s">
        <v>54406</v>
      </c>
      <c r="G10778" s="39">
        <v>2297568.7599999998</v>
      </c>
      <c r="H10778" s="42">
        <v>211</v>
      </c>
    </row>
    <row r="10779" spans="1:8" ht="15" customHeight="1">
      <c r="A10779" s="26">
        <v>1052379995</v>
      </c>
      <c r="B10779" s="29" t="s">
        <v>12994</v>
      </c>
      <c r="C10779" s="29" t="s">
        <v>26705</v>
      </c>
      <c r="D10779" s="29" t="s">
        <v>40170</v>
      </c>
      <c r="E10779" s="29" t="s">
        <v>51853</v>
      </c>
      <c r="F10779" s="36" t="s">
        <v>54401</v>
      </c>
      <c r="G10779" s="39">
        <v>3549510.07</v>
      </c>
      <c r="H10779" s="42">
        <v>211</v>
      </c>
    </row>
    <row r="10780" spans="1:8" ht="15" customHeight="1">
      <c r="A10780" s="26">
        <v>1052380010</v>
      </c>
      <c r="B10780" s="29" t="s">
        <v>12995</v>
      </c>
      <c r="C10780" s="29" t="s">
        <v>26706</v>
      </c>
      <c r="D10780" s="29" t="s">
        <v>40171</v>
      </c>
      <c r="E10780" s="29" t="s">
        <v>51854</v>
      </c>
      <c r="F10780" s="36" t="s">
        <v>54401</v>
      </c>
      <c r="G10780" s="39">
        <v>1421281.26</v>
      </c>
      <c r="H10780" s="42">
        <v>211</v>
      </c>
    </row>
    <row r="10781" spans="1:8" ht="15" customHeight="1">
      <c r="A10781" s="26">
        <v>1052380013</v>
      </c>
      <c r="B10781" s="29" t="s">
        <v>12996</v>
      </c>
      <c r="C10781" s="26" t="s">
        <v>26707</v>
      </c>
      <c r="D10781" s="26" t="s">
        <v>40172</v>
      </c>
      <c r="E10781" s="26" t="s">
        <v>51855</v>
      </c>
      <c r="F10781" s="37" t="s">
        <v>54401</v>
      </c>
      <c r="G10781" s="39">
        <v>761597.91</v>
      </c>
      <c r="H10781" s="42">
        <v>211</v>
      </c>
    </row>
    <row r="10782" spans="1:8" ht="15" customHeight="1">
      <c r="A10782" s="26">
        <v>1052380019</v>
      </c>
      <c r="B10782" s="29" t="s">
        <v>12997</v>
      </c>
      <c r="C10782" s="29" t="s">
        <v>26708</v>
      </c>
      <c r="D10782" s="29" t="s">
        <v>40173</v>
      </c>
      <c r="E10782" s="29" t="s">
        <v>51856</v>
      </c>
      <c r="F10782" s="36" t="s">
        <v>54401</v>
      </c>
      <c r="G10782" s="39">
        <v>288377.31</v>
      </c>
      <c r="H10782" s="42">
        <v>211</v>
      </c>
    </row>
    <row r="10783" spans="1:8" ht="15" customHeight="1">
      <c r="A10783" s="26">
        <v>1052380033</v>
      </c>
      <c r="B10783" s="29" t="s">
        <v>12998</v>
      </c>
      <c r="C10783" s="29" t="s">
        <v>26709</v>
      </c>
      <c r="D10783" s="29" t="s">
        <v>40174</v>
      </c>
      <c r="E10783" s="29" t="s">
        <v>51857</v>
      </c>
      <c r="F10783" s="36" t="s">
        <v>54401</v>
      </c>
      <c r="G10783" s="39">
        <v>4983153.46</v>
      </c>
      <c r="H10783" s="42">
        <v>211</v>
      </c>
    </row>
    <row r="10784" spans="1:8" ht="15" customHeight="1">
      <c r="A10784" s="26">
        <v>1052380043</v>
      </c>
      <c r="B10784" s="29" t="s">
        <v>12999</v>
      </c>
      <c r="C10784" s="29" t="s">
        <v>26710</v>
      </c>
      <c r="D10784" s="29" t="s">
        <v>40175</v>
      </c>
      <c r="E10784" s="29" t="s">
        <v>43926</v>
      </c>
      <c r="F10784" s="36" t="s">
        <v>54401</v>
      </c>
      <c r="G10784" s="39">
        <v>4029581.17</v>
      </c>
      <c r="H10784" s="42">
        <v>211</v>
      </c>
    </row>
    <row r="10785" spans="1:8" ht="15" customHeight="1">
      <c r="A10785" s="26">
        <v>1052380076</v>
      </c>
      <c r="B10785" s="29" t="s">
        <v>13000</v>
      </c>
      <c r="C10785" s="29" t="s">
        <v>26711</v>
      </c>
      <c r="D10785" s="29" t="s">
        <v>40176</v>
      </c>
      <c r="E10785" s="29" t="s">
        <v>51858</v>
      </c>
      <c r="F10785" s="36" t="s">
        <v>54401</v>
      </c>
      <c r="G10785" s="39">
        <v>4822037.13</v>
      </c>
      <c r="H10785" s="42">
        <v>211</v>
      </c>
    </row>
    <row r="10786" spans="1:8" ht="15" customHeight="1">
      <c r="A10786" s="26">
        <v>1052380085</v>
      </c>
      <c r="B10786" s="29" t="s">
        <v>13001</v>
      </c>
      <c r="C10786" s="29" t="s">
        <v>26712</v>
      </c>
      <c r="D10786" s="29" t="s">
        <v>40177</v>
      </c>
      <c r="E10786" s="29" t="s">
        <v>51859</v>
      </c>
      <c r="F10786" s="36" t="s">
        <v>54401</v>
      </c>
      <c r="G10786" s="39">
        <v>2174022.8199999998</v>
      </c>
      <c r="H10786" s="42">
        <v>211</v>
      </c>
    </row>
    <row r="10787" spans="1:8" ht="15" customHeight="1">
      <c r="A10787" s="26">
        <v>1052380088</v>
      </c>
      <c r="B10787" s="29" t="s">
        <v>13002</v>
      </c>
      <c r="C10787" s="29" t="s">
        <v>26713</v>
      </c>
      <c r="D10787" s="29" t="s">
        <v>40178</v>
      </c>
      <c r="E10787" s="29" t="s">
        <v>51860</v>
      </c>
      <c r="F10787" s="36" t="s">
        <v>54401</v>
      </c>
      <c r="G10787" s="39">
        <v>333554.82</v>
      </c>
      <c r="H10787" s="42">
        <v>211</v>
      </c>
    </row>
    <row r="10788" spans="1:8" ht="15" customHeight="1">
      <c r="A10788" s="26">
        <v>1052380102</v>
      </c>
      <c r="B10788" s="29" t="s">
        <v>13003</v>
      </c>
      <c r="C10788" s="29" t="s">
        <v>26714</v>
      </c>
      <c r="D10788" s="29" t="s">
        <v>40179</v>
      </c>
      <c r="E10788" s="29" t="s">
        <v>51861</v>
      </c>
      <c r="F10788" s="36" t="s">
        <v>54401</v>
      </c>
      <c r="G10788" s="39">
        <v>385846.94</v>
      </c>
      <c r="H10788" s="42">
        <v>211</v>
      </c>
    </row>
    <row r="10789" spans="1:8" ht="15" customHeight="1">
      <c r="A10789" s="26">
        <v>1052380104</v>
      </c>
      <c r="B10789" s="29" t="s">
        <v>13004</v>
      </c>
      <c r="C10789" s="29" t="s">
        <v>26715</v>
      </c>
      <c r="D10789" s="29" t="s">
        <v>40180</v>
      </c>
      <c r="E10789" s="29" t="s">
        <v>51862</v>
      </c>
      <c r="F10789" s="36" t="s">
        <v>54401</v>
      </c>
      <c r="G10789" s="39">
        <v>65966.399999999994</v>
      </c>
      <c r="H10789" s="42">
        <v>211</v>
      </c>
    </row>
    <row r="10790" spans="1:8" ht="15" customHeight="1">
      <c r="A10790" s="26">
        <v>1052380116</v>
      </c>
      <c r="B10790" s="29" t="s">
        <v>13005</v>
      </c>
      <c r="C10790" s="29" t="s">
        <v>26716</v>
      </c>
      <c r="D10790" s="29" t="s">
        <v>40181</v>
      </c>
      <c r="E10790" s="29" t="s">
        <v>51863</v>
      </c>
      <c r="F10790" s="36" t="s">
        <v>54401</v>
      </c>
      <c r="G10790" s="39">
        <v>1782138.39</v>
      </c>
      <c r="H10790" s="42">
        <v>211</v>
      </c>
    </row>
    <row r="10791" spans="1:8" ht="15" customHeight="1">
      <c r="A10791" s="26">
        <v>1052380118</v>
      </c>
      <c r="B10791" s="29" t="s">
        <v>13006</v>
      </c>
      <c r="C10791" s="29" t="s">
        <v>26717</v>
      </c>
      <c r="D10791" s="29" t="s">
        <v>40182</v>
      </c>
      <c r="E10791" s="29" t="s">
        <v>51864</v>
      </c>
      <c r="F10791" s="36" t="s">
        <v>54401</v>
      </c>
      <c r="G10791" s="39">
        <v>3153559</v>
      </c>
      <c r="H10791" s="42">
        <v>211</v>
      </c>
    </row>
    <row r="10792" spans="1:8" ht="15" customHeight="1">
      <c r="A10792" s="26">
        <v>1052380169</v>
      </c>
      <c r="B10792" s="29" t="s">
        <v>13007</v>
      </c>
      <c r="C10792" s="26" t="s">
        <v>26718</v>
      </c>
      <c r="D10792" s="26" t="s">
        <v>40183</v>
      </c>
      <c r="E10792" s="26" t="s">
        <v>45387</v>
      </c>
      <c r="F10792" s="37" t="s">
        <v>54401</v>
      </c>
      <c r="G10792" s="39">
        <v>327164.14</v>
      </c>
      <c r="H10792" s="42">
        <v>211</v>
      </c>
    </row>
    <row r="10793" spans="1:8" ht="15" customHeight="1">
      <c r="A10793" s="26">
        <v>1052380171</v>
      </c>
      <c r="B10793" s="29" t="s">
        <v>13008</v>
      </c>
      <c r="C10793" s="29" t="s">
        <v>26719</v>
      </c>
      <c r="D10793" s="29" t="s">
        <v>40184</v>
      </c>
      <c r="E10793" s="29" t="s">
        <v>43926</v>
      </c>
      <c r="F10793" s="36" t="s">
        <v>54401</v>
      </c>
      <c r="G10793" s="39">
        <v>70195.66</v>
      </c>
      <c r="H10793" s="42">
        <v>211</v>
      </c>
    </row>
    <row r="10794" spans="1:8" ht="15" customHeight="1">
      <c r="A10794" s="26">
        <v>1052380175</v>
      </c>
      <c r="B10794" s="29" t="s">
        <v>13009</v>
      </c>
      <c r="C10794" s="29" t="s">
        <v>26720</v>
      </c>
      <c r="D10794" s="29" t="s">
        <v>40185</v>
      </c>
      <c r="E10794" s="29" t="s">
        <v>51865</v>
      </c>
      <c r="F10794" s="36" t="s">
        <v>54401</v>
      </c>
      <c r="G10794" s="39">
        <v>245718.89</v>
      </c>
      <c r="H10794" s="42">
        <v>211</v>
      </c>
    </row>
    <row r="10795" spans="1:8" ht="15" customHeight="1">
      <c r="A10795" s="26">
        <v>1052380181</v>
      </c>
      <c r="B10795" s="29" t="s">
        <v>13010</v>
      </c>
      <c r="C10795" s="29" t="s">
        <v>26721</v>
      </c>
      <c r="D10795" s="29" t="s">
        <v>40186</v>
      </c>
      <c r="E10795" s="29" t="s">
        <v>45441</v>
      </c>
      <c r="F10795" s="36" t="s">
        <v>54401</v>
      </c>
      <c r="G10795" s="39">
        <v>29605.05</v>
      </c>
      <c r="H10795" s="42">
        <v>211</v>
      </c>
    </row>
    <row r="10796" spans="1:8" ht="15" customHeight="1">
      <c r="A10796" s="26">
        <v>1052380215</v>
      </c>
      <c r="B10796" s="29" t="s">
        <v>13011</v>
      </c>
      <c r="C10796" s="29" t="s">
        <v>26722</v>
      </c>
      <c r="D10796" s="29" t="s">
        <v>40187</v>
      </c>
      <c r="E10796" s="29" t="s">
        <v>49426</v>
      </c>
      <c r="F10796" s="36" t="s">
        <v>54401</v>
      </c>
      <c r="G10796" s="39">
        <v>7760244</v>
      </c>
      <c r="H10796" s="42">
        <v>211</v>
      </c>
    </row>
    <row r="10797" spans="1:8" ht="15" customHeight="1">
      <c r="A10797" s="26">
        <v>1052380241</v>
      </c>
      <c r="B10797" s="29" t="s">
        <v>13012</v>
      </c>
      <c r="C10797" s="29" t="s">
        <v>26723</v>
      </c>
      <c r="D10797" s="29" t="s">
        <v>40188</v>
      </c>
      <c r="E10797" s="29" t="s">
        <v>51866</v>
      </c>
      <c r="F10797" s="36" t="s">
        <v>54401</v>
      </c>
      <c r="G10797" s="39">
        <v>2354251</v>
      </c>
      <c r="H10797" s="42">
        <v>211</v>
      </c>
    </row>
    <row r="10798" spans="1:8" ht="15" customHeight="1">
      <c r="A10798" s="26">
        <v>1052380245</v>
      </c>
      <c r="B10798" s="29" t="s">
        <v>13013</v>
      </c>
      <c r="C10798" s="29" t="s">
        <v>26724</v>
      </c>
      <c r="D10798" s="29" t="s">
        <v>40189</v>
      </c>
      <c r="E10798" s="29" t="s">
        <v>51867</v>
      </c>
      <c r="F10798" s="36" t="s">
        <v>54401</v>
      </c>
      <c r="G10798" s="39">
        <v>2471510</v>
      </c>
      <c r="H10798" s="42">
        <v>211</v>
      </c>
    </row>
    <row r="10799" spans="1:8" ht="15" customHeight="1">
      <c r="A10799" s="26">
        <v>1052380285</v>
      </c>
      <c r="B10799" s="29" t="s">
        <v>13014</v>
      </c>
      <c r="C10799" s="29" t="s">
        <v>26725</v>
      </c>
      <c r="D10799" s="29" t="s">
        <v>40190</v>
      </c>
      <c r="E10799" s="29" t="s">
        <v>51868</v>
      </c>
      <c r="F10799" s="36" t="s">
        <v>54401</v>
      </c>
      <c r="G10799" s="39">
        <v>5507.23</v>
      </c>
      <c r="H10799" s="42">
        <v>211</v>
      </c>
    </row>
    <row r="10800" spans="1:8" ht="15" customHeight="1">
      <c r="A10800" s="26">
        <v>1052380297</v>
      </c>
      <c r="B10800" s="29" t="s">
        <v>13015</v>
      </c>
      <c r="C10800" s="29" t="s">
        <v>26726</v>
      </c>
      <c r="D10800" s="29" t="s">
        <v>40191</v>
      </c>
      <c r="E10800" s="29" t="s">
        <v>51869</v>
      </c>
      <c r="F10800" s="36" t="s">
        <v>54401</v>
      </c>
      <c r="G10800" s="39">
        <v>18217.93</v>
      </c>
      <c r="H10800" s="42">
        <v>211</v>
      </c>
    </row>
    <row r="10801" spans="1:8" ht="15" customHeight="1">
      <c r="A10801" s="26">
        <v>1052380313</v>
      </c>
      <c r="B10801" s="29" t="s">
        <v>13016</v>
      </c>
      <c r="C10801" s="29" t="s">
        <v>26727</v>
      </c>
      <c r="D10801" s="29" t="s">
        <v>40192</v>
      </c>
      <c r="E10801" s="29" t="s">
        <v>48957</v>
      </c>
      <c r="F10801" s="36" t="s">
        <v>54401</v>
      </c>
      <c r="G10801" s="39">
        <v>330816.24</v>
      </c>
      <c r="H10801" s="42">
        <v>211</v>
      </c>
    </row>
    <row r="10802" spans="1:8" ht="15" customHeight="1">
      <c r="A10802" s="26">
        <v>1052380339</v>
      </c>
      <c r="B10802" s="29" t="s">
        <v>13017</v>
      </c>
      <c r="C10802" s="29" t="s">
        <v>17204</v>
      </c>
      <c r="D10802" s="29" t="s">
        <v>30349</v>
      </c>
      <c r="E10802" s="29" t="s">
        <v>43926</v>
      </c>
      <c r="F10802" s="36" t="s">
        <v>54401</v>
      </c>
      <c r="G10802" s="39">
        <v>398215.86</v>
      </c>
      <c r="H10802" s="42">
        <v>211</v>
      </c>
    </row>
    <row r="10803" spans="1:8" ht="15" customHeight="1">
      <c r="A10803" s="26">
        <v>1052380340</v>
      </c>
      <c r="B10803" s="29" t="s">
        <v>13018</v>
      </c>
      <c r="C10803" s="29" t="s">
        <v>26728</v>
      </c>
      <c r="D10803" s="29" t="s">
        <v>40193</v>
      </c>
      <c r="E10803" s="29" t="s">
        <v>51870</v>
      </c>
      <c r="F10803" s="36" t="s">
        <v>54401</v>
      </c>
      <c r="G10803" s="39">
        <v>448246</v>
      </c>
      <c r="H10803" s="42">
        <v>211</v>
      </c>
    </row>
    <row r="10804" spans="1:8" ht="15" customHeight="1">
      <c r="A10804" s="26">
        <v>1052380373</v>
      </c>
      <c r="B10804" s="29" t="s">
        <v>13019</v>
      </c>
      <c r="C10804" s="29" t="s">
        <v>26729</v>
      </c>
      <c r="D10804" s="29" t="s">
        <v>40194</v>
      </c>
      <c r="E10804" s="29" t="s">
        <v>44043</v>
      </c>
      <c r="F10804" s="36" t="s">
        <v>54401</v>
      </c>
      <c r="G10804" s="39">
        <v>4842225</v>
      </c>
      <c r="H10804" s="42">
        <v>211</v>
      </c>
    </row>
    <row r="10805" spans="1:8" ht="15" customHeight="1">
      <c r="A10805" s="26">
        <v>1052380376</v>
      </c>
      <c r="B10805" s="29" t="s">
        <v>13020</v>
      </c>
      <c r="C10805" s="29" t="s">
        <v>26730</v>
      </c>
      <c r="D10805" s="29" t="s">
        <v>40195</v>
      </c>
      <c r="E10805" s="29" t="s">
        <v>51871</v>
      </c>
      <c r="F10805" s="36" t="s">
        <v>54401</v>
      </c>
      <c r="G10805" s="39">
        <v>421818.46</v>
      </c>
      <c r="H10805" s="42">
        <v>211</v>
      </c>
    </row>
    <row r="10806" spans="1:8" ht="15" customHeight="1">
      <c r="A10806" s="26">
        <v>1052380386</v>
      </c>
      <c r="B10806" s="29" t="s">
        <v>13021</v>
      </c>
      <c r="C10806" s="29" t="s">
        <v>26731</v>
      </c>
      <c r="D10806" s="29" t="s">
        <v>36515</v>
      </c>
      <c r="E10806" s="29" t="s">
        <v>46308</v>
      </c>
      <c r="F10806" s="36" t="s">
        <v>54401</v>
      </c>
      <c r="G10806" s="39">
        <v>2583881.36</v>
      </c>
      <c r="H10806" s="42">
        <v>211</v>
      </c>
    </row>
    <row r="10807" spans="1:8" ht="15" customHeight="1">
      <c r="A10807" s="26">
        <v>1052380413</v>
      </c>
      <c r="B10807" s="29" t="s">
        <v>13022</v>
      </c>
      <c r="C10807" s="29" t="s">
        <v>17204</v>
      </c>
      <c r="D10807" s="29" t="s">
        <v>30349</v>
      </c>
      <c r="E10807" s="29" t="s">
        <v>43926</v>
      </c>
      <c r="F10807" s="36" t="s">
        <v>54401</v>
      </c>
      <c r="G10807" s="39">
        <v>148443.96</v>
      </c>
      <c r="H10807" s="42">
        <v>211</v>
      </c>
    </row>
    <row r="10808" spans="1:8" ht="15" customHeight="1">
      <c r="A10808" s="26">
        <v>1052380430</v>
      </c>
      <c r="B10808" s="29" t="s">
        <v>13023</v>
      </c>
      <c r="C10808" s="26" t="s">
        <v>17204</v>
      </c>
      <c r="D10808" s="26" t="s">
        <v>30349</v>
      </c>
      <c r="E10808" s="26" t="s">
        <v>43926</v>
      </c>
      <c r="F10808" s="37" t="s">
        <v>54401</v>
      </c>
      <c r="G10808" s="39">
        <v>371256.92</v>
      </c>
      <c r="H10808" s="42">
        <v>211</v>
      </c>
    </row>
    <row r="10809" spans="1:8" ht="15" customHeight="1">
      <c r="A10809" s="26">
        <v>1052380451</v>
      </c>
      <c r="B10809" s="29" t="s">
        <v>13024</v>
      </c>
      <c r="C10809" s="26" t="s">
        <v>26732</v>
      </c>
      <c r="D10809" s="26" t="s">
        <v>40196</v>
      </c>
      <c r="E10809" s="26" t="s">
        <v>51872</v>
      </c>
      <c r="F10809" s="37" t="s">
        <v>54401</v>
      </c>
      <c r="G10809" s="39">
        <v>1349129.15</v>
      </c>
      <c r="H10809" s="42">
        <v>211</v>
      </c>
    </row>
    <row r="10810" spans="1:8" ht="15" customHeight="1">
      <c r="A10810" s="26">
        <v>1052380473</v>
      </c>
      <c r="B10810" s="29" t="s">
        <v>13025</v>
      </c>
      <c r="C10810" s="29" t="s">
        <v>17204</v>
      </c>
      <c r="D10810" s="29" t="s">
        <v>30349</v>
      </c>
      <c r="E10810" s="29" t="s">
        <v>43926</v>
      </c>
      <c r="F10810" s="36" t="s">
        <v>54401</v>
      </c>
      <c r="G10810" s="39">
        <v>2256210</v>
      </c>
      <c r="H10810" s="42">
        <v>211</v>
      </c>
    </row>
    <row r="10811" spans="1:8" ht="15" customHeight="1">
      <c r="A10811" s="26">
        <v>1052380480</v>
      </c>
      <c r="B10811" s="29" t="s">
        <v>13026</v>
      </c>
      <c r="C10811" s="29" t="s">
        <v>26733</v>
      </c>
      <c r="D10811" s="29" t="s">
        <v>40197</v>
      </c>
      <c r="E10811" s="29" t="s">
        <v>48982</v>
      </c>
      <c r="F10811" s="36" t="s">
        <v>54401</v>
      </c>
      <c r="G10811" s="39">
        <v>5489156.3700000001</v>
      </c>
      <c r="H10811" s="42">
        <v>211</v>
      </c>
    </row>
    <row r="10812" spans="1:8" ht="15" customHeight="1">
      <c r="A10812" s="26">
        <v>1052380483</v>
      </c>
      <c r="B10812" s="29" t="s">
        <v>13027</v>
      </c>
      <c r="C10812" s="29" t="s">
        <v>26734</v>
      </c>
      <c r="D10812" s="29" t="s">
        <v>40198</v>
      </c>
      <c r="E10812" s="29" t="s">
        <v>45285</v>
      </c>
      <c r="F10812" s="36" t="s">
        <v>54401</v>
      </c>
      <c r="G10812" s="39">
        <v>973288.86</v>
      </c>
      <c r="H10812" s="42">
        <v>211</v>
      </c>
    </row>
    <row r="10813" spans="1:8" ht="15" customHeight="1">
      <c r="A10813" s="26">
        <v>1052380489</v>
      </c>
      <c r="B10813" s="29" t="s">
        <v>13028</v>
      </c>
      <c r="C10813" s="26" t="s">
        <v>26735</v>
      </c>
      <c r="D10813" s="26" t="s">
        <v>32029</v>
      </c>
      <c r="E10813" s="26" t="s">
        <v>51873</v>
      </c>
      <c r="F10813" s="37" t="s">
        <v>54401</v>
      </c>
      <c r="G10813" s="39">
        <v>2566869.77</v>
      </c>
      <c r="H10813" s="42">
        <v>211</v>
      </c>
    </row>
    <row r="10814" spans="1:8" ht="15" customHeight="1">
      <c r="A10814" s="26">
        <v>1052380516</v>
      </c>
      <c r="B10814" s="29" t="s">
        <v>13029</v>
      </c>
      <c r="C10814" s="29" t="s">
        <v>26736</v>
      </c>
      <c r="D10814" s="29" t="s">
        <v>40199</v>
      </c>
      <c r="E10814" s="29" t="s">
        <v>51874</v>
      </c>
      <c r="F10814" s="36" t="s">
        <v>54401</v>
      </c>
      <c r="G10814" s="39">
        <v>62395.92</v>
      </c>
      <c r="H10814" s="42">
        <v>211</v>
      </c>
    </row>
    <row r="10815" spans="1:8" ht="15" customHeight="1">
      <c r="A10815" s="26">
        <v>1052380524</v>
      </c>
      <c r="B10815" s="29" t="s">
        <v>13030</v>
      </c>
      <c r="C10815" s="26" t="s">
        <v>26737</v>
      </c>
      <c r="D10815" s="26" t="s">
        <v>40200</v>
      </c>
      <c r="E10815" s="26" t="s">
        <v>43926</v>
      </c>
      <c r="F10815" s="37" t="s">
        <v>54401</v>
      </c>
      <c r="G10815" s="39">
        <v>49132.6</v>
      </c>
      <c r="H10815" s="42">
        <v>211</v>
      </c>
    </row>
    <row r="10816" spans="1:8" ht="15" customHeight="1">
      <c r="A10816" s="26">
        <v>1052380533</v>
      </c>
      <c r="B10816" s="29" t="s">
        <v>13031</v>
      </c>
      <c r="C10816" s="29" t="s">
        <v>26738</v>
      </c>
      <c r="D10816" s="29" t="s">
        <v>40201</v>
      </c>
      <c r="E10816" s="29" t="s">
        <v>51875</v>
      </c>
      <c r="F10816" s="36" t="s">
        <v>54401</v>
      </c>
      <c r="G10816" s="39">
        <v>1600170.17</v>
      </c>
      <c r="H10816" s="42">
        <v>211</v>
      </c>
    </row>
    <row r="10817" spans="1:8" ht="15" customHeight="1">
      <c r="A10817" s="26">
        <v>1052380542</v>
      </c>
      <c r="B10817" s="29" t="s">
        <v>13032</v>
      </c>
      <c r="C10817" s="29" t="s">
        <v>26739</v>
      </c>
      <c r="D10817" s="29" t="s">
        <v>40202</v>
      </c>
      <c r="E10817" s="29" t="s">
        <v>51876</v>
      </c>
      <c r="F10817" s="36" t="s">
        <v>54401</v>
      </c>
      <c r="G10817" s="39">
        <v>1899077.49</v>
      </c>
      <c r="H10817" s="42">
        <v>211</v>
      </c>
    </row>
    <row r="10818" spans="1:8" ht="15" customHeight="1">
      <c r="A10818" s="26">
        <v>1052380545</v>
      </c>
      <c r="B10818" s="29" t="s">
        <v>13033</v>
      </c>
      <c r="C10818" s="29" t="s">
        <v>26740</v>
      </c>
      <c r="D10818" s="29" t="s">
        <v>40203</v>
      </c>
      <c r="E10818" s="29" t="s">
        <v>51877</v>
      </c>
      <c r="F10818" s="36" t="s">
        <v>54401</v>
      </c>
      <c r="G10818" s="39">
        <v>389161.95</v>
      </c>
      <c r="H10818" s="42">
        <v>211</v>
      </c>
    </row>
    <row r="10819" spans="1:8" ht="15" customHeight="1">
      <c r="A10819" s="26">
        <v>1052380560</v>
      </c>
      <c r="B10819" s="29" t="s">
        <v>13034</v>
      </c>
      <c r="C10819" s="26" t="s">
        <v>26741</v>
      </c>
      <c r="D10819" s="26" t="s">
        <v>40204</v>
      </c>
      <c r="E10819" s="26" t="s">
        <v>51878</v>
      </c>
      <c r="F10819" s="37" t="s">
        <v>54401</v>
      </c>
      <c r="G10819" s="39">
        <v>4151948.32</v>
      </c>
      <c r="H10819" s="42">
        <v>211</v>
      </c>
    </row>
    <row r="10820" spans="1:8" ht="15" customHeight="1">
      <c r="A10820" s="26">
        <v>1052380573</v>
      </c>
      <c r="B10820" s="29" t="s">
        <v>13035</v>
      </c>
      <c r="C10820" s="29" t="s">
        <v>26742</v>
      </c>
      <c r="D10820" s="29" t="s">
        <v>40205</v>
      </c>
      <c r="E10820" s="29" t="s">
        <v>51879</v>
      </c>
      <c r="F10820" s="36" t="s">
        <v>54401</v>
      </c>
      <c r="G10820" s="39">
        <v>114359.23</v>
      </c>
      <c r="H10820" s="42">
        <v>211</v>
      </c>
    </row>
    <row r="10821" spans="1:8" ht="15" customHeight="1">
      <c r="A10821" s="26">
        <v>1052380581</v>
      </c>
      <c r="B10821" s="29" t="s">
        <v>13036</v>
      </c>
      <c r="C10821" s="29" t="s">
        <v>26743</v>
      </c>
      <c r="D10821" s="29" t="s">
        <v>40206</v>
      </c>
      <c r="E10821" s="29" t="s">
        <v>51880</v>
      </c>
      <c r="F10821" s="36" t="s">
        <v>54412</v>
      </c>
      <c r="G10821" s="39">
        <v>386735.88</v>
      </c>
      <c r="H10821" s="42">
        <v>211</v>
      </c>
    </row>
    <row r="10822" spans="1:8" ht="15" customHeight="1">
      <c r="A10822" s="26">
        <v>1052380588</v>
      </c>
      <c r="B10822" s="29" t="s">
        <v>13037</v>
      </c>
      <c r="C10822" s="29" t="s">
        <v>26744</v>
      </c>
      <c r="D10822" s="29" t="s">
        <v>40207</v>
      </c>
      <c r="E10822" s="29" t="s">
        <v>51881</v>
      </c>
      <c r="F10822" s="36" t="s">
        <v>54401</v>
      </c>
      <c r="G10822" s="39">
        <v>742213.74</v>
      </c>
      <c r="H10822" s="42">
        <v>211</v>
      </c>
    </row>
    <row r="10823" spans="1:8" ht="15" customHeight="1">
      <c r="A10823" s="26">
        <v>1052380596</v>
      </c>
      <c r="B10823" s="29" t="s">
        <v>13038</v>
      </c>
      <c r="C10823" s="29" t="s">
        <v>26745</v>
      </c>
      <c r="D10823" s="29" t="s">
        <v>40208</v>
      </c>
      <c r="E10823" s="29" t="s">
        <v>51882</v>
      </c>
      <c r="F10823" s="36" t="s">
        <v>54401</v>
      </c>
      <c r="G10823" s="39">
        <v>376880.06</v>
      </c>
      <c r="H10823" s="42">
        <v>211</v>
      </c>
    </row>
    <row r="10824" spans="1:8" ht="15" customHeight="1">
      <c r="A10824" s="26">
        <v>1052380617</v>
      </c>
      <c r="B10824" s="29" t="s">
        <v>13039</v>
      </c>
      <c r="C10824" s="29" t="s">
        <v>26746</v>
      </c>
      <c r="D10824" s="29" t="s">
        <v>40209</v>
      </c>
      <c r="E10824" s="29" t="s">
        <v>43926</v>
      </c>
      <c r="F10824" s="36" t="s">
        <v>54401</v>
      </c>
      <c r="G10824" s="39">
        <v>27100.83</v>
      </c>
      <c r="H10824" s="42">
        <v>211</v>
      </c>
    </row>
    <row r="10825" spans="1:8" ht="15" customHeight="1">
      <c r="A10825" s="26">
        <v>1052380628</v>
      </c>
      <c r="B10825" s="29" t="s">
        <v>13040</v>
      </c>
      <c r="C10825" s="29" t="s">
        <v>26747</v>
      </c>
      <c r="D10825" s="29" t="s">
        <v>40210</v>
      </c>
      <c r="E10825" s="29" t="s">
        <v>51883</v>
      </c>
      <c r="F10825" s="36" t="s">
        <v>54401</v>
      </c>
      <c r="G10825" s="39">
        <v>1052876.3400000001</v>
      </c>
      <c r="H10825" s="42">
        <v>211</v>
      </c>
    </row>
    <row r="10826" spans="1:8" ht="15" customHeight="1">
      <c r="A10826" s="26">
        <v>1052380629</v>
      </c>
      <c r="B10826" s="29" t="s">
        <v>13041</v>
      </c>
      <c r="C10826" s="29" t="s">
        <v>17204</v>
      </c>
      <c r="D10826" s="29" t="s">
        <v>30349</v>
      </c>
      <c r="E10826" s="29" t="s">
        <v>43926</v>
      </c>
      <c r="F10826" s="36" t="s">
        <v>54401</v>
      </c>
      <c r="G10826" s="39">
        <v>193730.53</v>
      </c>
      <c r="H10826" s="42">
        <v>211</v>
      </c>
    </row>
    <row r="10827" spans="1:8" ht="15" customHeight="1">
      <c r="A10827" s="26">
        <v>1052380644</v>
      </c>
      <c r="B10827" s="29" t="s">
        <v>13042</v>
      </c>
      <c r="C10827" s="29" t="s">
        <v>26748</v>
      </c>
      <c r="D10827" s="29" t="s">
        <v>40211</v>
      </c>
      <c r="E10827" s="29" t="s">
        <v>45178</v>
      </c>
      <c r="F10827" s="36" t="s">
        <v>54401</v>
      </c>
      <c r="G10827" s="39">
        <v>5432897.3200000003</v>
      </c>
      <c r="H10827" s="42">
        <v>211</v>
      </c>
    </row>
    <row r="10828" spans="1:8" ht="15" customHeight="1">
      <c r="A10828" s="26">
        <v>1052380693</v>
      </c>
      <c r="B10828" s="29" t="s">
        <v>13043</v>
      </c>
      <c r="C10828" s="29" t="s">
        <v>26749</v>
      </c>
      <c r="D10828" s="29" t="s">
        <v>40212</v>
      </c>
      <c r="E10828" s="29" t="s">
        <v>44215</v>
      </c>
      <c r="F10828" s="36" t="s">
        <v>54401</v>
      </c>
      <c r="G10828" s="39">
        <v>221759.49</v>
      </c>
      <c r="H10828" s="42">
        <v>211</v>
      </c>
    </row>
    <row r="10829" spans="1:8" ht="15" customHeight="1">
      <c r="A10829" s="26">
        <v>1052380696</v>
      </c>
      <c r="B10829" s="29" t="s">
        <v>13044</v>
      </c>
      <c r="C10829" s="29" t="s">
        <v>26750</v>
      </c>
      <c r="D10829" s="29" t="s">
        <v>40213</v>
      </c>
      <c r="E10829" s="29" t="s">
        <v>43926</v>
      </c>
      <c r="F10829" s="36" t="s">
        <v>54401</v>
      </c>
      <c r="G10829" s="39">
        <v>399605.47</v>
      </c>
      <c r="H10829" s="42">
        <v>211</v>
      </c>
    </row>
    <row r="10830" spans="1:8" ht="15" customHeight="1">
      <c r="A10830" s="26">
        <v>1052380699</v>
      </c>
      <c r="B10830" s="29" t="s">
        <v>13045</v>
      </c>
      <c r="C10830" s="29" t="s">
        <v>17204</v>
      </c>
      <c r="D10830" s="29" t="s">
        <v>30349</v>
      </c>
      <c r="E10830" s="29" t="s">
        <v>43926</v>
      </c>
      <c r="F10830" s="36" t="s">
        <v>54401</v>
      </c>
      <c r="G10830" s="39">
        <v>136733.66</v>
      </c>
      <c r="H10830" s="42">
        <v>211</v>
      </c>
    </row>
    <row r="10831" spans="1:8" ht="15" customHeight="1">
      <c r="A10831" s="26">
        <v>1052380701</v>
      </c>
      <c r="B10831" s="29" t="s">
        <v>13046</v>
      </c>
      <c r="C10831" s="29" t="s">
        <v>26751</v>
      </c>
      <c r="D10831" s="29" t="s">
        <v>40214</v>
      </c>
      <c r="E10831" s="29" t="s">
        <v>46322</v>
      </c>
      <c r="F10831" s="36" t="s">
        <v>54401</v>
      </c>
      <c r="G10831" s="39">
        <v>1941340.88</v>
      </c>
      <c r="H10831" s="42">
        <v>211</v>
      </c>
    </row>
    <row r="10832" spans="1:8" ht="15" customHeight="1">
      <c r="A10832" s="26">
        <v>1052380713</v>
      </c>
      <c r="B10832" s="29" t="s">
        <v>13047</v>
      </c>
      <c r="C10832" s="29" t="s">
        <v>26752</v>
      </c>
      <c r="D10832" s="29" t="s">
        <v>40215</v>
      </c>
      <c r="E10832" s="29" t="s">
        <v>51884</v>
      </c>
      <c r="F10832" s="36" t="s">
        <v>54401</v>
      </c>
      <c r="G10832" s="39">
        <v>870284.58</v>
      </c>
      <c r="H10832" s="42">
        <v>211</v>
      </c>
    </row>
    <row r="10833" spans="1:8" ht="15" customHeight="1">
      <c r="A10833" s="26">
        <v>1052380750</v>
      </c>
      <c r="B10833" s="29" t="s">
        <v>13048</v>
      </c>
      <c r="C10833" s="26" t="s">
        <v>17204</v>
      </c>
      <c r="D10833" s="26" t="s">
        <v>30349</v>
      </c>
      <c r="E10833" s="26" t="s">
        <v>43926</v>
      </c>
      <c r="F10833" s="37" t="s">
        <v>54401</v>
      </c>
      <c r="G10833" s="39">
        <v>294019.49</v>
      </c>
      <c r="H10833" s="42">
        <v>211</v>
      </c>
    </row>
    <row r="10834" spans="1:8" ht="15" customHeight="1">
      <c r="A10834" s="26">
        <v>1052380754</v>
      </c>
      <c r="B10834" s="29" t="s">
        <v>13049</v>
      </c>
      <c r="C10834" s="29" t="s">
        <v>26753</v>
      </c>
      <c r="D10834" s="29" t="s">
        <v>40216</v>
      </c>
      <c r="E10834" s="29" t="s">
        <v>51885</v>
      </c>
      <c r="F10834" s="36" t="s">
        <v>54401</v>
      </c>
      <c r="G10834" s="39">
        <v>1834226.94</v>
      </c>
      <c r="H10834" s="42">
        <v>211</v>
      </c>
    </row>
    <row r="10835" spans="1:8" ht="15" customHeight="1">
      <c r="A10835" s="26">
        <v>1052380766</v>
      </c>
      <c r="B10835" s="29" t="s">
        <v>13050</v>
      </c>
      <c r="C10835" s="29" t="s">
        <v>17204</v>
      </c>
      <c r="D10835" s="29" t="s">
        <v>30349</v>
      </c>
      <c r="E10835" s="29" t="s">
        <v>43926</v>
      </c>
      <c r="F10835" s="36" t="s">
        <v>54401</v>
      </c>
      <c r="G10835" s="39">
        <v>349086.64</v>
      </c>
      <c r="H10835" s="42">
        <v>211</v>
      </c>
    </row>
    <row r="10836" spans="1:8" ht="15" customHeight="1">
      <c r="A10836" s="26">
        <v>1052380768</v>
      </c>
      <c r="B10836" s="29" t="s">
        <v>13051</v>
      </c>
      <c r="C10836" s="29" t="s">
        <v>26754</v>
      </c>
      <c r="D10836" s="29" t="s">
        <v>40217</v>
      </c>
      <c r="E10836" s="29" t="s">
        <v>51886</v>
      </c>
      <c r="F10836" s="36" t="s">
        <v>54401</v>
      </c>
      <c r="G10836" s="39">
        <v>226884.46</v>
      </c>
      <c r="H10836" s="42">
        <v>211</v>
      </c>
    </row>
    <row r="10837" spans="1:8" ht="15" customHeight="1">
      <c r="A10837" s="26">
        <v>1052380782</v>
      </c>
      <c r="B10837" s="29" t="s">
        <v>13052</v>
      </c>
      <c r="C10837" s="29" t="s">
        <v>26755</v>
      </c>
      <c r="D10837" s="29" t="s">
        <v>40218</v>
      </c>
      <c r="E10837" s="29" t="s">
        <v>47690</v>
      </c>
      <c r="F10837" s="36" t="s">
        <v>54401</v>
      </c>
      <c r="G10837" s="39">
        <v>3092419</v>
      </c>
      <c r="H10837" s="42">
        <v>211</v>
      </c>
    </row>
    <row r="10838" spans="1:8" ht="15" customHeight="1">
      <c r="A10838" s="26">
        <v>1052380824</v>
      </c>
      <c r="B10838" s="29" t="s">
        <v>13053</v>
      </c>
      <c r="C10838" s="29" t="s">
        <v>26756</v>
      </c>
      <c r="D10838" s="29" t="s">
        <v>40219</v>
      </c>
      <c r="E10838" s="29" t="s">
        <v>51887</v>
      </c>
      <c r="F10838" s="36" t="s">
        <v>54423</v>
      </c>
      <c r="G10838" s="39">
        <v>968708.61</v>
      </c>
      <c r="H10838" s="42">
        <v>211</v>
      </c>
    </row>
    <row r="10839" spans="1:8" ht="15" customHeight="1">
      <c r="A10839" s="26">
        <v>1052380860</v>
      </c>
      <c r="B10839" s="29" t="s">
        <v>13054</v>
      </c>
      <c r="C10839" s="29" t="s">
        <v>26757</v>
      </c>
      <c r="D10839" s="29" t="s">
        <v>40220</v>
      </c>
      <c r="E10839" s="29" t="s">
        <v>51888</v>
      </c>
      <c r="F10839" s="36" t="s">
        <v>54401</v>
      </c>
      <c r="G10839" s="39">
        <v>221904.76</v>
      </c>
      <c r="H10839" s="42">
        <v>211</v>
      </c>
    </row>
    <row r="10840" spans="1:8" ht="15" customHeight="1">
      <c r="A10840" s="26">
        <v>1052380869</v>
      </c>
      <c r="B10840" s="29" t="s">
        <v>13055</v>
      </c>
      <c r="C10840" s="29" t="s">
        <v>26758</v>
      </c>
      <c r="D10840" s="29" t="s">
        <v>40221</v>
      </c>
      <c r="E10840" s="29" t="s">
        <v>51889</v>
      </c>
      <c r="F10840" s="36" t="s">
        <v>54401</v>
      </c>
      <c r="G10840" s="39">
        <v>467505.91999999998</v>
      </c>
      <c r="H10840" s="42">
        <v>211</v>
      </c>
    </row>
    <row r="10841" spans="1:8" ht="15" customHeight="1">
      <c r="A10841" s="26">
        <v>1052380875</v>
      </c>
      <c r="B10841" s="29" t="s">
        <v>13056</v>
      </c>
      <c r="C10841" s="29" t="s">
        <v>26759</v>
      </c>
      <c r="D10841" s="29" t="s">
        <v>40222</v>
      </c>
      <c r="E10841" s="29" t="s">
        <v>51890</v>
      </c>
      <c r="F10841" s="36" t="s">
        <v>54401</v>
      </c>
      <c r="G10841" s="39">
        <v>857203.21</v>
      </c>
      <c r="H10841" s="42">
        <v>211</v>
      </c>
    </row>
    <row r="10842" spans="1:8" ht="15" customHeight="1">
      <c r="A10842" s="26">
        <v>1052380881</v>
      </c>
      <c r="B10842" s="29" t="s">
        <v>13057</v>
      </c>
      <c r="C10842" s="29" t="s">
        <v>26760</v>
      </c>
      <c r="D10842" s="29" t="s">
        <v>40223</v>
      </c>
      <c r="E10842" s="29" t="s">
        <v>51891</v>
      </c>
      <c r="F10842" s="36" t="s">
        <v>54401</v>
      </c>
      <c r="G10842" s="39">
        <v>13352.94</v>
      </c>
      <c r="H10842" s="42">
        <v>211</v>
      </c>
    </row>
    <row r="10843" spans="1:8" ht="15" customHeight="1">
      <c r="A10843" s="26">
        <v>1052380918</v>
      </c>
      <c r="B10843" s="29" t="s">
        <v>13058</v>
      </c>
      <c r="C10843" s="29" t="s">
        <v>26761</v>
      </c>
      <c r="D10843" s="29" t="s">
        <v>40224</v>
      </c>
      <c r="E10843" s="29" t="s">
        <v>51892</v>
      </c>
      <c r="F10843" s="36" t="s">
        <v>54401</v>
      </c>
      <c r="G10843" s="39">
        <v>2979694.82</v>
      </c>
      <c r="H10843" s="42">
        <v>211</v>
      </c>
    </row>
    <row r="10844" spans="1:8" ht="15" customHeight="1">
      <c r="A10844" s="26">
        <v>1052380922</v>
      </c>
      <c r="B10844" s="29" t="s">
        <v>13059</v>
      </c>
      <c r="C10844" s="29" t="s">
        <v>26762</v>
      </c>
      <c r="D10844" s="29" t="s">
        <v>40225</v>
      </c>
      <c r="E10844" s="29" t="s">
        <v>51893</v>
      </c>
      <c r="F10844" s="36" t="s">
        <v>54401</v>
      </c>
      <c r="G10844" s="39">
        <v>6273621</v>
      </c>
      <c r="H10844" s="42">
        <v>211</v>
      </c>
    </row>
    <row r="10845" spans="1:8" ht="15" customHeight="1">
      <c r="A10845" s="26">
        <v>1052380931</v>
      </c>
      <c r="B10845" s="29" t="s">
        <v>13060</v>
      </c>
      <c r="C10845" s="29" t="s">
        <v>24930</v>
      </c>
      <c r="D10845" s="29" t="s">
        <v>40226</v>
      </c>
      <c r="E10845" s="29" t="s">
        <v>46609</v>
      </c>
      <c r="F10845" s="36" t="s">
        <v>54401</v>
      </c>
      <c r="G10845" s="39">
        <v>4578527.9400000004</v>
      </c>
      <c r="H10845" s="42">
        <v>211</v>
      </c>
    </row>
    <row r="10846" spans="1:8" ht="15" customHeight="1">
      <c r="A10846" s="26">
        <v>1052380939</v>
      </c>
      <c r="B10846" s="29" t="s">
        <v>13061</v>
      </c>
      <c r="C10846" s="29" t="s">
        <v>26763</v>
      </c>
      <c r="D10846" s="29" t="s">
        <v>30376</v>
      </c>
      <c r="E10846" s="29" t="s">
        <v>46785</v>
      </c>
      <c r="F10846" s="36" t="s">
        <v>54409</v>
      </c>
      <c r="G10846" s="39">
        <v>4407376.8099999996</v>
      </c>
      <c r="H10846" s="42">
        <v>211</v>
      </c>
    </row>
    <row r="10847" spans="1:8" ht="15" customHeight="1">
      <c r="A10847" s="26">
        <v>1052380943</v>
      </c>
      <c r="B10847" s="29" t="s">
        <v>13062</v>
      </c>
      <c r="C10847" s="29" t="s">
        <v>26764</v>
      </c>
      <c r="D10847" s="29" t="s">
        <v>40227</v>
      </c>
      <c r="E10847" s="29" t="s">
        <v>51894</v>
      </c>
      <c r="F10847" s="36" t="s">
        <v>54401</v>
      </c>
      <c r="G10847" s="39">
        <v>1736948.98</v>
      </c>
      <c r="H10847" s="42">
        <v>211</v>
      </c>
    </row>
    <row r="10848" spans="1:8" ht="15" customHeight="1">
      <c r="A10848" s="26">
        <v>1052380949</v>
      </c>
      <c r="B10848" s="29" t="s">
        <v>13063</v>
      </c>
      <c r="C10848" s="29" t="s">
        <v>26765</v>
      </c>
      <c r="D10848" s="29" t="s">
        <v>40228</v>
      </c>
      <c r="E10848" s="29" t="s">
        <v>51895</v>
      </c>
      <c r="F10848" s="36" t="s">
        <v>54401</v>
      </c>
      <c r="G10848" s="39">
        <v>1087354.3400000001</v>
      </c>
      <c r="H10848" s="42">
        <v>211</v>
      </c>
    </row>
    <row r="10849" spans="1:8" ht="15" customHeight="1">
      <c r="A10849" s="26">
        <v>1052380961</v>
      </c>
      <c r="B10849" s="29" t="s">
        <v>13064</v>
      </c>
      <c r="C10849" s="29" t="s">
        <v>26766</v>
      </c>
      <c r="D10849" s="29" t="s">
        <v>40229</v>
      </c>
      <c r="E10849" s="29" t="s">
        <v>51896</v>
      </c>
      <c r="F10849" s="36" t="s">
        <v>54401</v>
      </c>
      <c r="G10849" s="39">
        <v>514149.18</v>
      </c>
      <c r="H10849" s="42">
        <v>211</v>
      </c>
    </row>
    <row r="10850" spans="1:8" ht="15" customHeight="1">
      <c r="A10850" s="26">
        <v>1052380968</v>
      </c>
      <c r="B10850" s="29" t="s">
        <v>13065</v>
      </c>
      <c r="C10850" s="29" t="s">
        <v>26767</v>
      </c>
      <c r="D10850" s="29" t="s">
        <v>40230</v>
      </c>
      <c r="E10850" s="29" t="s">
        <v>47772</v>
      </c>
      <c r="F10850" s="36" t="s">
        <v>54401</v>
      </c>
      <c r="G10850" s="39">
        <v>5151950.6399999997</v>
      </c>
      <c r="H10850" s="42">
        <v>211</v>
      </c>
    </row>
    <row r="10851" spans="1:8" ht="15" customHeight="1">
      <c r="A10851" s="26">
        <v>1052380975</v>
      </c>
      <c r="B10851" s="29" t="s">
        <v>13066</v>
      </c>
      <c r="C10851" s="29" t="s">
        <v>26768</v>
      </c>
      <c r="D10851" s="29" t="s">
        <v>40231</v>
      </c>
      <c r="E10851" s="29" t="s">
        <v>51897</v>
      </c>
      <c r="F10851" s="36" t="s">
        <v>54401</v>
      </c>
      <c r="G10851" s="39">
        <v>8109873</v>
      </c>
      <c r="H10851" s="42">
        <v>211</v>
      </c>
    </row>
    <row r="10852" spans="1:8" ht="15" customHeight="1">
      <c r="A10852" s="26">
        <v>1052380977</v>
      </c>
      <c r="B10852" s="29" t="s">
        <v>13067</v>
      </c>
      <c r="C10852" s="29" t="s">
        <v>26769</v>
      </c>
      <c r="D10852" s="29" t="s">
        <v>40232</v>
      </c>
      <c r="E10852" s="29" t="s">
        <v>51898</v>
      </c>
      <c r="F10852" s="36" t="s">
        <v>54401</v>
      </c>
      <c r="G10852" s="39">
        <v>71006.89</v>
      </c>
      <c r="H10852" s="42">
        <v>211</v>
      </c>
    </row>
    <row r="10853" spans="1:8" ht="15" customHeight="1">
      <c r="A10853" s="26">
        <v>1052380997</v>
      </c>
      <c r="B10853" s="29" t="s">
        <v>13068</v>
      </c>
      <c r="C10853" s="26" t="s">
        <v>17204</v>
      </c>
      <c r="D10853" s="26" t="s">
        <v>31926</v>
      </c>
      <c r="E10853" s="26" t="s">
        <v>43926</v>
      </c>
      <c r="F10853" s="37" t="s">
        <v>54401</v>
      </c>
      <c r="G10853" s="39">
        <v>233899.42</v>
      </c>
      <c r="H10853" s="42">
        <v>211</v>
      </c>
    </row>
    <row r="10854" spans="1:8" ht="15" customHeight="1">
      <c r="A10854" s="26">
        <v>1052381002</v>
      </c>
      <c r="B10854" s="29" t="s">
        <v>13069</v>
      </c>
      <c r="C10854" s="29" t="s">
        <v>26770</v>
      </c>
      <c r="D10854" s="29" t="s">
        <v>40233</v>
      </c>
      <c r="E10854" s="29" t="s">
        <v>51899</v>
      </c>
      <c r="F10854" s="36" t="s">
        <v>54401</v>
      </c>
      <c r="G10854" s="39">
        <v>423147.84</v>
      </c>
      <c r="H10854" s="42">
        <v>211</v>
      </c>
    </row>
    <row r="10855" spans="1:8" ht="15" customHeight="1">
      <c r="A10855" s="26">
        <v>1052381009</v>
      </c>
      <c r="B10855" s="29" t="s">
        <v>13070</v>
      </c>
      <c r="C10855" s="29" t="s">
        <v>26771</v>
      </c>
      <c r="D10855" s="29" t="s">
        <v>40234</v>
      </c>
      <c r="E10855" s="29" t="s">
        <v>51900</v>
      </c>
      <c r="F10855" s="36" t="s">
        <v>54401</v>
      </c>
      <c r="G10855" s="39">
        <v>517166.89</v>
      </c>
      <c r="H10855" s="42">
        <v>211</v>
      </c>
    </row>
    <row r="10856" spans="1:8" ht="15" customHeight="1">
      <c r="A10856" s="26">
        <v>1052381048</v>
      </c>
      <c r="B10856" s="29" t="s">
        <v>13071</v>
      </c>
      <c r="C10856" s="29" t="s">
        <v>26772</v>
      </c>
      <c r="D10856" s="29" t="s">
        <v>40235</v>
      </c>
      <c r="E10856" s="29" t="s">
        <v>45502</v>
      </c>
      <c r="F10856" s="36" t="s">
        <v>54401</v>
      </c>
      <c r="G10856" s="39">
        <v>483128.7</v>
      </c>
      <c r="H10856" s="42">
        <v>211</v>
      </c>
    </row>
    <row r="10857" spans="1:8" ht="15" customHeight="1">
      <c r="A10857" s="26">
        <v>1052381050</v>
      </c>
      <c r="B10857" s="29" t="s">
        <v>13072</v>
      </c>
      <c r="C10857" s="29" t="s">
        <v>18400</v>
      </c>
      <c r="D10857" s="29" t="s">
        <v>40236</v>
      </c>
      <c r="E10857" s="29" t="s">
        <v>51901</v>
      </c>
      <c r="F10857" s="36" t="s">
        <v>54401</v>
      </c>
      <c r="G10857" s="39">
        <v>663442.06999999995</v>
      </c>
      <c r="H10857" s="42">
        <v>211</v>
      </c>
    </row>
    <row r="10858" spans="1:8" ht="15" customHeight="1">
      <c r="A10858" s="26">
        <v>1052381053</v>
      </c>
      <c r="B10858" s="29" t="s">
        <v>13073</v>
      </c>
      <c r="C10858" s="29" t="s">
        <v>17204</v>
      </c>
      <c r="D10858" s="29" t="s">
        <v>30349</v>
      </c>
      <c r="E10858" s="29" t="s">
        <v>43926</v>
      </c>
      <c r="F10858" s="36" t="s">
        <v>54401</v>
      </c>
      <c r="G10858" s="39">
        <v>106836.6</v>
      </c>
      <c r="H10858" s="42">
        <v>211</v>
      </c>
    </row>
    <row r="10859" spans="1:8" ht="15" customHeight="1">
      <c r="A10859" s="26">
        <v>1052381066</v>
      </c>
      <c r="B10859" s="29" t="s">
        <v>13074</v>
      </c>
      <c r="C10859" s="29" t="s">
        <v>26773</v>
      </c>
      <c r="D10859" s="29" t="s">
        <v>40237</v>
      </c>
      <c r="E10859" s="29" t="s">
        <v>51902</v>
      </c>
      <c r="F10859" s="36" t="s">
        <v>54401</v>
      </c>
      <c r="G10859" s="39">
        <v>582514.80000000005</v>
      </c>
      <c r="H10859" s="42">
        <v>211</v>
      </c>
    </row>
    <row r="10860" spans="1:8" ht="15" customHeight="1">
      <c r="A10860" s="26">
        <v>1052381121</v>
      </c>
      <c r="B10860" s="29" t="s">
        <v>13075</v>
      </c>
      <c r="C10860" s="29" t="s">
        <v>26774</v>
      </c>
      <c r="D10860" s="29" t="s">
        <v>40238</v>
      </c>
      <c r="E10860" s="29" t="s">
        <v>51903</v>
      </c>
      <c r="F10860" s="36" t="s">
        <v>54401</v>
      </c>
      <c r="G10860" s="39">
        <v>1829730.72</v>
      </c>
      <c r="H10860" s="42">
        <v>211</v>
      </c>
    </row>
    <row r="10861" spans="1:8" ht="15" customHeight="1">
      <c r="A10861" s="26">
        <v>1052381138</v>
      </c>
      <c r="B10861" s="29" t="s">
        <v>13076</v>
      </c>
      <c r="C10861" s="29" t="s">
        <v>26775</v>
      </c>
      <c r="D10861" s="29" t="s">
        <v>40239</v>
      </c>
      <c r="E10861" s="29" t="s">
        <v>49593</v>
      </c>
      <c r="F10861" s="36" t="s">
        <v>54401</v>
      </c>
      <c r="G10861" s="39">
        <v>5327767</v>
      </c>
      <c r="H10861" s="42">
        <v>211</v>
      </c>
    </row>
    <row r="10862" spans="1:8" ht="15" customHeight="1">
      <c r="A10862" s="26">
        <v>1052381166</v>
      </c>
      <c r="B10862" s="29" t="s">
        <v>13077</v>
      </c>
      <c r="C10862" s="26" t="s">
        <v>26776</v>
      </c>
      <c r="D10862" s="26" t="s">
        <v>40240</v>
      </c>
      <c r="E10862" s="26" t="s">
        <v>51904</v>
      </c>
      <c r="F10862" s="37" t="s">
        <v>54401</v>
      </c>
      <c r="G10862" s="39">
        <v>521098.84</v>
      </c>
      <c r="H10862" s="42">
        <v>211</v>
      </c>
    </row>
    <row r="10863" spans="1:8" ht="15" customHeight="1">
      <c r="A10863" s="26">
        <v>1052381191</v>
      </c>
      <c r="B10863" s="29" t="s">
        <v>13078</v>
      </c>
      <c r="C10863" s="29" t="s">
        <v>26777</v>
      </c>
      <c r="D10863" s="29" t="s">
        <v>40241</v>
      </c>
      <c r="E10863" s="29" t="s">
        <v>51905</v>
      </c>
      <c r="F10863" s="36" t="s">
        <v>54401</v>
      </c>
      <c r="G10863" s="39">
        <v>5289821.76</v>
      </c>
      <c r="H10863" s="42">
        <v>211</v>
      </c>
    </row>
    <row r="10864" spans="1:8" ht="15" customHeight="1">
      <c r="A10864" s="26">
        <v>1052381209</v>
      </c>
      <c r="B10864" s="29" t="s">
        <v>13079</v>
      </c>
      <c r="C10864" s="29" t="s">
        <v>26778</v>
      </c>
      <c r="D10864" s="29" t="s">
        <v>40242</v>
      </c>
      <c r="E10864" s="29" t="s">
        <v>51906</v>
      </c>
      <c r="F10864" s="36" t="s">
        <v>54401</v>
      </c>
      <c r="G10864" s="39">
        <v>22434.16</v>
      </c>
      <c r="H10864" s="42">
        <v>211</v>
      </c>
    </row>
    <row r="10865" spans="1:8" ht="15" customHeight="1">
      <c r="A10865" s="26">
        <v>1052381214</v>
      </c>
      <c r="B10865" s="29" t="s">
        <v>13080</v>
      </c>
      <c r="C10865" s="29" t="s">
        <v>21622</v>
      </c>
      <c r="D10865" s="29" t="s">
        <v>40243</v>
      </c>
      <c r="E10865" s="29" t="s">
        <v>45621</v>
      </c>
      <c r="F10865" s="36" t="s">
        <v>54401</v>
      </c>
      <c r="G10865" s="39">
        <v>1637646.95</v>
      </c>
      <c r="H10865" s="42">
        <v>211</v>
      </c>
    </row>
    <row r="10866" spans="1:8" ht="15" customHeight="1">
      <c r="A10866" s="26">
        <v>1052381220</v>
      </c>
      <c r="B10866" s="29" t="s">
        <v>13081</v>
      </c>
      <c r="C10866" s="29" t="s">
        <v>26779</v>
      </c>
      <c r="D10866" s="29" t="s">
        <v>40244</v>
      </c>
      <c r="E10866" s="29" t="s">
        <v>51907</v>
      </c>
      <c r="F10866" s="36" t="s">
        <v>54401</v>
      </c>
      <c r="G10866" s="39">
        <v>1644029.26</v>
      </c>
      <c r="H10866" s="42">
        <v>211</v>
      </c>
    </row>
    <row r="10867" spans="1:8" ht="15" customHeight="1">
      <c r="A10867" s="26">
        <v>1052381223</v>
      </c>
      <c r="B10867" s="29" t="s">
        <v>13082</v>
      </c>
      <c r="C10867" s="29" t="s">
        <v>26780</v>
      </c>
      <c r="D10867" s="29" t="s">
        <v>40245</v>
      </c>
      <c r="E10867" s="29" t="s">
        <v>45537</v>
      </c>
      <c r="F10867" s="36" t="s">
        <v>54401</v>
      </c>
      <c r="G10867" s="39">
        <v>23852.15</v>
      </c>
      <c r="H10867" s="42">
        <v>211</v>
      </c>
    </row>
    <row r="10868" spans="1:8" ht="15" customHeight="1">
      <c r="A10868" s="26">
        <v>1052381243</v>
      </c>
      <c r="B10868" s="29" t="s">
        <v>13083</v>
      </c>
      <c r="C10868" s="29" t="s">
        <v>26781</v>
      </c>
      <c r="D10868" s="29" t="s">
        <v>40246</v>
      </c>
      <c r="E10868" s="29" t="s">
        <v>51908</v>
      </c>
      <c r="F10868" s="36" t="s">
        <v>54401</v>
      </c>
      <c r="G10868" s="39">
        <v>104491.27</v>
      </c>
      <c r="H10868" s="42">
        <v>211</v>
      </c>
    </row>
    <row r="10869" spans="1:8" ht="15" customHeight="1">
      <c r="A10869" s="26">
        <v>1052381250</v>
      </c>
      <c r="B10869" s="29" t="s">
        <v>13084</v>
      </c>
      <c r="C10869" s="29" t="s">
        <v>26782</v>
      </c>
      <c r="D10869" s="29" t="s">
        <v>40247</v>
      </c>
      <c r="E10869" s="29" t="s">
        <v>51909</v>
      </c>
      <c r="F10869" s="36" t="s">
        <v>54401</v>
      </c>
      <c r="G10869" s="39">
        <v>283617.90999999997</v>
      </c>
      <c r="H10869" s="42">
        <v>211</v>
      </c>
    </row>
    <row r="10870" spans="1:8" ht="15" customHeight="1">
      <c r="A10870" s="26">
        <v>1052381251</v>
      </c>
      <c r="B10870" s="29" t="s">
        <v>13085</v>
      </c>
      <c r="C10870" s="29" t="s">
        <v>26783</v>
      </c>
      <c r="D10870" s="29" t="s">
        <v>40248</v>
      </c>
      <c r="E10870" s="29" t="s">
        <v>51910</v>
      </c>
      <c r="F10870" s="36" t="s">
        <v>54401</v>
      </c>
      <c r="G10870" s="39">
        <v>797513.82</v>
      </c>
      <c r="H10870" s="42">
        <v>211</v>
      </c>
    </row>
    <row r="10871" spans="1:8" ht="15" customHeight="1">
      <c r="A10871" s="26">
        <v>1052381267</v>
      </c>
      <c r="B10871" s="29" t="s">
        <v>13086</v>
      </c>
      <c r="C10871" s="29" t="s">
        <v>26784</v>
      </c>
      <c r="D10871" s="29" t="s">
        <v>40249</v>
      </c>
      <c r="E10871" s="29" t="s">
        <v>51911</v>
      </c>
      <c r="F10871" s="36" t="s">
        <v>54401</v>
      </c>
      <c r="G10871" s="39">
        <v>137313.59</v>
      </c>
      <c r="H10871" s="42">
        <v>211</v>
      </c>
    </row>
    <row r="10872" spans="1:8" ht="15" customHeight="1">
      <c r="A10872" s="26">
        <v>1052381278</v>
      </c>
      <c r="B10872" s="29" t="s">
        <v>13087</v>
      </c>
      <c r="C10872" s="26" t="s">
        <v>26785</v>
      </c>
      <c r="D10872" s="26" t="s">
        <v>40250</v>
      </c>
      <c r="E10872" s="26" t="s">
        <v>51912</v>
      </c>
      <c r="F10872" s="37" t="s">
        <v>54401</v>
      </c>
      <c r="G10872" s="39">
        <v>4064134.64</v>
      </c>
      <c r="H10872" s="42">
        <v>211</v>
      </c>
    </row>
    <row r="10873" spans="1:8" ht="15" customHeight="1">
      <c r="A10873" s="26">
        <v>1052381313</v>
      </c>
      <c r="B10873" s="29" t="s">
        <v>13088</v>
      </c>
      <c r="C10873" s="29" t="s">
        <v>26786</v>
      </c>
      <c r="D10873" s="29" t="s">
        <v>40251</v>
      </c>
      <c r="E10873" s="29" t="s">
        <v>51913</v>
      </c>
      <c r="F10873" s="36" t="s">
        <v>54401</v>
      </c>
      <c r="G10873" s="39">
        <v>2671029.27</v>
      </c>
      <c r="H10873" s="42">
        <v>211</v>
      </c>
    </row>
    <row r="10874" spans="1:8" ht="15" customHeight="1">
      <c r="A10874" s="26">
        <v>1052381317</v>
      </c>
      <c r="B10874" s="29" t="s">
        <v>13089</v>
      </c>
      <c r="C10874" s="29" t="s">
        <v>26787</v>
      </c>
      <c r="D10874" s="29" t="s">
        <v>40252</v>
      </c>
      <c r="E10874" s="29" t="s">
        <v>51914</v>
      </c>
      <c r="F10874" s="36" t="s">
        <v>54401</v>
      </c>
      <c r="G10874" s="39">
        <v>3757852.39</v>
      </c>
      <c r="H10874" s="42">
        <v>211</v>
      </c>
    </row>
    <row r="10875" spans="1:8" ht="15" customHeight="1">
      <c r="A10875" s="26">
        <v>1052381325</v>
      </c>
      <c r="B10875" s="29" t="s">
        <v>13090</v>
      </c>
      <c r="C10875" s="29" t="s">
        <v>26788</v>
      </c>
      <c r="D10875" s="29" t="s">
        <v>40253</v>
      </c>
      <c r="E10875" s="29" t="s">
        <v>51915</v>
      </c>
      <c r="F10875" s="36" t="s">
        <v>54414</v>
      </c>
      <c r="G10875" s="39">
        <v>3907482</v>
      </c>
      <c r="H10875" s="42">
        <v>211</v>
      </c>
    </row>
    <row r="10876" spans="1:8" ht="15" customHeight="1">
      <c r="A10876" s="26">
        <v>1052381329</v>
      </c>
      <c r="B10876" s="29" t="s">
        <v>13091</v>
      </c>
      <c r="C10876" s="26" t="s">
        <v>26789</v>
      </c>
      <c r="D10876" s="26" t="s">
        <v>34201</v>
      </c>
      <c r="E10876" s="26" t="s">
        <v>43926</v>
      </c>
      <c r="F10876" s="37" t="s">
        <v>54401</v>
      </c>
      <c r="G10876" s="39">
        <v>190182.16</v>
      </c>
      <c r="H10876" s="42">
        <v>211</v>
      </c>
    </row>
    <row r="10877" spans="1:8" ht="15" customHeight="1">
      <c r="A10877" s="26">
        <v>1052381330</v>
      </c>
      <c r="B10877" s="29" t="s">
        <v>13092</v>
      </c>
      <c r="C10877" s="29" t="s">
        <v>17204</v>
      </c>
      <c r="D10877" s="29" t="s">
        <v>30349</v>
      </c>
      <c r="E10877" s="29" t="s">
        <v>43926</v>
      </c>
      <c r="F10877" s="36" t="s">
        <v>54401</v>
      </c>
      <c r="G10877" s="39">
        <v>156288.76</v>
      </c>
      <c r="H10877" s="42">
        <v>211</v>
      </c>
    </row>
    <row r="10878" spans="1:8" ht="15" customHeight="1">
      <c r="A10878" s="26">
        <v>1052381338</v>
      </c>
      <c r="B10878" s="29" t="s">
        <v>13093</v>
      </c>
      <c r="C10878" s="29" t="s">
        <v>17337</v>
      </c>
      <c r="D10878" s="29" t="s">
        <v>40254</v>
      </c>
      <c r="E10878" s="29" t="s">
        <v>43926</v>
      </c>
      <c r="F10878" s="36" t="s">
        <v>54401</v>
      </c>
      <c r="G10878" s="39">
        <v>163004.14000000001</v>
      </c>
      <c r="H10878" s="42">
        <v>211</v>
      </c>
    </row>
    <row r="10879" spans="1:8" ht="15" customHeight="1">
      <c r="A10879" s="26">
        <v>1052381350</v>
      </c>
      <c r="B10879" s="29" t="s">
        <v>13094</v>
      </c>
      <c r="C10879" s="29" t="s">
        <v>26790</v>
      </c>
      <c r="D10879" s="29" t="s">
        <v>40255</v>
      </c>
      <c r="E10879" s="29" t="s">
        <v>51916</v>
      </c>
      <c r="F10879" s="36" t="s">
        <v>54401</v>
      </c>
      <c r="G10879" s="39">
        <v>4466265.0599999996</v>
      </c>
      <c r="H10879" s="42">
        <v>211</v>
      </c>
    </row>
    <row r="10880" spans="1:8" ht="15" customHeight="1">
      <c r="A10880" s="26">
        <v>1052381367</v>
      </c>
      <c r="B10880" s="29" t="s">
        <v>13095</v>
      </c>
      <c r="C10880" s="29" t="s">
        <v>17204</v>
      </c>
      <c r="D10880" s="29" t="s">
        <v>40256</v>
      </c>
      <c r="E10880" s="29" t="s">
        <v>43926</v>
      </c>
      <c r="F10880" s="36" t="s">
        <v>54401</v>
      </c>
      <c r="G10880" s="39">
        <v>381918.27</v>
      </c>
      <c r="H10880" s="42">
        <v>211</v>
      </c>
    </row>
    <row r="10881" spans="1:8" ht="15" customHeight="1">
      <c r="A10881" s="26">
        <v>1052381382</v>
      </c>
      <c r="B10881" s="29" t="s">
        <v>13096</v>
      </c>
      <c r="C10881" s="29" t="s">
        <v>26791</v>
      </c>
      <c r="D10881" s="29" t="s">
        <v>40257</v>
      </c>
      <c r="E10881" s="29" t="s">
        <v>46000</v>
      </c>
      <c r="F10881" s="36" t="s">
        <v>54401</v>
      </c>
      <c r="G10881" s="39">
        <v>361516.47</v>
      </c>
      <c r="H10881" s="42">
        <v>211</v>
      </c>
    </row>
    <row r="10882" spans="1:8" ht="15" customHeight="1">
      <c r="A10882" s="26">
        <v>1052381395</v>
      </c>
      <c r="B10882" s="29" t="s">
        <v>13097</v>
      </c>
      <c r="C10882" s="29" t="s">
        <v>26792</v>
      </c>
      <c r="D10882" s="29" t="s">
        <v>40258</v>
      </c>
      <c r="E10882" s="29" t="s">
        <v>51917</v>
      </c>
      <c r="F10882" s="36" t="s">
        <v>54401</v>
      </c>
      <c r="G10882" s="39">
        <v>253589.91</v>
      </c>
      <c r="H10882" s="42">
        <v>211</v>
      </c>
    </row>
    <row r="10883" spans="1:8" ht="15" customHeight="1">
      <c r="A10883" s="26">
        <v>1052381426</v>
      </c>
      <c r="B10883" s="29" t="s">
        <v>13098</v>
      </c>
      <c r="C10883" s="29" t="s">
        <v>26793</v>
      </c>
      <c r="D10883" s="29" t="s">
        <v>40259</v>
      </c>
      <c r="E10883" s="29" t="s">
        <v>51918</v>
      </c>
      <c r="F10883" s="36" t="s">
        <v>54401</v>
      </c>
      <c r="G10883" s="39">
        <v>2211991.94</v>
      </c>
      <c r="H10883" s="42">
        <v>211</v>
      </c>
    </row>
    <row r="10884" spans="1:8" ht="15" customHeight="1">
      <c r="A10884" s="26">
        <v>1052381435</v>
      </c>
      <c r="B10884" s="29" t="s">
        <v>13099</v>
      </c>
      <c r="C10884" s="29" t="s">
        <v>26794</v>
      </c>
      <c r="D10884" s="29" t="s">
        <v>40260</v>
      </c>
      <c r="E10884" s="29" t="s">
        <v>51919</v>
      </c>
      <c r="F10884" s="36" t="s">
        <v>54401</v>
      </c>
      <c r="G10884" s="39">
        <v>4758646</v>
      </c>
      <c r="H10884" s="42">
        <v>211</v>
      </c>
    </row>
    <row r="10885" spans="1:8" ht="15" customHeight="1">
      <c r="A10885" s="26">
        <v>1052381472</v>
      </c>
      <c r="B10885" s="29" t="s">
        <v>13100</v>
      </c>
      <c r="C10885" s="29" t="s">
        <v>26795</v>
      </c>
      <c r="D10885" s="29" t="s">
        <v>40261</v>
      </c>
      <c r="E10885" s="29" t="s">
        <v>51920</v>
      </c>
      <c r="F10885" s="36" t="s">
        <v>54401</v>
      </c>
      <c r="G10885" s="39">
        <v>288250.37</v>
      </c>
      <c r="H10885" s="42">
        <v>211</v>
      </c>
    </row>
    <row r="10886" spans="1:8" ht="15" customHeight="1">
      <c r="A10886" s="26">
        <v>1052381475</v>
      </c>
      <c r="B10886" s="29" t="s">
        <v>13101</v>
      </c>
      <c r="C10886" s="29" t="s">
        <v>26796</v>
      </c>
      <c r="D10886" s="29" t="s">
        <v>40262</v>
      </c>
      <c r="E10886" s="29" t="s">
        <v>51921</v>
      </c>
      <c r="F10886" s="36" t="s">
        <v>54401</v>
      </c>
      <c r="G10886" s="39">
        <v>1361579.98</v>
      </c>
      <c r="H10886" s="42">
        <v>211</v>
      </c>
    </row>
    <row r="10887" spans="1:8" ht="15" customHeight="1">
      <c r="A10887" s="26">
        <v>1052381481</v>
      </c>
      <c r="B10887" s="29" t="s">
        <v>13102</v>
      </c>
      <c r="C10887" s="29" t="s">
        <v>26797</v>
      </c>
      <c r="D10887" s="29" t="s">
        <v>40263</v>
      </c>
      <c r="E10887" s="29" t="s">
        <v>51922</v>
      </c>
      <c r="F10887" s="36" t="s">
        <v>54401</v>
      </c>
      <c r="G10887" s="39">
        <v>108045.39</v>
      </c>
      <c r="H10887" s="42">
        <v>211</v>
      </c>
    </row>
    <row r="10888" spans="1:8" ht="15" customHeight="1">
      <c r="A10888" s="26">
        <v>1052381552</v>
      </c>
      <c r="B10888" s="29" t="s">
        <v>13103</v>
      </c>
      <c r="C10888" s="29" t="s">
        <v>26798</v>
      </c>
      <c r="D10888" s="29" t="s">
        <v>40264</v>
      </c>
      <c r="E10888" s="29" t="s">
        <v>51923</v>
      </c>
      <c r="F10888" s="36" t="s">
        <v>54401</v>
      </c>
      <c r="G10888" s="39">
        <v>273432.43</v>
      </c>
      <c r="H10888" s="42">
        <v>211</v>
      </c>
    </row>
    <row r="10889" spans="1:8" ht="15" customHeight="1">
      <c r="A10889" s="26">
        <v>1052381554</v>
      </c>
      <c r="B10889" s="29" t="s">
        <v>13104</v>
      </c>
      <c r="C10889" s="26" t="s">
        <v>26799</v>
      </c>
      <c r="D10889" s="26" t="s">
        <v>40265</v>
      </c>
      <c r="E10889" s="26" t="s">
        <v>51924</v>
      </c>
      <c r="F10889" s="37" t="s">
        <v>54401</v>
      </c>
      <c r="G10889" s="39">
        <v>2398109.52</v>
      </c>
      <c r="H10889" s="42">
        <v>211</v>
      </c>
    </row>
    <row r="10890" spans="1:8" ht="15" customHeight="1">
      <c r="A10890" s="26">
        <v>1052381572</v>
      </c>
      <c r="B10890" s="29" t="s">
        <v>13105</v>
      </c>
      <c r="C10890" s="29" t="s">
        <v>26800</v>
      </c>
      <c r="D10890" s="29" t="s">
        <v>40266</v>
      </c>
      <c r="E10890" s="29" t="s">
        <v>45174</v>
      </c>
      <c r="F10890" s="36" t="s">
        <v>54401</v>
      </c>
      <c r="G10890" s="39">
        <v>818584.55</v>
      </c>
      <c r="H10890" s="42">
        <v>211</v>
      </c>
    </row>
    <row r="10891" spans="1:8" ht="15" customHeight="1">
      <c r="A10891" s="26">
        <v>1052381607</v>
      </c>
      <c r="B10891" s="29" t="s">
        <v>13106</v>
      </c>
      <c r="C10891" s="29" t="s">
        <v>26801</v>
      </c>
      <c r="D10891" s="29" t="s">
        <v>40267</v>
      </c>
      <c r="E10891" s="29" t="s">
        <v>51925</v>
      </c>
      <c r="F10891" s="36" t="s">
        <v>54401</v>
      </c>
      <c r="G10891" s="39">
        <v>370889.32</v>
      </c>
      <c r="H10891" s="42">
        <v>211</v>
      </c>
    </row>
    <row r="10892" spans="1:8" ht="15" customHeight="1">
      <c r="A10892" s="26">
        <v>1052381610</v>
      </c>
      <c r="B10892" s="29" t="s">
        <v>13107</v>
      </c>
      <c r="C10892" s="29" t="s">
        <v>26802</v>
      </c>
      <c r="D10892" s="29" t="s">
        <v>40268</v>
      </c>
      <c r="E10892" s="29" t="s">
        <v>45603</v>
      </c>
      <c r="F10892" s="36" t="s">
        <v>54401</v>
      </c>
      <c r="G10892" s="39">
        <v>2588106.1</v>
      </c>
      <c r="H10892" s="42">
        <v>211</v>
      </c>
    </row>
    <row r="10893" spans="1:8" ht="15" customHeight="1">
      <c r="A10893" s="26">
        <v>1052381616</v>
      </c>
      <c r="B10893" s="29" t="s">
        <v>13108</v>
      </c>
      <c r="C10893" s="29" t="s">
        <v>26803</v>
      </c>
      <c r="D10893" s="29" t="s">
        <v>40269</v>
      </c>
      <c r="E10893" s="29" t="s">
        <v>51926</v>
      </c>
      <c r="F10893" s="36" t="s">
        <v>54401</v>
      </c>
      <c r="G10893" s="39">
        <v>7820185.1200000001</v>
      </c>
      <c r="H10893" s="42">
        <v>211</v>
      </c>
    </row>
    <row r="10894" spans="1:8" ht="15" customHeight="1">
      <c r="A10894" s="26">
        <v>1052381618</v>
      </c>
      <c r="B10894" s="29" t="s">
        <v>13109</v>
      </c>
      <c r="C10894" s="29" t="s">
        <v>26804</v>
      </c>
      <c r="D10894" s="29" t="s">
        <v>40270</v>
      </c>
      <c r="E10894" s="29" t="s">
        <v>51927</v>
      </c>
      <c r="F10894" s="36" t="s">
        <v>54401</v>
      </c>
      <c r="G10894" s="39">
        <v>4522424.84</v>
      </c>
      <c r="H10894" s="42">
        <v>211</v>
      </c>
    </row>
    <row r="10895" spans="1:8" ht="15" customHeight="1">
      <c r="A10895" s="26">
        <v>1052381620</v>
      </c>
      <c r="B10895" s="29" t="s">
        <v>13110</v>
      </c>
      <c r="C10895" s="26" t="s">
        <v>26805</v>
      </c>
      <c r="D10895" s="26" t="s">
        <v>40271</v>
      </c>
      <c r="E10895" s="26" t="s">
        <v>51928</v>
      </c>
      <c r="F10895" s="37" t="s">
        <v>54401</v>
      </c>
      <c r="G10895" s="39">
        <v>3090999</v>
      </c>
      <c r="H10895" s="42">
        <v>211</v>
      </c>
    </row>
    <row r="10896" spans="1:8" ht="15" customHeight="1">
      <c r="A10896" s="26">
        <v>1052381627</v>
      </c>
      <c r="B10896" s="29" t="s">
        <v>13111</v>
      </c>
      <c r="C10896" s="26" t="s">
        <v>26806</v>
      </c>
      <c r="D10896" s="26" t="s">
        <v>40272</v>
      </c>
      <c r="E10896" s="26" t="s">
        <v>51929</v>
      </c>
      <c r="F10896" s="37" t="s">
        <v>54401</v>
      </c>
      <c r="G10896" s="39">
        <v>961468.43</v>
      </c>
      <c r="H10896" s="42">
        <v>211</v>
      </c>
    </row>
    <row r="10897" spans="1:8" ht="15" customHeight="1">
      <c r="A10897" s="26">
        <v>1052381637</v>
      </c>
      <c r="B10897" s="29" t="s">
        <v>13112</v>
      </c>
      <c r="C10897" s="29" t="s">
        <v>26807</v>
      </c>
      <c r="D10897" s="29" t="s">
        <v>40273</v>
      </c>
      <c r="E10897" s="29" t="s">
        <v>51002</v>
      </c>
      <c r="F10897" s="36" t="s">
        <v>54401</v>
      </c>
      <c r="G10897" s="39">
        <v>1817374.41</v>
      </c>
      <c r="H10897" s="42">
        <v>211</v>
      </c>
    </row>
    <row r="10898" spans="1:8" ht="15" customHeight="1">
      <c r="A10898" s="26">
        <v>1052381644</v>
      </c>
      <c r="B10898" s="29" t="s">
        <v>13113</v>
      </c>
      <c r="C10898" s="29" t="s">
        <v>17204</v>
      </c>
      <c r="D10898" s="29" t="s">
        <v>40274</v>
      </c>
      <c r="E10898" s="29" t="s">
        <v>43926</v>
      </c>
      <c r="F10898" s="36" t="s">
        <v>54401</v>
      </c>
      <c r="G10898" s="39">
        <v>5091.75</v>
      </c>
      <c r="H10898" s="42">
        <v>211</v>
      </c>
    </row>
    <row r="10899" spans="1:8" ht="15" customHeight="1">
      <c r="A10899" s="26">
        <v>1052381672</v>
      </c>
      <c r="B10899" s="29" t="s">
        <v>13114</v>
      </c>
      <c r="C10899" s="29" t="s">
        <v>17204</v>
      </c>
      <c r="D10899" s="29" t="s">
        <v>30349</v>
      </c>
      <c r="E10899" s="29" t="s">
        <v>43926</v>
      </c>
      <c r="F10899" s="36" t="s">
        <v>54401</v>
      </c>
      <c r="G10899" s="39">
        <v>14439.08</v>
      </c>
      <c r="H10899" s="42">
        <v>211</v>
      </c>
    </row>
    <row r="10900" spans="1:8" ht="15" customHeight="1">
      <c r="A10900" s="26">
        <v>1052381687</v>
      </c>
      <c r="B10900" s="29" t="s">
        <v>13115</v>
      </c>
      <c r="C10900" s="29" t="s">
        <v>26808</v>
      </c>
      <c r="D10900" s="29" t="s">
        <v>40275</v>
      </c>
      <c r="E10900" s="29" t="s">
        <v>51930</v>
      </c>
      <c r="F10900" s="36" t="s">
        <v>54401</v>
      </c>
      <c r="G10900" s="39">
        <v>458557.16</v>
      </c>
      <c r="H10900" s="42">
        <v>211</v>
      </c>
    </row>
    <row r="10901" spans="1:8" ht="15" customHeight="1">
      <c r="A10901" s="26">
        <v>1052381702</v>
      </c>
      <c r="B10901" s="29" t="s">
        <v>13116</v>
      </c>
      <c r="C10901" s="29" t="s">
        <v>26809</v>
      </c>
      <c r="D10901" s="29" t="s">
        <v>40276</v>
      </c>
      <c r="E10901" s="29" t="s">
        <v>51931</v>
      </c>
      <c r="F10901" s="36" t="s">
        <v>54401</v>
      </c>
      <c r="G10901" s="39">
        <v>1874695.71</v>
      </c>
      <c r="H10901" s="42">
        <v>211</v>
      </c>
    </row>
    <row r="10902" spans="1:8" ht="15" customHeight="1">
      <c r="A10902" s="26">
        <v>1052381709</v>
      </c>
      <c r="B10902" s="29" t="s">
        <v>13117</v>
      </c>
      <c r="C10902" s="29" t="s">
        <v>26810</v>
      </c>
      <c r="D10902" s="29" t="s">
        <v>40277</v>
      </c>
      <c r="E10902" s="29" t="s">
        <v>51932</v>
      </c>
      <c r="F10902" s="36" t="s">
        <v>54401</v>
      </c>
      <c r="G10902" s="39">
        <v>966241.15</v>
      </c>
      <c r="H10902" s="42">
        <v>211</v>
      </c>
    </row>
    <row r="10903" spans="1:8" ht="15" customHeight="1">
      <c r="A10903" s="26">
        <v>1052381740</v>
      </c>
      <c r="B10903" s="29" t="s">
        <v>13118</v>
      </c>
      <c r="C10903" s="29" t="s">
        <v>26811</v>
      </c>
      <c r="D10903" s="29" t="s">
        <v>40278</v>
      </c>
      <c r="E10903" s="29" t="s">
        <v>45006</v>
      </c>
      <c r="F10903" s="36" t="s">
        <v>54401</v>
      </c>
      <c r="G10903" s="39">
        <v>343126.58</v>
      </c>
      <c r="H10903" s="42">
        <v>211</v>
      </c>
    </row>
    <row r="10904" spans="1:8" ht="15" customHeight="1">
      <c r="A10904" s="26">
        <v>1052381757</v>
      </c>
      <c r="B10904" s="29" t="s">
        <v>13119</v>
      </c>
      <c r="C10904" s="29" t="s">
        <v>26812</v>
      </c>
      <c r="D10904" s="29" t="s">
        <v>40279</v>
      </c>
      <c r="E10904" s="29" t="s">
        <v>51933</v>
      </c>
      <c r="F10904" s="36" t="s">
        <v>54401</v>
      </c>
      <c r="G10904" s="39">
        <v>3658747.35</v>
      </c>
      <c r="H10904" s="42">
        <v>211</v>
      </c>
    </row>
    <row r="10905" spans="1:8" ht="15" customHeight="1">
      <c r="A10905" s="26">
        <v>1052381761</v>
      </c>
      <c r="B10905" s="29" t="s">
        <v>13120</v>
      </c>
      <c r="C10905" s="29" t="s">
        <v>26813</v>
      </c>
      <c r="D10905" s="29" t="s">
        <v>40280</v>
      </c>
      <c r="E10905" s="29" t="s">
        <v>51934</v>
      </c>
      <c r="F10905" s="36" t="s">
        <v>54401</v>
      </c>
      <c r="G10905" s="39">
        <v>253339.36</v>
      </c>
      <c r="H10905" s="42">
        <v>211</v>
      </c>
    </row>
    <row r="10906" spans="1:8" ht="15" customHeight="1">
      <c r="A10906" s="26">
        <v>1052381810</v>
      </c>
      <c r="B10906" s="29" t="s">
        <v>13121</v>
      </c>
      <c r="C10906" s="29" t="s">
        <v>17204</v>
      </c>
      <c r="D10906" s="29" t="s">
        <v>40281</v>
      </c>
      <c r="E10906" s="29" t="s">
        <v>43926</v>
      </c>
      <c r="F10906" s="36" t="s">
        <v>54401</v>
      </c>
      <c r="G10906" s="39">
        <v>243779.63</v>
      </c>
      <c r="H10906" s="42">
        <v>211</v>
      </c>
    </row>
    <row r="10907" spans="1:8" ht="15" customHeight="1">
      <c r="A10907" s="26">
        <v>1052381815</v>
      </c>
      <c r="B10907" s="29" t="s">
        <v>13122</v>
      </c>
      <c r="C10907" s="29" t="s">
        <v>26814</v>
      </c>
      <c r="D10907" s="29" t="s">
        <v>40282</v>
      </c>
      <c r="E10907" s="29" t="s">
        <v>51935</v>
      </c>
      <c r="F10907" s="36" t="s">
        <v>54401</v>
      </c>
      <c r="G10907" s="39">
        <v>175809.15</v>
      </c>
      <c r="H10907" s="42">
        <v>211</v>
      </c>
    </row>
    <row r="10908" spans="1:8" ht="15" customHeight="1">
      <c r="A10908" s="26">
        <v>1052381821</v>
      </c>
      <c r="B10908" s="29" t="s">
        <v>13123</v>
      </c>
      <c r="C10908" s="29" t="s">
        <v>26815</v>
      </c>
      <c r="D10908" s="29" t="s">
        <v>40283</v>
      </c>
      <c r="E10908" s="29" t="s">
        <v>51936</v>
      </c>
      <c r="F10908" s="36" t="s">
        <v>54401</v>
      </c>
      <c r="G10908" s="39">
        <v>1517541.29</v>
      </c>
      <c r="H10908" s="42">
        <v>211</v>
      </c>
    </row>
    <row r="10909" spans="1:8" ht="15" customHeight="1">
      <c r="A10909" s="26">
        <v>1052381838</v>
      </c>
      <c r="B10909" s="29" t="s">
        <v>13124</v>
      </c>
      <c r="C10909" s="29" t="s">
        <v>26816</v>
      </c>
      <c r="D10909" s="29" t="s">
        <v>40284</v>
      </c>
      <c r="E10909" s="29" t="s">
        <v>51937</v>
      </c>
      <c r="F10909" s="36" t="s">
        <v>54401</v>
      </c>
      <c r="G10909" s="39">
        <v>3959828.17</v>
      </c>
      <c r="H10909" s="42">
        <v>211</v>
      </c>
    </row>
    <row r="10910" spans="1:8" ht="15" customHeight="1">
      <c r="A10910" s="26">
        <v>1052381839</v>
      </c>
      <c r="B10910" s="29" t="s">
        <v>13125</v>
      </c>
      <c r="C10910" s="29" t="s">
        <v>26817</v>
      </c>
      <c r="D10910" s="29" t="s">
        <v>40285</v>
      </c>
      <c r="E10910" s="29" t="s">
        <v>49646</v>
      </c>
      <c r="F10910" s="36" t="s">
        <v>54401</v>
      </c>
      <c r="G10910" s="39">
        <v>34739.24</v>
      </c>
      <c r="H10910" s="42">
        <v>211</v>
      </c>
    </row>
    <row r="10911" spans="1:8" ht="15" customHeight="1">
      <c r="A10911" s="26">
        <v>1052381844</v>
      </c>
      <c r="B10911" s="29" t="s">
        <v>13126</v>
      </c>
      <c r="C10911" s="29" t="s">
        <v>26818</v>
      </c>
      <c r="D10911" s="29" t="s">
        <v>40286</v>
      </c>
      <c r="E10911" s="29" t="s">
        <v>51938</v>
      </c>
      <c r="F10911" s="36" t="s">
        <v>54401</v>
      </c>
      <c r="G10911" s="39">
        <v>1972658.34</v>
      </c>
      <c r="H10911" s="42">
        <v>211</v>
      </c>
    </row>
    <row r="10912" spans="1:8" ht="15" customHeight="1">
      <c r="A10912" s="26">
        <v>1052381846</v>
      </c>
      <c r="B10912" s="29" t="s">
        <v>13127</v>
      </c>
      <c r="C10912" s="29" t="s">
        <v>26819</v>
      </c>
      <c r="D10912" s="29" t="s">
        <v>40287</v>
      </c>
      <c r="E10912" s="29" t="s">
        <v>51939</v>
      </c>
      <c r="F10912" s="36" t="s">
        <v>54401</v>
      </c>
      <c r="G10912" s="39">
        <v>46882.34</v>
      </c>
      <c r="H10912" s="42">
        <v>211</v>
      </c>
    </row>
    <row r="10913" spans="1:8" ht="15" customHeight="1">
      <c r="A10913" s="26">
        <v>1052381869</v>
      </c>
      <c r="B10913" s="29" t="s">
        <v>13128</v>
      </c>
      <c r="C10913" s="29" t="s">
        <v>17204</v>
      </c>
      <c r="D10913" s="29" t="s">
        <v>40288</v>
      </c>
      <c r="E10913" s="29" t="s">
        <v>43926</v>
      </c>
      <c r="F10913" s="36" t="s">
        <v>54401</v>
      </c>
      <c r="G10913" s="39">
        <v>99337.96</v>
      </c>
      <c r="H10913" s="42">
        <v>211</v>
      </c>
    </row>
    <row r="10914" spans="1:8" ht="15" customHeight="1">
      <c r="A10914" s="26">
        <v>1052381874</v>
      </c>
      <c r="B10914" s="29" t="s">
        <v>13129</v>
      </c>
      <c r="C10914" s="29" t="s">
        <v>26820</v>
      </c>
      <c r="D10914" s="29" t="s">
        <v>40289</v>
      </c>
      <c r="E10914" s="29" t="s">
        <v>51940</v>
      </c>
      <c r="F10914" s="36" t="s">
        <v>54401</v>
      </c>
      <c r="G10914" s="39">
        <v>2410203</v>
      </c>
      <c r="H10914" s="42">
        <v>211</v>
      </c>
    </row>
    <row r="10915" spans="1:8" ht="15" customHeight="1">
      <c r="A10915" s="26">
        <v>1052381875</v>
      </c>
      <c r="B10915" s="29" t="s">
        <v>13130</v>
      </c>
      <c r="C10915" s="29" t="s">
        <v>26821</v>
      </c>
      <c r="D10915" s="29" t="s">
        <v>40290</v>
      </c>
      <c r="E10915" s="29" t="s">
        <v>51941</v>
      </c>
      <c r="F10915" s="36" t="s">
        <v>54401</v>
      </c>
      <c r="G10915" s="39">
        <v>2809189.16</v>
      </c>
      <c r="H10915" s="42">
        <v>211</v>
      </c>
    </row>
    <row r="10916" spans="1:8" ht="15" customHeight="1">
      <c r="A10916" s="26">
        <v>1052381876</v>
      </c>
      <c r="B10916" s="29" t="s">
        <v>13131</v>
      </c>
      <c r="C10916" s="29" t="s">
        <v>26822</v>
      </c>
      <c r="D10916" s="29" t="s">
        <v>40291</v>
      </c>
      <c r="E10916" s="29" t="s">
        <v>51942</v>
      </c>
      <c r="F10916" s="36" t="s">
        <v>54401</v>
      </c>
      <c r="G10916" s="39">
        <v>332773.09999999998</v>
      </c>
      <c r="H10916" s="42">
        <v>211</v>
      </c>
    </row>
    <row r="10917" spans="1:8" ht="15" customHeight="1">
      <c r="A10917" s="26">
        <v>1052381913</v>
      </c>
      <c r="B10917" s="29" t="s">
        <v>13132</v>
      </c>
      <c r="C10917" s="29" t="s">
        <v>17204</v>
      </c>
      <c r="D10917" s="29" t="s">
        <v>40292</v>
      </c>
      <c r="E10917" s="29" t="s">
        <v>43926</v>
      </c>
      <c r="F10917" s="36" t="s">
        <v>54401</v>
      </c>
      <c r="G10917" s="39">
        <v>70689.09</v>
      </c>
      <c r="H10917" s="42">
        <v>211</v>
      </c>
    </row>
    <row r="10918" spans="1:8" ht="15" customHeight="1">
      <c r="A10918" s="26">
        <v>1052381919</v>
      </c>
      <c r="B10918" s="29" t="s">
        <v>13133</v>
      </c>
      <c r="C10918" s="29" t="s">
        <v>26823</v>
      </c>
      <c r="D10918" s="29" t="s">
        <v>40293</v>
      </c>
      <c r="E10918" s="29" t="s">
        <v>51943</v>
      </c>
      <c r="F10918" s="36" t="s">
        <v>54401</v>
      </c>
      <c r="G10918" s="39">
        <v>2599982.39</v>
      </c>
      <c r="H10918" s="42">
        <v>211</v>
      </c>
    </row>
    <row r="10919" spans="1:8" ht="15" customHeight="1">
      <c r="A10919" s="26">
        <v>1052381951</v>
      </c>
      <c r="B10919" s="29" t="s">
        <v>13134</v>
      </c>
      <c r="C10919" s="29" t="s">
        <v>26824</v>
      </c>
      <c r="D10919" s="29" t="s">
        <v>40294</v>
      </c>
      <c r="E10919" s="29" t="s">
        <v>51944</v>
      </c>
      <c r="F10919" s="36" t="s">
        <v>54401</v>
      </c>
      <c r="G10919" s="39">
        <v>1770042.9</v>
      </c>
      <c r="H10919" s="42">
        <v>211</v>
      </c>
    </row>
    <row r="10920" spans="1:8" ht="15" customHeight="1">
      <c r="A10920" s="26">
        <v>1052381952</v>
      </c>
      <c r="B10920" s="29" t="s">
        <v>13135</v>
      </c>
      <c r="C10920" s="29" t="s">
        <v>26825</v>
      </c>
      <c r="D10920" s="29" t="s">
        <v>40295</v>
      </c>
      <c r="E10920" s="29" t="s">
        <v>51945</v>
      </c>
      <c r="F10920" s="36" t="s">
        <v>54401</v>
      </c>
      <c r="G10920" s="39">
        <v>2912233</v>
      </c>
      <c r="H10920" s="42">
        <v>211</v>
      </c>
    </row>
    <row r="10921" spans="1:8" ht="15" customHeight="1">
      <c r="A10921" s="26">
        <v>1052381976</v>
      </c>
      <c r="B10921" s="29" t="s">
        <v>13136</v>
      </c>
      <c r="C10921" s="29" t="s">
        <v>25173</v>
      </c>
      <c r="D10921" s="29" t="s">
        <v>40296</v>
      </c>
      <c r="E10921" s="29" t="s">
        <v>51946</v>
      </c>
      <c r="F10921" s="36" t="s">
        <v>54401</v>
      </c>
      <c r="G10921" s="39">
        <v>1906294</v>
      </c>
      <c r="H10921" s="42">
        <v>211</v>
      </c>
    </row>
    <row r="10922" spans="1:8" ht="15" customHeight="1">
      <c r="A10922" s="26">
        <v>1052382017</v>
      </c>
      <c r="B10922" s="29" t="s">
        <v>13137</v>
      </c>
      <c r="C10922" s="29" t="s">
        <v>26826</v>
      </c>
      <c r="D10922" s="29" t="s">
        <v>40297</v>
      </c>
      <c r="E10922" s="29" t="s">
        <v>43926</v>
      </c>
      <c r="F10922" s="36" t="s">
        <v>54401</v>
      </c>
      <c r="G10922" s="39">
        <v>530790.5</v>
      </c>
      <c r="H10922" s="42">
        <v>211</v>
      </c>
    </row>
    <row r="10923" spans="1:8" ht="15" customHeight="1">
      <c r="A10923" s="26">
        <v>1052382028</v>
      </c>
      <c r="B10923" s="29" t="s">
        <v>13138</v>
      </c>
      <c r="C10923" s="26" t="s">
        <v>17204</v>
      </c>
      <c r="D10923" s="26" t="s">
        <v>30349</v>
      </c>
      <c r="E10923" s="26" t="s">
        <v>43926</v>
      </c>
      <c r="F10923" s="37" t="s">
        <v>54401</v>
      </c>
      <c r="G10923" s="39">
        <v>130636.61</v>
      </c>
      <c r="H10923" s="42">
        <v>211</v>
      </c>
    </row>
    <row r="10924" spans="1:8" ht="15" customHeight="1">
      <c r="A10924" s="26">
        <v>1052382036</v>
      </c>
      <c r="B10924" s="29" t="s">
        <v>13139</v>
      </c>
      <c r="C10924" s="29" t="s">
        <v>26827</v>
      </c>
      <c r="D10924" s="29" t="s">
        <v>40298</v>
      </c>
      <c r="E10924" s="29" t="s">
        <v>43926</v>
      </c>
      <c r="F10924" s="36" t="s">
        <v>54401</v>
      </c>
      <c r="G10924" s="39">
        <v>1050011.01</v>
      </c>
      <c r="H10924" s="42">
        <v>211</v>
      </c>
    </row>
    <row r="10925" spans="1:8" ht="15" customHeight="1">
      <c r="A10925" s="26">
        <v>1052382040</v>
      </c>
      <c r="B10925" s="29" t="s">
        <v>13140</v>
      </c>
      <c r="C10925" s="29" t="s">
        <v>26828</v>
      </c>
      <c r="D10925" s="29" t="s">
        <v>40299</v>
      </c>
      <c r="E10925" s="29" t="s">
        <v>51947</v>
      </c>
      <c r="F10925" s="36" t="s">
        <v>54401</v>
      </c>
      <c r="G10925" s="39">
        <v>399502.18</v>
      </c>
      <c r="H10925" s="42">
        <v>211</v>
      </c>
    </row>
    <row r="10926" spans="1:8" ht="15" customHeight="1">
      <c r="A10926" s="26">
        <v>1052382042</v>
      </c>
      <c r="B10926" s="29" t="s">
        <v>13141</v>
      </c>
      <c r="C10926" s="29" t="s">
        <v>26829</v>
      </c>
      <c r="D10926" s="29" t="s">
        <v>40300</v>
      </c>
      <c r="E10926" s="29" t="s">
        <v>51948</v>
      </c>
      <c r="F10926" s="36" t="s">
        <v>54401</v>
      </c>
      <c r="G10926" s="39">
        <v>192187.06</v>
      </c>
      <c r="H10926" s="42">
        <v>211</v>
      </c>
    </row>
    <row r="10927" spans="1:8" ht="15" customHeight="1">
      <c r="A10927" s="26">
        <v>1052382045</v>
      </c>
      <c r="B10927" s="29" t="s">
        <v>13142</v>
      </c>
      <c r="C10927" s="29" t="s">
        <v>26830</v>
      </c>
      <c r="D10927" s="29" t="s">
        <v>40301</v>
      </c>
      <c r="E10927" s="29" t="s">
        <v>51949</v>
      </c>
      <c r="F10927" s="36" t="s">
        <v>54401</v>
      </c>
      <c r="G10927" s="39">
        <v>479123.68</v>
      </c>
      <c r="H10927" s="42">
        <v>211</v>
      </c>
    </row>
    <row r="10928" spans="1:8" ht="15" customHeight="1">
      <c r="A10928" s="26">
        <v>1052382048</v>
      </c>
      <c r="B10928" s="29" t="s">
        <v>13143</v>
      </c>
      <c r="C10928" s="29" t="s">
        <v>26831</v>
      </c>
      <c r="D10928" s="29" t="s">
        <v>40302</v>
      </c>
      <c r="E10928" s="29" t="s">
        <v>51950</v>
      </c>
      <c r="F10928" s="36" t="s">
        <v>54401</v>
      </c>
      <c r="G10928" s="39">
        <v>6320594</v>
      </c>
      <c r="H10928" s="42">
        <v>211</v>
      </c>
    </row>
    <row r="10929" spans="1:8" ht="15" customHeight="1">
      <c r="A10929" s="26">
        <v>1052382059</v>
      </c>
      <c r="B10929" s="29" t="s">
        <v>13144</v>
      </c>
      <c r="C10929" s="29" t="s">
        <v>26832</v>
      </c>
      <c r="D10929" s="29" t="s">
        <v>40303</v>
      </c>
      <c r="E10929" s="29" t="s">
        <v>51951</v>
      </c>
      <c r="F10929" s="36" t="s">
        <v>54401</v>
      </c>
      <c r="G10929" s="39">
        <v>5904293</v>
      </c>
      <c r="H10929" s="42">
        <v>211</v>
      </c>
    </row>
    <row r="10930" spans="1:8" ht="15" customHeight="1">
      <c r="A10930" s="26">
        <v>1052382064</v>
      </c>
      <c r="B10930" s="29" t="s">
        <v>13145</v>
      </c>
      <c r="C10930" s="29" t="s">
        <v>26833</v>
      </c>
      <c r="D10930" s="29" t="s">
        <v>37161</v>
      </c>
      <c r="E10930" s="29" t="s">
        <v>51952</v>
      </c>
      <c r="F10930" s="36" t="s">
        <v>54401</v>
      </c>
      <c r="G10930" s="39">
        <v>3870023.92</v>
      </c>
      <c r="H10930" s="42">
        <v>211</v>
      </c>
    </row>
    <row r="10931" spans="1:8" ht="15" customHeight="1">
      <c r="A10931" s="26">
        <v>1052382074</v>
      </c>
      <c r="B10931" s="29" t="s">
        <v>13146</v>
      </c>
      <c r="C10931" s="29" t="s">
        <v>26834</v>
      </c>
      <c r="D10931" s="29" t="s">
        <v>40304</v>
      </c>
      <c r="E10931" s="29" t="s">
        <v>51953</v>
      </c>
      <c r="F10931" s="36" t="s">
        <v>54401</v>
      </c>
      <c r="G10931" s="39">
        <v>636957.65</v>
      </c>
      <c r="H10931" s="42">
        <v>211</v>
      </c>
    </row>
    <row r="10932" spans="1:8" ht="15" customHeight="1">
      <c r="A10932" s="26">
        <v>1052382100</v>
      </c>
      <c r="B10932" s="29" t="s">
        <v>13147</v>
      </c>
      <c r="C10932" s="29" t="s">
        <v>26835</v>
      </c>
      <c r="D10932" s="29" t="s">
        <v>34584</v>
      </c>
      <c r="E10932" s="29" t="s">
        <v>51954</v>
      </c>
      <c r="F10932" s="36" t="s">
        <v>54401</v>
      </c>
      <c r="G10932" s="39">
        <v>689860.25</v>
      </c>
      <c r="H10932" s="42">
        <v>211</v>
      </c>
    </row>
    <row r="10933" spans="1:8" ht="15" customHeight="1">
      <c r="A10933" s="26">
        <v>1052382104</v>
      </c>
      <c r="B10933" s="29" t="s">
        <v>13148</v>
      </c>
      <c r="C10933" s="29" t="s">
        <v>26836</v>
      </c>
      <c r="D10933" s="29" t="s">
        <v>40305</v>
      </c>
      <c r="E10933" s="29" t="s">
        <v>51955</v>
      </c>
      <c r="F10933" s="36" t="s">
        <v>54401</v>
      </c>
      <c r="G10933" s="39">
        <v>214397.25</v>
      </c>
      <c r="H10933" s="42">
        <v>211</v>
      </c>
    </row>
    <row r="10934" spans="1:8" ht="15" customHeight="1">
      <c r="A10934" s="26">
        <v>1052382107</v>
      </c>
      <c r="B10934" s="29" t="s">
        <v>13149</v>
      </c>
      <c r="C10934" s="26" t="s">
        <v>26837</v>
      </c>
      <c r="D10934" s="26" t="s">
        <v>40306</v>
      </c>
      <c r="E10934" s="26" t="s">
        <v>51956</v>
      </c>
      <c r="F10934" s="37" t="s">
        <v>54401</v>
      </c>
      <c r="G10934" s="39">
        <v>73267.759999999995</v>
      </c>
      <c r="H10934" s="42">
        <v>211</v>
      </c>
    </row>
    <row r="10935" spans="1:8" ht="15" customHeight="1">
      <c r="A10935" s="26">
        <v>1052382147</v>
      </c>
      <c r="B10935" s="29" t="s">
        <v>13150</v>
      </c>
      <c r="C10935" s="29" t="s">
        <v>26838</v>
      </c>
      <c r="D10935" s="29" t="s">
        <v>40307</v>
      </c>
      <c r="E10935" s="29" t="s">
        <v>51957</v>
      </c>
      <c r="F10935" s="36" t="s">
        <v>54401</v>
      </c>
      <c r="G10935" s="39">
        <v>1138879.1100000001</v>
      </c>
      <c r="H10935" s="42">
        <v>211</v>
      </c>
    </row>
    <row r="10936" spans="1:8" ht="15" customHeight="1">
      <c r="A10936" s="26">
        <v>1052382153</v>
      </c>
      <c r="B10936" s="29" t="s">
        <v>13151</v>
      </c>
      <c r="C10936" s="29" t="s">
        <v>26839</v>
      </c>
      <c r="D10936" s="29" t="s">
        <v>40308</v>
      </c>
      <c r="E10936" s="29" t="s">
        <v>51958</v>
      </c>
      <c r="F10936" s="36" t="s">
        <v>54401</v>
      </c>
      <c r="G10936" s="39">
        <v>6323331.0499999998</v>
      </c>
      <c r="H10936" s="42">
        <v>211</v>
      </c>
    </row>
    <row r="10937" spans="1:8" ht="15" customHeight="1">
      <c r="A10937" s="26">
        <v>1052382227</v>
      </c>
      <c r="B10937" s="29" t="s">
        <v>13152</v>
      </c>
      <c r="C10937" s="29" t="s">
        <v>26840</v>
      </c>
      <c r="D10937" s="29" t="s">
        <v>40309</v>
      </c>
      <c r="E10937" s="29" t="s">
        <v>51959</v>
      </c>
      <c r="F10937" s="36" t="s">
        <v>54401</v>
      </c>
      <c r="G10937" s="39">
        <v>2145723.25</v>
      </c>
      <c r="H10937" s="42">
        <v>211</v>
      </c>
    </row>
    <row r="10938" spans="1:8" ht="15" customHeight="1">
      <c r="A10938" s="26">
        <v>1052382235</v>
      </c>
      <c r="B10938" s="29" t="s">
        <v>13153</v>
      </c>
      <c r="C10938" s="29" t="s">
        <v>26841</v>
      </c>
      <c r="D10938" s="29" t="s">
        <v>40310</v>
      </c>
      <c r="E10938" s="29" t="s">
        <v>46325</v>
      </c>
      <c r="F10938" s="36" t="s">
        <v>54401</v>
      </c>
      <c r="G10938" s="39">
        <v>1689563</v>
      </c>
      <c r="H10938" s="42">
        <v>211</v>
      </c>
    </row>
    <row r="10939" spans="1:8" ht="15" customHeight="1">
      <c r="A10939" s="26">
        <v>1052382270</v>
      </c>
      <c r="B10939" s="29" t="s">
        <v>13154</v>
      </c>
      <c r="C10939" s="26" t="s">
        <v>26842</v>
      </c>
      <c r="D10939" s="26" t="s">
        <v>40311</v>
      </c>
      <c r="E10939" s="26" t="s">
        <v>49371</v>
      </c>
      <c r="F10939" s="37" t="s">
        <v>54401</v>
      </c>
      <c r="G10939" s="39">
        <v>2851531.52</v>
      </c>
      <c r="H10939" s="42">
        <v>211</v>
      </c>
    </row>
    <row r="10940" spans="1:8" ht="15" customHeight="1">
      <c r="A10940" s="26">
        <v>1052382284</v>
      </c>
      <c r="B10940" s="29" t="s">
        <v>13155</v>
      </c>
      <c r="C10940" s="29" t="s">
        <v>26843</v>
      </c>
      <c r="D10940" s="29" t="s">
        <v>40312</v>
      </c>
      <c r="E10940" s="29" t="s">
        <v>45261</v>
      </c>
      <c r="F10940" s="36" t="s">
        <v>54401</v>
      </c>
      <c r="G10940" s="39">
        <v>196005.8</v>
      </c>
      <c r="H10940" s="42">
        <v>211</v>
      </c>
    </row>
    <row r="10941" spans="1:8" ht="15" customHeight="1">
      <c r="A10941" s="26">
        <v>1052382296</v>
      </c>
      <c r="B10941" s="29" t="s">
        <v>13156</v>
      </c>
      <c r="C10941" s="29" t="s">
        <v>26844</v>
      </c>
      <c r="D10941" s="29" t="s">
        <v>40313</v>
      </c>
      <c r="E10941" s="29" t="s">
        <v>51960</v>
      </c>
      <c r="F10941" s="36" t="s">
        <v>54401</v>
      </c>
      <c r="G10941" s="39">
        <v>3934811.8</v>
      </c>
      <c r="H10941" s="42">
        <v>211</v>
      </c>
    </row>
    <row r="10942" spans="1:8" ht="15" customHeight="1">
      <c r="A10942" s="26">
        <v>1052382300</v>
      </c>
      <c r="B10942" s="29" t="s">
        <v>13157</v>
      </c>
      <c r="C10942" s="29" t="s">
        <v>26845</v>
      </c>
      <c r="D10942" s="29" t="s">
        <v>30387</v>
      </c>
      <c r="E10942" s="29" t="s">
        <v>47366</v>
      </c>
      <c r="F10942" s="36" t="s">
        <v>54401</v>
      </c>
      <c r="G10942" s="39">
        <v>667480.34</v>
      </c>
      <c r="H10942" s="42">
        <v>211</v>
      </c>
    </row>
    <row r="10943" spans="1:8" ht="15" customHeight="1">
      <c r="A10943" s="26">
        <v>1052382305</v>
      </c>
      <c r="B10943" s="29" t="s">
        <v>13158</v>
      </c>
      <c r="C10943" s="26" t="s">
        <v>26846</v>
      </c>
      <c r="D10943" s="26" t="s">
        <v>40314</v>
      </c>
      <c r="E10943" s="26" t="s">
        <v>43926</v>
      </c>
      <c r="F10943" s="37" t="s">
        <v>54401</v>
      </c>
      <c r="G10943" s="39">
        <v>38335.629999999997</v>
      </c>
      <c r="H10943" s="42">
        <v>211</v>
      </c>
    </row>
    <row r="10944" spans="1:8" ht="15" customHeight="1">
      <c r="A10944" s="26">
        <v>1052382323</v>
      </c>
      <c r="B10944" s="29" t="s">
        <v>13159</v>
      </c>
      <c r="C10944" s="29" t="s">
        <v>26847</v>
      </c>
      <c r="D10944" s="29" t="s">
        <v>40315</v>
      </c>
      <c r="E10944" s="29" t="s">
        <v>51961</v>
      </c>
      <c r="F10944" s="36" t="s">
        <v>54401</v>
      </c>
      <c r="G10944" s="39">
        <v>1733257</v>
      </c>
      <c r="H10944" s="42">
        <v>211</v>
      </c>
    </row>
    <row r="10945" spans="1:8" ht="15" customHeight="1">
      <c r="A10945" s="26">
        <v>1052382341</v>
      </c>
      <c r="B10945" s="29" t="s">
        <v>13160</v>
      </c>
      <c r="C10945" s="29" t="s">
        <v>26848</v>
      </c>
      <c r="D10945" s="29" t="s">
        <v>40316</v>
      </c>
      <c r="E10945" s="29" t="s">
        <v>51962</v>
      </c>
      <c r="F10945" s="36" t="s">
        <v>54401</v>
      </c>
      <c r="G10945" s="39">
        <v>459481.55</v>
      </c>
      <c r="H10945" s="42">
        <v>211</v>
      </c>
    </row>
    <row r="10946" spans="1:8" ht="15" customHeight="1">
      <c r="A10946" s="26">
        <v>1052382347</v>
      </c>
      <c r="B10946" s="29" t="s">
        <v>13161</v>
      </c>
      <c r="C10946" s="29" t="s">
        <v>26849</v>
      </c>
      <c r="D10946" s="29" t="s">
        <v>40317</v>
      </c>
      <c r="E10946" s="29" t="s">
        <v>51963</v>
      </c>
      <c r="F10946" s="36" t="s">
        <v>54401</v>
      </c>
      <c r="G10946" s="39">
        <v>2032429</v>
      </c>
      <c r="H10946" s="42">
        <v>211</v>
      </c>
    </row>
    <row r="10947" spans="1:8" ht="15" customHeight="1">
      <c r="A10947" s="26">
        <v>1052382361</v>
      </c>
      <c r="B10947" s="29" t="s">
        <v>13162</v>
      </c>
      <c r="C10947" s="29" t="s">
        <v>26850</v>
      </c>
      <c r="D10947" s="29" t="s">
        <v>40318</v>
      </c>
      <c r="E10947" s="29" t="s">
        <v>51964</v>
      </c>
      <c r="F10947" s="36" t="s">
        <v>54401</v>
      </c>
      <c r="G10947" s="39">
        <v>2035734</v>
      </c>
      <c r="H10947" s="42">
        <v>211</v>
      </c>
    </row>
    <row r="10948" spans="1:8" ht="15" customHeight="1">
      <c r="A10948" s="26">
        <v>1052382390</v>
      </c>
      <c r="B10948" s="29" t="s">
        <v>13163</v>
      </c>
      <c r="C10948" s="29" t="s">
        <v>26851</v>
      </c>
      <c r="D10948" s="29" t="s">
        <v>40319</v>
      </c>
      <c r="E10948" s="29" t="s">
        <v>51965</v>
      </c>
      <c r="F10948" s="36" t="s">
        <v>54401</v>
      </c>
      <c r="G10948" s="39">
        <v>900874.67</v>
      </c>
      <c r="H10948" s="42">
        <v>211</v>
      </c>
    </row>
    <row r="10949" spans="1:8" ht="15" customHeight="1">
      <c r="A10949" s="26">
        <v>1052382414</v>
      </c>
      <c r="B10949" s="29" t="s">
        <v>13164</v>
      </c>
      <c r="C10949" s="29" t="s">
        <v>26852</v>
      </c>
      <c r="D10949" s="29" t="s">
        <v>40320</v>
      </c>
      <c r="E10949" s="29" t="s">
        <v>49159</v>
      </c>
      <c r="F10949" s="36" t="s">
        <v>54401</v>
      </c>
      <c r="G10949" s="39">
        <v>461326.77</v>
      </c>
      <c r="H10949" s="42">
        <v>211</v>
      </c>
    </row>
    <row r="10950" spans="1:8" ht="15" customHeight="1">
      <c r="A10950" s="26">
        <v>1052382426</v>
      </c>
      <c r="B10950" s="29" t="s">
        <v>13165</v>
      </c>
      <c r="C10950" s="29" t="s">
        <v>26853</v>
      </c>
      <c r="D10950" s="29" t="s">
        <v>40321</v>
      </c>
      <c r="E10950" s="29" t="s">
        <v>51966</v>
      </c>
      <c r="F10950" s="36" t="s">
        <v>54401</v>
      </c>
      <c r="G10950" s="39">
        <v>145893.47</v>
      </c>
      <c r="H10950" s="42">
        <v>211</v>
      </c>
    </row>
    <row r="10951" spans="1:8" ht="15" customHeight="1">
      <c r="A10951" s="26">
        <v>1052382427</v>
      </c>
      <c r="B10951" s="29" t="s">
        <v>13166</v>
      </c>
      <c r="C10951" s="29" t="s">
        <v>26854</v>
      </c>
      <c r="D10951" s="29" t="s">
        <v>40322</v>
      </c>
      <c r="E10951" s="29" t="s">
        <v>45006</v>
      </c>
      <c r="F10951" s="36" t="s">
        <v>54401</v>
      </c>
      <c r="G10951" s="39">
        <v>1234637.31</v>
      </c>
      <c r="H10951" s="42">
        <v>211</v>
      </c>
    </row>
    <row r="10952" spans="1:8" ht="15" customHeight="1">
      <c r="A10952" s="26">
        <v>1052382428</v>
      </c>
      <c r="B10952" s="29" t="s">
        <v>13167</v>
      </c>
      <c r="C10952" s="29" t="s">
        <v>26855</v>
      </c>
      <c r="D10952" s="29" t="s">
        <v>40323</v>
      </c>
      <c r="E10952" s="29" t="s">
        <v>51967</v>
      </c>
      <c r="F10952" s="36" t="s">
        <v>54401</v>
      </c>
      <c r="G10952" s="39">
        <v>98119.98</v>
      </c>
      <c r="H10952" s="42">
        <v>211</v>
      </c>
    </row>
    <row r="10953" spans="1:8" ht="15" customHeight="1">
      <c r="A10953" s="26">
        <v>1052382429</v>
      </c>
      <c r="B10953" s="29" t="s">
        <v>13168</v>
      </c>
      <c r="C10953" s="26" t="s">
        <v>26315</v>
      </c>
      <c r="D10953" s="26" t="s">
        <v>40324</v>
      </c>
      <c r="E10953" s="26" t="s">
        <v>51968</v>
      </c>
      <c r="F10953" s="37" t="s">
        <v>54401</v>
      </c>
      <c r="G10953" s="39">
        <v>1914351.25</v>
      </c>
      <c r="H10953" s="42">
        <v>211</v>
      </c>
    </row>
    <row r="10954" spans="1:8" ht="15" customHeight="1">
      <c r="A10954" s="26">
        <v>1052382435</v>
      </c>
      <c r="B10954" s="29" t="s">
        <v>13169</v>
      </c>
      <c r="C10954" s="29" t="s">
        <v>26856</v>
      </c>
      <c r="D10954" s="29" t="s">
        <v>40325</v>
      </c>
      <c r="E10954" s="29" t="s">
        <v>51969</v>
      </c>
      <c r="F10954" s="36" t="s">
        <v>54401</v>
      </c>
      <c r="G10954" s="39">
        <v>40542.85</v>
      </c>
      <c r="H10954" s="42">
        <v>211</v>
      </c>
    </row>
    <row r="10955" spans="1:8" ht="15" customHeight="1">
      <c r="A10955" s="26">
        <v>1052382444</v>
      </c>
      <c r="B10955" s="29" t="s">
        <v>13170</v>
      </c>
      <c r="C10955" s="29" t="s">
        <v>26857</v>
      </c>
      <c r="D10955" s="29" t="s">
        <v>40326</v>
      </c>
      <c r="E10955" s="29" t="s">
        <v>49227</v>
      </c>
      <c r="F10955" s="36" t="s">
        <v>54401</v>
      </c>
      <c r="G10955" s="39">
        <v>445709.36</v>
      </c>
      <c r="H10955" s="42">
        <v>211</v>
      </c>
    </row>
    <row r="10956" spans="1:8" ht="15" customHeight="1">
      <c r="A10956" s="26">
        <v>1052382445</v>
      </c>
      <c r="B10956" s="29" t="s">
        <v>13171</v>
      </c>
      <c r="C10956" s="29" t="s">
        <v>26858</v>
      </c>
      <c r="D10956" s="29" t="s">
        <v>40327</v>
      </c>
      <c r="E10956" s="29" t="s">
        <v>43926</v>
      </c>
      <c r="F10956" s="36" t="s">
        <v>54401</v>
      </c>
      <c r="G10956" s="39">
        <v>3756190.85</v>
      </c>
      <c r="H10956" s="42">
        <v>211</v>
      </c>
    </row>
    <row r="10957" spans="1:8" ht="15" customHeight="1">
      <c r="A10957" s="26">
        <v>1052382446</v>
      </c>
      <c r="B10957" s="29" t="s">
        <v>13172</v>
      </c>
      <c r="C10957" s="29" t="s">
        <v>26859</v>
      </c>
      <c r="D10957" s="29" t="s">
        <v>40328</v>
      </c>
      <c r="E10957" s="29" t="s">
        <v>45006</v>
      </c>
      <c r="F10957" s="36" t="s">
        <v>54401</v>
      </c>
      <c r="G10957" s="39">
        <v>284388.06</v>
      </c>
      <c r="H10957" s="42">
        <v>211</v>
      </c>
    </row>
    <row r="10958" spans="1:8" ht="15" customHeight="1">
      <c r="A10958" s="26">
        <v>1052382452</v>
      </c>
      <c r="B10958" s="29" t="s">
        <v>13173</v>
      </c>
      <c r="C10958" s="29" t="s">
        <v>26860</v>
      </c>
      <c r="D10958" s="29" t="s">
        <v>40329</v>
      </c>
      <c r="E10958" s="29" t="s">
        <v>51970</v>
      </c>
      <c r="F10958" s="36" t="s">
        <v>54401</v>
      </c>
      <c r="G10958" s="39">
        <v>2310175.46</v>
      </c>
      <c r="H10958" s="42">
        <v>211</v>
      </c>
    </row>
    <row r="10959" spans="1:8" ht="15" customHeight="1">
      <c r="A10959" s="26">
        <v>1052382459</v>
      </c>
      <c r="B10959" s="29" t="s">
        <v>13174</v>
      </c>
      <c r="C10959" s="29" t="s">
        <v>26861</v>
      </c>
      <c r="D10959" s="29" t="s">
        <v>40330</v>
      </c>
      <c r="E10959" s="29" t="s">
        <v>51971</v>
      </c>
      <c r="F10959" s="36" t="s">
        <v>54401</v>
      </c>
      <c r="G10959" s="39">
        <v>4901444</v>
      </c>
      <c r="H10959" s="42">
        <v>211</v>
      </c>
    </row>
    <row r="10960" spans="1:8" ht="15" customHeight="1">
      <c r="A10960" s="26">
        <v>1052382464</v>
      </c>
      <c r="B10960" s="29" t="s">
        <v>13175</v>
      </c>
      <c r="C10960" s="29" t="s">
        <v>26862</v>
      </c>
      <c r="D10960" s="29" t="s">
        <v>40331</v>
      </c>
      <c r="E10960" s="29" t="s">
        <v>51972</v>
      </c>
      <c r="F10960" s="36" t="s">
        <v>54401</v>
      </c>
      <c r="G10960" s="39">
        <v>449624.65</v>
      </c>
      <c r="H10960" s="42">
        <v>211</v>
      </c>
    </row>
    <row r="10961" spans="1:8" ht="15" customHeight="1">
      <c r="A10961" s="26">
        <v>1052382468</v>
      </c>
      <c r="B10961" s="29" t="s">
        <v>13176</v>
      </c>
      <c r="C10961" s="29" t="s">
        <v>17204</v>
      </c>
      <c r="D10961" s="29" t="s">
        <v>30349</v>
      </c>
      <c r="E10961" s="29" t="s">
        <v>43926</v>
      </c>
      <c r="F10961" s="36" t="s">
        <v>54401</v>
      </c>
      <c r="G10961" s="39">
        <v>462485.13</v>
      </c>
      <c r="H10961" s="42">
        <v>211</v>
      </c>
    </row>
    <row r="10962" spans="1:8" ht="15" customHeight="1">
      <c r="A10962" s="26">
        <v>1052382474</v>
      </c>
      <c r="B10962" s="29" t="s">
        <v>10517</v>
      </c>
      <c r="C10962" s="29" t="s">
        <v>24644</v>
      </c>
      <c r="D10962" s="29" t="s">
        <v>37939</v>
      </c>
      <c r="E10962" s="29" t="s">
        <v>51973</v>
      </c>
      <c r="F10962" s="36" t="s">
        <v>54401</v>
      </c>
      <c r="G10962" s="39">
        <v>321505.44</v>
      </c>
      <c r="H10962" s="42">
        <v>211</v>
      </c>
    </row>
    <row r="10963" spans="1:8" ht="15" customHeight="1">
      <c r="A10963" s="26">
        <v>1052382498</v>
      </c>
      <c r="B10963" s="29" t="s">
        <v>13177</v>
      </c>
      <c r="C10963" s="29" t="s">
        <v>26863</v>
      </c>
      <c r="D10963" s="29" t="s">
        <v>40332</v>
      </c>
      <c r="E10963" s="29" t="s">
        <v>51974</v>
      </c>
      <c r="F10963" s="36" t="s">
        <v>54401</v>
      </c>
      <c r="G10963" s="39">
        <v>1278576.77</v>
      </c>
      <c r="H10963" s="42">
        <v>211</v>
      </c>
    </row>
    <row r="10964" spans="1:8" ht="15" customHeight="1">
      <c r="A10964" s="26">
        <v>1052382504</v>
      </c>
      <c r="B10964" s="29" t="s">
        <v>13178</v>
      </c>
      <c r="C10964" s="29" t="s">
        <v>26864</v>
      </c>
      <c r="D10964" s="29" t="s">
        <v>40333</v>
      </c>
      <c r="E10964" s="29" t="s">
        <v>51975</v>
      </c>
      <c r="F10964" s="36" t="s">
        <v>54401</v>
      </c>
      <c r="G10964" s="39">
        <v>2379995.79</v>
      </c>
      <c r="H10964" s="42">
        <v>211</v>
      </c>
    </row>
    <row r="10965" spans="1:8" ht="15" customHeight="1">
      <c r="A10965" s="26">
        <v>1052382518</v>
      </c>
      <c r="B10965" s="29" t="s">
        <v>13179</v>
      </c>
      <c r="C10965" s="29" t="s">
        <v>17204</v>
      </c>
      <c r="D10965" s="29" t="s">
        <v>30349</v>
      </c>
      <c r="E10965" s="29" t="s">
        <v>43926</v>
      </c>
      <c r="F10965" s="36" t="s">
        <v>54401</v>
      </c>
      <c r="G10965" s="39">
        <v>317421.09999999998</v>
      </c>
      <c r="H10965" s="42">
        <v>211</v>
      </c>
    </row>
    <row r="10966" spans="1:8" ht="15" customHeight="1">
      <c r="A10966" s="26">
        <v>1052382547</v>
      </c>
      <c r="B10966" s="29" t="s">
        <v>13180</v>
      </c>
      <c r="C10966" s="29" t="s">
        <v>26865</v>
      </c>
      <c r="D10966" s="29" t="s">
        <v>40334</v>
      </c>
      <c r="E10966" s="29" t="s">
        <v>51976</v>
      </c>
      <c r="F10966" s="36" t="s">
        <v>54401</v>
      </c>
      <c r="G10966" s="39">
        <v>340751.61</v>
      </c>
      <c r="H10966" s="42">
        <v>211</v>
      </c>
    </row>
    <row r="10967" spans="1:8" ht="15" customHeight="1">
      <c r="A10967" s="26">
        <v>1052382557</v>
      </c>
      <c r="B10967" s="29" t="s">
        <v>13181</v>
      </c>
      <c r="C10967" s="29" t="s">
        <v>26866</v>
      </c>
      <c r="D10967" s="29" t="s">
        <v>40335</v>
      </c>
      <c r="E10967" s="29" t="s">
        <v>51977</v>
      </c>
      <c r="F10967" s="36" t="s">
        <v>54401</v>
      </c>
      <c r="G10967" s="39">
        <v>1053129.45</v>
      </c>
      <c r="H10967" s="42">
        <v>211</v>
      </c>
    </row>
    <row r="10968" spans="1:8" ht="15" customHeight="1">
      <c r="A10968" s="26">
        <v>1052382579</v>
      </c>
      <c r="B10968" s="29" t="s">
        <v>13182</v>
      </c>
      <c r="C10968" s="29" t="s">
        <v>26867</v>
      </c>
      <c r="D10968" s="29" t="s">
        <v>40336</v>
      </c>
      <c r="E10968" s="29" t="s">
        <v>47848</v>
      </c>
      <c r="F10968" s="36" t="s">
        <v>54401</v>
      </c>
      <c r="G10968" s="39">
        <v>372919.48</v>
      </c>
      <c r="H10968" s="42">
        <v>211</v>
      </c>
    </row>
    <row r="10969" spans="1:8" ht="15" customHeight="1">
      <c r="A10969" s="26">
        <v>1052382598</v>
      </c>
      <c r="B10969" s="29" t="s">
        <v>13183</v>
      </c>
      <c r="C10969" s="29" t="s">
        <v>26868</v>
      </c>
      <c r="D10969" s="29" t="s">
        <v>40337</v>
      </c>
      <c r="E10969" s="29" t="s">
        <v>51978</v>
      </c>
      <c r="F10969" s="36" t="s">
        <v>54401</v>
      </c>
      <c r="G10969" s="39">
        <v>138034.41</v>
      </c>
      <c r="H10969" s="42">
        <v>211</v>
      </c>
    </row>
    <row r="10970" spans="1:8" ht="15" customHeight="1">
      <c r="A10970" s="26">
        <v>1052382628</v>
      </c>
      <c r="B10970" s="29" t="s">
        <v>13184</v>
      </c>
      <c r="C10970" s="29" t="s">
        <v>26869</v>
      </c>
      <c r="D10970" s="29" t="s">
        <v>40338</v>
      </c>
      <c r="E10970" s="29" t="s">
        <v>51979</v>
      </c>
      <c r="F10970" s="36" t="s">
        <v>54401</v>
      </c>
      <c r="G10970" s="39">
        <v>1465291.72</v>
      </c>
      <c r="H10970" s="42">
        <v>211</v>
      </c>
    </row>
    <row r="10971" spans="1:8" ht="15" customHeight="1">
      <c r="A10971" s="26">
        <v>1052382643</v>
      </c>
      <c r="B10971" s="29" t="s">
        <v>13185</v>
      </c>
      <c r="C10971" s="29" t="s">
        <v>26870</v>
      </c>
      <c r="D10971" s="29" t="s">
        <v>40339</v>
      </c>
      <c r="E10971" s="29" t="s">
        <v>51980</v>
      </c>
      <c r="F10971" s="36" t="s">
        <v>54401</v>
      </c>
      <c r="G10971" s="39">
        <v>2872790.41</v>
      </c>
      <c r="H10971" s="42">
        <v>211</v>
      </c>
    </row>
    <row r="10972" spans="1:8" ht="15" customHeight="1">
      <c r="A10972" s="26">
        <v>1052382646</v>
      </c>
      <c r="B10972" s="29" t="s">
        <v>13186</v>
      </c>
      <c r="C10972" s="29" t="s">
        <v>26871</v>
      </c>
      <c r="D10972" s="29" t="s">
        <v>40340</v>
      </c>
      <c r="E10972" s="29" t="s">
        <v>51981</v>
      </c>
      <c r="F10972" s="36" t="s">
        <v>54401</v>
      </c>
      <c r="G10972" s="39">
        <v>5712952.4500000002</v>
      </c>
      <c r="H10972" s="42">
        <v>211</v>
      </c>
    </row>
    <row r="10973" spans="1:8" ht="15" customHeight="1">
      <c r="A10973" s="26">
        <v>1052382660</v>
      </c>
      <c r="B10973" s="29" t="s">
        <v>13187</v>
      </c>
      <c r="C10973" s="29" t="s">
        <v>26872</v>
      </c>
      <c r="D10973" s="29" t="s">
        <v>40341</v>
      </c>
      <c r="E10973" s="29" t="s">
        <v>51982</v>
      </c>
      <c r="F10973" s="36" t="s">
        <v>54401</v>
      </c>
      <c r="G10973" s="39">
        <v>7911333.6699999999</v>
      </c>
      <c r="H10973" s="42">
        <v>211</v>
      </c>
    </row>
    <row r="10974" spans="1:8" ht="15" customHeight="1">
      <c r="A10974" s="26">
        <v>1052382677</v>
      </c>
      <c r="B10974" s="29" t="s">
        <v>13188</v>
      </c>
      <c r="C10974" s="29" t="s">
        <v>26873</v>
      </c>
      <c r="D10974" s="29" t="s">
        <v>40342</v>
      </c>
      <c r="E10974" s="29" t="s">
        <v>51983</v>
      </c>
      <c r="F10974" s="36" t="s">
        <v>54401</v>
      </c>
      <c r="G10974" s="39">
        <v>599969.04</v>
      </c>
      <c r="H10974" s="42">
        <v>211</v>
      </c>
    </row>
    <row r="10975" spans="1:8" ht="15" customHeight="1">
      <c r="A10975" s="26">
        <v>1052382684</v>
      </c>
      <c r="B10975" s="29" t="s">
        <v>13189</v>
      </c>
      <c r="C10975" s="29" t="s">
        <v>26874</v>
      </c>
      <c r="D10975" s="29" t="s">
        <v>40343</v>
      </c>
      <c r="E10975" s="29" t="s">
        <v>51984</v>
      </c>
      <c r="F10975" s="36" t="s">
        <v>54401</v>
      </c>
      <c r="G10975" s="39">
        <v>3198649</v>
      </c>
      <c r="H10975" s="42">
        <v>211</v>
      </c>
    </row>
    <row r="10976" spans="1:8" ht="15" customHeight="1">
      <c r="A10976" s="26">
        <v>1052382738</v>
      </c>
      <c r="B10976" s="29" t="s">
        <v>13190</v>
      </c>
      <c r="C10976" s="29" t="s">
        <v>26875</v>
      </c>
      <c r="D10976" s="29" t="s">
        <v>40344</v>
      </c>
      <c r="E10976" s="29" t="s">
        <v>51985</v>
      </c>
      <c r="F10976" s="36" t="s">
        <v>54401</v>
      </c>
      <c r="G10976" s="39">
        <v>2546132.2599999998</v>
      </c>
      <c r="H10976" s="42">
        <v>211</v>
      </c>
    </row>
    <row r="10977" spans="1:8" ht="15" customHeight="1">
      <c r="A10977" s="26">
        <v>1052382743</v>
      </c>
      <c r="B10977" s="29" t="s">
        <v>13191</v>
      </c>
      <c r="C10977" s="29" t="s">
        <v>26876</v>
      </c>
      <c r="D10977" s="29" t="s">
        <v>40345</v>
      </c>
      <c r="E10977" s="29" t="s">
        <v>51986</v>
      </c>
      <c r="F10977" s="36" t="s">
        <v>54401</v>
      </c>
      <c r="G10977" s="39">
        <v>20369.75</v>
      </c>
      <c r="H10977" s="42">
        <v>211</v>
      </c>
    </row>
    <row r="10978" spans="1:8" ht="15" customHeight="1">
      <c r="A10978" s="26">
        <v>1052382749</v>
      </c>
      <c r="B10978" s="29" t="s">
        <v>13192</v>
      </c>
      <c r="C10978" s="29" t="s">
        <v>26877</v>
      </c>
      <c r="D10978" s="29" t="s">
        <v>40346</v>
      </c>
      <c r="E10978" s="29" t="s">
        <v>51987</v>
      </c>
      <c r="F10978" s="36" t="s">
        <v>54401</v>
      </c>
      <c r="G10978" s="39">
        <v>692306.28</v>
      </c>
      <c r="H10978" s="42">
        <v>211</v>
      </c>
    </row>
    <row r="10979" spans="1:8" ht="15" customHeight="1">
      <c r="A10979" s="26">
        <v>1052382763</v>
      </c>
      <c r="B10979" s="29" t="s">
        <v>13193</v>
      </c>
      <c r="C10979" s="29" t="s">
        <v>26878</v>
      </c>
      <c r="D10979" s="29" t="s">
        <v>40347</v>
      </c>
      <c r="E10979" s="29" t="s">
        <v>51988</v>
      </c>
      <c r="F10979" s="36" t="s">
        <v>54401</v>
      </c>
      <c r="G10979" s="39">
        <v>2896446.84</v>
      </c>
      <c r="H10979" s="42">
        <v>211</v>
      </c>
    </row>
    <row r="10980" spans="1:8" ht="15" customHeight="1">
      <c r="A10980" s="26">
        <v>1052382767</v>
      </c>
      <c r="B10980" s="29" t="s">
        <v>13194</v>
      </c>
      <c r="C10980" s="26" t="s">
        <v>26879</v>
      </c>
      <c r="D10980" s="26" t="s">
        <v>40348</v>
      </c>
      <c r="E10980" s="26" t="s">
        <v>51989</v>
      </c>
      <c r="F10980" s="37" t="s">
        <v>54401</v>
      </c>
      <c r="G10980" s="39">
        <v>33126.04</v>
      </c>
      <c r="H10980" s="42">
        <v>211</v>
      </c>
    </row>
    <row r="10981" spans="1:8" ht="15" customHeight="1">
      <c r="A10981" s="26">
        <v>1052382785</v>
      </c>
      <c r="B10981" s="29" t="s">
        <v>13195</v>
      </c>
      <c r="C10981" s="29" t="s">
        <v>26880</v>
      </c>
      <c r="D10981" s="29" t="s">
        <v>40349</v>
      </c>
      <c r="E10981" s="29" t="s">
        <v>43926</v>
      </c>
      <c r="F10981" s="36" t="s">
        <v>54401</v>
      </c>
      <c r="G10981" s="39">
        <v>330278.81</v>
      </c>
      <c r="H10981" s="42">
        <v>211</v>
      </c>
    </row>
    <row r="10982" spans="1:8" ht="15" customHeight="1">
      <c r="A10982" s="26">
        <v>1052382806</v>
      </c>
      <c r="B10982" s="29" t="s">
        <v>13196</v>
      </c>
      <c r="C10982" s="29" t="s">
        <v>26881</v>
      </c>
      <c r="D10982" s="29" t="s">
        <v>34703</v>
      </c>
      <c r="E10982" s="29" t="s">
        <v>51990</v>
      </c>
      <c r="F10982" s="36" t="s">
        <v>54401</v>
      </c>
      <c r="G10982" s="39">
        <v>414657.98</v>
      </c>
      <c r="H10982" s="42">
        <v>211</v>
      </c>
    </row>
    <row r="10983" spans="1:8" ht="15" customHeight="1">
      <c r="A10983" s="26">
        <v>1052382821</v>
      </c>
      <c r="B10983" s="29" t="s">
        <v>13197</v>
      </c>
      <c r="C10983" s="29" t="s">
        <v>26882</v>
      </c>
      <c r="D10983" s="29" t="s">
        <v>40350</v>
      </c>
      <c r="E10983" s="29" t="s">
        <v>51991</v>
      </c>
      <c r="F10983" s="36" t="s">
        <v>54401</v>
      </c>
      <c r="G10983" s="39">
        <v>186956.94</v>
      </c>
      <c r="H10983" s="42">
        <v>211</v>
      </c>
    </row>
    <row r="10984" spans="1:8" ht="15" customHeight="1">
      <c r="A10984" s="26">
        <v>1052382832</v>
      </c>
      <c r="B10984" s="29" t="s">
        <v>13198</v>
      </c>
      <c r="C10984" s="29" t="s">
        <v>25548</v>
      </c>
      <c r="D10984" s="29" t="s">
        <v>38975</v>
      </c>
      <c r="E10984" s="29" t="s">
        <v>51010</v>
      </c>
      <c r="F10984" s="36" t="s">
        <v>54401</v>
      </c>
      <c r="G10984" s="39">
        <v>4505405</v>
      </c>
      <c r="H10984" s="42">
        <v>211</v>
      </c>
    </row>
    <row r="10985" spans="1:8" ht="15" customHeight="1">
      <c r="A10985" s="26">
        <v>1052382873</v>
      </c>
      <c r="B10985" s="29" t="s">
        <v>13199</v>
      </c>
      <c r="C10985" s="29" t="s">
        <v>26883</v>
      </c>
      <c r="D10985" s="29" t="s">
        <v>40351</v>
      </c>
      <c r="E10985" s="29" t="s">
        <v>51992</v>
      </c>
      <c r="F10985" s="36" t="s">
        <v>54401</v>
      </c>
      <c r="G10985" s="39">
        <v>5342009.6399999997</v>
      </c>
      <c r="H10985" s="42">
        <v>211</v>
      </c>
    </row>
    <row r="10986" spans="1:8" ht="15" customHeight="1">
      <c r="A10986" s="26">
        <v>1052382878</v>
      </c>
      <c r="B10986" s="29" t="s">
        <v>13200</v>
      </c>
      <c r="C10986" s="29" t="s">
        <v>26884</v>
      </c>
      <c r="D10986" s="29" t="s">
        <v>40352</v>
      </c>
      <c r="E10986" s="29" t="s">
        <v>51993</v>
      </c>
      <c r="F10986" s="36" t="s">
        <v>54401</v>
      </c>
      <c r="G10986" s="39">
        <v>3644195</v>
      </c>
      <c r="H10986" s="42">
        <v>211</v>
      </c>
    </row>
    <row r="10987" spans="1:8" ht="15" customHeight="1">
      <c r="A10987" s="26">
        <v>1052382881</v>
      </c>
      <c r="B10987" s="29" t="s">
        <v>13201</v>
      </c>
      <c r="C10987" s="29" t="s">
        <v>26885</v>
      </c>
      <c r="D10987" s="29" t="s">
        <v>40353</v>
      </c>
      <c r="E10987" s="29" t="s">
        <v>51994</v>
      </c>
      <c r="F10987" s="36" t="s">
        <v>54401</v>
      </c>
      <c r="G10987" s="39">
        <v>3103326</v>
      </c>
      <c r="H10987" s="42">
        <v>211</v>
      </c>
    </row>
    <row r="10988" spans="1:8" ht="15" customHeight="1">
      <c r="A10988" s="26">
        <v>1052382890</v>
      </c>
      <c r="B10988" s="29" t="s">
        <v>13202</v>
      </c>
      <c r="C10988" s="29" t="s">
        <v>26886</v>
      </c>
      <c r="D10988" s="29" t="s">
        <v>40354</v>
      </c>
      <c r="E10988" s="29" t="s">
        <v>51995</v>
      </c>
      <c r="F10988" s="36" t="s">
        <v>54401</v>
      </c>
      <c r="G10988" s="39">
        <v>3618874.3</v>
      </c>
      <c r="H10988" s="42">
        <v>211</v>
      </c>
    </row>
    <row r="10989" spans="1:8" ht="15" customHeight="1">
      <c r="A10989" s="26">
        <v>1052382907</v>
      </c>
      <c r="B10989" s="29" t="s">
        <v>13203</v>
      </c>
      <c r="C10989" s="29" t="s">
        <v>26887</v>
      </c>
      <c r="D10989" s="29" t="s">
        <v>40355</v>
      </c>
      <c r="E10989" s="29" t="s">
        <v>51996</v>
      </c>
      <c r="F10989" s="36" t="s">
        <v>54401</v>
      </c>
      <c r="G10989" s="39">
        <v>812242.05</v>
      </c>
      <c r="H10989" s="42">
        <v>211</v>
      </c>
    </row>
    <row r="10990" spans="1:8" ht="15" customHeight="1">
      <c r="A10990" s="26">
        <v>1052382941</v>
      </c>
      <c r="B10990" s="29" t="s">
        <v>13204</v>
      </c>
      <c r="C10990" s="29" t="s">
        <v>26888</v>
      </c>
      <c r="D10990" s="29" t="s">
        <v>40356</v>
      </c>
      <c r="E10990" s="29" t="s">
        <v>51997</v>
      </c>
      <c r="F10990" s="36" t="s">
        <v>54401</v>
      </c>
      <c r="G10990" s="39">
        <v>959579.6</v>
      </c>
      <c r="H10990" s="42">
        <v>211</v>
      </c>
    </row>
    <row r="10991" spans="1:8" ht="15" customHeight="1">
      <c r="A10991" s="26">
        <v>1052382943</v>
      </c>
      <c r="B10991" s="29" t="s">
        <v>13205</v>
      </c>
      <c r="C10991" s="29" t="s">
        <v>26889</v>
      </c>
      <c r="D10991" s="29" t="s">
        <v>40357</v>
      </c>
      <c r="E10991" s="29" t="s">
        <v>51998</v>
      </c>
      <c r="F10991" s="36" t="s">
        <v>54401</v>
      </c>
      <c r="G10991" s="39">
        <v>537326.28</v>
      </c>
      <c r="H10991" s="42">
        <v>211</v>
      </c>
    </row>
    <row r="10992" spans="1:8" ht="15" customHeight="1">
      <c r="A10992" s="26">
        <v>1052382960</v>
      </c>
      <c r="B10992" s="29" t="s">
        <v>13206</v>
      </c>
      <c r="C10992" s="29" t="s">
        <v>26890</v>
      </c>
      <c r="D10992" s="29" t="s">
        <v>40358</v>
      </c>
      <c r="E10992" s="29" t="s">
        <v>51999</v>
      </c>
      <c r="F10992" s="36" t="s">
        <v>54401</v>
      </c>
      <c r="G10992" s="39">
        <v>2815513.52</v>
      </c>
      <c r="H10992" s="42">
        <v>211</v>
      </c>
    </row>
    <row r="10993" spans="1:8" ht="15" customHeight="1">
      <c r="A10993" s="26">
        <v>1052382961</v>
      </c>
      <c r="B10993" s="29" t="s">
        <v>13207</v>
      </c>
      <c r="C10993" s="29" t="s">
        <v>17204</v>
      </c>
      <c r="D10993" s="29" t="s">
        <v>30349</v>
      </c>
      <c r="E10993" s="29" t="s">
        <v>43926</v>
      </c>
      <c r="F10993" s="36" t="s">
        <v>54401</v>
      </c>
      <c r="G10993" s="39">
        <v>266629.55</v>
      </c>
      <c r="H10993" s="42">
        <v>211</v>
      </c>
    </row>
    <row r="10994" spans="1:8" ht="15" customHeight="1">
      <c r="A10994" s="26">
        <v>1052382966</v>
      </c>
      <c r="B10994" s="29" t="s">
        <v>13208</v>
      </c>
      <c r="C10994" s="29" t="s">
        <v>26891</v>
      </c>
      <c r="D10994" s="29" t="s">
        <v>40359</v>
      </c>
      <c r="E10994" s="29" t="s">
        <v>52000</v>
      </c>
      <c r="F10994" s="36" t="s">
        <v>54401</v>
      </c>
      <c r="G10994" s="39">
        <v>392935.86</v>
      </c>
      <c r="H10994" s="42">
        <v>211</v>
      </c>
    </row>
    <row r="10995" spans="1:8" ht="15" customHeight="1">
      <c r="A10995" s="26">
        <v>1052382970</v>
      </c>
      <c r="B10995" s="29" t="s">
        <v>13209</v>
      </c>
      <c r="C10995" s="29" t="s">
        <v>26892</v>
      </c>
      <c r="D10995" s="29" t="s">
        <v>40360</v>
      </c>
      <c r="E10995" s="29" t="s">
        <v>52001</v>
      </c>
      <c r="F10995" s="36" t="s">
        <v>54401</v>
      </c>
      <c r="G10995" s="39">
        <v>5380676.8899999997</v>
      </c>
      <c r="H10995" s="42">
        <v>211</v>
      </c>
    </row>
    <row r="10996" spans="1:8" ht="15" customHeight="1">
      <c r="A10996" s="26">
        <v>1052382974</v>
      </c>
      <c r="B10996" s="29" t="s">
        <v>13210</v>
      </c>
      <c r="C10996" s="29" t="s">
        <v>26893</v>
      </c>
      <c r="D10996" s="29" t="s">
        <v>40361</v>
      </c>
      <c r="E10996" s="29" t="s">
        <v>45178</v>
      </c>
      <c r="F10996" s="36" t="s">
        <v>54401</v>
      </c>
      <c r="G10996" s="39">
        <v>811258.66</v>
      </c>
      <c r="H10996" s="42">
        <v>211</v>
      </c>
    </row>
    <row r="10997" spans="1:8" ht="15" customHeight="1">
      <c r="A10997" s="26">
        <v>1052382979</v>
      </c>
      <c r="B10997" s="29" t="s">
        <v>13211</v>
      </c>
      <c r="C10997" s="26" t="s">
        <v>26894</v>
      </c>
      <c r="D10997" s="26" t="s">
        <v>40362</v>
      </c>
      <c r="E10997" s="26" t="s">
        <v>52002</v>
      </c>
      <c r="F10997" s="37" t="s">
        <v>54401</v>
      </c>
      <c r="G10997" s="39">
        <v>1170733.79</v>
      </c>
      <c r="H10997" s="42">
        <v>211</v>
      </c>
    </row>
    <row r="10998" spans="1:8" ht="15" customHeight="1">
      <c r="A10998" s="26">
        <v>1052382984</v>
      </c>
      <c r="B10998" s="29" t="s">
        <v>13212</v>
      </c>
      <c r="C10998" s="29" t="s">
        <v>26895</v>
      </c>
      <c r="D10998" s="29" t="s">
        <v>40363</v>
      </c>
      <c r="E10998" s="29" t="s">
        <v>52003</v>
      </c>
      <c r="F10998" s="36" t="s">
        <v>54401</v>
      </c>
      <c r="G10998" s="39">
        <v>1910462.38</v>
      </c>
      <c r="H10998" s="42">
        <v>211</v>
      </c>
    </row>
    <row r="10999" spans="1:8" ht="15" customHeight="1">
      <c r="A10999" s="26">
        <v>1052383022</v>
      </c>
      <c r="B10999" s="29" t="s">
        <v>13213</v>
      </c>
      <c r="C10999" s="29" t="s">
        <v>26896</v>
      </c>
      <c r="D10999" s="29" t="s">
        <v>40364</v>
      </c>
      <c r="E10999" s="29" t="s">
        <v>52004</v>
      </c>
      <c r="F10999" s="36" t="s">
        <v>54401</v>
      </c>
      <c r="G10999" s="39">
        <v>344919.71</v>
      </c>
      <c r="H10999" s="42">
        <v>211</v>
      </c>
    </row>
    <row r="11000" spans="1:8" ht="15" customHeight="1">
      <c r="A11000" s="26">
        <v>1052383024</v>
      </c>
      <c r="B11000" s="29" t="s">
        <v>13214</v>
      </c>
      <c r="C11000" s="29" t="s">
        <v>26897</v>
      </c>
      <c r="D11000" s="29" t="s">
        <v>40365</v>
      </c>
      <c r="E11000" s="29" t="s">
        <v>52005</v>
      </c>
      <c r="F11000" s="36" t="s">
        <v>54401</v>
      </c>
      <c r="G11000" s="39">
        <v>572686.27</v>
      </c>
      <c r="H11000" s="42">
        <v>211</v>
      </c>
    </row>
    <row r="11001" spans="1:8" ht="15" customHeight="1">
      <c r="A11001" s="26">
        <v>1052383030</v>
      </c>
      <c r="B11001" s="29" t="s">
        <v>13215</v>
      </c>
      <c r="C11001" s="29" t="s">
        <v>26898</v>
      </c>
      <c r="D11001" s="29" t="s">
        <v>40366</v>
      </c>
      <c r="E11001" s="29" t="s">
        <v>52006</v>
      </c>
      <c r="F11001" s="36" t="s">
        <v>54401</v>
      </c>
      <c r="G11001" s="39">
        <v>2762758.2</v>
      </c>
      <c r="H11001" s="42">
        <v>211</v>
      </c>
    </row>
    <row r="11002" spans="1:8" ht="15" customHeight="1">
      <c r="A11002" s="26">
        <v>1052383045</v>
      </c>
      <c r="B11002" s="29" t="s">
        <v>13216</v>
      </c>
      <c r="C11002" s="29" t="s">
        <v>26899</v>
      </c>
      <c r="D11002" s="29" t="s">
        <v>40367</v>
      </c>
      <c r="E11002" s="29" t="s">
        <v>52007</v>
      </c>
      <c r="F11002" s="36" t="s">
        <v>54401</v>
      </c>
      <c r="G11002" s="39">
        <v>3388873.49</v>
      </c>
      <c r="H11002" s="42">
        <v>211</v>
      </c>
    </row>
    <row r="11003" spans="1:8" ht="15" customHeight="1">
      <c r="A11003" s="26">
        <v>1052383065</v>
      </c>
      <c r="B11003" s="29" t="s">
        <v>13217</v>
      </c>
      <c r="C11003" s="29" t="s">
        <v>26900</v>
      </c>
      <c r="D11003" s="29" t="s">
        <v>40368</v>
      </c>
      <c r="E11003" s="29" t="s">
        <v>46427</v>
      </c>
      <c r="F11003" s="36" t="s">
        <v>54401</v>
      </c>
      <c r="G11003" s="39">
        <v>153808.31</v>
      </c>
      <c r="H11003" s="42">
        <v>211</v>
      </c>
    </row>
    <row r="11004" spans="1:8" ht="15" customHeight="1">
      <c r="A11004" s="26">
        <v>1052383075</v>
      </c>
      <c r="B11004" s="29" t="s">
        <v>13218</v>
      </c>
      <c r="C11004" s="29" t="s">
        <v>26901</v>
      </c>
      <c r="D11004" s="29" t="s">
        <v>40369</v>
      </c>
      <c r="E11004" s="29" t="s">
        <v>44324</v>
      </c>
      <c r="F11004" s="36" t="s">
        <v>54401</v>
      </c>
      <c r="G11004" s="39">
        <v>3625408.44</v>
      </c>
      <c r="H11004" s="42">
        <v>211</v>
      </c>
    </row>
    <row r="11005" spans="1:8" ht="15" customHeight="1">
      <c r="A11005" s="26">
        <v>1052383078</v>
      </c>
      <c r="B11005" s="29" t="s">
        <v>13219</v>
      </c>
      <c r="C11005" s="29" t="s">
        <v>26902</v>
      </c>
      <c r="D11005" s="29" t="s">
        <v>40370</v>
      </c>
      <c r="E11005" s="29" t="s">
        <v>52008</v>
      </c>
      <c r="F11005" s="36" t="s">
        <v>54401</v>
      </c>
      <c r="G11005" s="39">
        <v>3851665</v>
      </c>
      <c r="H11005" s="42">
        <v>211</v>
      </c>
    </row>
    <row r="11006" spans="1:8" ht="15" customHeight="1">
      <c r="A11006" s="26">
        <v>1052383099</v>
      </c>
      <c r="B11006" s="29" t="s">
        <v>13220</v>
      </c>
      <c r="C11006" s="29" t="s">
        <v>26903</v>
      </c>
      <c r="D11006" s="29" t="s">
        <v>40371</v>
      </c>
      <c r="E11006" s="29" t="s">
        <v>52009</v>
      </c>
      <c r="F11006" s="36" t="s">
        <v>54401</v>
      </c>
      <c r="G11006" s="39">
        <v>1840823.56</v>
      </c>
      <c r="H11006" s="42">
        <v>211</v>
      </c>
    </row>
    <row r="11007" spans="1:8" ht="15" customHeight="1">
      <c r="A11007" s="26">
        <v>1052383116</v>
      </c>
      <c r="B11007" s="29" t="s">
        <v>13221</v>
      </c>
      <c r="C11007" s="26" t="s">
        <v>26904</v>
      </c>
      <c r="D11007" s="26" t="s">
        <v>40372</v>
      </c>
      <c r="E11007" s="26" t="s">
        <v>43926</v>
      </c>
      <c r="F11007" s="37" t="s">
        <v>54401</v>
      </c>
      <c r="G11007" s="39">
        <v>2352959</v>
      </c>
      <c r="H11007" s="42">
        <v>211</v>
      </c>
    </row>
    <row r="11008" spans="1:8" ht="15" customHeight="1">
      <c r="A11008" s="26">
        <v>1052383131</v>
      </c>
      <c r="B11008" s="29" t="s">
        <v>13222</v>
      </c>
      <c r="C11008" s="26" t="s">
        <v>26905</v>
      </c>
      <c r="D11008" s="26" t="s">
        <v>40373</v>
      </c>
      <c r="E11008" s="26" t="s">
        <v>52010</v>
      </c>
      <c r="F11008" s="37" t="s">
        <v>54401</v>
      </c>
      <c r="G11008" s="39">
        <v>89709</v>
      </c>
      <c r="H11008" s="42">
        <v>211</v>
      </c>
    </row>
    <row r="11009" spans="1:8" ht="15" customHeight="1">
      <c r="A11009" s="26">
        <v>1052383137</v>
      </c>
      <c r="B11009" s="29" t="s">
        <v>13223</v>
      </c>
      <c r="C11009" s="29" t="s">
        <v>20127</v>
      </c>
      <c r="D11009" s="29" t="s">
        <v>33335</v>
      </c>
      <c r="E11009" s="29" t="s">
        <v>52011</v>
      </c>
      <c r="F11009" s="36" t="s">
        <v>54401</v>
      </c>
      <c r="G11009" s="39">
        <v>3539654</v>
      </c>
      <c r="H11009" s="42">
        <v>211</v>
      </c>
    </row>
    <row r="11010" spans="1:8" ht="15" customHeight="1">
      <c r="A11010" s="26">
        <v>1052383141</v>
      </c>
      <c r="B11010" s="29" t="s">
        <v>13224</v>
      </c>
      <c r="C11010" s="29" t="s">
        <v>26906</v>
      </c>
      <c r="D11010" s="29" t="s">
        <v>40374</v>
      </c>
      <c r="E11010" s="29" t="s">
        <v>52012</v>
      </c>
      <c r="F11010" s="36" t="s">
        <v>54401</v>
      </c>
      <c r="G11010" s="39">
        <v>1877255.66</v>
      </c>
      <c r="H11010" s="42">
        <v>211</v>
      </c>
    </row>
    <row r="11011" spans="1:8" ht="15" customHeight="1">
      <c r="A11011" s="26">
        <v>1052383161</v>
      </c>
      <c r="B11011" s="29" t="s">
        <v>13225</v>
      </c>
      <c r="C11011" s="29" t="s">
        <v>26907</v>
      </c>
      <c r="D11011" s="29" t="s">
        <v>30349</v>
      </c>
      <c r="E11011" s="29" t="s">
        <v>43926</v>
      </c>
      <c r="F11011" s="36" t="s">
        <v>54401</v>
      </c>
      <c r="G11011" s="39">
        <v>585782.9</v>
      </c>
      <c r="H11011" s="42">
        <v>211</v>
      </c>
    </row>
    <row r="11012" spans="1:8" ht="15" customHeight="1">
      <c r="A11012" s="26">
        <v>1052383163</v>
      </c>
      <c r="B11012" s="29" t="s">
        <v>13226</v>
      </c>
      <c r="C11012" s="29" t="s">
        <v>17204</v>
      </c>
      <c r="D11012" s="29" t="s">
        <v>40375</v>
      </c>
      <c r="E11012" s="29" t="s">
        <v>43926</v>
      </c>
      <c r="F11012" s="36" t="s">
        <v>54401</v>
      </c>
      <c r="G11012" s="39">
        <v>1807599.59</v>
      </c>
      <c r="H11012" s="42">
        <v>211</v>
      </c>
    </row>
    <row r="11013" spans="1:8" ht="15" customHeight="1">
      <c r="A11013" s="26">
        <v>1052383196</v>
      </c>
      <c r="B11013" s="29" t="s">
        <v>13227</v>
      </c>
      <c r="C11013" s="26" t="s">
        <v>26908</v>
      </c>
      <c r="D11013" s="26" t="s">
        <v>40376</v>
      </c>
      <c r="E11013" s="26" t="s">
        <v>43926</v>
      </c>
      <c r="F11013" s="37" t="s">
        <v>54401</v>
      </c>
      <c r="G11013" s="39">
        <v>667485.84</v>
      </c>
      <c r="H11013" s="42">
        <v>211</v>
      </c>
    </row>
    <row r="11014" spans="1:8" ht="15" customHeight="1">
      <c r="A11014" s="26">
        <v>1052383201</v>
      </c>
      <c r="B11014" s="29" t="s">
        <v>13228</v>
      </c>
      <c r="C11014" s="29" t="s">
        <v>26909</v>
      </c>
      <c r="D11014" s="29" t="s">
        <v>39950</v>
      </c>
      <c r="E11014" s="29" t="s">
        <v>51690</v>
      </c>
      <c r="F11014" s="36" t="s">
        <v>54401</v>
      </c>
      <c r="G11014" s="39">
        <v>1288178.74</v>
      </c>
      <c r="H11014" s="42">
        <v>211</v>
      </c>
    </row>
    <row r="11015" spans="1:8" ht="15" customHeight="1">
      <c r="A11015" s="26">
        <v>1052383208</v>
      </c>
      <c r="B11015" s="29" t="s">
        <v>13229</v>
      </c>
      <c r="C11015" s="29" t="s">
        <v>26910</v>
      </c>
      <c r="D11015" s="29" t="s">
        <v>40377</v>
      </c>
      <c r="E11015" s="29" t="s">
        <v>52013</v>
      </c>
      <c r="F11015" s="36" t="s">
        <v>54401</v>
      </c>
      <c r="G11015" s="39">
        <v>333023.69</v>
      </c>
      <c r="H11015" s="42">
        <v>211</v>
      </c>
    </row>
    <row r="11016" spans="1:8" ht="15" customHeight="1">
      <c r="A11016" s="26">
        <v>1052383231</v>
      </c>
      <c r="B11016" s="29" t="s">
        <v>13230</v>
      </c>
      <c r="C11016" s="29" t="s">
        <v>17204</v>
      </c>
      <c r="D11016" s="29" t="s">
        <v>30349</v>
      </c>
      <c r="E11016" s="29" t="s">
        <v>43926</v>
      </c>
      <c r="F11016" s="36" t="s">
        <v>54401</v>
      </c>
      <c r="G11016" s="39">
        <v>176332.25</v>
      </c>
      <c r="H11016" s="42">
        <v>211</v>
      </c>
    </row>
    <row r="11017" spans="1:8" ht="15" customHeight="1">
      <c r="A11017" s="26">
        <v>1052383236</v>
      </c>
      <c r="B11017" s="29" t="s">
        <v>13231</v>
      </c>
      <c r="C11017" s="29" t="s">
        <v>26911</v>
      </c>
      <c r="D11017" s="29" t="s">
        <v>40378</v>
      </c>
      <c r="E11017" s="29" t="s">
        <v>52014</v>
      </c>
      <c r="F11017" s="36" t="s">
        <v>54401</v>
      </c>
      <c r="G11017" s="39">
        <v>1104272.8899999999</v>
      </c>
      <c r="H11017" s="42">
        <v>211</v>
      </c>
    </row>
    <row r="11018" spans="1:8" ht="15" customHeight="1">
      <c r="A11018" s="26">
        <v>1052383238</v>
      </c>
      <c r="B11018" s="29" t="s">
        <v>13232</v>
      </c>
      <c r="C11018" s="29" t="s">
        <v>26912</v>
      </c>
      <c r="D11018" s="29" t="s">
        <v>40379</v>
      </c>
      <c r="E11018" s="29" t="s">
        <v>44987</v>
      </c>
      <c r="F11018" s="36" t="s">
        <v>54401</v>
      </c>
      <c r="G11018" s="39">
        <v>4206415.87</v>
      </c>
      <c r="H11018" s="42">
        <v>211</v>
      </c>
    </row>
    <row r="11019" spans="1:8" ht="15" customHeight="1">
      <c r="A11019" s="26">
        <v>1052383243</v>
      </c>
      <c r="B11019" s="29" t="s">
        <v>13233</v>
      </c>
      <c r="C11019" s="29" t="s">
        <v>26913</v>
      </c>
      <c r="D11019" s="29" t="s">
        <v>40380</v>
      </c>
      <c r="E11019" s="29" t="s">
        <v>52015</v>
      </c>
      <c r="F11019" s="36" t="s">
        <v>54401</v>
      </c>
      <c r="G11019" s="39">
        <v>707511.05</v>
      </c>
      <c r="H11019" s="42">
        <v>211</v>
      </c>
    </row>
    <row r="11020" spans="1:8" ht="15" customHeight="1">
      <c r="A11020" s="26">
        <v>1052383259</v>
      </c>
      <c r="B11020" s="29" t="s">
        <v>13234</v>
      </c>
      <c r="C11020" s="29" t="s">
        <v>26914</v>
      </c>
      <c r="D11020" s="29" t="s">
        <v>40381</v>
      </c>
      <c r="E11020" s="29" t="s">
        <v>52016</v>
      </c>
      <c r="F11020" s="36" t="s">
        <v>54401</v>
      </c>
      <c r="G11020" s="39">
        <v>1122009.48</v>
      </c>
      <c r="H11020" s="42">
        <v>211</v>
      </c>
    </row>
    <row r="11021" spans="1:8" ht="15" customHeight="1">
      <c r="A11021" s="26">
        <v>1052383268</v>
      </c>
      <c r="B11021" s="29" t="s">
        <v>13235</v>
      </c>
      <c r="C11021" s="26" t="s">
        <v>26915</v>
      </c>
      <c r="D11021" s="26" t="s">
        <v>40382</v>
      </c>
      <c r="E11021" s="26" t="s">
        <v>52017</v>
      </c>
      <c r="F11021" s="37" t="s">
        <v>54401</v>
      </c>
      <c r="G11021" s="39">
        <v>266162.24</v>
      </c>
      <c r="H11021" s="42">
        <v>211</v>
      </c>
    </row>
    <row r="11022" spans="1:8" ht="15" customHeight="1">
      <c r="A11022" s="26">
        <v>1052383271</v>
      </c>
      <c r="B11022" s="29" t="s">
        <v>13236</v>
      </c>
      <c r="C11022" s="26" t="s">
        <v>26916</v>
      </c>
      <c r="D11022" s="26" t="s">
        <v>40383</v>
      </c>
      <c r="E11022" s="26" t="s">
        <v>52018</v>
      </c>
      <c r="F11022" s="37" t="s">
        <v>54401</v>
      </c>
      <c r="G11022" s="39">
        <v>2503600.92</v>
      </c>
      <c r="H11022" s="42">
        <v>211</v>
      </c>
    </row>
    <row r="11023" spans="1:8" ht="15" customHeight="1">
      <c r="A11023" s="26">
        <v>1052383281</v>
      </c>
      <c r="B11023" s="29" t="s">
        <v>13237</v>
      </c>
      <c r="C11023" s="29" t="s">
        <v>26917</v>
      </c>
      <c r="D11023" s="29" t="s">
        <v>40384</v>
      </c>
      <c r="E11023" s="29" t="s">
        <v>43926</v>
      </c>
      <c r="F11023" s="36" t="s">
        <v>54401</v>
      </c>
      <c r="G11023" s="39">
        <v>6447802</v>
      </c>
      <c r="H11023" s="42">
        <v>211</v>
      </c>
    </row>
    <row r="11024" spans="1:8" ht="15" customHeight="1">
      <c r="A11024" s="26">
        <v>1052383290</v>
      </c>
      <c r="B11024" s="29" t="s">
        <v>13238</v>
      </c>
      <c r="C11024" s="29" t="s">
        <v>17204</v>
      </c>
      <c r="D11024" s="29" t="s">
        <v>40385</v>
      </c>
      <c r="E11024" s="29" t="s">
        <v>43926</v>
      </c>
      <c r="F11024" s="36" t="s">
        <v>54401</v>
      </c>
      <c r="G11024" s="39">
        <v>223085.35</v>
      </c>
      <c r="H11024" s="42">
        <v>211</v>
      </c>
    </row>
    <row r="11025" spans="1:8" ht="15" customHeight="1">
      <c r="A11025" s="26">
        <v>1052383296</v>
      </c>
      <c r="B11025" s="29" t="s">
        <v>13239</v>
      </c>
      <c r="C11025" s="29" t="s">
        <v>26918</v>
      </c>
      <c r="D11025" s="29" t="s">
        <v>40386</v>
      </c>
      <c r="E11025" s="29" t="s">
        <v>52019</v>
      </c>
      <c r="F11025" s="36" t="s">
        <v>54444</v>
      </c>
      <c r="G11025" s="39">
        <v>91688.03</v>
      </c>
      <c r="H11025" s="42">
        <v>211</v>
      </c>
    </row>
    <row r="11026" spans="1:8" ht="15" customHeight="1">
      <c r="A11026" s="26">
        <v>1052383311</v>
      </c>
      <c r="B11026" s="29" t="s">
        <v>13240</v>
      </c>
      <c r="C11026" s="29" t="s">
        <v>26919</v>
      </c>
      <c r="D11026" s="29" t="s">
        <v>40387</v>
      </c>
      <c r="E11026" s="29" t="s">
        <v>46971</v>
      </c>
      <c r="F11026" s="36" t="s">
        <v>54401</v>
      </c>
      <c r="G11026" s="39">
        <v>28948.74</v>
      </c>
      <c r="H11026" s="42">
        <v>211</v>
      </c>
    </row>
    <row r="11027" spans="1:8" ht="15" customHeight="1">
      <c r="A11027" s="26">
        <v>1052383315</v>
      </c>
      <c r="B11027" s="29" t="s">
        <v>13241</v>
      </c>
      <c r="C11027" s="29" t="s">
        <v>17204</v>
      </c>
      <c r="D11027" s="29" t="s">
        <v>40388</v>
      </c>
      <c r="E11027" s="29" t="s">
        <v>52020</v>
      </c>
      <c r="F11027" s="36" t="s">
        <v>54401</v>
      </c>
      <c r="G11027" s="39">
        <v>749574.82</v>
      </c>
      <c r="H11027" s="42">
        <v>211</v>
      </c>
    </row>
    <row r="11028" spans="1:8" ht="15" customHeight="1">
      <c r="A11028" s="26">
        <v>1052383365</v>
      </c>
      <c r="B11028" s="29" t="s">
        <v>13242</v>
      </c>
      <c r="C11028" s="29" t="s">
        <v>26920</v>
      </c>
      <c r="D11028" s="29" t="s">
        <v>40389</v>
      </c>
      <c r="E11028" s="29" t="s">
        <v>52021</v>
      </c>
      <c r="F11028" s="36" t="s">
        <v>54401</v>
      </c>
      <c r="G11028" s="39">
        <v>1960633.25</v>
      </c>
      <c r="H11028" s="42">
        <v>211</v>
      </c>
    </row>
    <row r="11029" spans="1:8" ht="15" customHeight="1">
      <c r="A11029" s="26">
        <v>1052383367</v>
      </c>
      <c r="B11029" s="29" t="s">
        <v>13243</v>
      </c>
      <c r="C11029" s="29" t="s">
        <v>17204</v>
      </c>
      <c r="D11029" s="29" t="s">
        <v>40390</v>
      </c>
      <c r="E11029" s="29" t="s">
        <v>43926</v>
      </c>
      <c r="F11029" s="36" t="s">
        <v>54401</v>
      </c>
      <c r="G11029" s="39">
        <v>204655.96</v>
      </c>
      <c r="H11029" s="42">
        <v>211</v>
      </c>
    </row>
    <row r="11030" spans="1:8" ht="15" customHeight="1">
      <c r="A11030" s="26">
        <v>1052383368</v>
      </c>
      <c r="B11030" s="29" t="s">
        <v>13244</v>
      </c>
      <c r="C11030" s="29" t="s">
        <v>26921</v>
      </c>
      <c r="D11030" s="29" t="s">
        <v>40391</v>
      </c>
      <c r="E11030" s="29" t="s">
        <v>52022</v>
      </c>
      <c r="F11030" s="36" t="s">
        <v>54401</v>
      </c>
      <c r="G11030" s="39">
        <v>5626284</v>
      </c>
      <c r="H11030" s="42">
        <v>211</v>
      </c>
    </row>
    <row r="11031" spans="1:8" ht="15" customHeight="1">
      <c r="A11031" s="26">
        <v>1052383380</v>
      </c>
      <c r="B11031" s="29" t="s">
        <v>13245</v>
      </c>
      <c r="C11031" s="29" t="s">
        <v>26922</v>
      </c>
      <c r="D11031" s="29" t="s">
        <v>40392</v>
      </c>
      <c r="E11031" s="29" t="s">
        <v>47441</v>
      </c>
      <c r="F11031" s="36" t="s">
        <v>54401</v>
      </c>
      <c r="G11031" s="39">
        <v>6327471.8700000001</v>
      </c>
      <c r="H11031" s="42">
        <v>211</v>
      </c>
    </row>
    <row r="11032" spans="1:8" ht="15" customHeight="1">
      <c r="A11032" s="26">
        <v>1052383382</v>
      </c>
      <c r="B11032" s="29" t="s">
        <v>13246</v>
      </c>
      <c r="C11032" s="29" t="s">
        <v>26923</v>
      </c>
      <c r="D11032" s="29" t="s">
        <v>40393</v>
      </c>
      <c r="E11032" s="29" t="s">
        <v>52023</v>
      </c>
      <c r="F11032" s="36" t="s">
        <v>54401</v>
      </c>
      <c r="G11032" s="39">
        <v>463981.58</v>
      </c>
      <c r="H11032" s="42">
        <v>211</v>
      </c>
    </row>
    <row r="11033" spans="1:8" ht="15" customHeight="1">
      <c r="A11033" s="26">
        <v>1052383383</v>
      </c>
      <c r="B11033" s="29" t="s">
        <v>13247</v>
      </c>
      <c r="C11033" s="29" t="s">
        <v>26924</v>
      </c>
      <c r="D11033" s="29" t="s">
        <v>40394</v>
      </c>
      <c r="E11033" s="29" t="s">
        <v>45514</v>
      </c>
      <c r="F11033" s="36" t="s">
        <v>54401</v>
      </c>
      <c r="G11033" s="39">
        <v>1137142.68</v>
      </c>
      <c r="H11033" s="42">
        <v>211</v>
      </c>
    </row>
    <row r="11034" spans="1:8" ht="15" customHeight="1">
      <c r="A11034" s="26">
        <v>1052383384</v>
      </c>
      <c r="B11034" s="29" t="s">
        <v>13248</v>
      </c>
      <c r="C11034" s="29" t="s">
        <v>26925</v>
      </c>
      <c r="D11034" s="29" t="s">
        <v>40395</v>
      </c>
      <c r="E11034" s="29" t="s">
        <v>52024</v>
      </c>
      <c r="F11034" s="36" t="s">
        <v>54401</v>
      </c>
      <c r="G11034" s="39">
        <v>133691.43</v>
      </c>
      <c r="H11034" s="42">
        <v>211</v>
      </c>
    </row>
    <row r="11035" spans="1:8" ht="15" customHeight="1">
      <c r="A11035" s="26">
        <v>1052383388</v>
      </c>
      <c r="B11035" s="29" t="s">
        <v>13249</v>
      </c>
      <c r="C11035" s="29" t="s">
        <v>26926</v>
      </c>
      <c r="D11035" s="29" t="s">
        <v>40396</v>
      </c>
      <c r="E11035" s="29" t="s">
        <v>52025</v>
      </c>
      <c r="F11035" s="36" t="s">
        <v>54401</v>
      </c>
      <c r="G11035" s="39">
        <v>7200971</v>
      </c>
      <c r="H11035" s="42">
        <v>211</v>
      </c>
    </row>
    <row r="11036" spans="1:8" ht="15" customHeight="1">
      <c r="A11036" s="26">
        <v>1052383408</v>
      </c>
      <c r="B11036" s="29" t="s">
        <v>13250</v>
      </c>
      <c r="C11036" s="29" t="s">
        <v>26927</v>
      </c>
      <c r="D11036" s="29" t="s">
        <v>40397</v>
      </c>
      <c r="E11036" s="29" t="s">
        <v>52026</v>
      </c>
      <c r="F11036" s="36" t="s">
        <v>54401</v>
      </c>
      <c r="G11036" s="39">
        <v>6663631</v>
      </c>
      <c r="H11036" s="42">
        <v>211</v>
      </c>
    </row>
    <row r="11037" spans="1:8" ht="15" customHeight="1">
      <c r="A11037" s="26">
        <v>1052383415</v>
      </c>
      <c r="B11037" s="29" t="s">
        <v>13251</v>
      </c>
      <c r="C11037" s="29" t="s">
        <v>26928</v>
      </c>
      <c r="D11037" s="29" t="s">
        <v>40398</v>
      </c>
      <c r="E11037" s="29" t="s">
        <v>52027</v>
      </c>
      <c r="F11037" s="36" t="s">
        <v>54401</v>
      </c>
      <c r="G11037" s="39">
        <v>4468012.0999999996</v>
      </c>
      <c r="H11037" s="42">
        <v>211</v>
      </c>
    </row>
    <row r="11038" spans="1:8" ht="15" customHeight="1">
      <c r="A11038" s="26">
        <v>1052383418</v>
      </c>
      <c r="B11038" s="29" t="s">
        <v>13252</v>
      </c>
      <c r="C11038" s="29" t="s">
        <v>26929</v>
      </c>
      <c r="D11038" s="29" t="s">
        <v>40399</v>
      </c>
      <c r="E11038" s="29" t="s">
        <v>46818</v>
      </c>
      <c r="F11038" s="36" t="s">
        <v>54401</v>
      </c>
      <c r="G11038" s="39">
        <v>4060690</v>
      </c>
      <c r="H11038" s="42">
        <v>211</v>
      </c>
    </row>
    <row r="11039" spans="1:8" ht="15" customHeight="1">
      <c r="A11039" s="26">
        <v>1052383422</v>
      </c>
      <c r="B11039" s="29" t="s">
        <v>13253</v>
      </c>
      <c r="C11039" s="29" t="s">
        <v>17204</v>
      </c>
      <c r="D11039" s="29" t="s">
        <v>30349</v>
      </c>
      <c r="E11039" s="29" t="s">
        <v>43926</v>
      </c>
      <c r="F11039" s="36" t="s">
        <v>54401</v>
      </c>
      <c r="G11039" s="39">
        <v>600240.56999999995</v>
      </c>
      <c r="H11039" s="42">
        <v>211</v>
      </c>
    </row>
    <row r="11040" spans="1:8" ht="15" customHeight="1">
      <c r="A11040" s="26">
        <v>1052383437</v>
      </c>
      <c r="B11040" s="29" t="s">
        <v>13254</v>
      </c>
      <c r="C11040" s="29" t="s">
        <v>26930</v>
      </c>
      <c r="D11040" s="29" t="s">
        <v>40400</v>
      </c>
      <c r="E11040" s="29" t="s">
        <v>52028</v>
      </c>
      <c r="F11040" s="36" t="s">
        <v>54401</v>
      </c>
      <c r="G11040" s="39">
        <v>1595989.8</v>
      </c>
      <c r="H11040" s="42">
        <v>211</v>
      </c>
    </row>
    <row r="11041" spans="1:8" ht="15" customHeight="1">
      <c r="A11041" s="26">
        <v>1052383441</v>
      </c>
      <c r="B11041" s="29" t="s">
        <v>13255</v>
      </c>
      <c r="C11041" s="29" t="s">
        <v>20443</v>
      </c>
      <c r="D11041" s="29" t="s">
        <v>33653</v>
      </c>
      <c r="E11041" s="29" t="s">
        <v>52029</v>
      </c>
      <c r="F11041" s="36" t="s">
        <v>54401</v>
      </c>
      <c r="G11041" s="39">
        <v>1316871.8</v>
      </c>
      <c r="H11041" s="42">
        <v>211</v>
      </c>
    </row>
    <row r="11042" spans="1:8" ht="15" customHeight="1">
      <c r="A11042" s="26">
        <v>1052383449</v>
      </c>
      <c r="B11042" s="29" t="s">
        <v>13256</v>
      </c>
      <c r="C11042" s="29" t="s">
        <v>26931</v>
      </c>
      <c r="D11042" s="29" t="s">
        <v>40401</v>
      </c>
      <c r="E11042" s="29" t="s">
        <v>45261</v>
      </c>
      <c r="F11042" s="36" t="s">
        <v>54401</v>
      </c>
      <c r="G11042" s="39">
        <v>104565.43</v>
      </c>
      <c r="H11042" s="42">
        <v>211</v>
      </c>
    </row>
    <row r="11043" spans="1:8" ht="15" customHeight="1">
      <c r="A11043" s="26">
        <v>1052383471</v>
      </c>
      <c r="B11043" s="29" t="s">
        <v>13257</v>
      </c>
      <c r="C11043" s="29" t="s">
        <v>26932</v>
      </c>
      <c r="D11043" s="29" t="s">
        <v>40402</v>
      </c>
      <c r="E11043" s="29" t="s">
        <v>52030</v>
      </c>
      <c r="F11043" s="36" t="s">
        <v>54401</v>
      </c>
      <c r="G11043" s="39">
        <v>816874.87</v>
      </c>
      <c r="H11043" s="42">
        <v>211</v>
      </c>
    </row>
    <row r="11044" spans="1:8" ht="15" customHeight="1">
      <c r="A11044" s="26">
        <v>1052383473</v>
      </c>
      <c r="B11044" s="29" t="s">
        <v>13258</v>
      </c>
      <c r="C11044" s="29" t="s">
        <v>17204</v>
      </c>
      <c r="D11044" s="29" t="s">
        <v>40403</v>
      </c>
      <c r="E11044" s="29" t="s">
        <v>43926</v>
      </c>
      <c r="F11044" s="36" t="s">
        <v>54401</v>
      </c>
      <c r="G11044" s="39">
        <v>2216363.4700000002</v>
      </c>
      <c r="H11044" s="42">
        <v>211</v>
      </c>
    </row>
    <row r="11045" spans="1:8" ht="15" customHeight="1">
      <c r="A11045" s="26">
        <v>1052383480</v>
      </c>
      <c r="B11045" s="29" t="s">
        <v>13259</v>
      </c>
      <c r="C11045" s="29" t="s">
        <v>26933</v>
      </c>
      <c r="D11045" s="29" t="s">
        <v>40404</v>
      </c>
      <c r="E11045" s="29" t="s">
        <v>52031</v>
      </c>
      <c r="F11045" s="36" t="s">
        <v>54401</v>
      </c>
      <c r="G11045" s="39">
        <v>2042827.45</v>
      </c>
      <c r="H11045" s="42">
        <v>211</v>
      </c>
    </row>
    <row r="11046" spans="1:8" ht="15" customHeight="1">
      <c r="A11046" s="26">
        <v>1052383499</v>
      </c>
      <c r="B11046" s="29" t="s">
        <v>13260</v>
      </c>
      <c r="C11046" s="29" t="s">
        <v>17204</v>
      </c>
      <c r="D11046" s="29" t="s">
        <v>30349</v>
      </c>
      <c r="E11046" s="29" t="s">
        <v>43926</v>
      </c>
      <c r="F11046" s="36" t="s">
        <v>54401</v>
      </c>
      <c r="G11046" s="39">
        <v>425562.06</v>
      </c>
      <c r="H11046" s="42">
        <v>211</v>
      </c>
    </row>
    <row r="11047" spans="1:8" ht="15" customHeight="1">
      <c r="A11047" s="26">
        <v>1052383518</v>
      </c>
      <c r="B11047" s="29" t="s">
        <v>13261</v>
      </c>
      <c r="C11047" s="29" t="s">
        <v>26934</v>
      </c>
      <c r="D11047" s="29" t="s">
        <v>40405</v>
      </c>
      <c r="E11047" s="29" t="s">
        <v>52032</v>
      </c>
      <c r="F11047" s="36" t="s">
        <v>54401</v>
      </c>
      <c r="G11047" s="39">
        <v>7019233</v>
      </c>
      <c r="H11047" s="42">
        <v>211</v>
      </c>
    </row>
    <row r="11048" spans="1:8" ht="15" customHeight="1">
      <c r="A11048" s="26">
        <v>1052383530</v>
      </c>
      <c r="B11048" s="29" t="s">
        <v>13262</v>
      </c>
      <c r="C11048" s="29" t="s">
        <v>25281</v>
      </c>
      <c r="D11048" s="29" t="s">
        <v>38663</v>
      </c>
      <c r="E11048" s="29" t="s">
        <v>52033</v>
      </c>
      <c r="F11048" s="36" t="s">
        <v>54401</v>
      </c>
      <c r="G11048" s="39">
        <v>355247.31</v>
      </c>
      <c r="H11048" s="42">
        <v>211</v>
      </c>
    </row>
    <row r="11049" spans="1:8" ht="15" customHeight="1">
      <c r="A11049" s="26">
        <v>1052383535</v>
      </c>
      <c r="B11049" s="29" t="s">
        <v>13263</v>
      </c>
      <c r="C11049" s="29" t="s">
        <v>17204</v>
      </c>
      <c r="D11049" s="29" t="s">
        <v>30349</v>
      </c>
      <c r="E11049" s="29" t="s">
        <v>43926</v>
      </c>
      <c r="F11049" s="36" t="s">
        <v>54401</v>
      </c>
      <c r="G11049" s="39">
        <v>221430.12</v>
      </c>
      <c r="H11049" s="42">
        <v>211</v>
      </c>
    </row>
    <row r="11050" spans="1:8" ht="15" customHeight="1">
      <c r="A11050" s="26">
        <v>1052383537</v>
      </c>
      <c r="B11050" s="29" t="s">
        <v>13264</v>
      </c>
      <c r="C11050" s="29" t="s">
        <v>26935</v>
      </c>
      <c r="D11050" s="29" t="s">
        <v>40406</v>
      </c>
      <c r="E11050" s="29" t="s">
        <v>52034</v>
      </c>
      <c r="F11050" s="36" t="s">
        <v>54401</v>
      </c>
      <c r="G11050" s="39">
        <v>106785.97</v>
      </c>
      <c r="H11050" s="42">
        <v>211</v>
      </c>
    </row>
    <row r="11051" spans="1:8" ht="15" customHeight="1">
      <c r="A11051" s="26">
        <v>1052383538</v>
      </c>
      <c r="B11051" s="29" t="s">
        <v>13265</v>
      </c>
      <c r="C11051" s="29" t="s">
        <v>26936</v>
      </c>
      <c r="D11051" s="29" t="s">
        <v>40407</v>
      </c>
      <c r="E11051" s="29" t="s">
        <v>52035</v>
      </c>
      <c r="F11051" s="36" t="s">
        <v>54401</v>
      </c>
      <c r="G11051" s="39">
        <v>591066.14</v>
      </c>
      <c r="H11051" s="42">
        <v>211</v>
      </c>
    </row>
    <row r="11052" spans="1:8" ht="15" customHeight="1">
      <c r="A11052" s="26">
        <v>1052383553</v>
      </c>
      <c r="B11052" s="29" t="s">
        <v>13266</v>
      </c>
      <c r="C11052" s="29" t="s">
        <v>26937</v>
      </c>
      <c r="D11052" s="29" t="s">
        <v>40408</v>
      </c>
      <c r="E11052" s="29" t="s">
        <v>43926</v>
      </c>
      <c r="F11052" s="36" t="s">
        <v>54401</v>
      </c>
      <c r="G11052" s="39">
        <v>4755912</v>
      </c>
      <c r="H11052" s="42">
        <v>211</v>
      </c>
    </row>
    <row r="11053" spans="1:8" ht="15" customHeight="1">
      <c r="A11053" s="26">
        <v>1052383559</v>
      </c>
      <c r="B11053" s="29" t="s">
        <v>13267</v>
      </c>
      <c r="C11053" s="29" t="s">
        <v>26938</v>
      </c>
      <c r="D11053" s="29" t="s">
        <v>40409</v>
      </c>
      <c r="E11053" s="29" t="s">
        <v>52036</v>
      </c>
      <c r="F11053" s="36" t="s">
        <v>54401</v>
      </c>
      <c r="G11053" s="39">
        <v>699859.59</v>
      </c>
      <c r="H11053" s="42">
        <v>211</v>
      </c>
    </row>
    <row r="11054" spans="1:8" ht="15" customHeight="1">
      <c r="A11054" s="26">
        <v>1052383575</v>
      </c>
      <c r="B11054" s="29" t="s">
        <v>13268</v>
      </c>
      <c r="C11054" s="29" t="s">
        <v>26939</v>
      </c>
      <c r="D11054" s="29" t="s">
        <v>40410</v>
      </c>
      <c r="E11054" s="29" t="s">
        <v>52037</v>
      </c>
      <c r="F11054" s="36" t="s">
        <v>54401</v>
      </c>
      <c r="G11054" s="39">
        <v>746366.39</v>
      </c>
      <c r="H11054" s="42">
        <v>211</v>
      </c>
    </row>
    <row r="11055" spans="1:8" ht="15" customHeight="1">
      <c r="A11055" s="26">
        <v>1052383610</v>
      </c>
      <c r="B11055" s="29" t="s">
        <v>13269</v>
      </c>
      <c r="C11055" s="29" t="s">
        <v>26940</v>
      </c>
      <c r="D11055" s="29" t="s">
        <v>40411</v>
      </c>
      <c r="E11055" s="29" t="s">
        <v>52038</v>
      </c>
      <c r="F11055" s="36" t="s">
        <v>54401</v>
      </c>
      <c r="G11055" s="39">
        <v>530811.69999999995</v>
      </c>
      <c r="H11055" s="42">
        <v>211</v>
      </c>
    </row>
    <row r="11056" spans="1:8" ht="15" customHeight="1">
      <c r="A11056" s="26">
        <v>1052383613</v>
      </c>
      <c r="B11056" s="29" t="s">
        <v>13270</v>
      </c>
      <c r="C11056" s="29" t="s">
        <v>26941</v>
      </c>
      <c r="D11056" s="29" t="s">
        <v>40412</v>
      </c>
      <c r="E11056" s="29" t="s">
        <v>52039</v>
      </c>
      <c r="F11056" s="36" t="s">
        <v>54401</v>
      </c>
      <c r="G11056" s="39">
        <v>2337302</v>
      </c>
      <c r="H11056" s="42">
        <v>211</v>
      </c>
    </row>
    <row r="11057" spans="1:8" ht="15" customHeight="1">
      <c r="A11057" s="26">
        <v>1052383625</v>
      </c>
      <c r="B11057" s="29" t="s">
        <v>13271</v>
      </c>
      <c r="C11057" s="29" t="s">
        <v>26942</v>
      </c>
      <c r="D11057" s="29" t="s">
        <v>40413</v>
      </c>
      <c r="E11057" s="29" t="s">
        <v>52040</v>
      </c>
      <c r="F11057" s="36" t="s">
        <v>54401</v>
      </c>
      <c r="G11057" s="39">
        <v>295705.93</v>
      </c>
      <c r="H11057" s="42">
        <v>211</v>
      </c>
    </row>
    <row r="11058" spans="1:8" ht="15" customHeight="1">
      <c r="A11058" s="26">
        <v>1052383630</v>
      </c>
      <c r="B11058" s="29" t="s">
        <v>13272</v>
      </c>
      <c r="C11058" s="29" t="s">
        <v>26943</v>
      </c>
      <c r="D11058" s="29" t="s">
        <v>40414</v>
      </c>
      <c r="E11058" s="29" t="s">
        <v>52041</v>
      </c>
      <c r="F11058" s="36" t="s">
        <v>54401</v>
      </c>
      <c r="G11058" s="39">
        <v>166983.14000000001</v>
      </c>
      <c r="H11058" s="42">
        <v>211</v>
      </c>
    </row>
    <row r="11059" spans="1:8" ht="15" customHeight="1">
      <c r="A11059" s="26">
        <v>1052383692</v>
      </c>
      <c r="B11059" s="29" t="s">
        <v>13273</v>
      </c>
      <c r="C11059" s="29" t="s">
        <v>26944</v>
      </c>
      <c r="D11059" s="29" t="s">
        <v>30376</v>
      </c>
      <c r="E11059" s="29" t="s">
        <v>52042</v>
      </c>
      <c r="F11059" s="36" t="s">
        <v>54401</v>
      </c>
      <c r="G11059" s="39">
        <v>1820484</v>
      </c>
      <c r="H11059" s="42">
        <v>211</v>
      </c>
    </row>
    <row r="11060" spans="1:8" ht="15" customHeight="1">
      <c r="A11060" s="26">
        <v>1052383710</v>
      </c>
      <c r="B11060" s="29" t="s">
        <v>13274</v>
      </c>
      <c r="C11060" s="29" t="s">
        <v>26945</v>
      </c>
      <c r="D11060" s="29" t="s">
        <v>40415</v>
      </c>
      <c r="E11060" s="29" t="s">
        <v>45502</v>
      </c>
      <c r="F11060" s="36" t="s">
        <v>54401</v>
      </c>
      <c r="G11060" s="39">
        <v>1675347.49</v>
      </c>
      <c r="H11060" s="42">
        <v>211</v>
      </c>
    </row>
    <row r="11061" spans="1:8" ht="15" customHeight="1">
      <c r="A11061" s="26">
        <v>1052383757</v>
      </c>
      <c r="B11061" s="29" t="s">
        <v>13275</v>
      </c>
      <c r="C11061" s="29" t="s">
        <v>26946</v>
      </c>
      <c r="D11061" s="29" t="s">
        <v>40416</v>
      </c>
      <c r="E11061" s="29" t="s">
        <v>52043</v>
      </c>
      <c r="F11061" s="36" t="s">
        <v>54401</v>
      </c>
      <c r="G11061" s="39">
        <v>2363285.56</v>
      </c>
      <c r="H11061" s="42">
        <v>211</v>
      </c>
    </row>
    <row r="11062" spans="1:8" ht="15" customHeight="1">
      <c r="A11062" s="26">
        <v>1052383762</v>
      </c>
      <c r="B11062" s="29" t="s">
        <v>13276</v>
      </c>
      <c r="C11062" s="29" t="s">
        <v>26947</v>
      </c>
      <c r="D11062" s="29" t="s">
        <v>40417</v>
      </c>
      <c r="E11062" s="29" t="s">
        <v>43942</v>
      </c>
      <c r="F11062" s="36" t="s">
        <v>54401</v>
      </c>
      <c r="G11062" s="39">
        <v>78793.350000000006</v>
      </c>
      <c r="H11062" s="42">
        <v>211</v>
      </c>
    </row>
    <row r="11063" spans="1:8" ht="15" customHeight="1">
      <c r="A11063" s="26">
        <v>1052383765</v>
      </c>
      <c r="B11063" s="29" t="s">
        <v>13277</v>
      </c>
      <c r="C11063" s="29" t="s">
        <v>26948</v>
      </c>
      <c r="D11063" s="29" t="s">
        <v>40418</v>
      </c>
      <c r="E11063" s="29" t="s">
        <v>52044</v>
      </c>
      <c r="F11063" s="36" t="s">
        <v>54401</v>
      </c>
      <c r="G11063" s="39">
        <v>575441.05000000005</v>
      </c>
      <c r="H11063" s="42">
        <v>211</v>
      </c>
    </row>
    <row r="11064" spans="1:8" ht="15" customHeight="1">
      <c r="A11064" s="26">
        <v>1052383789</v>
      </c>
      <c r="B11064" s="29" t="s">
        <v>13278</v>
      </c>
      <c r="C11064" s="29" t="s">
        <v>26949</v>
      </c>
      <c r="D11064" s="29" t="s">
        <v>40419</v>
      </c>
      <c r="E11064" s="29" t="s">
        <v>45519</v>
      </c>
      <c r="F11064" s="36" t="s">
        <v>54401</v>
      </c>
      <c r="G11064" s="39">
        <v>1780022</v>
      </c>
      <c r="H11064" s="42">
        <v>211</v>
      </c>
    </row>
    <row r="11065" spans="1:8" ht="15" customHeight="1">
      <c r="A11065" s="26">
        <v>1052383806</v>
      </c>
      <c r="B11065" s="29" t="s">
        <v>13279</v>
      </c>
      <c r="C11065" s="29" t="s">
        <v>26950</v>
      </c>
      <c r="D11065" s="29" t="s">
        <v>30519</v>
      </c>
      <c r="E11065" s="29" t="s">
        <v>44113</v>
      </c>
      <c r="F11065" s="36" t="s">
        <v>54401</v>
      </c>
      <c r="G11065" s="39">
        <v>304538.63</v>
      </c>
      <c r="H11065" s="42">
        <v>211</v>
      </c>
    </row>
    <row r="11066" spans="1:8" ht="15" customHeight="1">
      <c r="A11066" s="26">
        <v>1052383810</v>
      </c>
      <c r="B11066" s="29" t="s">
        <v>13280</v>
      </c>
      <c r="C11066" s="29" t="s">
        <v>26951</v>
      </c>
      <c r="D11066" s="29" t="s">
        <v>40420</v>
      </c>
      <c r="E11066" s="29" t="s">
        <v>52045</v>
      </c>
      <c r="F11066" s="36" t="s">
        <v>54401</v>
      </c>
      <c r="G11066" s="39">
        <v>386246.82</v>
      </c>
      <c r="H11066" s="42">
        <v>211</v>
      </c>
    </row>
    <row r="11067" spans="1:8" ht="15" customHeight="1">
      <c r="A11067" s="26">
        <v>1052383833</v>
      </c>
      <c r="B11067" s="29" t="s">
        <v>13281</v>
      </c>
      <c r="C11067" s="29" t="s">
        <v>26952</v>
      </c>
      <c r="D11067" s="29" t="s">
        <v>40421</v>
      </c>
      <c r="E11067" s="29" t="s">
        <v>52046</v>
      </c>
      <c r="F11067" s="36" t="s">
        <v>54401</v>
      </c>
      <c r="G11067" s="39">
        <v>331925.71000000002</v>
      </c>
      <c r="H11067" s="42">
        <v>211</v>
      </c>
    </row>
    <row r="11068" spans="1:8" ht="15" customHeight="1">
      <c r="A11068" s="26">
        <v>1052383849</v>
      </c>
      <c r="B11068" s="29" t="s">
        <v>13282</v>
      </c>
      <c r="C11068" s="29" t="s">
        <v>26953</v>
      </c>
      <c r="D11068" s="29" t="s">
        <v>40422</v>
      </c>
      <c r="E11068" s="29" t="s">
        <v>52047</v>
      </c>
      <c r="F11068" s="36" t="s">
        <v>54401</v>
      </c>
      <c r="G11068" s="39">
        <v>1940908</v>
      </c>
      <c r="H11068" s="42">
        <v>211</v>
      </c>
    </row>
    <row r="11069" spans="1:8" ht="15" customHeight="1">
      <c r="A11069" s="26">
        <v>1052383851</v>
      </c>
      <c r="B11069" s="29" t="s">
        <v>13283</v>
      </c>
      <c r="C11069" s="29" t="s">
        <v>26954</v>
      </c>
      <c r="D11069" s="29" t="s">
        <v>40423</v>
      </c>
      <c r="E11069" s="29" t="s">
        <v>52048</v>
      </c>
      <c r="F11069" s="36" t="s">
        <v>54401</v>
      </c>
      <c r="G11069" s="39">
        <v>2470771</v>
      </c>
      <c r="H11069" s="42">
        <v>211</v>
      </c>
    </row>
    <row r="11070" spans="1:8" ht="15" customHeight="1">
      <c r="A11070" s="26">
        <v>1052383860</v>
      </c>
      <c r="B11070" s="29" t="s">
        <v>13284</v>
      </c>
      <c r="C11070" s="29" t="s">
        <v>26955</v>
      </c>
      <c r="D11070" s="29" t="s">
        <v>40424</v>
      </c>
      <c r="E11070" s="29" t="s">
        <v>45369</v>
      </c>
      <c r="F11070" s="36" t="s">
        <v>54401</v>
      </c>
      <c r="G11070" s="39">
        <v>915447.68</v>
      </c>
      <c r="H11070" s="42">
        <v>211</v>
      </c>
    </row>
    <row r="11071" spans="1:8" ht="15" customHeight="1">
      <c r="A11071" s="26">
        <v>1052383862</v>
      </c>
      <c r="B11071" s="29" t="s">
        <v>13285</v>
      </c>
      <c r="C11071" s="29" t="s">
        <v>26956</v>
      </c>
      <c r="D11071" s="29" t="s">
        <v>40425</v>
      </c>
      <c r="E11071" s="29" t="s">
        <v>52049</v>
      </c>
      <c r="F11071" s="36" t="s">
        <v>54401</v>
      </c>
      <c r="G11071" s="39">
        <v>227627.84</v>
      </c>
      <c r="H11071" s="42">
        <v>211</v>
      </c>
    </row>
    <row r="11072" spans="1:8" ht="15" customHeight="1">
      <c r="A11072" s="26">
        <v>1052383864</v>
      </c>
      <c r="B11072" s="29" t="s">
        <v>13286</v>
      </c>
      <c r="C11072" s="29" t="s">
        <v>26957</v>
      </c>
      <c r="D11072" s="29" t="s">
        <v>40426</v>
      </c>
      <c r="E11072" s="29" t="s">
        <v>52050</v>
      </c>
      <c r="F11072" s="36" t="s">
        <v>54401</v>
      </c>
      <c r="G11072" s="39">
        <v>149879.85</v>
      </c>
      <c r="H11072" s="42">
        <v>211</v>
      </c>
    </row>
    <row r="11073" spans="1:8" ht="15" customHeight="1">
      <c r="A11073" s="26">
        <v>1052383873</v>
      </c>
      <c r="B11073" s="29" t="s">
        <v>13287</v>
      </c>
      <c r="C11073" s="29" t="s">
        <v>26958</v>
      </c>
      <c r="D11073" s="29" t="s">
        <v>40427</v>
      </c>
      <c r="E11073" s="29" t="s">
        <v>52051</v>
      </c>
      <c r="F11073" s="36" t="s">
        <v>54401</v>
      </c>
      <c r="G11073" s="39">
        <v>6133954</v>
      </c>
      <c r="H11073" s="42">
        <v>211</v>
      </c>
    </row>
    <row r="11074" spans="1:8" ht="15" customHeight="1">
      <c r="A11074" s="26">
        <v>1052383874</v>
      </c>
      <c r="B11074" s="29" t="s">
        <v>13288</v>
      </c>
      <c r="C11074" s="29" t="s">
        <v>26959</v>
      </c>
      <c r="D11074" s="29" t="s">
        <v>40428</v>
      </c>
      <c r="E11074" s="29" t="s">
        <v>52052</v>
      </c>
      <c r="F11074" s="36" t="s">
        <v>54401</v>
      </c>
      <c r="G11074" s="39">
        <v>3415536.98</v>
      </c>
      <c r="H11074" s="42">
        <v>211</v>
      </c>
    </row>
    <row r="11075" spans="1:8" ht="15" customHeight="1">
      <c r="A11075" s="26">
        <v>1052383884</v>
      </c>
      <c r="B11075" s="29" t="s">
        <v>13289</v>
      </c>
      <c r="C11075" s="29" t="s">
        <v>26960</v>
      </c>
      <c r="D11075" s="29" t="s">
        <v>40429</v>
      </c>
      <c r="E11075" s="29" t="s">
        <v>52053</v>
      </c>
      <c r="F11075" s="36" t="s">
        <v>54401</v>
      </c>
      <c r="G11075" s="39">
        <v>717611.56</v>
      </c>
      <c r="H11075" s="42">
        <v>211</v>
      </c>
    </row>
    <row r="11076" spans="1:8" ht="15" customHeight="1">
      <c r="A11076" s="26">
        <v>1052383911</v>
      </c>
      <c r="B11076" s="29" t="s">
        <v>13290</v>
      </c>
      <c r="C11076" s="29" t="s">
        <v>26961</v>
      </c>
      <c r="D11076" s="29" t="s">
        <v>40430</v>
      </c>
      <c r="E11076" s="29" t="s">
        <v>52054</v>
      </c>
      <c r="F11076" s="36" t="s">
        <v>54401</v>
      </c>
      <c r="G11076" s="39">
        <v>2201637</v>
      </c>
      <c r="H11076" s="42">
        <v>211</v>
      </c>
    </row>
    <row r="11077" spans="1:8" ht="15" customHeight="1">
      <c r="A11077" s="26">
        <v>1052383925</v>
      </c>
      <c r="B11077" s="29" t="s">
        <v>13291</v>
      </c>
      <c r="C11077" s="29" t="s">
        <v>26962</v>
      </c>
      <c r="D11077" s="29" t="s">
        <v>40431</v>
      </c>
      <c r="E11077" s="29" t="s">
        <v>52055</v>
      </c>
      <c r="F11077" s="36" t="s">
        <v>54401</v>
      </c>
      <c r="G11077" s="39">
        <v>667640.39</v>
      </c>
      <c r="H11077" s="42">
        <v>211</v>
      </c>
    </row>
    <row r="11078" spans="1:8" ht="15" customHeight="1">
      <c r="A11078" s="26">
        <v>1052383930</v>
      </c>
      <c r="B11078" s="29" t="s">
        <v>13292</v>
      </c>
      <c r="C11078" s="29" t="s">
        <v>26963</v>
      </c>
      <c r="D11078" s="29" t="s">
        <v>40432</v>
      </c>
      <c r="E11078" s="29" t="s">
        <v>46611</v>
      </c>
      <c r="F11078" s="36" t="s">
        <v>54401</v>
      </c>
      <c r="G11078" s="39">
        <v>89275.48</v>
      </c>
      <c r="H11078" s="42">
        <v>211</v>
      </c>
    </row>
    <row r="11079" spans="1:8" ht="15" customHeight="1">
      <c r="A11079" s="26">
        <v>1052383933</v>
      </c>
      <c r="B11079" s="29" t="s">
        <v>13293</v>
      </c>
      <c r="C11079" s="29" t="s">
        <v>17204</v>
      </c>
      <c r="D11079" s="29" t="s">
        <v>40433</v>
      </c>
      <c r="E11079" s="29" t="s">
        <v>43926</v>
      </c>
      <c r="F11079" s="36" t="s">
        <v>54401</v>
      </c>
      <c r="G11079" s="39">
        <v>124949.15</v>
      </c>
      <c r="H11079" s="42">
        <v>211</v>
      </c>
    </row>
    <row r="11080" spans="1:8" ht="15" customHeight="1">
      <c r="A11080" s="26">
        <v>1052383946</v>
      </c>
      <c r="B11080" s="29" t="s">
        <v>13294</v>
      </c>
      <c r="C11080" s="29" t="s">
        <v>26964</v>
      </c>
      <c r="D11080" s="29" t="s">
        <v>40225</v>
      </c>
      <c r="E11080" s="29" t="s">
        <v>51893</v>
      </c>
      <c r="F11080" s="36" t="s">
        <v>54401</v>
      </c>
      <c r="G11080" s="39">
        <v>4162566</v>
      </c>
      <c r="H11080" s="42">
        <v>211</v>
      </c>
    </row>
    <row r="11081" spans="1:8" ht="15" customHeight="1">
      <c r="A11081" s="26">
        <v>1052384001</v>
      </c>
      <c r="B11081" s="29" t="s">
        <v>13295</v>
      </c>
      <c r="C11081" s="29" t="s">
        <v>26965</v>
      </c>
      <c r="D11081" s="29" t="s">
        <v>40434</v>
      </c>
      <c r="E11081" s="29" t="s">
        <v>52056</v>
      </c>
      <c r="F11081" s="36" t="s">
        <v>54401</v>
      </c>
      <c r="G11081" s="39">
        <v>303308.84999999998</v>
      </c>
      <c r="H11081" s="42">
        <v>211</v>
      </c>
    </row>
    <row r="11082" spans="1:8" ht="15" customHeight="1">
      <c r="A11082" s="26">
        <v>1052384014</v>
      </c>
      <c r="B11082" s="29" t="s">
        <v>13296</v>
      </c>
      <c r="C11082" s="29" t="s">
        <v>26966</v>
      </c>
      <c r="D11082" s="29" t="s">
        <v>40435</v>
      </c>
      <c r="E11082" s="29" t="s">
        <v>52057</v>
      </c>
      <c r="F11082" s="36" t="s">
        <v>54401</v>
      </c>
      <c r="G11082" s="39">
        <v>962414.04</v>
      </c>
      <c r="H11082" s="42">
        <v>211</v>
      </c>
    </row>
    <row r="11083" spans="1:8" ht="15" customHeight="1">
      <c r="A11083" s="26">
        <v>1052384025</v>
      </c>
      <c r="B11083" s="29" t="s">
        <v>13297</v>
      </c>
      <c r="C11083" s="29" t="s">
        <v>26967</v>
      </c>
      <c r="D11083" s="29" t="s">
        <v>40436</v>
      </c>
      <c r="E11083" s="29" t="s">
        <v>52058</v>
      </c>
      <c r="F11083" s="36" t="s">
        <v>54401</v>
      </c>
      <c r="G11083" s="39">
        <v>321429.15000000002</v>
      </c>
      <c r="H11083" s="42">
        <v>211</v>
      </c>
    </row>
    <row r="11084" spans="1:8" ht="15" customHeight="1">
      <c r="A11084" s="26">
        <v>1052384031</v>
      </c>
      <c r="B11084" s="29" t="s">
        <v>13298</v>
      </c>
      <c r="C11084" s="29" t="s">
        <v>26968</v>
      </c>
      <c r="D11084" s="29" t="s">
        <v>40437</v>
      </c>
      <c r="E11084" s="29" t="s">
        <v>45073</v>
      </c>
      <c r="F11084" s="36" t="s">
        <v>54401</v>
      </c>
      <c r="G11084" s="39">
        <v>3469625</v>
      </c>
      <c r="H11084" s="42">
        <v>211</v>
      </c>
    </row>
    <row r="11085" spans="1:8" ht="15" customHeight="1">
      <c r="A11085" s="26">
        <v>1052384033</v>
      </c>
      <c r="B11085" s="29" t="s">
        <v>13299</v>
      </c>
      <c r="C11085" s="29" t="s">
        <v>26969</v>
      </c>
      <c r="D11085" s="29" t="s">
        <v>40438</v>
      </c>
      <c r="E11085" s="29" t="s">
        <v>52059</v>
      </c>
      <c r="F11085" s="36" t="s">
        <v>54401</v>
      </c>
      <c r="G11085" s="39">
        <v>485654.48</v>
      </c>
      <c r="H11085" s="42">
        <v>211</v>
      </c>
    </row>
    <row r="11086" spans="1:8" ht="15" customHeight="1">
      <c r="A11086" s="26">
        <v>1052384041</v>
      </c>
      <c r="B11086" s="29" t="s">
        <v>13300</v>
      </c>
      <c r="C11086" s="29" t="s">
        <v>26970</v>
      </c>
      <c r="D11086" s="29" t="s">
        <v>40439</v>
      </c>
      <c r="E11086" s="29" t="s">
        <v>52060</v>
      </c>
      <c r="F11086" s="36" t="s">
        <v>54401</v>
      </c>
      <c r="G11086" s="39">
        <v>3781358.56</v>
      </c>
      <c r="H11086" s="42">
        <v>211</v>
      </c>
    </row>
    <row r="11087" spans="1:8" ht="15" customHeight="1">
      <c r="A11087" s="26">
        <v>1052384053</v>
      </c>
      <c r="B11087" s="29" t="s">
        <v>13301</v>
      </c>
      <c r="C11087" s="29" t="s">
        <v>26971</v>
      </c>
      <c r="D11087" s="29" t="s">
        <v>40440</v>
      </c>
      <c r="E11087" s="29" t="s">
        <v>43926</v>
      </c>
      <c r="F11087" s="36" t="s">
        <v>54401</v>
      </c>
      <c r="G11087" s="39">
        <v>82743.22</v>
      </c>
      <c r="H11087" s="42">
        <v>211</v>
      </c>
    </row>
    <row r="11088" spans="1:8" ht="15" customHeight="1">
      <c r="A11088" s="26">
        <v>1052384059</v>
      </c>
      <c r="B11088" s="29" t="s">
        <v>13302</v>
      </c>
      <c r="C11088" s="29" t="s">
        <v>26972</v>
      </c>
      <c r="D11088" s="29" t="s">
        <v>40441</v>
      </c>
      <c r="E11088" s="29" t="s">
        <v>52061</v>
      </c>
      <c r="F11088" s="36" t="s">
        <v>54401</v>
      </c>
      <c r="G11088" s="39">
        <v>1594579.05</v>
      </c>
      <c r="H11088" s="42">
        <v>211</v>
      </c>
    </row>
    <row r="11089" spans="1:8" ht="15" customHeight="1">
      <c r="A11089" s="26">
        <v>1052384067</v>
      </c>
      <c r="B11089" s="29" t="s">
        <v>13303</v>
      </c>
      <c r="C11089" s="29" t="s">
        <v>26973</v>
      </c>
      <c r="D11089" s="29" t="s">
        <v>40442</v>
      </c>
      <c r="E11089" s="29" t="s">
        <v>52062</v>
      </c>
      <c r="F11089" s="36" t="s">
        <v>54401</v>
      </c>
      <c r="G11089" s="39">
        <v>606575.6</v>
      </c>
      <c r="H11089" s="42">
        <v>211</v>
      </c>
    </row>
    <row r="11090" spans="1:8" ht="15" customHeight="1">
      <c r="A11090" s="26">
        <v>1052384087</v>
      </c>
      <c r="B11090" s="29" t="s">
        <v>13304</v>
      </c>
      <c r="C11090" s="29" t="s">
        <v>26974</v>
      </c>
      <c r="D11090" s="29" t="s">
        <v>40443</v>
      </c>
      <c r="E11090" s="29" t="s">
        <v>43926</v>
      </c>
      <c r="F11090" s="36" t="s">
        <v>54401</v>
      </c>
      <c r="G11090" s="39">
        <v>210060.48</v>
      </c>
      <c r="H11090" s="42">
        <v>211</v>
      </c>
    </row>
    <row r="11091" spans="1:8" ht="15" customHeight="1">
      <c r="A11091" s="26">
        <v>1052384088</v>
      </c>
      <c r="B11091" s="29" t="s">
        <v>13305</v>
      </c>
      <c r="C11091" s="29" t="s">
        <v>26975</v>
      </c>
      <c r="D11091" s="29" t="s">
        <v>40444</v>
      </c>
      <c r="E11091" s="29" t="s">
        <v>43926</v>
      </c>
      <c r="F11091" s="36" t="s">
        <v>54401</v>
      </c>
      <c r="G11091" s="39">
        <v>142662.59</v>
      </c>
      <c r="H11091" s="42">
        <v>211</v>
      </c>
    </row>
    <row r="11092" spans="1:8" ht="15" customHeight="1">
      <c r="A11092" s="26">
        <v>1052384090</v>
      </c>
      <c r="B11092" s="29" t="s">
        <v>13306</v>
      </c>
      <c r="C11092" s="29" t="s">
        <v>26976</v>
      </c>
      <c r="D11092" s="29" t="s">
        <v>40445</v>
      </c>
      <c r="E11092" s="29" t="s">
        <v>44345</v>
      </c>
      <c r="F11092" s="36" t="s">
        <v>54401</v>
      </c>
      <c r="G11092" s="39">
        <v>1293236.53</v>
      </c>
      <c r="H11092" s="42">
        <v>211</v>
      </c>
    </row>
    <row r="11093" spans="1:8" ht="15" customHeight="1">
      <c r="A11093" s="26">
        <v>1052384092</v>
      </c>
      <c r="B11093" s="29" t="s">
        <v>13307</v>
      </c>
      <c r="C11093" s="29" t="s">
        <v>17204</v>
      </c>
      <c r="D11093" s="29" t="s">
        <v>30349</v>
      </c>
      <c r="E11093" s="29" t="s">
        <v>43926</v>
      </c>
      <c r="F11093" s="36" t="s">
        <v>54401</v>
      </c>
      <c r="G11093" s="39">
        <v>101214.96</v>
      </c>
      <c r="H11093" s="42">
        <v>211</v>
      </c>
    </row>
    <row r="11094" spans="1:8" ht="15" customHeight="1">
      <c r="A11094" s="26">
        <v>1052384093</v>
      </c>
      <c r="B11094" s="29" t="s">
        <v>13308</v>
      </c>
      <c r="C11094" s="29" t="s">
        <v>26977</v>
      </c>
      <c r="D11094" s="29" t="s">
        <v>40446</v>
      </c>
      <c r="E11094" s="29" t="s">
        <v>51696</v>
      </c>
      <c r="F11094" s="36" t="s">
        <v>54401</v>
      </c>
      <c r="G11094" s="39">
        <v>4797004</v>
      </c>
      <c r="H11094" s="42">
        <v>211</v>
      </c>
    </row>
    <row r="11095" spans="1:8" ht="15" customHeight="1">
      <c r="A11095" s="26">
        <v>1052384096</v>
      </c>
      <c r="B11095" s="29" t="s">
        <v>13309</v>
      </c>
      <c r="C11095" s="26" t="s">
        <v>26978</v>
      </c>
      <c r="D11095" s="26" t="s">
        <v>40447</v>
      </c>
      <c r="E11095" s="26" t="s">
        <v>52063</v>
      </c>
      <c r="F11095" s="37" t="s">
        <v>54401</v>
      </c>
      <c r="G11095" s="39">
        <v>611617.42000000004</v>
      </c>
      <c r="H11095" s="42">
        <v>211</v>
      </c>
    </row>
    <row r="11096" spans="1:8" ht="15" customHeight="1">
      <c r="A11096" s="26">
        <v>1052384101</v>
      </c>
      <c r="B11096" s="29" t="s">
        <v>13310</v>
      </c>
      <c r="C11096" s="29" t="s">
        <v>17204</v>
      </c>
      <c r="D11096" s="29" t="s">
        <v>30376</v>
      </c>
      <c r="E11096" s="29" t="s">
        <v>52064</v>
      </c>
      <c r="F11096" s="36" t="s">
        <v>54401</v>
      </c>
      <c r="G11096" s="39">
        <v>465263.61</v>
      </c>
      <c r="H11096" s="42">
        <v>211</v>
      </c>
    </row>
    <row r="11097" spans="1:8" ht="15" customHeight="1">
      <c r="A11097" s="26">
        <v>1052384135</v>
      </c>
      <c r="B11097" s="29" t="s">
        <v>13311</v>
      </c>
      <c r="C11097" s="29" t="s">
        <v>26979</v>
      </c>
      <c r="D11097" s="29" t="s">
        <v>40448</v>
      </c>
      <c r="E11097" s="29" t="s">
        <v>43926</v>
      </c>
      <c r="F11097" s="36" t="s">
        <v>54401</v>
      </c>
      <c r="G11097" s="39">
        <v>480924.18</v>
      </c>
      <c r="H11097" s="42">
        <v>211</v>
      </c>
    </row>
    <row r="11098" spans="1:8" ht="15" customHeight="1">
      <c r="A11098" s="26">
        <v>1052384142</v>
      </c>
      <c r="B11098" s="29" t="s">
        <v>13312</v>
      </c>
      <c r="C11098" s="29" t="s">
        <v>26980</v>
      </c>
      <c r="D11098" s="29" t="s">
        <v>40449</v>
      </c>
      <c r="E11098" s="29" t="s">
        <v>52065</v>
      </c>
      <c r="F11098" s="36" t="s">
        <v>54401</v>
      </c>
      <c r="G11098" s="39">
        <v>3235784.54</v>
      </c>
      <c r="H11098" s="42">
        <v>211</v>
      </c>
    </row>
    <row r="11099" spans="1:8" ht="15" customHeight="1">
      <c r="A11099" s="26">
        <v>1052384170</v>
      </c>
      <c r="B11099" s="29" t="s">
        <v>13313</v>
      </c>
      <c r="C11099" s="29" t="s">
        <v>26981</v>
      </c>
      <c r="D11099" s="29" t="s">
        <v>40450</v>
      </c>
      <c r="E11099" s="29" t="s">
        <v>52066</v>
      </c>
      <c r="F11099" s="36" t="s">
        <v>54401</v>
      </c>
      <c r="G11099" s="39">
        <v>88568.03</v>
      </c>
      <c r="H11099" s="42">
        <v>211</v>
      </c>
    </row>
    <row r="11100" spans="1:8" ht="15" customHeight="1">
      <c r="A11100" s="26">
        <v>1052384191</v>
      </c>
      <c r="B11100" s="29" t="s">
        <v>13314</v>
      </c>
      <c r="C11100" s="26" t="s">
        <v>26982</v>
      </c>
      <c r="D11100" s="26" t="s">
        <v>40451</v>
      </c>
      <c r="E11100" s="26" t="s">
        <v>51904</v>
      </c>
      <c r="F11100" s="37" t="s">
        <v>54401</v>
      </c>
      <c r="G11100" s="39">
        <v>4613752.55</v>
      </c>
      <c r="H11100" s="42">
        <v>211</v>
      </c>
    </row>
    <row r="11101" spans="1:8" ht="15" customHeight="1">
      <c r="A11101" s="26">
        <v>1052384243</v>
      </c>
      <c r="B11101" s="29" t="s">
        <v>13315</v>
      </c>
      <c r="C11101" s="26" t="s">
        <v>26983</v>
      </c>
      <c r="D11101" s="26" t="s">
        <v>30623</v>
      </c>
      <c r="E11101" s="26" t="s">
        <v>52067</v>
      </c>
      <c r="F11101" s="37" t="s">
        <v>54401</v>
      </c>
      <c r="G11101" s="39">
        <v>2433410</v>
      </c>
      <c r="H11101" s="42">
        <v>211</v>
      </c>
    </row>
    <row r="11102" spans="1:8" ht="15" customHeight="1">
      <c r="A11102" s="26">
        <v>1052384255</v>
      </c>
      <c r="B11102" s="29" t="s">
        <v>13316</v>
      </c>
      <c r="C11102" s="29" t="s">
        <v>26984</v>
      </c>
      <c r="D11102" s="29" t="s">
        <v>40452</v>
      </c>
      <c r="E11102" s="29" t="s">
        <v>52068</v>
      </c>
      <c r="F11102" s="36" t="s">
        <v>54401</v>
      </c>
      <c r="G11102" s="39">
        <v>35655.46</v>
      </c>
      <c r="H11102" s="42">
        <v>211</v>
      </c>
    </row>
    <row r="11103" spans="1:8" ht="15" customHeight="1">
      <c r="A11103" s="26">
        <v>1052384261</v>
      </c>
      <c r="B11103" s="29" t="s">
        <v>13317</v>
      </c>
      <c r="C11103" s="29" t="s">
        <v>26985</v>
      </c>
      <c r="D11103" s="29" t="s">
        <v>40453</v>
      </c>
      <c r="E11103" s="29" t="s">
        <v>44737</v>
      </c>
      <c r="F11103" s="36" t="s">
        <v>54401</v>
      </c>
      <c r="G11103" s="39">
        <v>1047932.45</v>
      </c>
      <c r="H11103" s="42">
        <v>211</v>
      </c>
    </row>
    <row r="11104" spans="1:8" ht="15" customHeight="1">
      <c r="A11104" s="26">
        <v>1052384264</v>
      </c>
      <c r="B11104" s="29" t="s">
        <v>13318</v>
      </c>
      <c r="C11104" s="29" t="s">
        <v>26986</v>
      </c>
      <c r="D11104" s="29" t="s">
        <v>40454</v>
      </c>
      <c r="E11104" s="29" t="s">
        <v>52069</v>
      </c>
      <c r="F11104" s="36" t="s">
        <v>54401</v>
      </c>
      <c r="G11104" s="39">
        <v>64697.48</v>
      </c>
      <c r="H11104" s="42">
        <v>211</v>
      </c>
    </row>
    <row r="11105" spans="1:8" ht="15" customHeight="1">
      <c r="A11105" s="26">
        <v>1052384281</v>
      </c>
      <c r="B11105" s="29" t="s">
        <v>13319</v>
      </c>
      <c r="C11105" s="29" t="s">
        <v>24109</v>
      </c>
      <c r="D11105" s="29" t="s">
        <v>40455</v>
      </c>
      <c r="E11105" s="29" t="s">
        <v>52070</v>
      </c>
      <c r="F11105" s="36" t="s">
        <v>54401</v>
      </c>
      <c r="G11105" s="39">
        <v>1242630.52</v>
      </c>
      <c r="H11105" s="42">
        <v>211</v>
      </c>
    </row>
    <row r="11106" spans="1:8" ht="15" customHeight="1">
      <c r="A11106" s="26">
        <v>1052384318</v>
      </c>
      <c r="B11106" s="29" t="s">
        <v>13320</v>
      </c>
      <c r="C11106" s="26" t="s">
        <v>26987</v>
      </c>
      <c r="D11106" s="26" t="s">
        <v>40456</v>
      </c>
      <c r="E11106" s="26" t="s">
        <v>43926</v>
      </c>
      <c r="F11106" s="37" t="s">
        <v>54401</v>
      </c>
      <c r="G11106" s="39">
        <v>282703.19</v>
      </c>
      <c r="H11106" s="42">
        <v>211</v>
      </c>
    </row>
    <row r="11107" spans="1:8" ht="15" customHeight="1">
      <c r="A11107" s="26">
        <v>1052384334</v>
      </c>
      <c r="B11107" s="29" t="s">
        <v>13321</v>
      </c>
      <c r="C11107" s="29" t="s">
        <v>26988</v>
      </c>
      <c r="D11107" s="29" t="s">
        <v>40457</v>
      </c>
      <c r="E11107" s="29" t="s">
        <v>49121</v>
      </c>
      <c r="F11107" s="36" t="s">
        <v>54401</v>
      </c>
      <c r="G11107" s="39">
        <v>1982537.19</v>
      </c>
      <c r="H11107" s="42">
        <v>211</v>
      </c>
    </row>
    <row r="11108" spans="1:8" ht="15" customHeight="1">
      <c r="A11108" s="26">
        <v>1052384354</v>
      </c>
      <c r="B11108" s="29" t="s">
        <v>13322</v>
      </c>
      <c r="C11108" s="29" t="s">
        <v>26989</v>
      </c>
      <c r="D11108" s="29" t="s">
        <v>40458</v>
      </c>
      <c r="E11108" s="29" t="s">
        <v>52071</v>
      </c>
      <c r="F11108" s="36" t="s">
        <v>54401</v>
      </c>
      <c r="G11108" s="39">
        <v>9389038</v>
      </c>
      <c r="H11108" s="42">
        <v>211</v>
      </c>
    </row>
    <row r="11109" spans="1:8" ht="15" customHeight="1">
      <c r="A11109" s="26">
        <v>1052384356</v>
      </c>
      <c r="B11109" s="29" t="s">
        <v>13323</v>
      </c>
      <c r="C11109" s="29" t="s">
        <v>26990</v>
      </c>
      <c r="D11109" s="29" t="s">
        <v>40459</v>
      </c>
      <c r="E11109" s="29" t="s">
        <v>52072</v>
      </c>
      <c r="F11109" s="36" t="s">
        <v>54401</v>
      </c>
      <c r="G11109" s="39">
        <v>830925.1</v>
      </c>
      <c r="H11109" s="42">
        <v>211</v>
      </c>
    </row>
    <row r="11110" spans="1:8" ht="15" customHeight="1">
      <c r="A11110" s="26">
        <v>1052384383</v>
      </c>
      <c r="B11110" s="29" t="s">
        <v>13324</v>
      </c>
      <c r="C11110" s="26" t="s">
        <v>26991</v>
      </c>
      <c r="D11110" s="26" t="s">
        <v>40460</v>
      </c>
      <c r="E11110" s="26" t="s">
        <v>48310</v>
      </c>
      <c r="F11110" s="37" t="s">
        <v>54401</v>
      </c>
      <c r="G11110" s="39">
        <v>1612092.96</v>
      </c>
      <c r="H11110" s="42">
        <v>211</v>
      </c>
    </row>
    <row r="11111" spans="1:8" ht="15" customHeight="1">
      <c r="A11111" s="26">
        <v>1052384415</v>
      </c>
      <c r="B11111" s="29" t="s">
        <v>13325</v>
      </c>
      <c r="C11111" s="29" t="s">
        <v>26992</v>
      </c>
      <c r="D11111" s="29" t="s">
        <v>40461</v>
      </c>
      <c r="E11111" s="29" t="s">
        <v>43926</v>
      </c>
      <c r="F11111" s="36" t="s">
        <v>54401</v>
      </c>
      <c r="G11111" s="39">
        <v>778832.4</v>
      </c>
      <c r="H11111" s="42">
        <v>211</v>
      </c>
    </row>
    <row r="11112" spans="1:8" ht="15" customHeight="1">
      <c r="A11112" s="26">
        <v>1052384420</v>
      </c>
      <c r="B11112" s="29" t="s">
        <v>13326</v>
      </c>
      <c r="C11112" s="26" t="s">
        <v>26993</v>
      </c>
      <c r="D11112" s="26" t="s">
        <v>40462</v>
      </c>
      <c r="E11112" s="26" t="s">
        <v>52073</v>
      </c>
      <c r="F11112" s="37" t="s">
        <v>54401</v>
      </c>
      <c r="G11112" s="39">
        <v>97397.68</v>
      </c>
      <c r="H11112" s="42">
        <v>211</v>
      </c>
    </row>
    <row r="11113" spans="1:8" ht="15" customHeight="1">
      <c r="A11113" s="26">
        <v>1052384433</v>
      </c>
      <c r="B11113" s="29" t="s">
        <v>13327</v>
      </c>
      <c r="C11113" s="29" t="s">
        <v>26994</v>
      </c>
      <c r="D11113" s="29" t="s">
        <v>40463</v>
      </c>
      <c r="E11113" s="29" t="s">
        <v>52074</v>
      </c>
      <c r="F11113" s="36" t="s">
        <v>54401</v>
      </c>
      <c r="G11113" s="39">
        <v>3825171.82</v>
      </c>
      <c r="H11113" s="42">
        <v>211</v>
      </c>
    </row>
    <row r="11114" spans="1:8" ht="15" customHeight="1">
      <c r="A11114" s="26">
        <v>1052384474</v>
      </c>
      <c r="B11114" s="29" t="s">
        <v>13328</v>
      </c>
      <c r="C11114" s="29" t="s">
        <v>26995</v>
      </c>
      <c r="D11114" s="29" t="s">
        <v>40464</v>
      </c>
      <c r="E11114" s="29" t="s">
        <v>43926</v>
      </c>
      <c r="F11114" s="36" t="s">
        <v>54401</v>
      </c>
      <c r="G11114" s="39">
        <v>55662.11</v>
      </c>
      <c r="H11114" s="42">
        <v>211</v>
      </c>
    </row>
    <row r="11115" spans="1:8" ht="15" customHeight="1">
      <c r="A11115" s="26">
        <v>1052384492</v>
      </c>
      <c r="B11115" s="29" t="s">
        <v>13329</v>
      </c>
      <c r="C11115" s="29" t="s">
        <v>26996</v>
      </c>
      <c r="D11115" s="29" t="s">
        <v>40465</v>
      </c>
      <c r="E11115" s="29" t="s">
        <v>52075</v>
      </c>
      <c r="F11115" s="36" t="s">
        <v>54401</v>
      </c>
      <c r="G11115" s="39">
        <v>829770.11</v>
      </c>
      <c r="H11115" s="42">
        <v>211</v>
      </c>
    </row>
    <row r="11116" spans="1:8" ht="15" customHeight="1">
      <c r="A11116" s="26">
        <v>1052384511</v>
      </c>
      <c r="B11116" s="29" t="s">
        <v>13330</v>
      </c>
      <c r="C11116" s="29" t="s">
        <v>26997</v>
      </c>
      <c r="D11116" s="29" t="s">
        <v>40466</v>
      </c>
      <c r="E11116" s="29" t="s">
        <v>43926</v>
      </c>
      <c r="F11116" s="36" t="s">
        <v>54401</v>
      </c>
      <c r="G11116" s="39">
        <v>2067518.82</v>
      </c>
      <c r="H11116" s="42">
        <v>211</v>
      </c>
    </row>
    <row r="11117" spans="1:8" ht="15" customHeight="1">
      <c r="A11117" s="26">
        <v>1052384519</v>
      </c>
      <c r="B11117" s="29" t="s">
        <v>13331</v>
      </c>
      <c r="C11117" s="29" t="s">
        <v>26998</v>
      </c>
      <c r="D11117" s="29" t="s">
        <v>40467</v>
      </c>
      <c r="E11117" s="29" t="s">
        <v>52076</v>
      </c>
      <c r="F11117" s="36" t="s">
        <v>54401</v>
      </c>
      <c r="G11117" s="39">
        <v>954368.35</v>
      </c>
      <c r="H11117" s="42">
        <v>211</v>
      </c>
    </row>
    <row r="11118" spans="1:8" ht="15" customHeight="1">
      <c r="A11118" s="26">
        <v>1052384522</v>
      </c>
      <c r="B11118" s="29" t="s">
        <v>13332</v>
      </c>
      <c r="C11118" s="29" t="s">
        <v>26999</v>
      </c>
      <c r="D11118" s="29" t="s">
        <v>40468</v>
      </c>
      <c r="E11118" s="29" t="s">
        <v>52077</v>
      </c>
      <c r="F11118" s="36" t="s">
        <v>54401</v>
      </c>
      <c r="G11118" s="39">
        <v>273470.93</v>
      </c>
      <c r="H11118" s="42">
        <v>211</v>
      </c>
    </row>
    <row r="11119" spans="1:8" ht="15" customHeight="1">
      <c r="A11119" s="26">
        <v>1052384529</v>
      </c>
      <c r="B11119" s="29" t="s">
        <v>13333</v>
      </c>
      <c r="C11119" s="29" t="s">
        <v>27000</v>
      </c>
      <c r="D11119" s="29" t="s">
        <v>40469</v>
      </c>
      <c r="E11119" s="29" t="s">
        <v>52078</v>
      </c>
      <c r="F11119" s="36" t="s">
        <v>54401</v>
      </c>
      <c r="G11119" s="39">
        <v>1229884.08</v>
      </c>
      <c r="H11119" s="42">
        <v>211</v>
      </c>
    </row>
    <row r="11120" spans="1:8" ht="15" customHeight="1">
      <c r="A11120" s="26">
        <v>1052384535</v>
      </c>
      <c r="B11120" s="29" t="s">
        <v>13334</v>
      </c>
      <c r="C11120" s="29" t="s">
        <v>27001</v>
      </c>
      <c r="D11120" s="29" t="s">
        <v>40470</v>
      </c>
      <c r="E11120" s="29" t="s">
        <v>52079</v>
      </c>
      <c r="F11120" s="36" t="s">
        <v>54401</v>
      </c>
      <c r="G11120" s="39">
        <v>11157516</v>
      </c>
      <c r="H11120" s="42">
        <v>211</v>
      </c>
    </row>
    <row r="11121" spans="1:8" ht="15" customHeight="1">
      <c r="A11121" s="26">
        <v>1052384556</v>
      </c>
      <c r="B11121" s="29" t="s">
        <v>13335</v>
      </c>
      <c r="C11121" s="26" t="s">
        <v>27002</v>
      </c>
      <c r="D11121" s="26" t="s">
        <v>40471</v>
      </c>
      <c r="E11121" s="26" t="s">
        <v>52080</v>
      </c>
      <c r="F11121" s="37" t="s">
        <v>54401</v>
      </c>
      <c r="G11121" s="39">
        <v>463683.67</v>
      </c>
      <c r="H11121" s="42">
        <v>211</v>
      </c>
    </row>
    <row r="11122" spans="1:8" ht="15" customHeight="1">
      <c r="A11122" s="26">
        <v>1052384558</v>
      </c>
      <c r="B11122" s="29" t="s">
        <v>13336</v>
      </c>
      <c r="C11122" s="29" t="s">
        <v>27003</v>
      </c>
      <c r="D11122" s="29" t="s">
        <v>40472</v>
      </c>
      <c r="E11122" s="29" t="s">
        <v>52081</v>
      </c>
      <c r="F11122" s="36" t="s">
        <v>54401</v>
      </c>
      <c r="G11122" s="39">
        <v>1996940</v>
      </c>
      <c r="H11122" s="42">
        <v>211</v>
      </c>
    </row>
    <row r="11123" spans="1:8" ht="15" customHeight="1">
      <c r="A11123" s="26">
        <v>1052384559</v>
      </c>
      <c r="B11123" s="29" t="s">
        <v>13337</v>
      </c>
      <c r="C11123" s="29" t="s">
        <v>27004</v>
      </c>
      <c r="D11123" s="29" t="s">
        <v>40473</v>
      </c>
      <c r="E11123" s="29" t="s">
        <v>52082</v>
      </c>
      <c r="F11123" s="36" t="s">
        <v>54401</v>
      </c>
      <c r="G11123" s="39">
        <v>308424.45</v>
      </c>
      <c r="H11123" s="42">
        <v>211</v>
      </c>
    </row>
    <row r="11124" spans="1:8" ht="15" customHeight="1">
      <c r="A11124" s="26">
        <v>1052384560</v>
      </c>
      <c r="B11124" s="29" t="s">
        <v>13338</v>
      </c>
      <c r="C11124" s="26" t="s">
        <v>27005</v>
      </c>
      <c r="D11124" s="26" t="s">
        <v>40474</v>
      </c>
      <c r="E11124" s="26" t="s">
        <v>52083</v>
      </c>
      <c r="F11124" s="37" t="s">
        <v>54401</v>
      </c>
      <c r="G11124" s="39">
        <v>22780.95</v>
      </c>
      <c r="H11124" s="42">
        <v>211</v>
      </c>
    </row>
    <row r="11125" spans="1:8" ht="15" customHeight="1">
      <c r="A11125" s="26">
        <v>1052384561</v>
      </c>
      <c r="B11125" s="29" t="s">
        <v>13339</v>
      </c>
      <c r="C11125" s="29" t="s">
        <v>27006</v>
      </c>
      <c r="D11125" s="29" t="s">
        <v>40475</v>
      </c>
      <c r="E11125" s="29" t="s">
        <v>52084</v>
      </c>
      <c r="F11125" s="36" t="s">
        <v>54401</v>
      </c>
      <c r="G11125" s="39">
        <v>3718642.33</v>
      </c>
      <c r="H11125" s="42">
        <v>211</v>
      </c>
    </row>
    <row r="11126" spans="1:8" ht="15" customHeight="1">
      <c r="A11126" s="26">
        <v>1052384572</v>
      </c>
      <c r="B11126" s="29" t="s">
        <v>13340</v>
      </c>
      <c r="C11126" s="29" t="s">
        <v>27007</v>
      </c>
      <c r="D11126" s="29" t="s">
        <v>40476</v>
      </c>
      <c r="E11126" s="29" t="s">
        <v>52085</v>
      </c>
      <c r="F11126" s="36" t="s">
        <v>54401</v>
      </c>
      <c r="G11126" s="39">
        <v>1946591</v>
      </c>
      <c r="H11126" s="42">
        <v>211</v>
      </c>
    </row>
    <row r="11127" spans="1:8" ht="15" customHeight="1">
      <c r="A11127" s="26">
        <v>1052384580</v>
      </c>
      <c r="B11127" s="29" t="s">
        <v>13341</v>
      </c>
      <c r="C11127" s="29" t="s">
        <v>27008</v>
      </c>
      <c r="D11127" s="29" t="s">
        <v>40477</v>
      </c>
      <c r="E11127" s="29" t="s">
        <v>52086</v>
      </c>
      <c r="F11127" s="36" t="s">
        <v>54401</v>
      </c>
      <c r="G11127" s="39">
        <v>396617.36</v>
      </c>
      <c r="H11127" s="42">
        <v>211</v>
      </c>
    </row>
    <row r="11128" spans="1:8" ht="15" customHeight="1">
      <c r="A11128" s="26">
        <v>1052384607</v>
      </c>
      <c r="B11128" s="29" t="s">
        <v>13342</v>
      </c>
      <c r="C11128" s="29" t="s">
        <v>27009</v>
      </c>
      <c r="D11128" s="29" t="s">
        <v>40478</v>
      </c>
      <c r="E11128" s="29" t="s">
        <v>52087</v>
      </c>
      <c r="F11128" s="36" t="s">
        <v>54401</v>
      </c>
      <c r="G11128" s="39">
        <v>2293797.33</v>
      </c>
      <c r="H11128" s="42">
        <v>211</v>
      </c>
    </row>
    <row r="11129" spans="1:8" ht="15" customHeight="1">
      <c r="A11129" s="26">
        <v>1052384608</v>
      </c>
      <c r="B11129" s="29" t="s">
        <v>13343</v>
      </c>
      <c r="C11129" s="29" t="s">
        <v>27010</v>
      </c>
      <c r="D11129" s="29" t="s">
        <v>40479</v>
      </c>
      <c r="E11129" s="29" t="s">
        <v>52088</v>
      </c>
      <c r="F11129" s="36" t="s">
        <v>54401</v>
      </c>
      <c r="G11129" s="39">
        <v>1960189</v>
      </c>
      <c r="H11129" s="42">
        <v>211</v>
      </c>
    </row>
    <row r="11130" spans="1:8" ht="15" customHeight="1">
      <c r="A11130" s="26">
        <v>1052384626</v>
      </c>
      <c r="B11130" s="29" t="s">
        <v>13344</v>
      </c>
      <c r="C11130" s="29" t="s">
        <v>27011</v>
      </c>
      <c r="D11130" s="29" t="s">
        <v>40480</v>
      </c>
      <c r="E11130" s="29" t="s">
        <v>52089</v>
      </c>
      <c r="F11130" s="36" t="s">
        <v>54401</v>
      </c>
      <c r="G11130" s="39">
        <v>3644039.77</v>
      </c>
      <c r="H11130" s="42">
        <v>211</v>
      </c>
    </row>
    <row r="11131" spans="1:8" ht="15" customHeight="1">
      <c r="A11131" s="26">
        <v>1052384639</v>
      </c>
      <c r="B11131" s="29" t="s">
        <v>13345</v>
      </c>
      <c r="C11131" s="29" t="s">
        <v>27012</v>
      </c>
      <c r="D11131" s="29" t="s">
        <v>40481</v>
      </c>
      <c r="E11131" s="29" t="s">
        <v>44133</v>
      </c>
      <c r="F11131" s="36" t="s">
        <v>54401</v>
      </c>
      <c r="G11131" s="39">
        <v>207563.42</v>
      </c>
      <c r="H11131" s="42">
        <v>211</v>
      </c>
    </row>
    <row r="11132" spans="1:8" ht="15" customHeight="1">
      <c r="A11132" s="26">
        <v>1052384640</v>
      </c>
      <c r="B11132" s="29" t="s">
        <v>13346</v>
      </c>
      <c r="C11132" s="29" t="s">
        <v>17204</v>
      </c>
      <c r="D11132" s="29" t="s">
        <v>40482</v>
      </c>
      <c r="E11132" s="29" t="s">
        <v>43926</v>
      </c>
      <c r="F11132" s="36" t="s">
        <v>54401</v>
      </c>
      <c r="G11132" s="39">
        <v>972795.27</v>
      </c>
      <c r="H11132" s="42">
        <v>211</v>
      </c>
    </row>
    <row r="11133" spans="1:8" ht="15" customHeight="1">
      <c r="A11133" s="26">
        <v>1052384647</v>
      </c>
      <c r="B11133" s="29" t="s">
        <v>13347</v>
      </c>
      <c r="C11133" s="29" t="s">
        <v>27013</v>
      </c>
      <c r="D11133" s="29" t="s">
        <v>40483</v>
      </c>
      <c r="E11133" s="29" t="s">
        <v>47668</v>
      </c>
      <c r="F11133" s="36" t="s">
        <v>54401</v>
      </c>
      <c r="G11133" s="39">
        <v>2986011.25</v>
      </c>
      <c r="H11133" s="42">
        <v>211</v>
      </c>
    </row>
    <row r="11134" spans="1:8" ht="15" customHeight="1">
      <c r="A11134" s="26">
        <v>1052384650</v>
      </c>
      <c r="B11134" s="29" t="s">
        <v>13348</v>
      </c>
      <c r="C11134" s="29" t="s">
        <v>27014</v>
      </c>
      <c r="D11134" s="29" t="s">
        <v>40484</v>
      </c>
      <c r="E11134" s="29" t="s">
        <v>52090</v>
      </c>
      <c r="F11134" s="36" t="s">
        <v>54401</v>
      </c>
      <c r="G11134" s="39">
        <v>3728164.76</v>
      </c>
      <c r="H11134" s="42">
        <v>211</v>
      </c>
    </row>
    <row r="11135" spans="1:8" ht="15" customHeight="1">
      <c r="A11135" s="26">
        <v>1052384669</v>
      </c>
      <c r="B11135" s="29" t="s">
        <v>13349</v>
      </c>
      <c r="C11135" s="29" t="s">
        <v>27015</v>
      </c>
      <c r="D11135" s="29" t="s">
        <v>40485</v>
      </c>
      <c r="E11135" s="29" t="s">
        <v>52091</v>
      </c>
      <c r="F11135" s="36" t="s">
        <v>54401</v>
      </c>
      <c r="G11135" s="39">
        <v>194109.33</v>
      </c>
      <c r="H11135" s="42">
        <v>211</v>
      </c>
    </row>
    <row r="11136" spans="1:8" ht="15" customHeight="1">
      <c r="A11136" s="26">
        <v>1052384685</v>
      </c>
      <c r="B11136" s="29" t="s">
        <v>13350</v>
      </c>
      <c r="C11136" s="29" t="s">
        <v>27016</v>
      </c>
      <c r="D11136" s="29" t="s">
        <v>40486</v>
      </c>
      <c r="E11136" s="29" t="s">
        <v>52092</v>
      </c>
      <c r="F11136" s="36" t="s">
        <v>54401</v>
      </c>
      <c r="G11136" s="39">
        <v>2590272.08</v>
      </c>
      <c r="H11136" s="42">
        <v>211</v>
      </c>
    </row>
    <row r="11137" spans="1:8" ht="15" customHeight="1">
      <c r="A11137" s="26">
        <v>1052384687</v>
      </c>
      <c r="B11137" s="29" t="s">
        <v>13351</v>
      </c>
      <c r="C11137" s="29" t="s">
        <v>27017</v>
      </c>
      <c r="D11137" s="29" t="s">
        <v>40487</v>
      </c>
      <c r="E11137" s="29" t="s">
        <v>47511</v>
      </c>
      <c r="F11137" s="36" t="s">
        <v>54401</v>
      </c>
      <c r="G11137" s="39">
        <v>515134.89</v>
      </c>
      <c r="H11137" s="42">
        <v>211</v>
      </c>
    </row>
    <row r="11138" spans="1:8" ht="15" customHeight="1">
      <c r="A11138" s="26">
        <v>1052384702</v>
      </c>
      <c r="B11138" s="29" t="s">
        <v>13352</v>
      </c>
      <c r="C11138" s="29" t="s">
        <v>27018</v>
      </c>
      <c r="D11138" s="29" t="s">
        <v>40488</v>
      </c>
      <c r="E11138" s="29" t="s">
        <v>52093</v>
      </c>
      <c r="F11138" s="36" t="s">
        <v>54401</v>
      </c>
      <c r="G11138" s="39">
        <v>888051.58</v>
      </c>
      <c r="H11138" s="42">
        <v>211</v>
      </c>
    </row>
    <row r="11139" spans="1:8" ht="15" customHeight="1">
      <c r="A11139" s="26">
        <v>1052384724</v>
      </c>
      <c r="B11139" s="29" t="s">
        <v>13353</v>
      </c>
      <c r="C11139" s="29" t="s">
        <v>17204</v>
      </c>
      <c r="D11139" s="29" t="s">
        <v>40489</v>
      </c>
      <c r="E11139" s="29" t="s">
        <v>52094</v>
      </c>
      <c r="F11139" s="36" t="s">
        <v>54401</v>
      </c>
      <c r="G11139" s="39">
        <v>2102049.34</v>
      </c>
      <c r="H11139" s="42">
        <v>211</v>
      </c>
    </row>
    <row r="11140" spans="1:8" ht="15" customHeight="1">
      <c r="A11140" s="26">
        <v>1052384740</v>
      </c>
      <c r="B11140" s="29" t="s">
        <v>13354</v>
      </c>
      <c r="C11140" s="29" t="s">
        <v>27019</v>
      </c>
      <c r="D11140" s="29" t="s">
        <v>40490</v>
      </c>
      <c r="E11140" s="29" t="s">
        <v>52095</v>
      </c>
      <c r="F11140" s="36" t="s">
        <v>54401</v>
      </c>
      <c r="G11140" s="39">
        <v>1715179.23</v>
      </c>
      <c r="H11140" s="42">
        <v>211</v>
      </c>
    </row>
    <row r="11141" spans="1:8" ht="15" customHeight="1">
      <c r="A11141" s="26">
        <v>1052384741</v>
      </c>
      <c r="B11141" s="29" t="s">
        <v>13355</v>
      </c>
      <c r="C11141" s="29" t="s">
        <v>27020</v>
      </c>
      <c r="D11141" s="29" t="s">
        <v>40491</v>
      </c>
      <c r="E11141" s="29" t="s">
        <v>52025</v>
      </c>
      <c r="F11141" s="36" t="s">
        <v>54401</v>
      </c>
      <c r="G11141" s="39">
        <v>3105341</v>
      </c>
      <c r="H11141" s="42">
        <v>211</v>
      </c>
    </row>
    <row r="11142" spans="1:8" ht="15" customHeight="1">
      <c r="A11142" s="26">
        <v>1052384751</v>
      </c>
      <c r="B11142" s="29" t="s">
        <v>13356</v>
      </c>
      <c r="C11142" s="29" t="s">
        <v>27021</v>
      </c>
      <c r="D11142" s="29" t="s">
        <v>40492</v>
      </c>
      <c r="E11142" s="29" t="s">
        <v>52096</v>
      </c>
      <c r="F11142" s="36" t="s">
        <v>54401</v>
      </c>
      <c r="G11142" s="39">
        <v>1372055.12</v>
      </c>
      <c r="H11142" s="42">
        <v>211</v>
      </c>
    </row>
    <row r="11143" spans="1:8" ht="15" customHeight="1">
      <c r="A11143" s="26">
        <v>1052384809</v>
      </c>
      <c r="B11143" s="29" t="s">
        <v>13357</v>
      </c>
      <c r="C11143" s="29" t="s">
        <v>27022</v>
      </c>
      <c r="D11143" s="29" t="s">
        <v>40493</v>
      </c>
      <c r="E11143" s="29" t="s">
        <v>52097</v>
      </c>
      <c r="F11143" s="36" t="s">
        <v>54401</v>
      </c>
      <c r="G11143" s="39">
        <v>2634252.42</v>
      </c>
      <c r="H11143" s="42">
        <v>211</v>
      </c>
    </row>
    <row r="11144" spans="1:8" ht="15" customHeight="1">
      <c r="A11144" s="26">
        <v>1052384812</v>
      </c>
      <c r="B11144" s="29" t="s">
        <v>13358</v>
      </c>
      <c r="C11144" s="29" t="s">
        <v>27023</v>
      </c>
      <c r="D11144" s="29" t="s">
        <v>40494</v>
      </c>
      <c r="E11144" s="29" t="s">
        <v>52098</v>
      </c>
      <c r="F11144" s="36" t="s">
        <v>54401</v>
      </c>
      <c r="G11144" s="39">
        <v>6318965.8799999999</v>
      </c>
      <c r="H11144" s="42">
        <v>211</v>
      </c>
    </row>
    <row r="11145" spans="1:8" ht="15" customHeight="1">
      <c r="A11145" s="26">
        <v>1052384837</v>
      </c>
      <c r="B11145" s="29" t="s">
        <v>13359</v>
      </c>
      <c r="C11145" s="29" t="s">
        <v>27024</v>
      </c>
      <c r="D11145" s="29" t="s">
        <v>40495</v>
      </c>
      <c r="E11145" s="29" t="s">
        <v>52099</v>
      </c>
      <c r="F11145" s="36" t="s">
        <v>54401</v>
      </c>
      <c r="G11145" s="39">
        <v>1780498.33</v>
      </c>
      <c r="H11145" s="42">
        <v>211</v>
      </c>
    </row>
    <row r="11146" spans="1:8" ht="15" customHeight="1">
      <c r="A11146" s="26">
        <v>1052384843</v>
      </c>
      <c r="B11146" s="29" t="s">
        <v>13360</v>
      </c>
      <c r="C11146" s="29" t="s">
        <v>27025</v>
      </c>
      <c r="D11146" s="29" t="s">
        <v>40496</v>
      </c>
      <c r="E11146" s="29" t="s">
        <v>52100</v>
      </c>
      <c r="F11146" s="36" t="s">
        <v>54401</v>
      </c>
      <c r="G11146" s="39">
        <v>158846.01999999999</v>
      </c>
      <c r="H11146" s="42">
        <v>211</v>
      </c>
    </row>
    <row r="11147" spans="1:8" ht="15" customHeight="1">
      <c r="A11147" s="26">
        <v>1052384851</v>
      </c>
      <c r="B11147" s="29" t="s">
        <v>13361</v>
      </c>
      <c r="C11147" s="29" t="s">
        <v>27026</v>
      </c>
      <c r="D11147" s="29" t="s">
        <v>40497</v>
      </c>
      <c r="E11147" s="29" t="s">
        <v>45284</v>
      </c>
      <c r="F11147" s="36" t="s">
        <v>54401</v>
      </c>
      <c r="G11147" s="39">
        <v>202504.11</v>
      </c>
      <c r="H11147" s="42">
        <v>211</v>
      </c>
    </row>
    <row r="11148" spans="1:8" ht="15" customHeight="1">
      <c r="A11148" s="26">
        <v>1052384857</v>
      </c>
      <c r="B11148" s="29" t="s">
        <v>13362</v>
      </c>
      <c r="C11148" s="29" t="s">
        <v>27027</v>
      </c>
      <c r="D11148" s="29" t="s">
        <v>40498</v>
      </c>
      <c r="E11148" s="29" t="s">
        <v>52101</v>
      </c>
      <c r="F11148" s="36" t="s">
        <v>54401</v>
      </c>
      <c r="G11148" s="39">
        <v>772672.83</v>
      </c>
      <c r="H11148" s="42">
        <v>211</v>
      </c>
    </row>
    <row r="11149" spans="1:8" ht="15" customHeight="1">
      <c r="A11149" s="26">
        <v>1052384859</v>
      </c>
      <c r="B11149" s="29" t="s">
        <v>13363</v>
      </c>
      <c r="C11149" s="29" t="s">
        <v>27028</v>
      </c>
      <c r="D11149" s="29" t="s">
        <v>40499</v>
      </c>
      <c r="E11149" s="29" t="s">
        <v>52102</v>
      </c>
      <c r="F11149" s="36" t="s">
        <v>54401</v>
      </c>
      <c r="G11149" s="39">
        <v>3153563</v>
      </c>
      <c r="H11149" s="42">
        <v>211</v>
      </c>
    </row>
    <row r="11150" spans="1:8" ht="15" customHeight="1">
      <c r="A11150" s="26">
        <v>1052384894</v>
      </c>
      <c r="B11150" s="29" t="s">
        <v>13364</v>
      </c>
      <c r="C11150" s="29" t="s">
        <v>27029</v>
      </c>
      <c r="D11150" s="29" t="s">
        <v>40500</v>
      </c>
      <c r="E11150" s="29" t="s">
        <v>52103</v>
      </c>
      <c r="F11150" s="36" t="s">
        <v>54401</v>
      </c>
      <c r="G11150" s="39">
        <v>42176.47</v>
      </c>
      <c r="H11150" s="42">
        <v>211</v>
      </c>
    </row>
    <row r="11151" spans="1:8" ht="15" customHeight="1">
      <c r="A11151" s="26">
        <v>1052384902</v>
      </c>
      <c r="B11151" s="29" t="s">
        <v>13365</v>
      </c>
      <c r="C11151" s="26" t="s">
        <v>27030</v>
      </c>
      <c r="D11151" s="26" t="s">
        <v>40501</v>
      </c>
      <c r="E11151" s="26" t="s">
        <v>52104</v>
      </c>
      <c r="F11151" s="37" t="s">
        <v>54401</v>
      </c>
      <c r="G11151" s="39">
        <v>408576.14</v>
      </c>
      <c r="H11151" s="42">
        <v>211</v>
      </c>
    </row>
    <row r="11152" spans="1:8" ht="15" customHeight="1">
      <c r="A11152" s="26">
        <v>1052384905</v>
      </c>
      <c r="B11152" s="29" t="s">
        <v>13366</v>
      </c>
      <c r="C11152" s="29" t="s">
        <v>20696</v>
      </c>
      <c r="D11152" s="29" t="s">
        <v>33916</v>
      </c>
      <c r="E11152" s="29" t="s">
        <v>43926</v>
      </c>
      <c r="F11152" s="36" t="s">
        <v>54401</v>
      </c>
      <c r="G11152" s="39">
        <v>2080079.03</v>
      </c>
      <c r="H11152" s="42">
        <v>211</v>
      </c>
    </row>
    <row r="11153" spans="1:8" ht="15" customHeight="1">
      <c r="A11153" s="26">
        <v>1052384910</v>
      </c>
      <c r="B11153" s="29" t="s">
        <v>13367</v>
      </c>
      <c r="C11153" s="29" t="s">
        <v>27031</v>
      </c>
      <c r="D11153" s="29" t="s">
        <v>40502</v>
      </c>
      <c r="E11153" s="29" t="s">
        <v>52105</v>
      </c>
      <c r="F11153" s="36" t="s">
        <v>54401</v>
      </c>
      <c r="G11153" s="39">
        <v>4617343.71</v>
      </c>
      <c r="H11153" s="42">
        <v>211</v>
      </c>
    </row>
    <row r="11154" spans="1:8" ht="15" customHeight="1">
      <c r="A11154" s="26">
        <v>1052384928</v>
      </c>
      <c r="B11154" s="29" t="s">
        <v>13368</v>
      </c>
      <c r="C11154" s="29" t="s">
        <v>19226</v>
      </c>
      <c r="D11154" s="29" t="s">
        <v>40503</v>
      </c>
      <c r="E11154" s="29" t="s">
        <v>43926</v>
      </c>
      <c r="F11154" s="36" t="s">
        <v>54401</v>
      </c>
      <c r="G11154" s="39">
        <v>1724077</v>
      </c>
      <c r="H11154" s="42">
        <v>211</v>
      </c>
    </row>
    <row r="11155" spans="1:8" ht="15" customHeight="1">
      <c r="A11155" s="26">
        <v>1052384930</v>
      </c>
      <c r="B11155" s="29" t="s">
        <v>13369</v>
      </c>
      <c r="C11155" s="29" t="s">
        <v>27032</v>
      </c>
      <c r="D11155" s="29" t="s">
        <v>40504</v>
      </c>
      <c r="E11155" s="29" t="s">
        <v>52106</v>
      </c>
      <c r="F11155" s="36" t="s">
        <v>54401</v>
      </c>
      <c r="G11155" s="39">
        <v>1049322.05</v>
      </c>
      <c r="H11155" s="42">
        <v>211</v>
      </c>
    </row>
    <row r="11156" spans="1:8" ht="15" customHeight="1">
      <c r="A11156" s="26">
        <v>1052384939</v>
      </c>
      <c r="B11156" s="29" t="s">
        <v>13370</v>
      </c>
      <c r="C11156" s="29" t="s">
        <v>27033</v>
      </c>
      <c r="D11156" s="29" t="s">
        <v>40505</v>
      </c>
      <c r="E11156" s="29" t="s">
        <v>52107</v>
      </c>
      <c r="F11156" s="36" t="s">
        <v>54401</v>
      </c>
      <c r="G11156" s="39">
        <v>354026.55</v>
      </c>
      <c r="H11156" s="42">
        <v>211</v>
      </c>
    </row>
    <row r="11157" spans="1:8" ht="15" customHeight="1">
      <c r="A11157" s="26">
        <v>1052384955</v>
      </c>
      <c r="B11157" s="29" t="s">
        <v>13371</v>
      </c>
      <c r="C11157" s="29" t="s">
        <v>27034</v>
      </c>
      <c r="D11157" s="29" t="s">
        <v>40506</v>
      </c>
      <c r="E11157" s="29" t="s">
        <v>52108</v>
      </c>
      <c r="F11157" s="36" t="s">
        <v>54401</v>
      </c>
      <c r="G11157" s="39">
        <v>292516.34999999998</v>
      </c>
      <c r="H11157" s="42">
        <v>211</v>
      </c>
    </row>
    <row r="11158" spans="1:8" ht="15" customHeight="1">
      <c r="A11158" s="26">
        <v>1052384964</v>
      </c>
      <c r="B11158" s="29" t="s">
        <v>13372</v>
      </c>
      <c r="C11158" s="29" t="s">
        <v>27035</v>
      </c>
      <c r="D11158" s="29" t="s">
        <v>40507</v>
      </c>
      <c r="E11158" s="29" t="s">
        <v>52109</v>
      </c>
      <c r="F11158" s="36" t="s">
        <v>54401</v>
      </c>
      <c r="G11158" s="39">
        <v>2673845</v>
      </c>
      <c r="H11158" s="42">
        <v>211</v>
      </c>
    </row>
    <row r="11159" spans="1:8" ht="15" customHeight="1">
      <c r="A11159" s="26">
        <v>1052384997</v>
      </c>
      <c r="B11159" s="29" t="s">
        <v>13373</v>
      </c>
      <c r="C11159" s="29" t="s">
        <v>27036</v>
      </c>
      <c r="D11159" s="29" t="s">
        <v>40508</v>
      </c>
      <c r="E11159" s="29" t="s">
        <v>43926</v>
      </c>
      <c r="F11159" s="36" t="s">
        <v>54401</v>
      </c>
      <c r="G11159" s="39">
        <v>2390013</v>
      </c>
      <c r="H11159" s="42">
        <v>211</v>
      </c>
    </row>
    <row r="11160" spans="1:8" ht="15" customHeight="1">
      <c r="A11160" s="26">
        <v>1052385002</v>
      </c>
      <c r="B11160" s="29" t="s">
        <v>13374</v>
      </c>
      <c r="C11160" s="29" t="s">
        <v>27037</v>
      </c>
      <c r="D11160" s="29" t="s">
        <v>40509</v>
      </c>
      <c r="E11160" s="29" t="s">
        <v>52110</v>
      </c>
      <c r="F11160" s="36" t="s">
        <v>54401</v>
      </c>
      <c r="G11160" s="39">
        <v>835695.39</v>
      </c>
      <c r="H11160" s="42">
        <v>211</v>
      </c>
    </row>
    <row r="11161" spans="1:8" ht="15" customHeight="1">
      <c r="A11161" s="26">
        <v>1052385004</v>
      </c>
      <c r="B11161" s="29" t="s">
        <v>13375</v>
      </c>
      <c r="C11161" s="29" t="s">
        <v>19834</v>
      </c>
      <c r="D11161" s="29" t="s">
        <v>33031</v>
      </c>
      <c r="E11161" s="29" t="s">
        <v>52111</v>
      </c>
      <c r="F11161" s="36" t="s">
        <v>54401</v>
      </c>
      <c r="G11161" s="39">
        <v>22491.94</v>
      </c>
      <c r="H11161" s="42">
        <v>211</v>
      </c>
    </row>
    <row r="11162" spans="1:8" ht="15" customHeight="1">
      <c r="A11162" s="26">
        <v>1052385006</v>
      </c>
      <c r="B11162" s="29" t="s">
        <v>13376</v>
      </c>
      <c r="C11162" s="29" t="s">
        <v>27038</v>
      </c>
      <c r="D11162" s="29" t="s">
        <v>40510</v>
      </c>
      <c r="E11162" s="29" t="s">
        <v>52112</v>
      </c>
      <c r="F11162" s="36" t="s">
        <v>54401</v>
      </c>
      <c r="G11162" s="39">
        <v>4330644.04</v>
      </c>
      <c r="H11162" s="42">
        <v>211</v>
      </c>
    </row>
    <row r="11163" spans="1:8" ht="15" customHeight="1">
      <c r="A11163" s="26">
        <v>1052385014</v>
      </c>
      <c r="B11163" s="29" t="s">
        <v>13377</v>
      </c>
      <c r="C11163" s="29" t="s">
        <v>17204</v>
      </c>
      <c r="D11163" s="29" t="s">
        <v>30349</v>
      </c>
      <c r="E11163" s="29" t="s">
        <v>43926</v>
      </c>
      <c r="F11163" s="36" t="s">
        <v>54401</v>
      </c>
      <c r="G11163" s="39">
        <v>160691.99</v>
      </c>
      <c r="H11163" s="42">
        <v>211</v>
      </c>
    </row>
    <row r="11164" spans="1:8" ht="15" customHeight="1">
      <c r="A11164" s="26">
        <v>1052385028</v>
      </c>
      <c r="B11164" s="29" t="s">
        <v>13378</v>
      </c>
      <c r="C11164" s="29" t="s">
        <v>27039</v>
      </c>
      <c r="D11164" s="29" t="s">
        <v>40511</v>
      </c>
      <c r="E11164" s="29" t="s">
        <v>52113</v>
      </c>
      <c r="F11164" s="36" t="s">
        <v>54401</v>
      </c>
      <c r="G11164" s="39">
        <v>644800.12</v>
      </c>
      <c r="H11164" s="42">
        <v>211</v>
      </c>
    </row>
    <row r="11165" spans="1:8" ht="15" customHeight="1">
      <c r="A11165" s="26">
        <v>1052385031</v>
      </c>
      <c r="B11165" s="29" t="s">
        <v>13379</v>
      </c>
      <c r="C11165" s="29" t="s">
        <v>27040</v>
      </c>
      <c r="D11165" s="29" t="s">
        <v>40512</v>
      </c>
      <c r="E11165" s="29" t="s">
        <v>52114</v>
      </c>
      <c r="F11165" s="36" t="s">
        <v>54401</v>
      </c>
      <c r="G11165" s="39">
        <v>3473868.72</v>
      </c>
      <c r="H11165" s="42">
        <v>211</v>
      </c>
    </row>
    <row r="11166" spans="1:8" ht="15" customHeight="1">
      <c r="A11166" s="26">
        <v>1052385033</v>
      </c>
      <c r="B11166" s="29" t="s">
        <v>13380</v>
      </c>
      <c r="C11166" s="29" t="s">
        <v>17204</v>
      </c>
      <c r="D11166" s="29" t="s">
        <v>30349</v>
      </c>
      <c r="E11166" s="29" t="s">
        <v>43926</v>
      </c>
      <c r="F11166" s="36" t="s">
        <v>54401</v>
      </c>
      <c r="G11166" s="39">
        <v>146829.34</v>
      </c>
      <c r="H11166" s="42">
        <v>211</v>
      </c>
    </row>
    <row r="11167" spans="1:8" ht="15" customHeight="1">
      <c r="A11167" s="26">
        <v>1052385055</v>
      </c>
      <c r="B11167" s="29" t="s">
        <v>13381</v>
      </c>
      <c r="C11167" s="29" t="s">
        <v>27041</v>
      </c>
      <c r="D11167" s="29" t="s">
        <v>40513</v>
      </c>
      <c r="E11167" s="29" t="s">
        <v>52065</v>
      </c>
      <c r="F11167" s="36" t="s">
        <v>54401</v>
      </c>
      <c r="G11167" s="39">
        <v>3762518.35</v>
      </c>
      <c r="H11167" s="42">
        <v>211</v>
      </c>
    </row>
    <row r="11168" spans="1:8" ht="15" customHeight="1">
      <c r="A11168" s="26">
        <v>1052385056</v>
      </c>
      <c r="B11168" s="29" t="s">
        <v>13382</v>
      </c>
      <c r="C11168" s="29" t="s">
        <v>27042</v>
      </c>
      <c r="D11168" s="29" t="s">
        <v>40514</v>
      </c>
      <c r="E11168" s="29" t="s">
        <v>52115</v>
      </c>
      <c r="F11168" s="36" t="s">
        <v>54401</v>
      </c>
      <c r="G11168" s="39">
        <v>434124.5</v>
      </c>
      <c r="H11168" s="42">
        <v>211</v>
      </c>
    </row>
    <row r="11169" spans="1:8" ht="15" customHeight="1">
      <c r="A11169" s="26">
        <v>1052385057</v>
      </c>
      <c r="B11169" s="29" t="s">
        <v>13383</v>
      </c>
      <c r="C11169" s="29" t="s">
        <v>27043</v>
      </c>
      <c r="D11169" s="29" t="s">
        <v>40515</v>
      </c>
      <c r="E11169" s="29" t="s">
        <v>52116</v>
      </c>
      <c r="F11169" s="36" t="s">
        <v>54401</v>
      </c>
      <c r="G11169" s="39">
        <v>195288.91</v>
      </c>
      <c r="H11169" s="42">
        <v>211</v>
      </c>
    </row>
    <row r="11170" spans="1:8" ht="15" customHeight="1">
      <c r="A11170" s="26">
        <v>1052385065</v>
      </c>
      <c r="B11170" s="29" t="s">
        <v>13384</v>
      </c>
      <c r="C11170" s="29" t="s">
        <v>27044</v>
      </c>
      <c r="D11170" s="29" t="s">
        <v>40516</v>
      </c>
      <c r="E11170" s="29" t="s">
        <v>52117</v>
      </c>
      <c r="F11170" s="36" t="s">
        <v>54401</v>
      </c>
      <c r="G11170" s="39">
        <v>6135950.3300000001</v>
      </c>
      <c r="H11170" s="42">
        <v>211</v>
      </c>
    </row>
    <row r="11171" spans="1:8" ht="15" customHeight="1">
      <c r="A11171" s="26">
        <v>1052385074</v>
      </c>
      <c r="B11171" s="29" t="s">
        <v>12864</v>
      </c>
      <c r="C11171" s="29" t="s">
        <v>27045</v>
      </c>
      <c r="D11171" s="29" t="s">
        <v>40517</v>
      </c>
      <c r="E11171" s="29" t="s">
        <v>52118</v>
      </c>
      <c r="F11171" s="36" t="s">
        <v>54401</v>
      </c>
      <c r="G11171" s="39">
        <v>2885557.66</v>
      </c>
      <c r="H11171" s="42">
        <v>211</v>
      </c>
    </row>
    <row r="11172" spans="1:8" ht="15" customHeight="1">
      <c r="A11172" s="26">
        <v>1052385085</v>
      </c>
      <c r="B11172" s="29" t="s">
        <v>13385</v>
      </c>
      <c r="C11172" s="29" t="s">
        <v>27046</v>
      </c>
      <c r="D11172" s="29" t="s">
        <v>40518</v>
      </c>
      <c r="E11172" s="29" t="s">
        <v>47668</v>
      </c>
      <c r="F11172" s="36" t="s">
        <v>54401</v>
      </c>
      <c r="G11172" s="39">
        <v>89407.81</v>
      </c>
      <c r="H11172" s="42">
        <v>211</v>
      </c>
    </row>
    <row r="11173" spans="1:8" ht="15" customHeight="1">
      <c r="A11173" s="26">
        <v>1052385098</v>
      </c>
      <c r="B11173" s="29" t="s">
        <v>13386</v>
      </c>
      <c r="C11173" s="29" t="s">
        <v>27047</v>
      </c>
      <c r="D11173" s="29" t="s">
        <v>40519</v>
      </c>
      <c r="E11173" s="29" t="s">
        <v>44512</v>
      </c>
      <c r="F11173" s="36" t="s">
        <v>54401</v>
      </c>
      <c r="G11173" s="39">
        <v>1921973.91</v>
      </c>
      <c r="H11173" s="42">
        <v>211</v>
      </c>
    </row>
    <row r="11174" spans="1:8" ht="15" customHeight="1">
      <c r="A11174" s="26">
        <v>1052385114</v>
      </c>
      <c r="B11174" s="29" t="s">
        <v>13387</v>
      </c>
      <c r="C11174" s="29" t="s">
        <v>27048</v>
      </c>
      <c r="D11174" s="29" t="s">
        <v>40520</v>
      </c>
      <c r="E11174" s="29" t="s">
        <v>52119</v>
      </c>
      <c r="F11174" s="36" t="s">
        <v>54401</v>
      </c>
      <c r="G11174" s="39">
        <v>38904.19</v>
      </c>
      <c r="H11174" s="42">
        <v>211</v>
      </c>
    </row>
    <row r="11175" spans="1:8" ht="15" customHeight="1">
      <c r="A11175" s="26">
        <v>1052385115</v>
      </c>
      <c r="B11175" s="29" t="s">
        <v>13388</v>
      </c>
      <c r="C11175" s="29" t="s">
        <v>27049</v>
      </c>
      <c r="D11175" s="29" t="s">
        <v>40521</v>
      </c>
      <c r="E11175" s="29" t="s">
        <v>52120</v>
      </c>
      <c r="F11175" s="36" t="s">
        <v>54401</v>
      </c>
      <c r="G11175" s="39">
        <v>554386.11</v>
      </c>
      <c r="H11175" s="42">
        <v>211</v>
      </c>
    </row>
    <row r="11176" spans="1:8" ht="15" customHeight="1">
      <c r="A11176" s="26">
        <v>1052385178</v>
      </c>
      <c r="B11176" s="29" t="s">
        <v>13389</v>
      </c>
      <c r="C11176" s="29" t="s">
        <v>27050</v>
      </c>
      <c r="D11176" s="29" t="s">
        <v>40522</v>
      </c>
      <c r="E11176" s="29" t="s">
        <v>52121</v>
      </c>
      <c r="F11176" s="36" t="s">
        <v>54401</v>
      </c>
      <c r="G11176" s="39">
        <v>498830.9</v>
      </c>
      <c r="H11176" s="42">
        <v>211</v>
      </c>
    </row>
    <row r="11177" spans="1:8" ht="15" customHeight="1">
      <c r="A11177" s="26">
        <v>1052385179</v>
      </c>
      <c r="B11177" s="29" t="s">
        <v>13390</v>
      </c>
      <c r="C11177" s="29" t="s">
        <v>27051</v>
      </c>
      <c r="D11177" s="29" t="s">
        <v>40523</v>
      </c>
      <c r="E11177" s="29" t="s">
        <v>52122</v>
      </c>
      <c r="F11177" s="36" t="s">
        <v>54401</v>
      </c>
      <c r="G11177" s="39">
        <v>2377582</v>
      </c>
      <c r="H11177" s="42">
        <v>211</v>
      </c>
    </row>
    <row r="11178" spans="1:8" ht="15" customHeight="1">
      <c r="A11178" s="26">
        <v>1052385191</v>
      </c>
      <c r="B11178" s="29" t="s">
        <v>13391</v>
      </c>
      <c r="C11178" s="29" t="s">
        <v>27052</v>
      </c>
      <c r="D11178" s="29" t="s">
        <v>40524</v>
      </c>
      <c r="E11178" s="29" t="s">
        <v>731</v>
      </c>
      <c r="F11178" s="36" t="s">
        <v>54401</v>
      </c>
      <c r="G11178" s="39">
        <v>34332.76</v>
      </c>
      <c r="H11178" s="42">
        <v>211</v>
      </c>
    </row>
    <row r="11179" spans="1:8" ht="15" customHeight="1">
      <c r="A11179" s="26">
        <v>1052385197</v>
      </c>
      <c r="B11179" s="29" t="s">
        <v>13392</v>
      </c>
      <c r="C11179" s="29" t="s">
        <v>27053</v>
      </c>
      <c r="D11179" s="29" t="s">
        <v>40525</v>
      </c>
      <c r="E11179" s="29" t="s">
        <v>52123</v>
      </c>
      <c r="F11179" s="36" t="s">
        <v>54401</v>
      </c>
      <c r="G11179" s="39">
        <v>268889.06</v>
      </c>
      <c r="H11179" s="42">
        <v>211</v>
      </c>
    </row>
    <row r="11180" spans="1:8" ht="15" customHeight="1">
      <c r="A11180" s="26">
        <v>1052385229</v>
      </c>
      <c r="B11180" s="29" t="s">
        <v>13393</v>
      </c>
      <c r="C11180" s="29" t="s">
        <v>27054</v>
      </c>
      <c r="D11180" s="29" t="s">
        <v>40526</v>
      </c>
      <c r="E11180" s="29" t="s">
        <v>52124</v>
      </c>
      <c r="F11180" s="36" t="s">
        <v>54401</v>
      </c>
      <c r="G11180" s="39">
        <v>1211609.52</v>
      </c>
      <c r="H11180" s="42">
        <v>211</v>
      </c>
    </row>
    <row r="11181" spans="1:8" ht="15" customHeight="1">
      <c r="A11181" s="26">
        <v>1052385232</v>
      </c>
      <c r="B11181" s="29" t="s">
        <v>13394</v>
      </c>
      <c r="C11181" s="29" t="s">
        <v>27055</v>
      </c>
      <c r="D11181" s="29" t="s">
        <v>40527</v>
      </c>
      <c r="E11181" s="29" t="s">
        <v>52125</v>
      </c>
      <c r="F11181" s="36" t="s">
        <v>54401</v>
      </c>
      <c r="G11181" s="39">
        <v>1663814.39</v>
      </c>
      <c r="H11181" s="42">
        <v>211</v>
      </c>
    </row>
    <row r="11182" spans="1:8" ht="15" customHeight="1">
      <c r="A11182" s="26">
        <v>1052385242</v>
      </c>
      <c r="B11182" s="29" t="s">
        <v>13395</v>
      </c>
      <c r="C11182" s="29" t="s">
        <v>17204</v>
      </c>
      <c r="D11182" s="29" t="s">
        <v>40528</v>
      </c>
      <c r="E11182" s="29" t="s">
        <v>43926</v>
      </c>
      <c r="F11182" s="36" t="s">
        <v>54401</v>
      </c>
      <c r="G11182" s="39">
        <v>3155586.44</v>
      </c>
      <c r="H11182" s="42">
        <v>211</v>
      </c>
    </row>
    <row r="11183" spans="1:8" ht="15" customHeight="1">
      <c r="A11183" s="26">
        <v>1052385255</v>
      </c>
      <c r="B11183" s="29" t="s">
        <v>13396</v>
      </c>
      <c r="C11183" s="29" t="s">
        <v>27056</v>
      </c>
      <c r="D11183" s="29" t="s">
        <v>40529</v>
      </c>
      <c r="E11183" s="29" t="s">
        <v>52126</v>
      </c>
      <c r="F11183" s="36" t="s">
        <v>54401</v>
      </c>
      <c r="G11183" s="39">
        <v>333213.43</v>
      </c>
      <c r="H11183" s="42">
        <v>211</v>
      </c>
    </row>
    <row r="11184" spans="1:8" ht="15" customHeight="1">
      <c r="A11184" s="26">
        <v>1052385262</v>
      </c>
      <c r="B11184" s="29" t="s">
        <v>10524</v>
      </c>
      <c r="C11184" s="29" t="s">
        <v>27057</v>
      </c>
      <c r="D11184" s="29" t="s">
        <v>40530</v>
      </c>
      <c r="E11184" s="29" t="s">
        <v>52127</v>
      </c>
      <c r="F11184" s="36" t="s">
        <v>54401</v>
      </c>
      <c r="G11184" s="39">
        <v>2740639.84</v>
      </c>
      <c r="H11184" s="42">
        <v>211</v>
      </c>
    </row>
    <row r="11185" spans="1:8" ht="15" customHeight="1">
      <c r="A11185" s="26">
        <v>1052385280</v>
      </c>
      <c r="B11185" s="29" t="s">
        <v>13397</v>
      </c>
      <c r="C11185" s="29" t="s">
        <v>27058</v>
      </c>
      <c r="D11185" s="29" t="s">
        <v>40531</v>
      </c>
      <c r="E11185" s="29" t="s">
        <v>46849</v>
      </c>
      <c r="F11185" s="36" t="s">
        <v>54401</v>
      </c>
      <c r="G11185" s="39">
        <v>3084485.75</v>
      </c>
      <c r="H11185" s="42">
        <v>211</v>
      </c>
    </row>
    <row r="11186" spans="1:8" ht="15" customHeight="1">
      <c r="A11186" s="26">
        <v>1052385298</v>
      </c>
      <c r="B11186" s="29" t="s">
        <v>13398</v>
      </c>
      <c r="C11186" s="29" t="s">
        <v>27059</v>
      </c>
      <c r="D11186" s="29" t="s">
        <v>40532</v>
      </c>
      <c r="E11186" s="29" t="s">
        <v>52128</v>
      </c>
      <c r="F11186" s="36" t="s">
        <v>54401</v>
      </c>
      <c r="G11186" s="39">
        <v>2449106.7999999998</v>
      </c>
      <c r="H11186" s="42">
        <v>211</v>
      </c>
    </row>
    <row r="11187" spans="1:8" ht="15" customHeight="1">
      <c r="A11187" s="26">
        <v>1052385305</v>
      </c>
      <c r="B11187" s="29" t="s">
        <v>13399</v>
      </c>
      <c r="C11187" s="29" t="s">
        <v>27060</v>
      </c>
      <c r="D11187" s="29" t="s">
        <v>40533</v>
      </c>
      <c r="E11187" s="29" t="s">
        <v>52129</v>
      </c>
      <c r="F11187" s="36" t="s">
        <v>54401</v>
      </c>
      <c r="G11187" s="39">
        <v>412689.55</v>
      </c>
      <c r="H11187" s="42">
        <v>211</v>
      </c>
    </row>
    <row r="11188" spans="1:8" ht="15" customHeight="1">
      <c r="A11188" s="26">
        <v>1052385313</v>
      </c>
      <c r="B11188" s="29" t="s">
        <v>13400</v>
      </c>
      <c r="C11188" s="29" t="s">
        <v>27061</v>
      </c>
      <c r="D11188" s="29" t="s">
        <v>40534</v>
      </c>
      <c r="E11188" s="29" t="s">
        <v>45369</v>
      </c>
      <c r="F11188" s="36" t="s">
        <v>54401</v>
      </c>
      <c r="G11188" s="39">
        <v>393211.6</v>
      </c>
      <c r="H11188" s="42">
        <v>211</v>
      </c>
    </row>
    <row r="11189" spans="1:8" ht="15" customHeight="1">
      <c r="A11189" s="26">
        <v>1052385314</v>
      </c>
      <c r="B11189" s="29" t="s">
        <v>13401</v>
      </c>
      <c r="C11189" s="26" t="s">
        <v>27062</v>
      </c>
      <c r="D11189" s="26" t="s">
        <v>40535</v>
      </c>
      <c r="E11189" s="26" t="s">
        <v>52130</v>
      </c>
      <c r="F11189" s="37" t="s">
        <v>54401</v>
      </c>
      <c r="G11189" s="39">
        <v>254184.47</v>
      </c>
      <c r="H11189" s="42">
        <v>211</v>
      </c>
    </row>
    <row r="11190" spans="1:8" ht="15" customHeight="1">
      <c r="A11190" s="26">
        <v>1052385328</v>
      </c>
      <c r="B11190" s="29" t="s">
        <v>13402</v>
      </c>
      <c r="C11190" s="29" t="s">
        <v>27063</v>
      </c>
      <c r="D11190" s="29" t="s">
        <v>40536</v>
      </c>
      <c r="E11190" s="29" t="s">
        <v>50989</v>
      </c>
      <c r="F11190" s="36" t="s">
        <v>54401</v>
      </c>
      <c r="G11190" s="39">
        <v>4924487</v>
      </c>
      <c r="H11190" s="42">
        <v>211</v>
      </c>
    </row>
    <row r="11191" spans="1:8" ht="15" customHeight="1">
      <c r="A11191" s="26">
        <v>1052385334</v>
      </c>
      <c r="B11191" s="29" t="s">
        <v>13403</v>
      </c>
      <c r="C11191" s="29" t="s">
        <v>26631</v>
      </c>
      <c r="D11191" s="29" t="s">
        <v>40537</v>
      </c>
      <c r="E11191" s="29" t="s">
        <v>52131</v>
      </c>
      <c r="F11191" s="36" t="s">
        <v>54401</v>
      </c>
      <c r="G11191" s="39">
        <v>8433648</v>
      </c>
      <c r="H11191" s="42">
        <v>211</v>
      </c>
    </row>
    <row r="11192" spans="1:8" ht="15" customHeight="1">
      <c r="A11192" s="26">
        <v>1052385336</v>
      </c>
      <c r="B11192" s="29" t="s">
        <v>13404</v>
      </c>
      <c r="C11192" s="29" t="s">
        <v>27064</v>
      </c>
      <c r="D11192" s="29" t="s">
        <v>40538</v>
      </c>
      <c r="E11192" s="29" t="s">
        <v>52132</v>
      </c>
      <c r="F11192" s="36" t="s">
        <v>54401</v>
      </c>
      <c r="G11192" s="39">
        <v>6314560.2300000004</v>
      </c>
      <c r="H11192" s="42">
        <v>211</v>
      </c>
    </row>
    <row r="11193" spans="1:8" ht="15" customHeight="1">
      <c r="A11193" s="26">
        <v>1052385353</v>
      </c>
      <c r="B11193" s="29" t="s">
        <v>13405</v>
      </c>
      <c r="C11193" s="29" t="s">
        <v>27065</v>
      </c>
      <c r="D11193" s="29" t="s">
        <v>40539</v>
      </c>
      <c r="E11193" s="29" t="s">
        <v>51553</v>
      </c>
      <c r="F11193" s="36" t="s">
        <v>54401</v>
      </c>
      <c r="G11193" s="39">
        <v>6772879.9199999999</v>
      </c>
      <c r="H11193" s="42">
        <v>211</v>
      </c>
    </row>
    <row r="11194" spans="1:8" ht="15" customHeight="1">
      <c r="A11194" s="26">
        <v>1052385376</v>
      </c>
      <c r="B11194" s="29" t="s">
        <v>13406</v>
      </c>
      <c r="C11194" s="29" t="s">
        <v>27066</v>
      </c>
      <c r="D11194" s="29" t="s">
        <v>40540</v>
      </c>
      <c r="E11194" s="29" t="s">
        <v>52133</v>
      </c>
      <c r="F11194" s="36" t="s">
        <v>54401</v>
      </c>
      <c r="G11194" s="39">
        <v>571694.26</v>
      </c>
      <c r="H11194" s="42">
        <v>211</v>
      </c>
    </row>
    <row r="11195" spans="1:8" ht="15" customHeight="1">
      <c r="A11195" s="26">
        <v>1052385377</v>
      </c>
      <c r="B11195" s="29" t="s">
        <v>13407</v>
      </c>
      <c r="C11195" s="29" t="s">
        <v>27067</v>
      </c>
      <c r="D11195" s="29" t="s">
        <v>40541</v>
      </c>
      <c r="E11195" s="29" t="s">
        <v>52134</v>
      </c>
      <c r="F11195" s="36" t="s">
        <v>54401</v>
      </c>
      <c r="G11195" s="39">
        <v>121350.02</v>
      </c>
      <c r="H11195" s="42">
        <v>211</v>
      </c>
    </row>
    <row r="11196" spans="1:8" ht="15" customHeight="1">
      <c r="A11196" s="26">
        <v>1052385379</v>
      </c>
      <c r="B11196" s="29" t="s">
        <v>13408</v>
      </c>
      <c r="C11196" s="29" t="s">
        <v>17204</v>
      </c>
      <c r="D11196" s="29" t="s">
        <v>30349</v>
      </c>
      <c r="E11196" s="29" t="s">
        <v>43926</v>
      </c>
      <c r="F11196" s="36" t="s">
        <v>54401</v>
      </c>
      <c r="G11196" s="39">
        <v>576847.62</v>
      </c>
      <c r="H11196" s="42">
        <v>211</v>
      </c>
    </row>
    <row r="11197" spans="1:8" ht="15" customHeight="1">
      <c r="A11197" s="26">
        <v>1052385400</v>
      </c>
      <c r="B11197" s="29" t="s">
        <v>13409</v>
      </c>
      <c r="C11197" s="29" t="s">
        <v>27068</v>
      </c>
      <c r="D11197" s="29" t="s">
        <v>40542</v>
      </c>
      <c r="E11197" s="29" t="s">
        <v>52135</v>
      </c>
      <c r="F11197" s="36" t="s">
        <v>54401</v>
      </c>
      <c r="G11197" s="39">
        <v>3364265</v>
      </c>
      <c r="H11197" s="42">
        <v>211</v>
      </c>
    </row>
    <row r="11198" spans="1:8" ht="15" customHeight="1">
      <c r="A11198" s="26">
        <v>1052385403</v>
      </c>
      <c r="B11198" s="29" t="s">
        <v>13410</v>
      </c>
      <c r="C11198" s="29" t="s">
        <v>27069</v>
      </c>
      <c r="D11198" s="29" t="s">
        <v>40543</v>
      </c>
      <c r="E11198" s="29" t="s">
        <v>52136</v>
      </c>
      <c r="F11198" s="36" t="s">
        <v>54401</v>
      </c>
      <c r="G11198" s="39">
        <v>26335.11</v>
      </c>
      <c r="H11198" s="42">
        <v>211</v>
      </c>
    </row>
    <row r="11199" spans="1:8" ht="15" customHeight="1">
      <c r="A11199" s="26">
        <v>1052385406</v>
      </c>
      <c r="B11199" s="29" t="s">
        <v>13411</v>
      </c>
      <c r="C11199" s="29" t="s">
        <v>27070</v>
      </c>
      <c r="D11199" s="29" t="s">
        <v>40544</v>
      </c>
      <c r="E11199" s="29" t="s">
        <v>52137</v>
      </c>
      <c r="F11199" s="36" t="s">
        <v>54401</v>
      </c>
      <c r="G11199" s="39">
        <v>3124800.63</v>
      </c>
      <c r="H11199" s="42">
        <v>211</v>
      </c>
    </row>
    <row r="11200" spans="1:8" ht="15" customHeight="1">
      <c r="A11200" s="26">
        <v>1052385412</v>
      </c>
      <c r="B11200" s="29" t="s">
        <v>13412</v>
      </c>
      <c r="C11200" s="29" t="s">
        <v>27071</v>
      </c>
      <c r="D11200" s="29" t="s">
        <v>40545</v>
      </c>
      <c r="E11200" s="29" t="s">
        <v>48143</v>
      </c>
      <c r="F11200" s="36" t="s">
        <v>54401</v>
      </c>
      <c r="G11200" s="39">
        <v>291863.74</v>
      </c>
      <c r="H11200" s="42">
        <v>211</v>
      </c>
    </row>
    <row r="11201" spans="1:8" ht="15" customHeight="1">
      <c r="A11201" s="26">
        <v>1052385420</v>
      </c>
      <c r="B11201" s="29" t="s">
        <v>13413</v>
      </c>
      <c r="C11201" s="29" t="s">
        <v>27072</v>
      </c>
      <c r="D11201" s="29" t="s">
        <v>40546</v>
      </c>
      <c r="E11201" s="29" t="s">
        <v>52138</v>
      </c>
      <c r="F11201" s="36" t="s">
        <v>54401</v>
      </c>
      <c r="G11201" s="39">
        <v>1205535.1299999999</v>
      </c>
      <c r="H11201" s="42">
        <v>211</v>
      </c>
    </row>
    <row r="11202" spans="1:8" ht="15" customHeight="1">
      <c r="A11202" s="26">
        <v>1052385438</v>
      </c>
      <c r="B11202" s="29" t="s">
        <v>13414</v>
      </c>
      <c r="C11202" s="29" t="s">
        <v>27073</v>
      </c>
      <c r="D11202" s="29" t="s">
        <v>40547</v>
      </c>
      <c r="E11202" s="29" t="s">
        <v>52139</v>
      </c>
      <c r="F11202" s="36" t="s">
        <v>54401</v>
      </c>
      <c r="G11202" s="39">
        <v>3709618.63</v>
      </c>
      <c r="H11202" s="42">
        <v>211</v>
      </c>
    </row>
    <row r="11203" spans="1:8" ht="15" customHeight="1">
      <c r="A11203" s="26">
        <v>1052385446</v>
      </c>
      <c r="B11203" s="29" t="s">
        <v>13415</v>
      </c>
      <c r="C11203" s="29" t="s">
        <v>17204</v>
      </c>
      <c r="D11203" s="29" t="s">
        <v>40548</v>
      </c>
      <c r="E11203" s="29" t="s">
        <v>43926</v>
      </c>
      <c r="F11203" s="36" t="s">
        <v>54401</v>
      </c>
      <c r="G11203" s="39">
        <v>6218115</v>
      </c>
      <c r="H11203" s="42">
        <v>211</v>
      </c>
    </row>
    <row r="11204" spans="1:8" ht="15" customHeight="1">
      <c r="A11204" s="26">
        <v>1052385484</v>
      </c>
      <c r="B11204" s="29" t="s">
        <v>13416</v>
      </c>
      <c r="C11204" s="29" t="s">
        <v>27074</v>
      </c>
      <c r="D11204" s="29" t="s">
        <v>40549</v>
      </c>
      <c r="E11204" s="29" t="s">
        <v>51153</v>
      </c>
      <c r="F11204" s="36" t="s">
        <v>54423</v>
      </c>
      <c r="G11204" s="39">
        <v>1981843.79</v>
      </c>
      <c r="H11204" s="42">
        <v>211</v>
      </c>
    </row>
    <row r="11205" spans="1:8" ht="15" customHeight="1">
      <c r="A11205" s="26">
        <v>1052385487</v>
      </c>
      <c r="B11205" s="29" t="s">
        <v>13417</v>
      </c>
      <c r="C11205" s="29" t="s">
        <v>27075</v>
      </c>
      <c r="D11205" s="29" t="s">
        <v>40550</v>
      </c>
      <c r="E11205" s="29" t="s">
        <v>49644</v>
      </c>
      <c r="F11205" s="36" t="s">
        <v>54401</v>
      </c>
      <c r="G11205" s="39">
        <v>1972737</v>
      </c>
      <c r="H11205" s="42">
        <v>211</v>
      </c>
    </row>
    <row r="11206" spans="1:8" ht="15" customHeight="1">
      <c r="A11206" s="26">
        <v>1052385500</v>
      </c>
      <c r="B11206" s="29" t="s">
        <v>13418</v>
      </c>
      <c r="C11206" s="29" t="s">
        <v>17204</v>
      </c>
      <c r="D11206" s="29" t="s">
        <v>40551</v>
      </c>
      <c r="E11206" s="29" t="s">
        <v>52140</v>
      </c>
      <c r="F11206" s="36" t="s">
        <v>54401</v>
      </c>
      <c r="G11206" s="39">
        <v>15308.32</v>
      </c>
      <c r="H11206" s="42">
        <v>211</v>
      </c>
    </row>
    <row r="11207" spans="1:8" ht="15" customHeight="1">
      <c r="A11207" s="26">
        <v>1052385504</v>
      </c>
      <c r="B11207" s="29" t="s">
        <v>13419</v>
      </c>
      <c r="C11207" s="29" t="s">
        <v>17204</v>
      </c>
      <c r="D11207" s="29" t="s">
        <v>30349</v>
      </c>
      <c r="E11207" s="29" t="s">
        <v>43926</v>
      </c>
      <c r="F11207" s="36" t="s">
        <v>54401</v>
      </c>
      <c r="G11207" s="39">
        <v>268694.33</v>
      </c>
      <c r="H11207" s="42">
        <v>211</v>
      </c>
    </row>
    <row r="11208" spans="1:8" ht="15" customHeight="1">
      <c r="A11208" s="26">
        <v>1052385517</v>
      </c>
      <c r="B11208" s="29" t="s">
        <v>13420</v>
      </c>
      <c r="C11208" s="29" t="s">
        <v>27076</v>
      </c>
      <c r="D11208" s="29" t="s">
        <v>40552</v>
      </c>
      <c r="E11208" s="29" t="s">
        <v>52141</v>
      </c>
      <c r="F11208" s="36" t="s">
        <v>54401</v>
      </c>
      <c r="G11208" s="39">
        <v>427072.21</v>
      </c>
      <c r="H11208" s="42">
        <v>211</v>
      </c>
    </row>
    <row r="11209" spans="1:8" ht="15" customHeight="1">
      <c r="A11209" s="26">
        <v>1052385524</v>
      </c>
      <c r="B11209" s="29" t="s">
        <v>13421</v>
      </c>
      <c r="C11209" s="29" t="s">
        <v>27077</v>
      </c>
      <c r="D11209" s="29" t="s">
        <v>40553</v>
      </c>
      <c r="E11209" s="29" t="s">
        <v>52142</v>
      </c>
      <c r="F11209" s="36" t="s">
        <v>54401</v>
      </c>
      <c r="G11209" s="39">
        <v>6397856.5199999996</v>
      </c>
      <c r="H11209" s="42">
        <v>211</v>
      </c>
    </row>
    <row r="11210" spans="1:8" ht="15" customHeight="1">
      <c r="A11210" s="26">
        <v>1052385526</v>
      </c>
      <c r="B11210" s="29" t="s">
        <v>13422</v>
      </c>
      <c r="C11210" s="29" t="s">
        <v>27078</v>
      </c>
      <c r="D11210" s="29" t="s">
        <v>40554</v>
      </c>
      <c r="E11210" s="29" t="s">
        <v>52143</v>
      </c>
      <c r="F11210" s="36" t="s">
        <v>54401</v>
      </c>
      <c r="G11210" s="39">
        <v>1790716</v>
      </c>
      <c r="H11210" s="42">
        <v>211</v>
      </c>
    </row>
    <row r="11211" spans="1:8" ht="15" customHeight="1">
      <c r="A11211" s="26">
        <v>1052385541</v>
      </c>
      <c r="B11211" s="29" t="s">
        <v>13423</v>
      </c>
      <c r="C11211" s="26" t="s">
        <v>27079</v>
      </c>
      <c r="D11211" s="26" t="s">
        <v>40555</v>
      </c>
      <c r="E11211" s="26" t="s">
        <v>47362</v>
      </c>
      <c r="F11211" s="37" t="s">
        <v>54401</v>
      </c>
      <c r="G11211" s="39">
        <v>5025493.97</v>
      </c>
      <c r="H11211" s="42">
        <v>211</v>
      </c>
    </row>
    <row r="11212" spans="1:8" ht="15" customHeight="1">
      <c r="A11212" s="26">
        <v>1052385562</v>
      </c>
      <c r="B11212" s="29" t="s">
        <v>13424</v>
      </c>
      <c r="C11212" s="26" t="s">
        <v>27080</v>
      </c>
      <c r="D11212" s="26" t="s">
        <v>40556</v>
      </c>
      <c r="E11212" s="26" t="s">
        <v>52144</v>
      </c>
      <c r="F11212" s="37" t="s">
        <v>54401</v>
      </c>
      <c r="G11212" s="39">
        <v>999063.39</v>
      </c>
      <c r="H11212" s="42">
        <v>211</v>
      </c>
    </row>
    <row r="11213" spans="1:8" ht="15" customHeight="1">
      <c r="A11213" s="26">
        <v>1052385655</v>
      </c>
      <c r="B11213" s="29" t="s">
        <v>13425</v>
      </c>
      <c r="C11213" s="29" t="s">
        <v>27081</v>
      </c>
      <c r="D11213" s="29" t="s">
        <v>40557</v>
      </c>
      <c r="E11213" s="29" t="s">
        <v>52145</v>
      </c>
      <c r="F11213" s="36" t="s">
        <v>54401</v>
      </c>
      <c r="G11213" s="39">
        <v>183825.35</v>
      </c>
      <c r="H11213" s="42">
        <v>211</v>
      </c>
    </row>
    <row r="11214" spans="1:8" ht="15" customHeight="1">
      <c r="A11214" s="26">
        <v>1052385688</v>
      </c>
      <c r="B11214" s="29" t="s">
        <v>13426</v>
      </c>
      <c r="C11214" s="29" t="s">
        <v>27082</v>
      </c>
      <c r="D11214" s="29" t="s">
        <v>40558</v>
      </c>
      <c r="E11214" s="29" t="s">
        <v>45269</v>
      </c>
      <c r="F11214" s="36" t="s">
        <v>54401</v>
      </c>
      <c r="G11214" s="39">
        <v>4683251.54</v>
      </c>
      <c r="H11214" s="42">
        <v>211</v>
      </c>
    </row>
    <row r="11215" spans="1:8" ht="15" customHeight="1">
      <c r="A11215" s="26">
        <v>1052385699</v>
      </c>
      <c r="B11215" s="29" t="s">
        <v>13427</v>
      </c>
      <c r="C11215" s="26" t="s">
        <v>27083</v>
      </c>
      <c r="D11215" s="26" t="s">
        <v>40559</v>
      </c>
      <c r="E11215" s="26" t="s">
        <v>51912</v>
      </c>
      <c r="F11215" s="37" t="s">
        <v>54401</v>
      </c>
      <c r="G11215" s="39">
        <v>1857286.32</v>
      </c>
      <c r="H11215" s="42">
        <v>211</v>
      </c>
    </row>
    <row r="11216" spans="1:8" ht="15" customHeight="1">
      <c r="A11216" s="26">
        <v>1052385700</v>
      </c>
      <c r="B11216" s="29" t="s">
        <v>13428</v>
      </c>
      <c r="C11216" s="29" t="s">
        <v>17204</v>
      </c>
      <c r="D11216" s="29" t="s">
        <v>30349</v>
      </c>
      <c r="E11216" s="29" t="s">
        <v>43926</v>
      </c>
      <c r="F11216" s="36" t="s">
        <v>54401</v>
      </c>
      <c r="G11216" s="39">
        <v>502198.94</v>
      </c>
      <c r="H11216" s="42">
        <v>211</v>
      </c>
    </row>
    <row r="11217" spans="1:8" ht="15" customHeight="1">
      <c r="A11217" s="26">
        <v>1052385723</v>
      </c>
      <c r="B11217" s="29" t="s">
        <v>13429</v>
      </c>
      <c r="C11217" s="29" t="s">
        <v>27084</v>
      </c>
      <c r="D11217" s="29" t="s">
        <v>40560</v>
      </c>
      <c r="E11217" s="29" t="s">
        <v>49615</v>
      </c>
      <c r="F11217" s="36" t="s">
        <v>54401</v>
      </c>
      <c r="G11217" s="39">
        <v>4580178</v>
      </c>
      <c r="H11217" s="42">
        <v>211</v>
      </c>
    </row>
    <row r="11218" spans="1:8" ht="15" customHeight="1">
      <c r="A11218" s="26">
        <v>1052385729</v>
      </c>
      <c r="B11218" s="29" t="s">
        <v>13430</v>
      </c>
      <c r="C11218" s="29" t="s">
        <v>17204</v>
      </c>
      <c r="D11218" s="29" t="s">
        <v>30349</v>
      </c>
      <c r="E11218" s="29" t="s">
        <v>43926</v>
      </c>
      <c r="F11218" s="36" t="s">
        <v>54401</v>
      </c>
      <c r="G11218" s="39">
        <v>516927.21</v>
      </c>
      <c r="H11218" s="42">
        <v>211</v>
      </c>
    </row>
    <row r="11219" spans="1:8" ht="15" customHeight="1">
      <c r="A11219" s="26">
        <v>1052385734</v>
      </c>
      <c r="B11219" s="29" t="s">
        <v>13431</v>
      </c>
      <c r="C11219" s="29" t="s">
        <v>17204</v>
      </c>
      <c r="D11219" s="29" t="s">
        <v>40561</v>
      </c>
      <c r="E11219" s="29" t="s">
        <v>52146</v>
      </c>
      <c r="F11219" s="36" t="s">
        <v>54401</v>
      </c>
      <c r="G11219" s="39">
        <v>244523.64</v>
      </c>
      <c r="H11219" s="42">
        <v>211</v>
      </c>
    </row>
    <row r="11220" spans="1:8" ht="15" customHeight="1">
      <c r="A11220" s="26">
        <v>1052385745</v>
      </c>
      <c r="B11220" s="29" t="s">
        <v>13432</v>
      </c>
      <c r="C11220" s="29" t="s">
        <v>27085</v>
      </c>
      <c r="D11220" s="29" t="s">
        <v>40562</v>
      </c>
      <c r="E11220" s="29" t="s">
        <v>52147</v>
      </c>
      <c r="F11220" s="36" t="s">
        <v>54401</v>
      </c>
      <c r="G11220" s="39">
        <v>82240</v>
      </c>
      <c r="H11220" s="42">
        <v>211</v>
      </c>
    </row>
    <row r="11221" spans="1:8" ht="15" customHeight="1">
      <c r="A11221" s="26">
        <v>1052385746</v>
      </c>
      <c r="B11221" s="29" t="s">
        <v>13433</v>
      </c>
      <c r="C11221" s="29" t="s">
        <v>27086</v>
      </c>
      <c r="D11221" s="29" t="s">
        <v>40563</v>
      </c>
      <c r="E11221" s="29" t="s">
        <v>52148</v>
      </c>
      <c r="F11221" s="36" t="s">
        <v>54401</v>
      </c>
      <c r="G11221" s="39">
        <v>1406085.69</v>
      </c>
      <c r="H11221" s="42">
        <v>211</v>
      </c>
    </row>
    <row r="11222" spans="1:8" ht="15" customHeight="1">
      <c r="A11222" s="26">
        <v>1052385751</v>
      </c>
      <c r="B11222" s="29" t="s">
        <v>13434</v>
      </c>
      <c r="C11222" s="29" t="s">
        <v>27087</v>
      </c>
      <c r="D11222" s="29" t="s">
        <v>40564</v>
      </c>
      <c r="E11222" s="29" t="s">
        <v>51522</v>
      </c>
      <c r="F11222" s="36" t="s">
        <v>54401</v>
      </c>
      <c r="G11222" s="39">
        <v>2432311.33</v>
      </c>
      <c r="H11222" s="42">
        <v>211</v>
      </c>
    </row>
    <row r="11223" spans="1:8" ht="15" customHeight="1">
      <c r="A11223" s="26">
        <v>1052385762</v>
      </c>
      <c r="B11223" s="29" t="s">
        <v>13435</v>
      </c>
      <c r="C11223" s="29" t="s">
        <v>27088</v>
      </c>
      <c r="D11223" s="29" t="s">
        <v>40565</v>
      </c>
      <c r="E11223" s="29" t="s">
        <v>52149</v>
      </c>
      <c r="F11223" s="36" t="s">
        <v>54401</v>
      </c>
      <c r="G11223" s="39">
        <v>3972420.35</v>
      </c>
      <c r="H11223" s="42">
        <v>211</v>
      </c>
    </row>
    <row r="11224" spans="1:8" ht="15" customHeight="1">
      <c r="A11224" s="26">
        <v>1052385767</v>
      </c>
      <c r="B11224" s="29" t="s">
        <v>13436</v>
      </c>
      <c r="C11224" s="29" t="s">
        <v>27089</v>
      </c>
      <c r="D11224" s="29" t="s">
        <v>40566</v>
      </c>
      <c r="E11224" s="29" t="s">
        <v>52150</v>
      </c>
      <c r="F11224" s="36" t="s">
        <v>54401</v>
      </c>
      <c r="G11224" s="39">
        <v>5585143</v>
      </c>
      <c r="H11224" s="42">
        <v>211</v>
      </c>
    </row>
    <row r="11225" spans="1:8" ht="15" customHeight="1">
      <c r="A11225" s="26">
        <v>1052385780</v>
      </c>
      <c r="B11225" s="29" t="s">
        <v>13437</v>
      </c>
      <c r="C11225" s="29" t="s">
        <v>27090</v>
      </c>
      <c r="D11225" s="29" t="s">
        <v>40567</v>
      </c>
      <c r="E11225" s="29" t="s">
        <v>52151</v>
      </c>
      <c r="F11225" s="36" t="s">
        <v>54401</v>
      </c>
      <c r="G11225" s="39">
        <v>766174.27</v>
      </c>
      <c r="H11225" s="42">
        <v>211</v>
      </c>
    </row>
    <row r="11226" spans="1:8" ht="15" customHeight="1">
      <c r="A11226" s="26">
        <v>1052385789</v>
      </c>
      <c r="B11226" s="29" t="s">
        <v>13438</v>
      </c>
      <c r="C11226" s="29" t="s">
        <v>27091</v>
      </c>
      <c r="D11226" s="29" t="s">
        <v>40568</v>
      </c>
      <c r="E11226" s="29" t="s">
        <v>52152</v>
      </c>
      <c r="F11226" s="36" t="s">
        <v>54401</v>
      </c>
      <c r="G11226" s="39">
        <v>1953047</v>
      </c>
      <c r="H11226" s="42">
        <v>211</v>
      </c>
    </row>
    <row r="11227" spans="1:8" ht="15" customHeight="1">
      <c r="A11227" s="26">
        <v>1052385790</v>
      </c>
      <c r="B11227" s="29" t="s">
        <v>13439</v>
      </c>
      <c r="C11227" s="29" t="s">
        <v>17204</v>
      </c>
      <c r="D11227" s="29" t="s">
        <v>30349</v>
      </c>
      <c r="E11227" s="29" t="s">
        <v>43926</v>
      </c>
      <c r="F11227" s="36" t="s">
        <v>54401</v>
      </c>
      <c r="G11227" s="39">
        <v>50235.31</v>
      </c>
      <c r="H11227" s="42">
        <v>211</v>
      </c>
    </row>
    <row r="11228" spans="1:8" ht="15" customHeight="1">
      <c r="A11228" s="26">
        <v>1052385797</v>
      </c>
      <c r="B11228" s="29" t="s">
        <v>13440</v>
      </c>
      <c r="C11228" s="26" t="s">
        <v>27092</v>
      </c>
      <c r="D11228" s="26" t="s">
        <v>40569</v>
      </c>
      <c r="E11228" s="26" t="s">
        <v>52153</v>
      </c>
      <c r="F11228" s="37" t="s">
        <v>54401</v>
      </c>
      <c r="G11228" s="39">
        <v>686902.14</v>
      </c>
      <c r="H11228" s="42">
        <v>211</v>
      </c>
    </row>
    <row r="11229" spans="1:8" ht="15" customHeight="1">
      <c r="A11229" s="26">
        <v>1052385804</v>
      </c>
      <c r="B11229" s="29" t="s">
        <v>13441</v>
      </c>
      <c r="C11229" s="29" t="s">
        <v>27093</v>
      </c>
      <c r="D11229" s="29" t="s">
        <v>40570</v>
      </c>
      <c r="E11229" s="29" t="s">
        <v>45017</v>
      </c>
      <c r="F11229" s="36" t="s">
        <v>54401</v>
      </c>
      <c r="G11229" s="39">
        <v>407446.95</v>
      </c>
      <c r="H11229" s="42">
        <v>211</v>
      </c>
    </row>
    <row r="11230" spans="1:8" ht="15" customHeight="1">
      <c r="A11230" s="26">
        <v>1052385813</v>
      </c>
      <c r="B11230" s="29" t="s">
        <v>13442</v>
      </c>
      <c r="C11230" s="29" t="s">
        <v>27094</v>
      </c>
      <c r="D11230" s="29" t="s">
        <v>40571</v>
      </c>
      <c r="E11230" s="29" t="s">
        <v>45178</v>
      </c>
      <c r="F11230" s="36" t="s">
        <v>54401</v>
      </c>
      <c r="G11230" s="39">
        <v>1392640.26</v>
      </c>
      <c r="H11230" s="42">
        <v>211</v>
      </c>
    </row>
    <row r="11231" spans="1:8" ht="15" customHeight="1">
      <c r="A11231" s="26">
        <v>1052385838</v>
      </c>
      <c r="B11231" s="29" t="s">
        <v>13443</v>
      </c>
      <c r="C11231" s="29" t="s">
        <v>27095</v>
      </c>
      <c r="D11231" s="29" t="s">
        <v>40572</v>
      </c>
      <c r="E11231" s="29" t="s">
        <v>52154</v>
      </c>
      <c r="F11231" s="36" t="s">
        <v>54401</v>
      </c>
      <c r="G11231" s="39">
        <v>4584178.09</v>
      </c>
      <c r="H11231" s="42">
        <v>211</v>
      </c>
    </row>
    <row r="11232" spans="1:8" ht="15" customHeight="1">
      <c r="A11232" s="26">
        <v>1052385846</v>
      </c>
      <c r="B11232" s="29" t="s">
        <v>13444</v>
      </c>
      <c r="C11232" s="29" t="s">
        <v>27096</v>
      </c>
      <c r="D11232" s="29" t="s">
        <v>40573</v>
      </c>
      <c r="E11232" s="29" t="s">
        <v>52155</v>
      </c>
      <c r="F11232" s="36" t="s">
        <v>54401</v>
      </c>
      <c r="G11232" s="39">
        <v>990364.85</v>
      </c>
      <c r="H11232" s="42">
        <v>211</v>
      </c>
    </row>
    <row r="11233" spans="1:8" ht="15" customHeight="1">
      <c r="A11233" s="26">
        <v>1052385855</v>
      </c>
      <c r="B11233" s="29" t="s">
        <v>13445</v>
      </c>
      <c r="C11233" s="29" t="s">
        <v>27097</v>
      </c>
      <c r="D11233" s="29" t="s">
        <v>40574</v>
      </c>
      <c r="E11233" s="29" t="s">
        <v>43926</v>
      </c>
      <c r="F11233" s="36" t="s">
        <v>54401</v>
      </c>
      <c r="G11233" s="39">
        <v>657132.64</v>
      </c>
      <c r="H11233" s="42">
        <v>211</v>
      </c>
    </row>
    <row r="11234" spans="1:8" ht="15" customHeight="1">
      <c r="A11234" s="26">
        <v>1052385866</v>
      </c>
      <c r="B11234" s="29" t="s">
        <v>13446</v>
      </c>
      <c r="C11234" s="29" t="s">
        <v>27098</v>
      </c>
      <c r="D11234" s="29" t="s">
        <v>40575</v>
      </c>
      <c r="E11234" s="29" t="s">
        <v>52156</v>
      </c>
      <c r="F11234" s="36" t="s">
        <v>54401</v>
      </c>
      <c r="G11234" s="39">
        <v>252872.72</v>
      </c>
      <c r="H11234" s="42">
        <v>211</v>
      </c>
    </row>
    <row r="11235" spans="1:8" ht="15" customHeight="1">
      <c r="A11235" s="26">
        <v>1052385873</v>
      </c>
      <c r="B11235" s="29" t="s">
        <v>13447</v>
      </c>
      <c r="C11235" s="29" t="s">
        <v>27099</v>
      </c>
      <c r="D11235" s="29" t="s">
        <v>40576</v>
      </c>
      <c r="E11235" s="29" t="s">
        <v>52157</v>
      </c>
      <c r="F11235" s="36" t="s">
        <v>54401</v>
      </c>
      <c r="G11235" s="39">
        <v>207881.77</v>
      </c>
      <c r="H11235" s="42">
        <v>211</v>
      </c>
    </row>
    <row r="11236" spans="1:8" ht="15" customHeight="1">
      <c r="A11236" s="26">
        <v>1052385888</v>
      </c>
      <c r="B11236" s="29" t="s">
        <v>13448</v>
      </c>
      <c r="C11236" s="29" t="s">
        <v>27100</v>
      </c>
      <c r="D11236" s="29" t="s">
        <v>40577</v>
      </c>
      <c r="E11236" s="29" t="s">
        <v>52158</v>
      </c>
      <c r="F11236" s="36" t="s">
        <v>54401</v>
      </c>
      <c r="G11236" s="39">
        <v>3649186.41</v>
      </c>
      <c r="H11236" s="42">
        <v>211</v>
      </c>
    </row>
    <row r="11237" spans="1:8" ht="15" customHeight="1">
      <c r="A11237" s="26">
        <v>1052385903</v>
      </c>
      <c r="B11237" s="29" t="s">
        <v>13449</v>
      </c>
      <c r="C11237" s="29" t="s">
        <v>27101</v>
      </c>
      <c r="D11237" s="29" t="s">
        <v>40578</v>
      </c>
      <c r="E11237" s="29" t="s">
        <v>52159</v>
      </c>
      <c r="F11237" s="36" t="s">
        <v>54401</v>
      </c>
      <c r="G11237" s="39">
        <v>53982.22</v>
      </c>
      <c r="H11237" s="42">
        <v>211</v>
      </c>
    </row>
    <row r="11238" spans="1:8" ht="15" customHeight="1">
      <c r="A11238" s="26">
        <v>1052385911</v>
      </c>
      <c r="B11238" s="29" t="s">
        <v>13450</v>
      </c>
      <c r="C11238" s="29" t="s">
        <v>27102</v>
      </c>
      <c r="D11238" s="29" t="s">
        <v>35820</v>
      </c>
      <c r="E11238" s="29" t="s">
        <v>48492</v>
      </c>
      <c r="F11238" s="36" t="s">
        <v>54401</v>
      </c>
      <c r="G11238" s="39">
        <v>6538218</v>
      </c>
      <c r="H11238" s="42">
        <v>211</v>
      </c>
    </row>
    <row r="11239" spans="1:8" ht="15" customHeight="1">
      <c r="A11239" s="26">
        <v>1052385967</v>
      </c>
      <c r="B11239" s="29" t="s">
        <v>13451</v>
      </c>
      <c r="C11239" s="29" t="s">
        <v>27103</v>
      </c>
      <c r="D11239" s="29" t="s">
        <v>40579</v>
      </c>
      <c r="E11239" s="29" t="s">
        <v>44555</v>
      </c>
      <c r="F11239" s="36" t="s">
        <v>54401</v>
      </c>
      <c r="G11239" s="39">
        <v>1147221.8600000001</v>
      </c>
      <c r="H11239" s="42">
        <v>211</v>
      </c>
    </row>
    <row r="11240" spans="1:8" ht="15" customHeight="1">
      <c r="A11240" s="26">
        <v>1052385968</v>
      </c>
      <c r="B11240" s="29" t="s">
        <v>13452</v>
      </c>
      <c r="C11240" s="29" t="s">
        <v>27104</v>
      </c>
      <c r="D11240" s="29" t="s">
        <v>40580</v>
      </c>
      <c r="E11240" s="29" t="s">
        <v>43926</v>
      </c>
      <c r="F11240" s="36" t="s">
        <v>54401</v>
      </c>
      <c r="G11240" s="39">
        <v>348482.47</v>
      </c>
      <c r="H11240" s="42">
        <v>211</v>
      </c>
    </row>
    <row r="11241" spans="1:8" ht="15" customHeight="1">
      <c r="A11241" s="26">
        <v>1052385976</v>
      </c>
      <c r="B11241" s="29" t="s">
        <v>13453</v>
      </c>
      <c r="C11241" s="29" t="s">
        <v>27105</v>
      </c>
      <c r="D11241" s="29" t="s">
        <v>40581</v>
      </c>
      <c r="E11241" s="29" t="s">
        <v>45285</v>
      </c>
      <c r="F11241" s="36" t="s">
        <v>54401</v>
      </c>
      <c r="G11241" s="39">
        <v>69040.31</v>
      </c>
      <c r="H11241" s="42">
        <v>211</v>
      </c>
    </row>
    <row r="11242" spans="1:8" ht="15" customHeight="1">
      <c r="A11242" s="26">
        <v>1052385985</v>
      </c>
      <c r="B11242" s="29" t="s">
        <v>13454</v>
      </c>
      <c r="C11242" s="29" t="s">
        <v>27106</v>
      </c>
      <c r="D11242" s="29" t="s">
        <v>40582</v>
      </c>
      <c r="E11242" s="29" t="s">
        <v>52160</v>
      </c>
      <c r="F11242" s="36" t="s">
        <v>54401</v>
      </c>
      <c r="G11242" s="39">
        <v>1310146.19</v>
      </c>
      <c r="H11242" s="42">
        <v>211</v>
      </c>
    </row>
    <row r="11243" spans="1:8" ht="15" customHeight="1">
      <c r="A11243" s="26">
        <v>1052386001</v>
      </c>
      <c r="B11243" s="29" t="s">
        <v>13455</v>
      </c>
      <c r="C11243" s="29" t="s">
        <v>27107</v>
      </c>
      <c r="D11243" s="29" t="s">
        <v>40583</v>
      </c>
      <c r="E11243" s="29" t="s">
        <v>47223</v>
      </c>
      <c r="F11243" s="36" t="s">
        <v>54409</v>
      </c>
      <c r="G11243" s="39">
        <v>1768429.28</v>
      </c>
      <c r="H11243" s="42">
        <v>211</v>
      </c>
    </row>
    <row r="11244" spans="1:8" ht="15" customHeight="1">
      <c r="A11244" s="26">
        <v>1052386003</v>
      </c>
      <c r="B11244" s="29" t="s">
        <v>13456</v>
      </c>
      <c r="C11244" s="29" t="s">
        <v>27108</v>
      </c>
      <c r="D11244" s="29" t="s">
        <v>40584</v>
      </c>
      <c r="E11244" s="29" t="s">
        <v>52161</v>
      </c>
      <c r="F11244" s="36" t="s">
        <v>54401</v>
      </c>
      <c r="G11244" s="39">
        <v>80740.92</v>
      </c>
      <c r="H11244" s="42">
        <v>211</v>
      </c>
    </row>
    <row r="11245" spans="1:8" ht="15" customHeight="1">
      <c r="A11245" s="26">
        <v>1052386010</v>
      </c>
      <c r="B11245" s="29" t="s">
        <v>13457</v>
      </c>
      <c r="C11245" s="29" t="s">
        <v>27109</v>
      </c>
      <c r="D11245" s="29" t="s">
        <v>40585</v>
      </c>
      <c r="E11245" s="29" t="s">
        <v>52162</v>
      </c>
      <c r="F11245" s="36" t="s">
        <v>54427</v>
      </c>
      <c r="G11245" s="39">
        <v>758686.23</v>
      </c>
      <c r="H11245" s="42">
        <v>211</v>
      </c>
    </row>
    <row r="11246" spans="1:8" ht="15" customHeight="1">
      <c r="A11246" s="26">
        <v>1052386013</v>
      </c>
      <c r="B11246" s="29" t="s">
        <v>13458</v>
      </c>
      <c r="C11246" s="29" t="s">
        <v>27110</v>
      </c>
      <c r="D11246" s="29" t="s">
        <v>40586</v>
      </c>
      <c r="E11246" s="29" t="s">
        <v>52163</v>
      </c>
      <c r="F11246" s="36" t="s">
        <v>54401</v>
      </c>
      <c r="G11246" s="39">
        <v>642351.86</v>
      </c>
      <c r="H11246" s="42">
        <v>211</v>
      </c>
    </row>
    <row r="11247" spans="1:8" ht="15" customHeight="1">
      <c r="A11247" s="26">
        <v>1052386017</v>
      </c>
      <c r="B11247" s="29" t="s">
        <v>13459</v>
      </c>
      <c r="C11247" s="26" t="s">
        <v>27111</v>
      </c>
      <c r="D11247" s="26" t="s">
        <v>40587</v>
      </c>
      <c r="E11247" s="26" t="s">
        <v>52164</v>
      </c>
      <c r="F11247" s="37" t="s">
        <v>54401</v>
      </c>
      <c r="G11247" s="39">
        <v>6800182.7199999997</v>
      </c>
      <c r="H11247" s="42">
        <v>211</v>
      </c>
    </row>
    <row r="11248" spans="1:8" ht="15" customHeight="1">
      <c r="A11248" s="26">
        <v>1052386043</v>
      </c>
      <c r="B11248" s="29" t="s">
        <v>13460</v>
      </c>
      <c r="C11248" s="29" t="s">
        <v>27112</v>
      </c>
      <c r="D11248" s="29" t="s">
        <v>40588</v>
      </c>
      <c r="E11248" s="29" t="s">
        <v>52165</v>
      </c>
      <c r="F11248" s="36" t="s">
        <v>54401</v>
      </c>
      <c r="G11248" s="39">
        <v>6435687.2999999998</v>
      </c>
      <c r="H11248" s="42">
        <v>211</v>
      </c>
    </row>
    <row r="11249" spans="1:8" ht="15" customHeight="1">
      <c r="A11249" s="26">
        <v>1052386048</v>
      </c>
      <c r="B11249" s="29" t="s">
        <v>13461</v>
      </c>
      <c r="C11249" s="29" t="s">
        <v>27113</v>
      </c>
      <c r="D11249" s="29" t="s">
        <v>40589</v>
      </c>
      <c r="E11249" s="29" t="s">
        <v>52166</v>
      </c>
      <c r="F11249" s="36" t="s">
        <v>54401</v>
      </c>
      <c r="G11249" s="39">
        <v>4229922</v>
      </c>
      <c r="H11249" s="42">
        <v>211</v>
      </c>
    </row>
    <row r="11250" spans="1:8" ht="15" customHeight="1">
      <c r="A11250" s="26">
        <v>1052386054</v>
      </c>
      <c r="B11250" s="29" t="s">
        <v>13462</v>
      </c>
      <c r="C11250" s="29" t="s">
        <v>27114</v>
      </c>
      <c r="D11250" s="29" t="s">
        <v>40590</v>
      </c>
      <c r="E11250" s="29" t="s">
        <v>52167</v>
      </c>
      <c r="F11250" s="36" t="s">
        <v>54401</v>
      </c>
      <c r="G11250" s="39">
        <v>4611933.46</v>
      </c>
      <c r="H11250" s="42">
        <v>211</v>
      </c>
    </row>
    <row r="11251" spans="1:8" ht="15" customHeight="1">
      <c r="A11251" s="26">
        <v>1052386068</v>
      </c>
      <c r="B11251" s="29" t="s">
        <v>13463</v>
      </c>
      <c r="C11251" s="26" t="s">
        <v>27115</v>
      </c>
      <c r="D11251" s="26" t="s">
        <v>40591</v>
      </c>
      <c r="E11251" s="26" t="s">
        <v>47366</v>
      </c>
      <c r="F11251" s="37" t="s">
        <v>54401</v>
      </c>
      <c r="G11251" s="39">
        <v>5286548</v>
      </c>
      <c r="H11251" s="42">
        <v>211</v>
      </c>
    </row>
    <row r="11252" spans="1:8" ht="15" customHeight="1">
      <c r="A11252" s="26">
        <v>1052386090</v>
      </c>
      <c r="B11252" s="29" t="s">
        <v>13464</v>
      </c>
      <c r="C11252" s="29" t="s">
        <v>27116</v>
      </c>
      <c r="D11252" s="29" t="s">
        <v>40592</v>
      </c>
      <c r="E11252" s="29" t="s">
        <v>52168</v>
      </c>
      <c r="F11252" s="36" t="s">
        <v>54401</v>
      </c>
      <c r="G11252" s="39">
        <v>1035332.79</v>
      </c>
      <c r="H11252" s="42">
        <v>211</v>
      </c>
    </row>
    <row r="11253" spans="1:8" ht="15" customHeight="1">
      <c r="A11253" s="26">
        <v>1052386091</v>
      </c>
      <c r="B11253" s="29" t="s">
        <v>13465</v>
      </c>
      <c r="C11253" s="26" t="s">
        <v>17204</v>
      </c>
      <c r="D11253" s="26" t="s">
        <v>30349</v>
      </c>
      <c r="E11253" s="26" t="s">
        <v>43926</v>
      </c>
      <c r="F11253" s="37" t="s">
        <v>54401</v>
      </c>
      <c r="G11253" s="39">
        <v>215847.69</v>
      </c>
      <c r="H11253" s="42">
        <v>211</v>
      </c>
    </row>
    <row r="11254" spans="1:8" ht="15" customHeight="1">
      <c r="A11254" s="26">
        <v>1052386094</v>
      </c>
      <c r="B11254" s="29" t="s">
        <v>13466</v>
      </c>
      <c r="C11254" s="29" t="s">
        <v>27117</v>
      </c>
      <c r="D11254" s="29" t="s">
        <v>40593</v>
      </c>
      <c r="E11254" s="29" t="s">
        <v>44019</v>
      </c>
      <c r="F11254" s="36" t="s">
        <v>54401</v>
      </c>
      <c r="G11254" s="39">
        <v>2150656.12</v>
      </c>
      <c r="H11254" s="42">
        <v>211</v>
      </c>
    </row>
    <row r="11255" spans="1:8" ht="15" customHeight="1">
      <c r="A11255" s="26">
        <v>1052386095</v>
      </c>
      <c r="B11255" s="29" t="s">
        <v>13467</v>
      </c>
      <c r="C11255" s="29" t="s">
        <v>25349</v>
      </c>
      <c r="D11255" s="29" t="s">
        <v>40594</v>
      </c>
      <c r="E11255" s="29" t="s">
        <v>44882</v>
      </c>
      <c r="F11255" s="36" t="s">
        <v>54401</v>
      </c>
      <c r="G11255" s="39">
        <v>87212.32</v>
      </c>
      <c r="H11255" s="42">
        <v>211</v>
      </c>
    </row>
    <row r="11256" spans="1:8" ht="15" customHeight="1">
      <c r="A11256" s="26">
        <v>1052386107</v>
      </c>
      <c r="B11256" s="29" t="s">
        <v>13468</v>
      </c>
      <c r="C11256" s="29" t="s">
        <v>27118</v>
      </c>
      <c r="D11256" s="29" t="s">
        <v>40595</v>
      </c>
      <c r="E11256" s="29" t="s">
        <v>52169</v>
      </c>
      <c r="F11256" s="36" t="s">
        <v>54401</v>
      </c>
      <c r="G11256" s="39">
        <v>3615929.92</v>
      </c>
      <c r="H11256" s="42">
        <v>211</v>
      </c>
    </row>
    <row r="11257" spans="1:8" ht="15" customHeight="1">
      <c r="A11257" s="26">
        <v>1052386139</v>
      </c>
      <c r="B11257" s="29" t="s">
        <v>13469</v>
      </c>
      <c r="C11257" s="29" t="s">
        <v>27119</v>
      </c>
      <c r="D11257" s="29" t="s">
        <v>40596</v>
      </c>
      <c r="E11257" s="29" t="s">
        <v>52170</v>
      </c>
      <c r="F11257" s="36" t="s">
        <v>54401</v>
      </c>
      <c r="G11257" s="39">
        <v>208388.18</v>
      </c>
      <c r="H11257" s="42">
        <v>211</v>
      </c>
    </row>
    <row r="11258" spans="1:8" ht="15" customHeight="1">
      <c r="A11258" s="26">
        <v>1052386141</v>
      </c>
      <c r="B11258" s="29" t="s">
        <v>13470</v>
      </c>
      <c r="C11258" s="29" t="s">
        <v>27120</v>
      </c>
      <c r="D11258" s="29" t="s">
        <v>40597</v>
      </c>
      <c r="E11258" s="29" t="s">
        <v>52171</v>
      </c>
      <c r="F11258" s="36" t="s">
        <v>54401</v>
      </c>
      <c r="G11258" s="39">
        <v>56677.599999999999</v>
      </c>
      <c r="H11258" s="42">
        <v>211</v>
      </c>
    </row>
    <row r="11259" spans="1:8" ht="15" customHeight="1">
      <c r="A11259" s="26">
        <v>1052386157</v>
      </c>
      <c r="B11259" s="29" t="s">
        <v>13471</v>
      </c>
      <c r="C11259" s="29" t="s">
        <v>27121</v>
      </c>
      <c r="D11259" s="29" t="s">
        <v>40598</v>
      </c>
      <c r="E11259" s="29" t="s">
        <v>52172</v>
      </c>
      <c r="F11259" s="36" t="s">
        <v>54401</v>
      </c>
      <c r="G11259" s="39">
        <v>82811.39</v>
      </c>
      <c r="H11259" s="42">
        <v>211</v>
      </c>
    </row>
    <row r="11260" spans="1:8" ht="15" customHeight="1">
      <c r="A11260" s="26">
        <v>1052386158</v>
      </c>
      <c r="B11260" s="29" t="s">
        <v>13472</v>
      </c>
      <c r="C11260" s="29" t="s">
        <v>24645</v>
      </c>
      <c r="D11260" s="29" t="s">
        <v>37940</v>
      </c>
      <c r="E11260" s="29" t="s">
        <v>52173</v>
      </c>
      <c r="F11260" s="36" t="s">
        <v>54401</v>
      </c>
      <c r="G11260" s="39">
        <v>77048.31</v>
      </c>
      <c r="H11260" s="42">
        <v>211</v>
      </c>
    </row>
    <row r="11261" spans="1:8" ht="15" customHeight="1">
      <c r="A11261" s="26">
        <v>1052386159</v>
      </c>
      <c r="B11261" s="29" t="s">
        <v>13473</v>
      </c>
      <c r="C11261" s="29" t="s">
        <v>27122</v>
      </c>
      <c r="D11261" s="29" t="s">
        <v>40599</v>
      </c>
      <c r="E11261" s="29" t="s">
        <v>44905</v>
      </c>
      <c r="F11261" s="36" t="s">
        <v>54401</v>
      </c>
      <c r="G11261" s="39">
        <v>47915</v>
      </c>
      <c r="H11261" s="42">
        <v>211</v>
      </c>
    </row>
    <row r="11262" spans="1:8" ht="15" customHeight="1">
      <c r="A11262" s="26">
        <v>1052386197</v>
      </c>
      <c r="B11262" s="29" t="s">
        <v>13474</v>
      </c>
      <c r="C11262" s="29" t="s">
        <v>27123</v>
      </c>
      <c r="D11262" s="29" t="s">
        <v>40600</v>
      </c>
      <c r="E11262" s="29" t="s">
        <v>45006</v>
      </c>
      <c r="F11262" s="36" t="s">
        <v>54401</v>
      </c>
      <c r="G11262" s="39">
        <v>156085.79999999999</v>
      </c>
      <c r="H11262" s="42">
        <v>211</v>
      </c>
    </row>
    <row r="11263" spans="1:8" ht="15" customHeight="1">
      <c r="A11263" s="26">
        <v>1052386201</v>
      </c>
      <c r="B11263" s="29" t="s">
        <v>13475</v>
      </c>
      <c r="C11263" s="29" t="s">
        <v>27124</v>
      </c>
      <c r="D11263" s="29" t="s">
        <v>40601</v>
      </c>
      <c r="E11263" s="29" t="s">
        <v>52174</v>
      </c>
      <c r="F11263" s="36" t="s">
        <v>54401</v>
      </c>
      <c r="G11263" s="39">
        <v>3008934.14</v>
      </c>
      <c r="H11263" s="42">
        <v>211</v>
      </c>
    </row>
    <row r="11264" spans="1:8" ht="15" customHeight="1">
      <c r="A11264" s="26">
        <v>1052386210</v>
      </c>
      <c r="B11264" s="29" t="s">
        <v>13476</v>
      </c>
      <c r="C11264" s="29" t="s">
        <v>27125</v>
      </c>
      <c r="D11264" s="29" t="s">
        <v>40602</v>
      </c>
      <c r="E11264" s="29" t="s">
        <v>52175</v>
      </c>
      <c r="F11264" s="36" t="s">
        <v>54401</v>
      </c>
      <c r="G11264" s="39">
        <v>740980.17</v>
      </c>
      <c r="H11264" s="42">
        <v>211</v>
      </c>
    </row>
    <row r="11265" spans="1:8" ht="15" customHeight="1">
      <c r="A11265" s="26">
        <v>1052386216</v>
      </c>
      <c r="B11265" s="29" t="s">
        <v>13477</v>
      </c>
      <c r="C11265" s="29" t="s">
        <v>27126</v>
      </c>
      <c r="D11265" s="29" t="s">
        <v>40603</v>
      </c>
      <c r="E11265" s="29" t="s">
        <v>52176</v>
      </c>
      <c r="F11265" s="36" t="s">
        <v>54401</v>
      </c>
      <c r="G11265" s="39">
        <v>2112857</v>
      </c>
      <c r="H11265" s="42">
        <v>211</v>
      </c>
    </row>
    <row r="11266" spans="1:8" ht="15" customHeight="1">
      <c r="A11266" s="26">
        <v>1052386220</v>
      </c>
      <c r="B11266" s="29" t="s">
        <v>13478</v>
      </c>
      <c r="C11266" s="29" t="s">
        <v>17204</v>
      </c>
      <c r="D11266" s="29" t="s">
        <v>30349</v>
      </c>
      <c r="E11266" s="29" t="s">
        <v>43926</v>
      </c>
      <c r="F11266" s="36" t="s">
        <v>54401</v>
      </c>
      <c r="G11266" s="39">
        <v>222432.68</v>
      </c>
      <c r="H11266" s="42">
        <v>211</v>
      </c>
    </row>
    <row r="11267" spans="1:8" ht="15" customHeight="1">
      <c r="A11267" s="26">
        <v>1052386229</v>
      </c>
      <c r="B11267" s="29" t="s">
        <v>13479</v>
      </c>
      <c r="C11267" s="29" t="s">
        <v>17204</v>
      </c>
      <c r="D11267" s="29" t="s">
        <v>30349</v>
      </c>
      <c r="E11267" s="29" t="s">
        <v>43926</v>
      </c>
      <c r="F11267" s="36" t="s">
        <v>54401</v>
      </c>
      <c r="G11267" s="39">
        <v>206283.7</v>
      </c>
      <c r="H11267" s="42">
        <v>211</v>
      </c>
    </row>
    <row r="11268" spans="1:8" ht="15" customHeight="1">
      <c r="A11268" s="26">
        <v>1052386233</v>
      </c>
      <c r="B11268" s="29" t="s">
        <v>13480</v>
      </c>
      <c r="C11268" s="29" t="s">
        <v>27127</v>
      </c>
      <c r="D11268" s="29" t="s">
        <v>40425</v>
      </c>
      <c r="E11268" s="29" t="s">
        <v>52177</v>
      </c>
      <c r="F11268" s="36" t="s">
        <v>54401</v>
      </c>
      <c r="G11268" s="39">
        <v>568839.24</v>
      </c>
      <c r="H11268" s="42">
        <v>211</v>
      </c>
    </row>
    <row r="11269" spans="1:8" ht="15" customHeight="1">
      <c r="A11269" s="26">
        <v>1052386237</v>
      </c>
      <c r="B11269" s="29" t="s">
        <v>13481</v>
      </c>
      <c r="C11269" s="29" t="s">
        <v>27128</v>
      </c>
      <c r="D11269" s="29" t="s">
        <v>40604</v>
      </c>
      <c r="E11269" s="29" t="s">
        <v>52178</v>
      </c>
      <c r="F11269" s="36" t="s">
        <v>54401</v>
      </c>
      <c r="G11269" s="39">
        <v>566977.94999999995</v>
      </c>
      <c r="H11269" s="42">
        <v>211</v>
      </c>
    </row>
    <row r="11270" spans="1:8" ht="15" customHeight="1">
      <c r="A11270" s="26">
        <v>1052386240</v>
      </c>
      <c r="B11270" s="29" t="s">
        <v>13482</v>
      </c>
      <c r="C11270" s="29" t="s">
        <v>27129</v>
      </c>
      <c r="D11270" s="29" t="s">
        <v>40605</v>
      </c>
      <c r="E11270" s="29" t="s">
        <v>52179</v>
      </c>
      <c r="F11270" s="36" t="s">
        <v>54401</v>
      </c>
      <c r="G11270" s="39">
        <v>704398.19</v>
      </c>
      <c r="H11270" s="42">
        <v>211</v>
      </c>
    </row>
    <row r="11271" spans="1:8" ht="15" customHeight="1">
      <c r="A11271" s="26">
        <v>1052386242</v>
      </c>
      <c r="B11271" s="29" t="s">
        <v>13483</v>
      </c>
      <c r="C11271" s="29" t="s">
        <v>27130</v>
      </c>
      <c r="D11271" s="29" t="s">
        <v>40606</v>
      </c>
      <c r="E11271" s="29" t="s">
        <v>52180</v>
      </c>
      <c r="F11271" s="36" t="s">
        <v>54401</v>
      </c>
      <c r="G11271" s="39">
        <v>610966.1</v>
      </c>
      <c r="H11271" s="42">
        <v>211</v>
      </c>
    </row>
    <row r="11272" spans="1:8" ht="15" customHeight="1">
      <c r="A11272" s="26">
        <v>1052386248</v>
      </c>
      <c r="B11272" s="29" t="s">
        <v>13484</v>
      </c>
      <c r="C11272" s="29" t="s">
        <v>27131</v>
      </c>
      <c r="D11272" s="29" t="s">
        <v>40607</v>
      </c>
      <c r="E11272" s="29" t="s">
        <v>52181</v>
      </c>
      <c r="F11272" s="36" t="s">
        <v>54401</v>
      </c>
      <c r="G11272" s="39">
        <v>1298172.19</v>
      </c>
      <c r="H11272" s="42">
        <v>211</v>
      </c>
    </row>
    <row r="11273" spans="1:8" ht="15" customHeight="1">
      <c r="A11273" s="26">
        <v>1052386256</v>
      </c>
      <c r="B11273" s="29" t="s">
        <v>13485</v>
      </c>
      <c r="C11273" s="29" t="s">
        <v>27132</v>
      </c>
      <c r="D11273" s="29" t="s">
        <v>40608</v>
      </c>
      <c r="E11273" s="29" t="s">
        <v>52182</v>
      </c>
      <c r="F11273" s="36" t="s">
        <v>54401</v>
      </c>
      <c r="G11273" s="39">
        <v>609760.18999999994</v>
      </c>
      <c r="H11273" s="42">
        <v>211</v>
      </c>
    </row>
    <row r="11274" spans="1:8" ht="15" customHeight="1">
      <c r="A11274" s="26">
        <v>1052386270</v>
      </c>
      <c r="B11274" s="29" t="s">
        <v>13486</v>
      </c>
      <c r="C11274" s="29" t="s">
        <v>17204</v>
      </c>
      <c r="D11274" s="29" t="s">
        <v>40609</v>
      </c>
      <c r="E11274" s="29" t="s">
        <v>43926</v>
      </c>
      <c r="F11274" s="36" t="s">
        <v>54401</v>
      </c>
      <c r="G11274" s="39">
        <v>1288558.97</v>
      </c>
      <c r="H11274" s="42">
        <v>211</v>
      </c>
    </row>
    <row r="11275" spans="1:8" ht="15" customHeight="1">
      <c r="A11275" s="26">
        <v>1052386274</v>
      </c>
      <c r="B11275" s="29" t="s">
        <v>13487</v>
      </c>
      <c r="C11275" s="29" t="s">
        <v>27133</v>
      </c>
      <c r="D11275" s="29" t="s">
        <v>40610</v>
      </c>
      <c r="E11275" s="29" t="s">
        <v>52183</v>
      </c>
      <c r="F11275" s="36" t="s">
        <v>54401</v>
      </c>
      <c r="G11275" s="39">
        <v>1612670.1</v>
      </c>
      <c r="H11275" s="42">
        <v>211</v>
      </c>
    </row>
    <row r="11276" spans="1:8" ht="15" customHeight="1">
      <c r="A11276" s="26">
        <v>1052386284</v>
      </c>
      <c r="B11276" s="29" t="s">
        <v>13488</v>
      </c>
      <c r="C11276" s="29" t="s">
        <v>27134</v>
      </c>
      <c r="D11276" s="29" t="s">
        <v>40611</v>
      </c>
      <c r="E11276" s="29" t="s">
        <v>52184</v>
      </c>
      <c r="F11276" s="36" t="s">
        <v>54401</v>
      </c>
      <c r="G11276" s="39">
        <v>414811.67</v>
      </c>
      <c r="H11276" s="42">
        <v>211</v>
      </c>
    </row>
    <row r="11277" spans="1:8" ht="15" customHeight="1">
      <c r="A11277" s="26">
        <v>1052386289</v>
      </c>
      <c r="B11277" s="29" t="s">
        <v>13489</v>
      </c>
      <c r="C11277" s="29" t="s">
        <v>27135</v>
      </c>
      <c r="D11277" s="29" t="s">
        <v>40612</v>
      </c>
      <c r="E11277" s="29" t="s">
        <v>43926</v>
      </c>
      <c r="F11277" s="36" t="s">
        <v>54401</v>
      </c>
      <c r="G11277" s="39">
        <v>268368.23</v>
      </c>
      <c r="H11277" s="42">
        <v>211</v>
      </c>
    </row>
    <row r="11278" spans="1:8" ht="15" customHeight="1">
      <c r="A11278" s="26">
        <v>1052386310</v>
      </c>
      <c r="B11278" s="29" t="s">
        <v>13490</v>
      </c>
      <c r="C11278" s="29" t="s">
        <v>27136</v>
      </c>
      <c r="D11278" s="29" t="s">
        <v>40613</v>
      </c>
      <c r="E11278" s="29" t="s">
        <v>50405</v>
      </c>
      <c r="F11278" s="36" t="s">
        <v>54401</v>
      </c>
      <c r="G11278" s="39">
        <v>4484835</v>
      </c>
      <c r="H11278" s="42">
        <v>211</v>
      </c>
    </row>
    <row r="11279" spans="1:8" ht="15" customHeight="1">
      <c r="A11279" s="26">
        <v>1052386314</v>
      </c>
      <c r="B11279" s="29" t="s">
        <v>13491</v>
      </c>
      <c r="C11279" s="29" t="s">
        <v>27137</v>
      </c>
      <c r="D11279" s="29" t="s">
        <v>40614</v>
      </c>
      <c r="E11279" s="29" t="s">
        <v>43926</v>
      </c>
      <c r="F11279" s="36" t="s">
        <v>54401</v>
      </c>
      <c r="G11279" s="39">
        <v>704380.62</v>
      </c>
      <c r="H11279" s="42">
        <v>211</v>
      </c>
    </row>
    <row r="11280" spans="1:8" ht="15" customHeight="1">
      <c r="A11280" s="26">
        <v>1052386325</v>
      </c>
      <c r="B11280" s="29" t="s">
        <v>13492</v>
      </c>
      <c r="C11280" s="26" t="s">
        <v>27138</v>
      </c>
      <c r="D11280" s="26" t="s">
        <v>40615</v>
      </c>
      <c r="E11280" s="26" t="s">
        <v>52185</v>
      </c>
      <c r="F11280" s="37" t="s">
        <v>54401</v>
      </c>
      <c r="G11280" s="39">
        <v>2313065.34</v>
      </c>
      <c r="H11280" s="42">
        <v>211</v>
      </c>
    </row>
    <row r="11281" spans="1:8" ht="15" customHeight="1">
      <c r="A11281" s="26">
        <v>1052386327</v>
      </c>
      <c r="B11281" s="29" t="s">
        <v>13493</v>
      </c>
      <c r="C11281" s="29" t="s">
        <v>27139</v>
      </c>
      <c r="D11281" s="29" t="s">
        <v>40616</v>
      </c>
      <c r="E11281" s="29" t="s">
        <v>49743</v>
      </c>
      <c r="F11281" s="36" t="s">
        <v>54401</v>
      </c>
      <c r="G11281" s="39">
        <v>954594.09</v>
      </c>
      <c r="H11281" s="42">
        <v>211</v>
      </c>
    </row>
    <row r="11282" spans="1:8" ht="15" customHeight="1">
      <c r="A11282" s="26">
        <v>1052386334</v>
      </c>
      <c r="B11282" s="29" t="s">
        <v>13494</v>
      </c>
      <c r="C11282" s="29" t="s">
        <v>27140</v>
      </c>
      <c r="D11282" s="29" t="s">
        <v>34946</v>
      </c>
      <c r="E11282" s="29" t="s">
        <v>52186</v>
      </c>
      <c r="F11282" s="36" t="s">
        <v>54401</v>
      </c>
      <c r="G11282" s="39">
        <v>33915.97</v>
      </c>
      <c r="H11282" s="42">
        <v>211</v>
      </c>
    </row>
    <row r="11283" spans="1:8" ht="15" customHeight="1">
      <c r="A11283" s="26">
        <v>1052386336</v>
      </c>
      <c r="B11283" s="29" t="s">
        <v>13495</v>
      </c>
      <c r="C11283" s="29" t="s">
        <v>17204</v>
      </c>
      <c r="D11283" s="29" t="s">
        <v>40617</v>
      </c>
      <c r="E11283" s="29" t="s">
        <v>43926</v>
      </c>
      <c r="F11283" s="36" t="s">
        <v>54401</v>
      </c>
      <c r="G11283" s="39">
        <v>1660373.95</v>
      </c>
      <c r="H11283" s="42">
        <v>211</v>
      </c>
    </row>
    <row r="11284" spans="1:8" ht="15" customHeight="1">
      <c r="A11284" s="26">
        <v>1052386346</v>
      </c>
      <c r="B11284" s="29" t="s">
        <v>13496</v>
      </c>
      <c r="C11284" s="29" t="s">
        <v>27141</v>
      </c>
      <c r="D11284" s="29" t="s">
        <v>40618</v>
      </c>
      <c r="E11284" s="29" t="s">
        <v>52187</v>
      </c>
      <c r="F11284" s="36" t="s">
        <v>54401</v>
      </c>
      <c r="G11284" s="39">
        <v>3599359.44</v>
      </c>
      <c r="H11284" s="42">
        <v>211</v>
      </c>
    </row>
    <row r="11285" spans="1:8" ht="15" customHeight="1">
      <c r="A11285" s="26">
        <v>1052386354</v>
      </c>
      <c r="B11285" s="29" t="s">
        <v>13497</v>
      </c>
      <c r="C11285" s="29" t="s">
        <v>27142</v>
      </c>
      <c r="D11285" s="29" t="s">
        <v>40619</v>
      </c>
      <c r="E11285" s="29" t="s">
        <v>52188</v>
      </c>
      <c r="F11285" s="36" t="s">
        <v>54401</v>
      </c>
      <c r="G11285" s="39">
        <v>1847574.29</v>
      </c>
      <c r="H11285" s="42">
        <v>211</v>
      </c>
    </row>
    <row r="11286" spans="1:8" ht="15" customHeight="1">
      <c r="A11286" s="26">
        <v>1052386364</v>
      </c>
      <c r="B11286" s="29" t="s">
        <v>13498</v>
      </c>
      <c r="C11286" s="26" t="s">
        <v>17204</v>
      </c>
      <c r="D11286" s="26" t="s">
        <v>30349</v>
      </c>
      <c r="E11286" s="26" t="s">
        <v>43926</v>
      </c>
      <c r="F11286" s="37" t="s">
        <v>54401</v>
      </c>
      <c r="G11286" s="39">
        <v>235005.09</v>
      </c>
      <c r="H11286" s="42">
        <v>211</v>
      </c>
    </row>
    <row r="11287" spans="1:8" ht="15" customHeight="1">
      <c r="A11287" s="26">
        <v>1052386380</v>
      </c>
      <c r="B11287" s="29" t="s">
        <v>13499</v>
      </c>
      <c r="C11287" s="29" t="s">
        <v>27143</v>
      </c>
      <c r="D11287" s="29" t="s">
        <v>40620</v>
      </c>
      <c r="E11287" s="29" t="s">
        <v>44019</v>
      </c>
      <c r="F11287" s="36" t="s">
        <v>54401</v>
      </c>
      <c r="G11287" s="39">
        <v>109828.57</v>
      </c>
      <c r="H11287" s="42">
        <v>211</v>
      </c>
    </row>
    <row r="11288" spans="1:8" ht="15" customHeight="1">
      <c r="A11288" s="26">
        <v>1052386423</v>
      </c>
      <c r="B11288" s="29" t="s">
        <v>13500</v>
      </c>
      <c r="C11288" s="26" t="s">
        <v>27144</v>
      </c>
      <c r="D11288" s="26" t="s">
        <v>40621</v>
      </c>
      <c r="E11288" s="26" t="s">
        <v>43928</v>
      </c>
      <c r="F11288" s="37" t="s">
        <v>54401</v>
      </c>
      <c r="G11288" s="39">
        <v>1827893.49</v>
      </c>
      <c r="H11288" s="42">
        <v>211</v>
      </c>
    </row>
    <row r="11289" spans="1:8" ht="15" customHeight="1">
      <c r="A11289" s="26">
        <v>1052386426</v>
      </c>
      <c r="B11289" s="29" t="s">
        <v>13501</v>
      </c>
      <c r="C11289" s="29" t="s">
        <v>27145</v>
      </c>
      <c r="D11289" s="29" t="s">
        <v>40622</v>
      </c>
      <c r="E11289" s="29" t="s">
        <v>52084</v>
      </c>
      <c r="F11289" s="36" t="s">
        <v>54401</v>
      </c>
      <c r="G11289" s="39">
        <v>3222325.09</v>
      </c>
      <c r="H11289" s="42">
        <v>211</v>
      </c>
    </row>
    <row r="11290" spans="1:8" ht="15" customHeight="1">
      <c r="A11290" s="26">
        <v>1052386432</v>
      </c>
      <c r="B11290" s="29" t="s">
        <v>13502</v>
      </c>
      <c r="C11290" s="29" t="s">
        <v>27146</v>
      </c>
      <c r="D11290" s="29" t="s">
        <v>40623</v>
      </c>
      <c r="E11290" s="29" t="s">
        <v>52189</v>
      </c>
      <c r="F11290" s="36" t="s">
        <v>54401</v>
      </c>
      <c r="G11290" s="39">
        <v>5493356.3499999996</v>
      </c>
      <c r="H11290" s="42">
        <v>211</v>
      </c>
    </row>
    <row r="11291" spans="1:8" ht="15" customHeight="1">
      <c r="A11291" s="26">
        <v>1052386438</v>
      </c>
      <c r="B11291" s="29" t="s">
        <v>13503</v>
      </c>
      <c r="C11291" s="29" t="s">
        <v>27147</v>
      </c>
      <c r="D11291" s="29" t="s">
        <v>40624</v>
      </c>
      <c r="E11291" s="29" t="s">
        <v>48358</v>
      </c>
      <c r="F11291" s="36" t="s">
        <v>54401</v>
      </c>
      <c r="G11291" s="39">
        <v>4831017.47</v>
      </c>
      <c r="H11291" s="42">
        <v>211</v>
      </c>
    </row>
    <row r="11292" spans="1:8" ht="15" customHeight="1">
      <c r="A11292" s="26">
        <v>1052386443</v>
      </c>
      <c r="B11292" s="29" t="s">
        <v>13504</v>
      </c>
      <c r="C11292" s="29" t="s">
        <v>27148</v>
      </c>
      <c r="D11292" s="29" t="s">
        <v>40625</v>
      </c>
      <c r="E11292" s="29" t="s">
        <v>52190</v>
      </c>
      <c r="F11292" s="36" t="s">
        <v>54401</v>
      </c>
      <c r="G11292" s="39">
        <v>2252335.4</v>
      </c>
      <c r="H11292" s="42">
        <v>211</v>
      </c>
    </row>
    <row r="11293" spans="1:8" ht="15" customHeight="1">
      <c r="A11293" s="26">
        <v>1052386464</v>
      </c>
      <c r="B11293" s="29" t="s">
        <v>13505</v>
      </c>
      <c r="C11293" s="26" t="s">
        <v>27149</v>
      </c>
      <c r="D11293" s="26" t="s">
        <v>40626</v>
      </c>
      <c r="E11293" s="26" t="s">
        <v>47516</v>
      </c>
      <c r="F11293" s="37" t="s">
        <v>54401</v>
      </c>
      <c r="G11293" s="39">
        <v>18394.96</v>
      </c>
      <c r="H11293" s="42">
        <v>211</v>
      </c>
    </row>
    <row r="11294" spans="1:8" ht="15" customHeight="1">
      <c r="A11294" s="26">
        <v>1052386493</v>
      </c>
      <c r="B11294" s="29" t="s">
        <v>13506</v>
      </c>
      <c r="C11294" s="29" t="s">
        <v>27150</v>
      </c>
      <c r="D11294" s="29" t="s">
        <v>40627</v>
      </c>
      <c r="E11294" s="29" t="s">
        <v>43926</v>
      </c>
      <c r="F11294" s="36" t="s">
        <v>54401</v>
      </c>
      <c r="G11294" s="39">
        <v>1531370.05</v>
      </c>
      <c r="H11294" s="42">
        <v>211</v>
      </c>
    </row>
    <row r="11295" spans="1:8" ht="15" customHeight="1">
      <c r="A11295" s="26">
        <v>1052386526</v>
      </c>
      <c r="B11295" s="29" t="s">
        <v>13507</v>
      </c>
      <c r="C11295" s="29" t="s">
        <v>27151</v>
      </c>
      <c r="D11295" s="29" t="s">
        <v>40628</v>
      </c>
      <c r="E11295" s="29" t="s">
        <v>45117</v>
      </c>
      <c r="F11295" s="36" t="s">
        <v>54401</v>
      </c>
      <c r="G11295" s="39">
        <v>1568263.67</v>
      </c>
      <c r="H11295" s="42">
        <v>211</v>
      </c>
    </row>
    <row r="11296" spans="1:8" ht="15" customHeight="1">
      <c r="A11296" s="26">
        <v>1052386533</v>
      </c>
      <c r="B11296" s="29" t="s">
        <v>13508</v>
      </c>
      <c r="C11296" s="29" t="s">
        <v>27152</v>
      </c>
      <c r="D11296" s="29" t="s">
        <v>40629</v>
      </c>
      <c r="E11296" s="29" t="s">
        <v>43949</v>
      </c>
      <c r="F11296" s="36" t="s">
        <v>54401</v>
      </c>
      <c r="G11296" s="39">
        <v>855844.85</v>
      </c>
      <c r="H11296" s="42">
        <v>211</v>
      </c>
    </row>
    <row r="11297" spans="1:8" ht="15" customHeight="1">
      <c r="A11297" s="26">
        <v>1052386535</v>
      </c>
      <c r="B11297" s="29" t="s">
        <v>13509</v>
      </c>
      <c r="C11297" s="29" t="s">
        <v>27153</v>
      </c>
      <c r="D11297" s="29" t="s">
        <v>40630</v>
      </c>
      <c r="E11297" s="29" t="s">
        <v>52191</v>
      </c>
      <c r="F11297" s="36" t="s">
        <v>54401</v>
      </c>
      <c r="G11297" s="39">
        <v>961337.69</v>
      </c>
      <c r="H11297" s="42">
        <v>211</v>
      </c>
    </row>
    <row r="11298" spans="1:8" ht="15" customHeight="1">
      <c r="A11298" s="26">
        <v>1052386543</v>
      </c>
      <c r="B11298" s="29" t="s">
        <v>13510</v>
      </c>
      <c r="C11298" s="29" t="s">
        <v>27154</v>
      </c>
      <c r="D11298" s="29" t="s">
        <v>40631</v>
      </c>
      <c r="E11298" s="29" t="s">
        <v>45055</v>
      </c>
      <c r="F11298" s="36" t="s">
        <v>54401</v>
      </c>
      <c r="G11298" s="39">
        <v>3765657.09</v>
      </c>
      <c r="H11298" s="42">
        <v>211</v>
      </c>
    </row>
    <row r="11299" spans="1:8" ht="15" customHeight="1">
      <c r="A11299" s="26">
        <v>1052386550</v>
      </c>
      <c r="B11299" s="29" t="s">
        <v>13511</v>
      </c>
      <c r="C11299" s="29" t="s">
        <v>27155</v>
      </c>
      <c r="D11299" s="29" t="s">
        <v>40632</v>
      </c>
      <c r="E11299" s="29" t="s">
        <v>52192</v>
      </c>
      <c r="F11299" s="36" t="s">
        <v>54401</v>
      </c>
      <c r="G11299" s="39">
        <v>570938.47</v>
      </c>
      <c r="H11299" s="42">
        <v>211</v>
      </c>
    </row>
    <row r="11300" spans="1:8" ht="15" customHeight="1">
      <c r="A11300" s="26">
        <v>1052386559</v>
      </c>
      <c r="B11300" s="29" t="s">
        <v>13512</v>
      </c>
      <c r="C11300" s="29" t="s">
        <v>27156</v>
      </c>
      <c r="D11300" s="29" t="s">
        <v>40220</v>
      </c>
      <c r="E11300" s="29" t="s">
        <v>52193</v>
      </c>
      <c r="F11300" s="36" t="s">
        <v>54401</v>
      </c>
      <c r="G11300" s="39">
        <v>5730418.4000000004</v>
      </c>
      <c r="H11300" s="42">
        <v>211</v>
      </c>
    </row>
    <row r="11301" spans="1:8" ht="15" customHeight="1">
      <c r="A11301" s="26">
        <v>1052386570</v>
      </c>
      <c r="B11301" s="29" t="s">
        <v>13513</v>
      </c>
      <c r="C11301" s="29" t="s">
        <v>27157</v>
      </c>
      <c r="D11301" s="29" t="s">
        <v>40633</v>
      </c>
      <c r="E11301" s="29" t="s">
        <v>52194</v>
      </c>
      <c r="F11301" s="36" t="s">
        <v>54401</v>
      </c>
      <c r="G11301" s="39">
        <v>479079.54</v>
      </c>
      <c r="H11301" s="42">
        <v>211</v>
      </c>
    </row>
    <row r="11302" spans="1:8" ht="15" customHeight="1">
      <c r="A11302" s="26">
        <v>1052386578</v>
      </c>
      <c r="B11302" s="29" t="s">
        <v>13514</v>
      </c>
      <c r="C11302" s="29" t="s">
        <v>27158</v>
      </c>
      <c r="D11302" s="29" t="s">
        <v>40634</v>
      </c>
      <c r="E11302" s="29" t="s">
        <v>52195</v>
      </c>
      <c r="F11302" s="36" t="s">
        <v>54401</v>
      </c>
      <c r="G11302" s="39">
        <v>2735007</v>
      </c>
      <c r="H11302" s="42">
        <v>211</v>
      </c>
    </row>
    <row r="11303" spans="1:8" ht="15" customHeight="1">
      <c r="A11303" s="26">
        <v>1052386586</v>
      </c>
      <c r="B11303" s="29" t="s">
        <v>13515</v>
      </c>
      <c r="C11303" s="29" t="s">
        <v>27159</v>
      </c>
      <c r="D11303" s="29" t="s">
        <v>40635</v>
      </c>
      <c r="E11303" s="29" t="s">
        <v>52196</v>
      </c>
      <c r="F11303" s="36" t="s">
        <v>54401</v>
      </c>
      <c r="G11303" s="39">
        <v>722097.49</v>
      </c>
      <c r="H11303" s="42">
        <v>211</v>
      </c>
    </row>
    <row r="11304" spans="1:8" ht="15" customHeight="1">
      <c r="A11304" s="26">
        <v>1052386606</v>
      </c>
      <c r="B11304" s="29" t="s">
        <v>13516</v>
      </c>
      <c r="C11304" s="29" t="s">
        <v>27160</v>
      </c>
      <c r="D11304" s="29" t="s">
        <v>40636</v>
      </c>
      <c r="E11304" s="29" t="s">
        <v>52197</v>
      </c>
      <c r="F11304" s="36" t="s">
        <v>54401</v>
      </c>
      <c r="G11304" s="39">
        <v>154600.5</v>
      </c>
      <c r="H11304" s="42">
        <v>211</v>
      </c>
    </row>
    <row r="11305" spans="1:8" ht="15" customHeight="1">
      <c r="A11305" s="26">
        <v>1052386625</v>
      </c>
      <c r="B11305" s="29" t="s">
        <v>13517</v>
      </c>
      <c r="C11305" s="29" t="s">
        <v>27161</v>
      </c>
      <c r="D11305" s="29" t="s">
        <v>40637</v>
      </c>
      <c r="E11305" s="29" t="s">
        <v>731</v>
      </c>
      <c r="F11305" s="36" t="s">
        <v>54401</v>
      </c>
      <c r="G11305" s="39">
        <v>1800422.18</v>
      </c>
      <c r="H11305" s="42">
        <v>211</v>
      </c>
    </row>
    <row r="11306" spans="1:8" ht="15" customHeight="1">
      <c r="A11306" s="26">
        <v>1052386663</v>
      </c>
      <c r="B11306" s="29" t="s">
        <v>13518</v>
      </c>
      <c r="C11306" s="29" t="s">
        <v>17204</v>
      </c>
      <c r="D11306" s="29" t="s">
        <v>40638</v>
      </c>
      <c r="E11306" s="29" t="s">
        <v>43926</v>
      </c>
      <c r="F11306" s="36" t="s">
        <v>54401</v>
      </c>
      <c r="G11306" s="39">
        <v>559064.92000000004</v>
      </c>
      <c r="H11306" s="42">
        <v>211</v>
      </c>
    </row>
    <row r="11307" spans="1:8" ht="15" customHeight="1">
      <c r="A11307" s="26">
        <v>1052386673</v>
      </c>
      <c r="B11307" s="29" t="s">
        <v>13519</v>
      </c>
      <c r="C11307" s="29" t="s">
        <v>27162</v>
      </c>
      <c r="D11307" s="29" t="s">
        <v>40639</v>
      </c>
      <c r="E11307" s="29" t="s">
        <v>52198</v>
      </c>
      <c r="F11307" s="36" t="s">
        <v>54401</v>
      </c>
      <c r="G11307" s="39">
        <v>7899407</v>
      </c>
      <c r="H11307" s="42">
        <v>211</v>
      </c>
    </row>
    <row r="11308" spans="1:8" ht="15" customHeight="1">
      <c r="A11308" s="26">
        <v>1052386693</v>
      </c>
      <c r="B11308" s="29" t="s">
        <v>13520</v>
      </c>
      <c r="C11308" s="29" t="s">
        <v>27163</v>
      </c>
      <c r="D11308" s="29" t="s">
        <v>40640</v>
      </c>
      <c r="E11308" s="29" t="s">
        <v>52199</v>
      </c>
      <c r="F11308" s="36" t="s">
        <v>54401</v>
      </c>
      <c r="G11308" s="39">
        <v>397451.71</v>
      </c>
      <c r="H11308" s="42">
        <v>211</v>
      </c>
    </row>
    <row r="11309" spans="1:8" ht="15" customHeight="1">
      <c r="A11309" s="26">
        <v>1052386706</v>
      </c>
      <c r="B11309" s="29" t="s">
        <v>13521</v>
      </c>
      <c r="C11309" s="29" t="s">
        <v>27164</v>
      </c>
      <c r="D11309" s="29" t="s">
        <v>40641</v>
      </c>
      <c r="E11309" s="29" t="s">
        <v>52200</v>
      </c>
      <c r="F11309" s="36" t="s">
        <v>54401</v>
      </c>
      <c r="G11309" s="39">
        <v>23534.87</v>
      </c>
      <c r="H11309" s="42">
        <v>211</v>
      </c>
    </row>
    <row r="11310" spans="1:8" ht="15" customHeight="1">
      <c r="A11310" s="26">
        <v>1052386717</v>
      </c>
      <c r="B11310" s="29" t="s">
        <v>13522</v>
      </c>
      <c r="C11310" s="29" t="s">
        <v>27165</v>
      </c>
      <c r="D11310" s="29" t="s">
        <v>40642</v>
      </c>
      <c r="E11310" s="29" t="s">
        <v>52201</v>
      </c>
      <c r="F11310" s="36" t="s">
        <v>54401</v>
      </c>
      <c r="G11310" s="39">
        <v>1342346.66</v>
      </c>
      <c r="H11310" s="42">
        <v>211</v>
      </c>
    </row>
    <row r="11311" spans="1:8" ht="15" customHeight="1">
      <c r="A11311" s="26">
        <v>1052386736</v>
      </c>
      <c r="B11311" s="29" t="s">
        <v>13523</v>
      </c>
      <c r="C11311" s="26" t="s">
        <v>27166</v>
      </c>
      <c r="D11311" s="26" t="s">
        <v>40643</v>
      </c>
      <c r="E11311" s="26" t="s">
        <v>52202</v>
      </c>
      <c r="F11311" s="37" t="s">
        <v>54401</v>
      </c>
      <c r="G11311" s="39">
        <v>5766369.9800000004</v>
      </c>
      <c r="H11311" s="42">
        <v>211</v>
      </c>
    </row>
    <row r="11312" spans="1:8" ht="15" customHeight="1">
      <c r="A11312" s="26">
        <v>1052386740</v>
      </c>
      <c r="B11312" s="29" t="s">
        <v>6845</v>
      </c>
      <c r="C11312" s="29" t="s">
        <v>17204</v>
      </c>
      <c r="D11312" s="29" t="s">
        <v>40644</v>
      </c>
      <c r="E11312" s="29" t="s">
        <v>43926</v>
      </c>
      <c r="F11312" s="36" t="s">
        <v>54401</v>
      </c>
      <c r="G11312" s="39">
        <v>245852.19</v>
      </c>
      <c r="H11312" s="42">
        <v>211</v>
      </c>
    </row>
    <row r="11313" spans="1:8" ht="15" customHeight="1">
      <c r="A11313" s="26">
        <v>1052386755</v>
      </c>
      <c r="B11313" s="29" t="s">
        <v>13524</v>
      </c>
      <c r="C11313" s="29" t="s">
        <v>27167</v>
      </c>
      <c r="D11313" s="29" t="s">
        <v>40645</v>
      </c>
      <c r="E11313" s="29" t="s">
        <v>44780</v>
      </c>
      <c r="F11313" s="36" t="s">
        <v>54401</v>
      </c>
      <c r="G11313" s="39">
        <v>458882.72</v>
      </c>
      <c r="H11313" s="42">
        <v>211</v>
      </c>
    </row>
    <row r="11314" spans="1:8" ht="15" customHeight="1">
      <c r="A11314" s="26">
        <v>1052386758</v>
      </c>
      <c r="B11314" s="29" t="s">
        <v>13525</v>
      </c>
      <c r="C11314" s="29" t="s">
        <v>27168</v>
      </c>
      <c r="D11314" s="29" t="s">
        <v>37673</v>
      </c>
      <c r="E11314" s="29" t="s">
        <v>52203</v>
      </c>
      <c r="F11314" s="36" t="s">
        <v>54401</v>
      </c>
      <c r="G11314" s="39">
        <v>299468.61</v>
      </c>
      <c r="H11314" s="42">
        <v>211</v>
      </c>
    </row>
    <row r="11315" spans="1:8" ht="15" customHeight="1">
      <c r="A11315" s="26">
        <v>1052386783</v>
      </c>
      <c r="B11315" s="29" t="s">
        <v>13526</v>
      </c>
      <c r="C11315" s="26" t="s">
        <v>17204</v>
      </c>
      <c r="D11315" s="26" t="s">
        <v>40646</v>
      </c>
      <c r="E11315" s="26" t="s">
        <v>43926</v>
      </c>
      <c r="F11315" s="37" t="s">
        <v>54401</v>
      </c>
      <c r="G11315" s="39">
        <v>118401.13</v>
      </c>
      <c r="H11315" s="42">
        <v>211</v>
      </c>
    </row>
    <row r="11316" spans="1:8" ht="15" customHeight="1">
      <c r="A11316" s="26">
        <v>1052386786</v>
      </c>
      <c r="B11316" s="29" t="s">
        <v>13527</v>
      </c>
      <c r="C11316" s="29" t="s">
        <v>27169</v>
      </c>
      <c r="D11316" s="29" t="s">
        <v>40647</v>
      </c>
      <c r="E11316" s="29" t="s">
        <v>43926</v>
      </c>
      <c r="F11316" s="36" t="s">
        <v>54401</v>
      </c>
      <c r="G11316" s="39">
        <v>4350400</v>
      </c>
      <c r="H11316" s="42">
        <v>211</v>
      </c>
    </row>
    <row r="11317" spans="1:8" ht="15" customHeight="1">
      <c r="A11317" s="26">
        <v>1052386791</v>
      </c>
      <c r="B11317" s="29" t="s">
        <v>13528</v>
      </c>
      <c r="C11317" s="29" t="s">
        <v>17204</v>
      </c>
      <c r="D11317" s="29" t="s">
        <v>30349</v>
      </c>
      <c r="E11317" s="29" t="s">
        <v>43926</v>
      </c>
      <c r="F11317" s="36" t="s">
        <v>54401</v>
      </c>
      <c r="G11317" s="39">
        <v>467398.84</v>
      </c>
      <c r="H11317" s="42">
        <v>211</v>
      </c>
    </row>
    <row r="11318" spans="1:8" ht="15" customHeight="1">
      <c r="A11318" s="26">
        <v>1052386798</v>
      </c>
      <c r="B11318" s="29" t="s">
        <v>13529</v>
      </c>
      <c r="C11318" s="29" t="s">
        <v>27170</v>
      </c>
      <c r="D11318" s="29" t="s">
        <v>37295</v>
      </c>
      <c r="E11318" s="29" t="s">
        <v>43926</v>
      </c>
      <c r="F11318" s="36" t="s">
        <v>54401</v>
      </c>
      <c r="G11318" s="39">
        <v>847680.26</v>
      </c>
      <c r="H11318" s="42">
        <v>211</v>
      </c>
    </row>
    <row r="11319" spans="1:8" ht="15" customHeight="1">
      <c r="A11319" s="26">
        <v>1052386804</v>
      </c>
      <c r="B11319" s="29" t="s">
        <v>13530</v>
      </c>
      <c r="C11319" s="29" t="s">
        <v>27171</v>
      </c>
      <c r="D11319" s="29" t="s">
        <v>40648</v>
      </c>
      <c r="E11319" s="29" t="s">
        <v>52204</v>
      </c>
      <c r="F11319" s="36" t="s">
        <v>54401</v>
      </c>
      <c r="G11319" s="39">
        <v>1241583.8700000001</v>
      </c>
      <c r="H11319" s="42">
        <v>211</v>
      </c>
    </row>
    <row r="11320" spans="1:8" ht="15" customHeight="1">
      <c r="A11320" s="26">
        <v>1052386812</v>
      </c>
      <c r="B11320" s="29" t="s">
        <v>13531</v>
      </c>
      <c r="C11320" s="29" t="s">
        <v>27172</v>
      </c>
      <c r="D11320" s="29" t="s">
        <v>40649</v>
      </c>
      <c r="E11320" s="29" t="s">
        <v>52205</v>
      </c>
      <c r="F11320" s="36" t="s">
        <v>54425</v>
      </c>
      <c r="G11320" s="39">
        <v>1085628.04</v>
      </c>
      <c r="H11320" s="42">
        <v>211</v>
      </c>
    </row>
    <row r="11321" spans="1:8" ht="15" customHeight="1">
      <c r="A11321" s="26">
        <v>1052386816</v>
      </c>
      <c r="B11321" s="29" t="s">
        <v>13532</v>
      </c>
      <c r="C11321" s="29" t="s">
        <v>27173</v>
      </c>
      <c r="D11321" s="29" t="s">
        <v>40650</v>
      </c>
      <c r="E11321" s="29" t="s">
        <v>52206</v>
      </c>
      <c r="F11321" s="36" t="s">
        <v>54401</v>
      </c>
      <c r="G11321" s="39">
        <v>423664.94</v>
      </c>
      <c r="H11321" s="42">
        <v>211</v>
      </c>
    </row>
    <row r="11322" spans="1:8" ht="15" customHeight="1">
      <c r="A11322" s="26">
        <v>1052386819</v>
      </c>
      <c r="B11322" s="29" t="s">
        <v>13533</v>
      </c>
      <c r="C11322" s="29" t="s">
        <v>27174</v>
      </c>
      <c r="D11322" s="29" t="s">
        <v>40651</v>
      </c>
      <c r="E11322" s="29" t="s">
        <v>52207</v>
      </c>
      <c r="F11322" s="36" t="s">
        <v>54401</v>
      </c>
      <c r="G11322" s="39">
        <v>1987134.46</v>
      </c>
      <c r="H11322" s="42">
        <v>211</v>
      </c>
    </row>
    <row r="11323" spans="1:8" ht="15" customHeight="1">
      <c r="A11323" s="26">
        <v>1052386858</v>
      </c>
      <c r="B11323" s="29" t="s">
        <v>13534</v>
      </c>
      <c r="C11323" s="29" t="s">
        <v>27175</v>
      </c>
      <c r="D11323" s="29" t="s">
        <v>40652</v>
      </c>
      <c r="E11323" s="29" t="s">
        <v>52208</v>
      </c>
      <c r="F11323" s="36" t="s">
        <v>54401</v>
      </c>
      <c r="G11323" s="39">
        <v>1516210.27</v>
      </c>
      <c r="H11323" s="42">
        <v>211</v>
      </c>
    </row>
    <row r="11324" spans="1:8" ht="15" customHeight="1">
      <c r="A11324" s="26">
        <v>1052386868</v>
      </c>
      <c r="B11324" s="29" t="s">
        <v>13535</v>
      </c>
      <c r="C11324" s="29" t="s">
        <v>27176</v>
      </c>
      <c r="D11324" s="29" t="s">
        <v>40653</v>
      </c>
      <c r="E11324" s="29" t="s">
        <v>52209</v>
      </c>
      <c r="F11324" s="36" t="s">
        <v>54401</v>
      </c>
      <c r="G11324" s="39">
        <v>2172261</v>
      </c>
      <c r="H11324" s="42">
        <v>211</v>
      </c>
    </row>
    <row r="11325" spans="1:8" ht="15" customHeight="1">
      <c r="A11325" s="26">
        <v>1052386890</v>
      </c>
      <c r="B11325" s="29" t="s">
        <v>13536</v>
      </c>
      <c r="C11325" s="29" t="s">
        <v>27177</v>
      </c>
      <c r="D11325" s="29" t="s">
        <v>40654</v>
      </c>
      <c r="E11325" s="29" t="s">
        <v>52210</v>
      </c>
      <c r="F11325" s="36" t="s">
        <v>54401</v>
      </c>
      <c r="G11325" s="39">
        <v>266085.05</v>
      </c>
      <c r="H11325" s="42">
        <v>211</v>
      </c>
    </row>
    <row r="11326" spans="1:8" ht="15" customHeight="1">
      <c r="A11326" s="26">
        <v>1052386901</v>
      </c>
      <c r="B11326" s="29" t="s">
        <v>13537</v>
      </c>
      <c r="C11326" s="29" t="s">
        <v>27178</v>
      </c>
      <c r="D11326" s="29" t="s">
        <v>40655</v>
      </c>
      <c r="E11326" s="29" t="s">
        <v>43926</v>
      </c>
      <c r="F11326" s="36" t="s">
        <v>54401</v>
      </c>
      <c r="G11326" s="39">
        <v>675633</v>
      </c>
      <c r="H11326" s="42">
        <v>211</v>
      </c>
    </row>
    <row r="11327" spans="1:8" ht="15" customHeight="1">
      <c r="A11327" s="26">
        <v>1052386949</v>
      </c>
      <c r="B11327" s="29" t="s">
        <v>13538</v>
      </c>
      <c r="C11327" s="29" t="s">
        <v>27179</v>
      </c>
      <c r="D11327" s="29" t="s">
        <v>40656</v>
      </c>
      <c r="E11327" s="29" t="s">
        <v>52211</v>
      </c>
      <c r="F11327" s="36" t="s">
        <v>54401</v>
      </c>
      <c r="G11327" s="39">
        <v>3043003</v>
      </c>
      <c r="H11327" s="42">
        <v>211</v>
      </c>
    </row>
    <row r="11328" spans="1:8" ht="15" customHeight="1">
      <c r="A11328" s="26">
        <v>1052386963</v>
      </c>
      <c r="B11328" s="29" t="s">
        <v>13539</v>
      </c>
      <c r="C11328" s="29" t="s">
        <v>27180</v>
      </c>
      <c r="D11328" s="29" t="s">
        <v>40657</v>
      </c>
      <c r="E11328" s="29" t="s">
        <v>52212</v>
      </c>
      <c r="F11328" s="36" t="s">
        <v>54401</v>
      </c>
      <c r="G11328" s="39">
        <v>2631992.9</v>
      </c>
      <c r="H11328" s="42">
        <v>211</v>
      </c>
    </row>
    <row r="11329" spans="1:8" ht="15" customHeight="1">
      <c r="A11329" s="26">
        <v>1052386974</v>
      </c>
      <c r="B11329" s="29" t="s">
        <v>13540</v>
      </c>
      <c r="C11329" s="29" t="s">
        <v>27181</v>
      </c>
      <c r="D11329" s="29" t="s">
        <v>40658</v>
      </c>
      <c r="E11329" s="29" t="s">
        <v>52213</v>
      </c>
      <c r="F11329" s="36" t="s">
        <v>54401</v>
      </c>
      <c r="G11329" s="39">
        <v>1934509.79</v>
      </c>
      <c r="H11329" s="42">
        <v>211</v>
      </c>
    </row>
    <row r="11330" spans="1:8" ht="15" customHeight="1">
      <c r="A11330" s="26">
        <v>1052387007</v>
      </c>
      <c r="B11330" s="29" t="s">
        <v>13541</v>
      </c>
      <c r="C11330" s="29" t="s">
        <v>27182</v>
      </c>
      <c r="D11330" s="29" t="s">
        <v>40659</v>
      </c>
      <c r="E11330" s="29" t="s">
        <v>52214</v>
      </c>
      <c r="F11330" s="36" t="s">
        <v>54401</v>
      </c>
      <c r="G11330" s="39">
        <v>1942160</v>
      </c>
      <c r="H11330" s="42">
        <v>211</v>
      </c>
    </row>
    <row r="11331" spans="1:8" ht="15" customHeight="1">
      <c r="A11331" s="26">
        <v>1052387013</v>
      </c>
      <c r="B11331" s="29" t="s">
        <v>13542</v>
      </c>
      <c r="C11331" s="29" t="s">
        <v>27183</v>
      </c>
      <c r="D11331" s="29" t="s">
        <v>40660</v>
      </c>
      <c r="E11331" s="29" t="s">
        <v>43926</v>
      </c>
      <c r="F11331" s="36" t="s">
        <v>54401</v>
      </c>
      <c r="G11331" s="39">
        <v>873996.35</v>
      </c>
      <c r="H11331" s="42">
        <v>211</v>
      </c>
    </row>
    <row r="11332" spans="1:8" ht="15" customHeight="1">
      <c r="A11332" s="26">
        <v>1052387032</v>
      </c>
      <c r="B11332" s="29" t="s">
        <v>13543</v>
      </c>
      <c r="C11332" s="29" t="s">
        <v>27184</v>
      </c>
      <c r="D11332" s="29" t="s">
        <v>40661</v>
      </c>
      <c r="E11332" s="29" t="s">
        <v>46914</v>
      </c>
      <c r="F11332" s="36" t="s">
        <v>54401</v>
      </c>
      <c r="G11332" s="39">
        <v>927610.86</v>
      </c>
      <c r="H11332" s="42">
        <v>211</v>
      </c>
    </row>
    <row r="11333" spans="1:8" ht="15" customHeight="1">
      <c r="A11333" s="26">
        <v>1052387033</v>
      </c>
      <c r="B11333" s="29" t="s">
        <v>13544</v>
      </c>
      <c r="C11333" s="29" t="s">
        <v>27185</v>
      </c>
      <c r="D11333" s="29" t="s">
        <v>40662</v>
      </c>
      <c r="E11333" s="29" t="s">
        <v>52215</v>
      </c>
      <c r="F11333" s="36" t="s">
        <v>54401</v>
      </c>
      <c r="G11333" s="39">
        <v>1150547.27</v>
      </c>
      <c r="H11333" s="42">
        <v>211</v>
      </c>
    </row>
    <row r="11334" spans="1:8" ht="15" customHeight="1">
      <c r="A11334" s="26">
        <v>1052387041</v>
      </c>
      <c r="B11334" s="29" t="s">
        <v>13545</v>
      </c>
      <c r="C11334" s="29" t="s">
        <v>27186</v>
      </c>
      <c r="D11334" s="29" t="s">
        <v>40663</v>
      </c>
      <c r="E11334" s="29" t="s">
        <v>46588</v>
      </c>
      <c r="F11334" s="36" t="s">
        <v>54401</v>
      </c>
      <c r="G11334" s="39">
        <v>89871.15</v>
      </c>
      <c r="H11334" s="42">
        <v>211</v>
      </c>
    </row>
    <row r="11335" spans="1:8" ht="15" customHeight="1">
      <c r="A11335" s="26">
        <v>1052387123</v>
      </c>
      <c r="B11335" s="29" t="s">
        <v>13546</v>
      </c>
      <c r="C11335" s="29" t="s">
        <v>27187</v>
      </c>
      <c r="D11335" s="29" t="s">
        <v>40664</v>
      </c>
      <c r="E11335" s="29" t="s">
        <v>52216</v>
      </c>
      <c r="F11335" s="36" t="s">
        <v>54401</v>
      </c>
      <c r="G11335" s="39">
        <v>7838155</v>
      </c>
      <c r="H11335" s="42">
        <v>211</v>
      </c>
    </row>
    <row r="11336" spans="1:8" ht="15" customHeight="1">
      <c r="A11336" s="26">
        <v>1052387125</v>
      </c>
      <c r="B11336" s="29" t="s">
        <v>13547</v>
      </c>
      <c r="C11336" s="29" t="s">
        <v>27188</v>
      </c>
      <c r="D11336" s="29" t="s">
        <v>40665</v>
      </c>
      <c r="E11336" s="29" t="s">
        <v>52217</v>
      </c>
      <c r="F11336" s="36" t="s">
        <v>54401</v>
      </c>
      <c r="G11336" s="39">
        <v>231841.14</v>
      </c>
      <c r="H11336" s="42">
        <v>211</v>
      </c>
    </row>
    <row r="11337" spans="1:8" ht="15" customHeight="1">
      <c r="A11337" s="26">
        <v>1052387139</v>
      </c>
      <c r="B11337" s="29" t="s">
        <v>13548</v>
      </c>
      <c r="C11337" s="29" t="s">
        <v>27189</v>
      </c>
      <c r="D11337" s="29" t="s">
        <v>40666</v>
      </c>
      <c r="E11337" s="29" t="s">
        <v>52218</v>
      </c>
      <c r="F11337" s="36" t="s">
        <v>54401</v>
      </c>
      <c r="G11337" s="39">
        <v>3218341.38</v>
      </c>
      <c r="H11337" s="42">
        <v>211</v>
      </c>
    </row>
    <row r="11338" spans="1:8" ht="15" customHeight="1">
      <c r="A11338" s="26">
        <v>1052387150</v>
      </c>
      <c r="B11338" s="29" t="s">
        <v>13549</v>
      </c>
      <c r="C11338" s="29" t="s">
        <v>27190</v>
      </c>
      <c r="D11338" s="29" t="s">
        <v>40667</v>
      </c>
      <c r="E11338" s="29" t="s">
        <v>52219</v>
      </c>
      <c r="F11338" s="36" t="s">
        <v>54401</v>
      </c>
      <c r="G11338" s="39">
        <v>4893715</v>
      </c>
      <c r="H11338" s="42">
        <v>211</v>
      </c>
    </row>
    <row r="11339" spans="1:8" ht="15" customHeight="1">
      <c r="A11339" s="26">
        <v>1052387167</v>
      </c>
      <c r="B11339" s="29" t="s">
        <v>13550</v>
      </c>
      <c r="C11339" s="29" t="s">
        <v>17204</v>
      </c>
      <c r="D11339" s="29" t="s">
        <v>40668</v>
      </c>
      <c r="E11339" s="29" t="s">
        <v>43926</v>
      </c>
      <c r="F11339" s="36" t="s">
        <v>54401</v>
      </c>
      <c r="G11339" s="39">
        <v>168664.92</v>
      </c>
      <c r="H11339" s="42">
        <v>211</v>
      </c>
    </row>
    <row r="11340" spans="1:8" ht="15" customHeight="1">
      <c r="A11340" s="26">
        <v>1052387168</v>
      </c>
      <c r="B11340" s="29" t="s">
        <v>13551</v>
      </c>
      <c r="C11340" s="29" t="s">
        <v>27191</v>
      </c>
      <c r="D11340" s="29" t="s">
        <v>40669</v>
      </c>
      <c r="E11340" s="29" t="s">
        <v>52220</v>
      </c>
      <c r="F11340" s="36" t="s">
        <v>54401</v>
      </c>
      <c r="G11340" s="39">
        <v>1527383.06</v>
      </c>
      <c r="H11340" s="42">
        <v>211</v>
      </c>
    </row>
    <row r="11341" spans="1:8" ht="15" customHeight="1">
      <c r="A11341" s="26">
        <v>1052387191</v>
      </c>
      <c r="B11341" s="29" t="s">
        <v>13552</v>
      </c>
      <c r="C11341" s="29" t="s">
        <v>27192</v>
      </c>
      <c r="D11341" s="29" t="s">
        <v>40670</v>
      </c>
      <c r="E11341" s="29" t="s">
        <v>52221</v>
      </c>
      <c r="F11341" s="36" t="s">
        <v>54401</v>
      </c>
      <c r="G11341" s="39">
        <v>310882.03999999998</v>
      </c>
      <c r="H11341" s="42">
        <v>211</v>
      </c>
    </row>
    <row r="11342" spans="1:8" ht="15" customHeight="1">
      <c r="A11342" s="26">
        <v>1052387198</v>
      </c>
      <c r="B11342" s="29" t="s">
        <v>13553</v>
      </c>
      <c r="C11342" s="26" t="s">
        <v>17204</v>
      </c>
      <c r="D11342" s="26" t="s">
        <v>30349</v>
      </c>
      <c r="E11342" s="26" t="s">
        <v>43926</v>
      </c>
      <c r="F11342" s="37" t="s">
        <v>54401</v>
      </c>
      <c r="G11342" s="39">
        <v>31643.37</v>
      </c>
      <c r="H11342" s="42">
        <v>211</v>
      </c>
    </row>
    <row r="11343" spans="1:8" ht="15" customHeight="1">
      <c r="A11343" s="26">
        <v>1052387330</v>
      </c>
      <c r="B11343" s="29" t="s">
        <v>13554</v>
      </c>
      <c r="C11343" s="29" t="s">
        <v>27193</v>
      </c>
      <c r="D11343" s="29" t="s">
        <v>40671</v>
      </c>
      <c r="E11343" s="29" t="s">
        <v>52222</v>
      </c>
      <c r="F11343" s="36" t="s">
        <v>54401</v>
      </c>
      <c r="G11343" s="39">
        <v>4130586</v>
      </c>
      <c r="H11343" s="42">
        <v>211</v>
      </c>
    </row>
    <row r="11344" spans="1:8" ht="15" customHeight="1">
      <c r="A11344" s="26">
        <v>1052387333</v>
      </c>
      <c r="B11344" s="29" t="s">
        <v>13555</v>
      </c>
      <c r="C11344" s="29" t="s">
        <v>17204</v>
      </c>
      <c r="D11344" s="29" t="s">
        <v>40672</v>
      </c>
      <c r="E11344" s="29" t="s">
        <v>43926</v>
      </c>
      <c r="F11344" s="36" t="s">
        <v>54401</v>
      </c>
      <c r="G11344" s="39">
        <v>802210.54</v>
      </c>
      <c r="H11344" s="42">
        <v>211</v>
      </c>
    </row>
    <row r="11345" spans="1:8" ht="15" customHeight="1">
      <c r="A11345" s="26">
        <v>1052387358</v>
      </c>
      <c r="B11345" s="29" t="s">
        <v>13556</v>
      </c>
      <c r="C11345" s="29" t="s">
        <v>17204</v>
      </c>
      <c r="D11345" s="29" t="s">
        <v>30349</v>
      </c>
      <c r="E11345" s="29" t="s">
        <v>43926</v>
      </c>
      <c r="F11345" s="36" t="s">
        <v>54401</v>
      </c>
      <c r="G11345" s="39">
        <v>294940.59000000003</v>
      </c>
      <c r="H11345" s="42">
        <v>211</v>
      </c>
    </row>
    <row r="11346" spans="1:8" ht="15" customHeight="1">
      <c r="A11346" s="26">
        <v>1052387404</v>
      </c>
      <c r="B11346" s="29" t="s">
        <v>13557</v>
      </c>
      <c r="C11346" s="29" t="s">
        <v>17204</v>
      </c>
      <c r="D11346" s="29" t="s">
        <v>40673</v>
      </c>
      <c r="E11346" s="29" t="s">
        <v>43926</v>
      </c>
      <c r="F11346" s="36" t="s">
        <v>54401</v>
      </c>
      <c r="G11346" s="39">
        <v>8168.06</v>
      </c>
      <c r="H11346" s="42">
        <v>211</v>
      </c>
    </row>
    <row r="11347" spans="1:8" ht="15" customHeight="1">
      <c r="A11347" s="26">
        <v>1052387411</v>
      </c>
      <c r="B11347" s="29" t="s">
        <v>13558</v>
      </c>
      <c r="C11347" s="29" t="s">
        <v>25551</v>
      </c>
      <c r="D11347" s="29" t="s">
        <v>38978</v>
      </c>
      <c r="E11347" s="29" t="s">
        <v>52223</v>
      </c>
      <c r="F11347" s="36" t="s">
        <v>54401</v>
      </c>
      <c r="G11347" s="39">
        <v>3069606.12</v>
      </c>
      <c r="H11347" s="42">
        <v>211</v>
      </c>
    </row>
    <row r="11348" spans="1:8" ht="15" customHeight="1">
      <c r="A11348" s="26">
        <v>1052387414</v>
      </c>
      <c r="B11348" s="29" t="s">
        <v>13559</v>
      </c>
      <c r="C11348" s="29" t="s">
        <v>27194</v>
      </c>
      <c r="D11348" s="29" t="s">
        <v>40674</v>
      </c>
      <c r="E11348" s="29" t="s">
        <v>43926</v>
      </c>
      <c r="F11348" s="36" t="s">
        <v>54401</v>
      </c>
      <c r="G11348" s="39">
        <v>463505.1</v>
      </c>
      <c r="H11348" s="42">
        <v>211</v>
      </c>
    </row>
    <row r="11349" spans="1:8" ht="15" customHeight="1">
      <c r="A11349" s="26">
        <v>1052387420</v>
      </c>
      <c r="B11349" s="29" t="s">
        <v>13560</v>
      </c>
      <c r="C11349" s="29" t="s">
        <v>27195</v>
      </c>
      <c r="D11349" s="29" t="s">
        <v>40675</v>
      </c>
      <c r="E11349" s="29" t="s">
        <v>52224</v>
      </c>
      <c r="F11349" s="36" t="s">
        <v>54401</v>
      </c>
      <c r="G11349" s="39">
        <v>2975867.74</v>
      </c>
      <c r="H11349" s="42">
        <v>211</v>
      </c>
    </row>
    <row r="11350" spans="1:8" ht="15" customHeight="1">
      <c r="A11350" s="26">
        <v>1052387464</v>
      </c>
      <c r="B11350" s="29" t="s">
        <v>13561</v>
      </c>
      <c r="C11350" s="29" t="s">
        <v>27196</v>
      </c>
      <c r="D11350" s="29" t="s">
        <v>40676</v>
      </c>
      <c r="E11350" s="29" t="s">
        <v>52225</v>
      </c>
      <c r="F11350" s="36" t="s">
        <v>54401</v>
      </c>
      <c r="G11350" s="39">
        <v>3336519.6</v>
      </c>
      <c r="H11350" s="42">
        <v>211</v>
      </c>
    </row>
    <row r="11351" spans="1:8" ht="15" customHeight="1">
      <c r="A11351" s="26">
        <v>1052387477</v>
      </c>
      <c r="B11351" s="29" t="s">
        <v>13562</v>
      </c>
      <c r="C11351" s="29" t="s">
        <v>27197</v>
      </c>
      <c r="D11351" s="29" t="s">
        <v>40677</v>
      </c>
      <c r="E11351" s="29" t="s">
        <v>43926</v>
      </c>
      <c r="F11351" s="36" t="s">
        <v>54401</v>
      </c>
      <c r="G11351" s="39">
        <v>221718.45</v>
      </c>
      <c r="H11351" s="42">
        <v>211</v>
      </c>
    </row>
    <row r="11352" spans="1:8" ht="15" customHeight="1">
      <c r="A11352" s="26">
        <v>1052387492</v>
      </c>
      <c r="B11352" s="29" t="s">
        <v>13563</v>
      </c>
      <c r="C11352" s="26" t="s">
        <v>27198</v>
      </c>
      <c r="D11352" s="26" t="s">
        <v>40678</v>
      </c>
      <c r="E11352" s="26" t="s">
        <v>51800</v>
      </c>
      <c r="F11352" s="37" t="s">
        <v>54401</v>
      </c>
      <c r="G11352" s="39">
        <v>4175674.12</v>
      </c>
      <c r="H11352" s="42">
        <v>211</v>
      </c>
    </row>
    <row r="11353" spans="1:8" ht="15" customHeight="1">
      <c r="A11353" s="26">
        <v>1052387502</v>
      </c>
      <c r="B11353" s="29" t="s">
        <v>13564</v>
      </c>
      <c r="C11353" s="29" t="s">
        <v>27199</v>
      </c>
      <c r="D11353" s="29" t="s">
        <v>40679</v>
      </c>
      <c r="E11353" s="29" t="s">
        <v>52226</v>
      </c>
      <c r="F11353" s="36" t="s">
        <v>54401</v>
      </c>
      <c r="G11353" s="39">
        <v>1567178.91</v>
      </c>
      <c r="H11353" s="42">
        <v>211</v>
      </c>
    </row>
    <row r="11354" spans="1:8" ht="15" customHeight="1">
      <c r="A11354" s="26">
        <v>1052387513</v>
      </c>
      <c r="B11354" s="29" t="s">
        <v>13565</v>
      </c>
      <c r="C11354" s="29" t="s">
        <v>27200</v>
      </c>
      <c r="D11354" s="29" t="s">
        <v>40680</v>
      </c>
      <c r="E11354" s="29" t="s">
        <v>52227</v>
      </c>
      <c r="F11354" s="36" t="s">
        <v>54401</v>
      </c>
      <c r="G11354" s="39">
        <v>4987664</v>
      </c>
      <c r="H11354" s="42">
        <v>211</v>
      </c>
    </row>
    <row r="11355" spans="1:8" ht="15" customHeight="1">
      <c r="A11355" s="26">
        <v>1052387523</v>
      </c>
      <c r="B11355" s="29" t="s">
        <v>13566</v>
      </c>
      <c r="C11355" s="29" t="s">
        <v>27201</v>
      </c>
      <c r="D11355" s="29" t="s">
        <v>40681</v>
      </c>
      <c r="E11355" s="29" t="s">
        <v>52228</v>
      </c>
      <c r="F11355" s="36" t="s">
        <v>54401</v>
      </c>
      <c r="G11355" s="39">
        <v>436652.68</v>
      </c>
      <c r="H11355" s="42">
        <v>211</v>
      </c>
    </row>
    <row r="11356" spans="1:8" ht="15" customHeight="1">
      <c r="A11356" s="26">
        <v>1052387526</v>
      </c>
      <c r="B11356" s="29" t="s">
        <v>13567</v>
      </c>
      <c r="C11356" s="29" t="s">
        <v>26783</v>
      </c>
      <c r="D11356" s="29" t="s">
        <v>40682</v>
      </c>
      <c r="E11356" s="29" t="s">
        <v>51429</v>
      </c>
      <c r="F11356" s="36" t="s">
        <v>54401</v>
      </c>
      <c r="G11356" s="39">
        <v>1131448.3</v>
      </c>
      <c r="H11356" s="42">
        <v>211</v>
      </c>
    </row>
    <row r="11357" spans="1:8" ht="15" customHeight="1">
      <c r="A11357" s="26">
        <v>1052387542</v>
      </c>
      <c r="B11357" s="29" t="s">
        <v>13568</v>
      </c>
      <c r="C11357" s="26" t="s">
        <v>27202</v>
      </c>
      <c r="D11357" s="26" t="s">
        <v>40683</v>
      </c>
      <c r="E11357" s="26" t="s">
        <v>52229</v>
      </c>
      <c r="F11357" s="37" t="s">
        <v>54401</v>
      </c>
      <c r="G11357" s="39">
        <v>2427789</v>
      </c>
      <c r="H11357" s="42">
        <v>211</v>
      </c>
    </row>
    <row r="11358" spans="1:8" ht="15" customHeight="1">
      <c r="A11358" s="26">
        <v>1052387548</v>
      </c>
      <c r="B11358" s="29" t="s">
        <v>13569</v>
      </c>
      <c r="C11358" s="29" t="s">
        <v>27203</v>
      </c>
      <c r="D11358" s="29" t="s">
        <v>40684</v>
      </c>
      <c r="E11358" s="29" t="s">
        <v>52230</v>
      </c>
      <c r="F11358" s="36" t="s">
        <v>54401</v>
      </c>
      <c r="G11358" s="39">
        <v>648155.46</v>
      </c>
      <c r="H11358" s="42">
        <v>211</v>
      </c>
    </row>
    <row r="11359" spans="1:8" ht="15" customHeight="1">
      <c r="A11359" s="26">
        <v>1052387574</v>
      </c>
      <c r="B11359" s="29" t="s">
        <v>13570</v>
      </c>
      <c r="C11359" s="29" t="s">
        <v>27204</v>
      </c>
      <c r="D11359" s="29" t="s">
        <v>40685</v>
      </c>
      <c r="E11359" s="29" t="s">
        <v>49310</v>
      </c>
      <c r="F11359" s="36" t="s">
        <v>54401</v>
      </c>
      <c r="G11359" s="39">
        <v>2863241</v>
      </c>
      <c r="H11359" s="42">
        <v>211</v>
      </c>
    </row>
    <row r="11360" spans="1:8" ht="15" customHeight="1">
      <c r="A11360" s="26">
        <v>1052387595</v>
      </c>
      <c r="B11360" s="29" t="s">
        <v>13571</v>
      </c>
      <c r="C11360" s="29" t="s">
        <v>27205</v>
      </c>
      <c r="D11360" s="29" t="s">
        <v>40686</v>
      </c>
      <c r="E11360" s="29" t="s">
        <v>52231</v>
      </c>
      <c r="F11360" s="36" t="s">
        <v>54401</v>
      </c>
      <c r="G11360" s="39">
        <v>2836926</v>
      </c>
      <c r="H11360" s="42">
        <v>211</v>
      </c>
    </row>
    <row r="11361" spans="1:8" ht="15" customHeight="1">
      <c r="A11361" s="26">
        <v>1052387690</v>
      </c>
      <c r="B11361" s="29" t="s">
        <v>13572</v>
      </c>
      <c r="C11361" s="29" t="s">
        <v>23547</v>
      </c>
      <c r="D11361" s="29" t="s">
        <v>36813</v>
      </c>
      <c r="E11361" s="29" t="s">
        <v>52232</v>
      </c>
      <c r="F11361" s="36" t="s">
        <v>54401</v>
      </c>
      <c r="G11361" s="39">
        <v>9623140.5700000003</v>
      </c>
      <c r="H11361" s="42">
        <v>211</v>
      </c>
    </row>
    <row r="11362" spans="1:8" ht="15" customHeight="1">
      <c r="A11362" s="26">
        <v>1052387695</v>
      </c>
      <c r="B11362" s="29" t="s">
        <v>13573</v>
      </c>
      <c r="C11362" s="29" t="s">
        <v>27206</v>
      </c>
      <c r="D11362" s="29" t="s">
        <v>40687</v>
      </c>
      <c r="E11362" s="29" t="s">
        <v>52233</v>
      </c>
      <c r="F11362" s="36" t="s">
        <v>54401</v>
      </c>
      <c r="G11362" s="39">
        <v>2466146</v>
      </c>
      <c r="H11362" s="42">
        <v>211</v>
      </c>
    </row>
    <row r="11363" spans="1:8" ht="15" customHeight="1">
      <c r="A11363" s="26">
        <v>1052387709</v>
      </c>
      <c r="B11363" s="29" t="s">
        <v>13574</v>
      </c>
      <c r="C11363" s="29" t="s">
        <v>17204</v>
      </c>
      <c r="D11363" s="29" t="s">
        <v>40688</v>
      </c>
      <c r="E11363" s="29" t="s">
        <v>43926</v>
      </c>
      <c r="F11363" s="36" t="s">
        <v>54401</v>
      </c>
      <c r="G11363" s="39">
        <v>555060.77</v>
      </c>
      <c r="H11363" s="42">
        <v>211</v>
      </c>
    </row>
    <row r="11364" spans="1:8" ht="15" customHeight="1">
      <c r="A11364" s="26">
        <v>1052387713</v>
      </c>
      <c r="B11364" s="29" t="s">
        <v>13575</v>
      </c>
      <c r="C11364" s="29" t="s">
        <v>27207</v>
      </c>
      <c r="D11364" s="29" t="s">
        <v>40689</v>
      </c>
      <c r="E11364" s="29" t="s">
        <v>51416</v>
      </c>
      <c r="F11364" s="36" t="s">
        <v>54401</v>
      </c>
      <c r="G11364" s="39">
        <v>605896.14</v>
      </c>
      <c r="H11364" s="42">
        <v>211</v>
      </c>
    </row>
    <row r="11365" spans="1:8" ht="15" customHeight="1">
      <c r="A11365" s="26">
        <v>1052387724</v>
      </c>
      <c r="B11365" s="29" t="s">
        <v>13576</v>
      </c>
      <c r="C11365" s="29" t="s">
        <v>27208</v>
      </c>
      <c r="D11365" s="29" t="s">
        <v>40690</v>
      </c>
      <c r="E11365" s="29" t="s">
        <v>52234</v>
      </c>
      <c r="F11365" s="36" t="s">
        <v>54401</v>
      </c>
      <c r="G11365" s="39">
        <v>53247.48</v>
      </c>
      <c r="H11365" s="42">
        <v>211</v>
      </c>
    </row>
    <row r="11366" spans="1:8" ht="15" customHeight="1">
      <c r="A11366" s="26">
        <v>1052387741</v>
      </c>
      <c r="B11366" s="29" t="s">
        <v>13577</v>
      </c>
      <c r="C11366" s="29" t="s">
        <v>27209</v>
      </c>
      <c r="D11366" s="29" t="s">
        <v>40691</v>
      </c>
      <c r="E11366" s="29" t="s">
        <v>52235</v>
      </c>
      <c r="F11366" s="36" t="s">
        <v>54401</v>
      </c>
      <c r="G11366" s="39">
        <v>33210.080000000002</v>
      </c>
      <c r="H11366" s="42">
        <v>211</v>
      </c>
    </row>
    <row r="11367" spans="1:8" ht="15" customHeight="1">
      <c r="A11367" s="26">
        <v>1052387774</v>
      </c>
      <c r="B11367" s="29" t="s">
        <v>13578</v>
      </c>
      <c r="C11367" s="29" t="s">
        <v>27210</v>
      </c>
      <c r="D11367" s="29" t="s">
        <v>40692</v>
      </c>
      <c r="E11367" s="29" t="s">
        <v>52236</v>
      </c>
      <c r="F11367" s="36" t="s">
        <v>54401</v>
      </c>
      <c r="G11367" s="39">
        <v>4876637.18</v>
      </c>
      <c r="H11367" s="42">
        <v>211</v>
      </c>
    </row>
    <row r="11368" spans="1:8" ht="15" customHeight="1">
      <c r="A11368" s="26">
        <v>1052387803</v>
      </c>
      <c r="B11368" s="29" t="s">
        <v>13579</v>
      </c>
      <c r="C11368" s="29" t="s">
        <v>27211</v>
      </c>
      <c r="D11368" s="29" t="s">
        <v>40693</v>
      </c>
      <c r="E11368" s="29" t="s">
        <v>52237</v>
      </c>
      <c r="F11368" s="36" t="s">
        <v>54401</v>
      </c>
      <c r="G11368" s="39">
        <v>369536.91</v>
      </c>
      <c r="H11368" s="42">
        <v>211</v>
      </c>
    </row>
    <row r="11369" spans="1:8" ht="15" customHeight="1">
      <c r="A11369" s="26">
        <v>1052387805</v>
      </c>
      <c r="B11369" s="29" t="s">
        <v>13580</v>
      </c>
      <c r="C11369" s="29" t="s">
        <v>27212</v>
      </c>
      <c r="D11369" s="29" t="s">
        <v>40694</v>
      </c>
      <c r="E11369" s="29" t="s">
        <v>44023</v>
      </c>
      <c r="F11369" s="36" t="s">
        <v>54401</v>
      </c>
      <c r="G11369" s="39">
        <v>1639110.73</v>
      </c>
      <c r="H11369" s="42">
        <v>211</v>
      </c>
    </row>
    <row r="11370" spans="1:8" ht="15" customHeight="1">
      <c r="A11370" s="26">
        <v>1052387817</v>
      </c>
      <c r="B11370" s="29" t="s">
        <v>13581</v>
      </c>
      <c r="C11370" s="26" t="s">
        <v>27213</v>
      </c>
      <c r="D11370" s="26" t="s">
        <v>32029</v>
      </c>
      <c r="E11370" s="26" t="s">
        <v>52238</v>
      </c>
      <c r="F11370" s="37" t="s">
        <v>54401</v>
      </c>
      <c r="G11370" s="39">
        <v>1648214.47</v>
      </c>
      <c r="H11370" s="42">
        <v>211</v>
      </c>
    </row>
    <row r="11371" spans="1:8" ht="15" customHeight="1">
      <c r="A11371" s="26">
        <v>1052387825</v>
      </c>
      <c r="B11371" s="29" t="s">
        <v>13582</v>
      </c>
      <c r="C11371" s="29" t="s">
        <v>27214</v>
      </c>
      <c r="D11371" s="29" t="s">
        <v>40695</v>
      </c>
      <c r="E11371" s="29" t="s">
        <v>43926</v>
      </c>
      <c r="F11371" s="36" t="s">
        <v>54401</v>
      </c>
      <c r="G11371" s="39">
        <v>1029344.58</v>
      </c>
      <c r="H11371" s="42">
        <v>211</v>
      </c>
    </row>
    <row r="11372" spans="1:8" ht="15" customHeight="1">
      <c r="A11372" s="26">
        <v>1052387848</v>
      </c>
      <c r="B11372" s="29" t="s">
        <v>13583</v>
      </c>
      <c r="C11372" s="29" t="s">
        <v>27215</v>
      </c>
      <c r="D11372" s="29" t="s">
        <v>40696</v>
      </c>
      <c r="E11372" s="29" t="s">
        <v>52239</v>
      </c>
      <c r="F11372" s="36" t="s">
        <v>54401</v>
      </c>
      <c r="G11372" s="39">
        <v>13134880.74</v>
      </c>
      <c r="H11372" s="42">
        <v>211</v>
      </c>
    </row>
    <row r="11373" spans="1:8" ht="15" customHeight="1">
      <c r="A11373" s="26">
        <v>1052387866</v>
      </c>
      <c r="B11373" s="29" t="s">
        <v>13584</v>
      </c>
      <c r="C11373" s="29" t="s">
        <v>27216</v>
      </c>
      <c r="D11373" s="29" t="s">
        <v>40697</v>
      </c>
      <c r="E11373" s="29" t="s">
        <v>52240</v>
      </c>
      <c r="F11373" s="36" t="s">
        <v>54401</v>
      </c>
      <c r="G11373" s="39">
        <v>243597.73</v>
      </c>
      <c r="H11373" s="42">
        <v>211</v>
      </c>
    </row>
    <row r="11374" spans="1:8" ht="15" customHeight="1">
      <c r="A11374" s="26">
        <v>1052387877</v>
      </c>
      <c r="B11374" s="29" t="s">
        <v>13585</v>
      </c>
      <c r="C11374" s="26" t="s">
        <v>17204</v>
      </c>
      <c r="D11374" s="26" t="s">
        <v>30349</v>
      </c>
      <c r="E11374" s="26" t="s">
        <v>43926</v>
      </c>
      <c r="F11374" s="37" t="s">
        <v>54401</v>
      </c>
      <c r="G11374" s="39">
        <v>415360.61</v>
      </c>
      <c r="H11374" s="42">
        <v>211</v>
      </c>
    </row>
    <row r="11375" spans="1:8" ht="15" customHeight="1">
      <c r="A11375" s="26">
        <v>1052387895</v>
      </c>
      <c r="B11375" s="29" t="s">
        <v>13586</v>
      </c>
      <c r="C11375" s="29" t="s">
        <v>27217</v>
      </c>
      <c r="D11375" s="29" t="s">
        <v>40698</v>
      </c>
      <c r="E11375" s="29" t="s">
        <v>47350</v>
      </c>
      <c r="F11375" s="36" t="s">
        <v>54401</v>
      </c>
      <c r="G11375" s="39">
        <v>218580.67</v>
      </c>
      <c r="H11375" s="42">
        <v>211</v>
      </c>
    </row>
    <row r="11376" spans="1:8" ht="15" customHeight="1">
      <c r="A11376" s="26">
        <v>1052387901</v>
      </c>
      <c r="B11376" s="29" t="s">
        <v>13587</v>
      </c>
      <c r="C11376" s="29" t="s">
        <v>27218</v>
      </c>
      <c r="D11376" s="29" t="s">
        <v>40699</v>
      </c>
      <c r="E11376" s="29" t="s">
        <v>52241</v>
      </c>
      <c r="F11376" s="36" t="s">
        <v>54401</v>
      </c>
      <c r="G11376" s="39">
        <v>722794.77</v>
      </c>
      <c r="H11376" s="42">
        <v>211</v>
      </c>
    </row>
    <row r="11377" spans="1:8" ht="15" customHeight="1">
      <c r="A11377" s="26">
        <v>1052387904</v>
      </c>
      <c r="B11377" s="29" t="s">
        <v>13588</v>
      </c>
      <c r="C11377" s="29" t="s">
        <v>27219</v>
      </c>
      <c r="D11377" s="29" t="s">
        <v>40700</v>
      </c>
      <c r="E11377" s="29" t="s">
        <v>52242</v>
      </c>
      <c r="F11377" s="36" t="s">
        <v>54401</v>
      </c>
      <c r="G11377" s="39">
        <v>2451957</v>
      </c>
      <c r="H11377" s="42">
        <v>211</v>
      </c>
    </row>
    <row r="11378" spans="1:8" ht="15" customHeight="1">
      <c r="A11378" s="26">
        <v>1052387907</v>
      </c>
      <c r="B11378" s="29" t="s">
        <v>13589</v>
      </c>
      <c r="C11378" s="29" t="s">
        <v>27220</v>
      </c>
      <c r="D11378" s="29" t="s">
        <v>40701</v>
      </c>
      <c r="E11378" s="29" t="s">
        <v>52243</v>
      </c>
      <c r="F11378" s="36" t="s">
        <v>54401</v>
      </c>
      <c r="G11378" s="39">
        <v>5841457</v>
      </c>
      <c r="H11378" s="42">
        <v>211</v>
      </c>
    </row>
    <row r="11379" spans="1:8" ht="15" customHeight="1">
      <c r="A11379" s="26">
        <v>1052387930</v>
      </c>
      <c r="B11379" s="29" t="s">
        <v>13590</v>
      </c>
      <c r="C11379" s="29" t="s">
        <v>27221</v>
      </c>
      <c r="D11379" s="29" t="s">
        <v>40702</v>
      </c>
      <c r="E11379" s="29" t="s">
        <v>52244</v>
      </c>
      <c r="F11379" s="36" t="s">
        <v>54401</v>
      </c>
      <c r="G11379" s="39">
        <v>697794.16</v>
      </c>
      <c r="H11379" s="42">
        <v>211</v>
      </c>
    </row>
    <row r="11380" spans="1:8" ht="15" customHeight="1">
      <c r="A11380" s="26">
        <v>1052387958</v>
      </c>
      <c r="B11380" s="29" t="s">
        <v>13591</v>
      </c>
      <c r="C11380" s="29" t="s">
        <v>27222</v>
      </c>
      <c r="D11380" s="29" t="s">
        <v>40703</v>
      </c>
      <c r="E11380" s="29" t="s">
        <v>52245</v>
      </c>
      <c r="F11380" s="36" t="s">
        <v>54401</v>
      </c>
      <c r="G11380" s="39">
        <v>583870.93000000005</v>
      </c>
      <c r="H11380" s="42">
        <v>211</v>
      </c>
    </row>
    <row r="11381" spans="1:8" ht="15" customHeight="1">
      <c r="A11381" s="26">
        <v>1052387960</v>
      </c>
      <c r="B11381" s="29" t="s">
        <v>13592</v>
      </c>
      <c r="C11381" s="29" t="s">
        <v>27223</v>
      </c>
      <c r="D11381" s="29" t="s">
        <v>40704</v>
      </c>
      <c r="E11381" s="29" t="s">
        <v>46254</v>
      </c>
      <c r="F11381" s="36" t="s">
        <v>54401</v>
      </c>
      <c r="G11381" s="39">
        <v>124663.26</v>
      </c>
      <c r="H11381" s="42">
        <v>211</v>
      </c>
    </row>
    <row r="11382" spans="1:8" ht="15" customHeight="1">
      <c r="A11382" s="26">
        <v>1052387965</v>
      </c>
      <c r="B11382" s="29" t="s">
        <v>13593</v>
      </c>
      <c r="C11382" s="29" t="s">
        <v>17204</v>
      </c>
      <c r="D11382" s="29" t="s">
        <v>40705</v>
      </c>
      <c r="E11382" s="29" t="s">
        <v>43926</v>
      </c>
      <c r="F11382" s="36" t="s">
        <v>54401</v>
      </c>
      <c r="G11382" s="39">
        <v>181472.81</v>
      </c>
      <c r="H11382" s="42">
        <v>211</v>
      </c>
    </row>
    <row r="11383" spans="1:8" ht="15" customHeight="1">
      <c r="A11383" s="26">
        <v>1052387967</v>
      </c>
      <c r="B11383" s="29" t="s">
        <v>13594</v>
      </c>
      <c r="C11383" s="29" t="s">
        <v>27224</v>
      </c>
      <c r="D11383" s="29" t="s">
        <v>40706</v>
      </c>
      <c r="E11383" s="29" t="s">
        <v>52246</v>
      </c>
      <c r="F11383" s="36" t="s">
        <v>54401</v>
      </c>
      <c r="G11383" s="39">
        <v>3060</v>
      </c>
      <c r="H11383" s="42">
        <v>211</v>
      </c>
    </row>
    <row r="11384" spans="1:8" ht="15" customHeight="1">
      <c r="A11384" s="26">
        <v>1052388006</v>
      </c>
      <c r="B11384" s="29" t="s">
        <v>13595</v>
      </c>
      <c r="C11384" s="29" t="s">
        <v>27225</v>
      </c>
      <c r="D11384" s="29" t="s">
        <v>40707</v>
      </c>
      <c r="E11384" s="29" t="s">
        <v>46370</v>
      </c>
      <c r="F11384" s="36" t="s">
        <v>54401</v>
      </c>
      <c r="G11384" s="39">
        <v>4246208.71</v>
      </c>
      <c r="H11384" s="42">
        <v>211</v>
      </c>
    </row>
    <row r="11385" spans="1:8" ht="15" customHeight="1">
      <c r="A11385" s="26">
        <v>1052388049</v>
      </c>
      <c r="B11385" s="29" t="s">
        <v>13596</v>
      </c>
      <c r="C11385" s="29" t="s">
        <v>27226</v>
      </c>
      <c r="D11385" s="29" t="s">
        <v>40708</v>
      </c>
      <c r="E11385" s="29" t="s">
        <v>52247</v>
      </c>
      <c r="F11385" s="36" t="s">
        <v>54401</v>
      </c>
      <c r="G11385" s="39">
        <v>1723116.81</v>
      </c>
      <c r="H11385" s="42">
        <v>211</v>
      </c>
    </row>
    <row r="11386" spans="1:8" ht="15" customHeight="1">
      <c r="A11386" s="26">
        <v>1052388078</v>
      </c>
      <c r="B11386" s="29" t="s">
        <v>13597</v>
      </c>
      <c r="C11386" s="29" t="s">
        <v>27227</v>
      </c>
      <c r="D11386" s="29" t="s">
        <v>40709</v>
      </c>
      <c r="E11386" s="29" t="s">
        <v>52248</v>
      </c>
      <c r="F11386" s="36" t="s">
        <v>54401</v>
      </c>
      <c r="G11386" s="39">
        <v>2880033</v>
      </c>
      <c r="H11386" s="42">
        <v>211</v>
      </c>
    </row>
    <row r="11387" spans="1:8" ht="15" customHeight="1">
      <c r="A11387" s="26">
        <v>1052388112</v>
      </c>
      <c r="B11387" s="29" t="s">
        <v>13598</v>
      </c>
      <c r="C11387" s="29" t="s">
        <v>17204</v>
      </c>
      <c r="D11387" s="29" t="s">
        <v>40710</v>
      </c>
      <c r="E11387" s="29" t="s">
        <v>43926</v>
      </c>
      <c r="F11387" s="36" t="s">
        <v>54401</v>
      </c>
      <c r="G11387" s="39">
        <v>47034.400000000001</v>
      </c>
      <c r="H11387" s="42">
        <v>211</v>
      </c>
    </row>
    <row r="11388" spans="1:8" ht="15" customHeight="1">
      <c r="A11388" s="26">
        <v>1052388127</v>
      </c>
      <c r="B11388" s="29" t="s">
        <v>13599</v>
      </c>
      <c r="C11388" s="29" t="s">
        <v>19985</v>
      </c>
      <c r="D11388" s="29" t="s">
        <v>40711</v>
      </c>
      <c r="E11388" s="29" t="s">
        <v>46397</v>
      </c>
      <c r="F11388" s="36" t="s">
        <v>54401</v>
      </c>
      <c r="G11388" s="39">
        <v>1186625.72</v>
      </c>
      <c r="H11388" s="42">
        <v>211</v>
      </c>
    </row>
    <row r="11389" spans="1:8" ht="15" customHeight="1">
      <c r="A11389" s="26">
        <v>1052388135</v>
      </c>
      <c r="B11389" s="29" t="s">
        <v>13600</v>
      </c>
      <c r="C11389" s="29" t="s">
        <v>27228</v>
      </c>
      <c r="D11389" s="29" t="s">
        <v>36220</v>
      </c>
      <c r="E11389" s="29" t="s">
        <v>44439</v>
      </c>
      <c r="F11389" s="36" t="s">
        <v>54401</v>
      </c>
      <c r="G11389" s="39">
        <v>187549.15</v>
      </c>
      <c r="H11389" s="42">
        <v>211</v>
      </c>
    </row>
    <row r="11390" spans="1:8" ht="15" customHeight="1">
      <c r="A11390" s="26">
        <v>1052388137</v>
      </c>
      <c r="B11390" s="29" t="s">
        <v>13601</v>
      </c>
      <c r="C11390" s="26" t="s">
        <v>27229</v>
      </c>
      <c r="D11390" s="26" t="s">
        <v>40712</v>
      </c>
      <c r="E11390" s="26" t="s">
        <v>43926</v>
      </c>
      <c r="F11390" s="37" t="s">
        <v>54401</v>
      </c>
      <c r="G11390" s="39">
        <v>136177.93</v>
      </c>
      <c r="H11390" s="42">
        <v>211</v>
      </c>
    </row>
    <row r="11391" spans="1:8" ht="15" customHeight="1">
      <c r="A11391" s="26">
        <v>1052388157</v>
      </c>
      <c r="B11391" s="29" t="s">
        <v>13602</v>
      </c>
      <c r="C11391" s="29" t="s">
        <v>27230</v>
      </c>
      <c r="D11391" s="29" t="s">
        <v>40713</v>
      </c>
      <c r="E11391" s="29" t="s">
        <v>43926</v>
      </c>
      <c r="F11391" s="36" t="s">
        <v>54401</v>
      </c>
      <c r="G11391" s="39">
        <v>3426209</v>
      </c>
      <c r="H11391" s="42">
        <v>211</v>
      </c>
    </row>
    <row r="11392" spans="1:8" ht="15" customHeight="1">
      <c r="A11392" s="26">
        <v>1052388165</v>
      </c>
      <c r="B11392" s="29" t="s">
        <v>13603</v>
      </c>
      <c r="C11392" s="29" t="s">
        <v>27231</v>
      </c>
      <c r="D11392" s="29" t="s">
        <v>40714</v>
      </c>
      <c r="E11392" s="29" t="s">
        <v>52249</v>
      </c>
      <c r="F11392" s="36" t="s">
        <v>54401</v>
      </c>
      <c r="G11392" s="39">
        <v>2468052.33</v>
      </c>
      <c r="H11392" s="42">
        <v>211</v>
      </c>
    </row>
    <row r="11393" spans="1:8" ht="15" customHeight="1">
      <c r="A11393" s="26">
        <v>1052388192</v>
      </c>
      <c r="B11393" s="29" t="s">
        <v>13604</v>
      </c>
      <c r="C11393" s="26" t="s">
        <v>17204</v>
      </c>
      <c r="D11393" s="26" t="s">
        <v>30349</v>
      </c>
      <c r="E11393" s="26" t="s">
        <v>43926</v>
      </c>
      <c r="F11393" s="37" t="s">
        <v>54401</v>
      </c>
      <c r="G11393" s="39">
        <v>571111.49</v>
      </c>
      <c r="H11393" s="42">
        <v>211</v>
      </c>
    </row>
    <row r="11394" spans="1:8" ht="15" customHeight="1">
      <c r="A11394" s="26">
        <v>1052388200</v>
      </c>
      <c r="B11394" s="29" t="s">
        <v>13605</v>
      </c>
      <c r="C11394" s="29" t="s">
        <v>27232</v>
      </c>
      <c r="D11394" s="29" t="s">
        <v>40715</v>
      </c>
      <c r="E11394" s="29" t="s">
        <v>52250</v>
      </c>
      <c r="F11394" s="36" t="s">
        <v>54401</v>
      </c>
      <c r="G11394" s="39">
        <v>785396.72</v>
      </c>
      <c r="H11394" s="42">
        <v>211</v>
      </c>
    </row>
    <row r="11395" spans="1:8" ht="15" customHeight="1">
      <c r="A11395" s="26">
        <v>1052388201</v>
      </c>
      <c r="B11395" s="29" t="s">
        <v>13606</v>
      </c>
      <c r="C11395" s="26" t="s">
        <v>27233</v>
      </c>
      <c r="D11395" s="26" t="s">
        <v>40716</v>
      </c>
      <c r="E11395" s="26" t="s">
        <v>52251</v>
      </c>
      <c r="F11395" s="37" t="s">
        <v>54401</v>
      </c>
      <c r="G11395" s="39">
        <v>331299.15999999997</v>
      </c>
      <c r="H11395" s="42">
        <v>211</v>
      </c>
    </row>
    <row r="11396" spans="1:8" ht="15" customHeight="1">
      <c r="A11396" s="26">
        <v>1052388208</v>
      </c>
      <c r="B11396" s="29" t="s">
        <v>13607</v>
      </c>
      <c r="C11396" s="29" t="s">
        <v>27234</v>
      </c>
      <c r="D11396" s="29" t="s">
        <v>40717</v>
      </c>
      <c r="E11396" s="29" t="s">
        <v>46370</v>
      </c>
      <c r="F11396" s="36" t="s">
        <v>54401</v>
      </c>
      <c r="G11396" s="39">
        <v>49217.93</v>
      </c>
      <c r="H11396" s="42">
        <v>211</v>
      </c>
    </row>
    <row r="11397" spans="1:8" ht="15" customHeight="1">
      <c r="A11397" s="26">
        <v>1052388218</v>
      </c>
      <c r="B11397" s="29" t="s">
        <v>13608</v>
      </c>
      <c r="C11397" s="29" t="s">
        <v>27235</v>
      </c>
      <c r="D11397" s="29" t="s">
        <v>40718</v>
      </c>
      <c r="E11397" s="29" t="s">
        <v>52252</v>
      </c>
      <c r="F11397" s="36" t="s">
        <v>54401</v>
      </c>
      <c r="G11397" s="39">
        <v>1467083.61</v>
      </c>
      <c r="H11397" s="42">
        <v>211</v>
      </c>
    </row>
    <row r="11398" spans="1:8" ht="15" customHeight="1">
      <c r="A11398" s="26">
        <v>1052388219</v>
      </c>
      <c r="B11398" s="29" t="s">
        <v>13609</v>
      </c>
      <c r="C11398" s="29" t="s">
        <v>27236</v>
      </c>
      <c r="D11398" s="29" t="s">
        <v>40719</v>
      </c>
      <c r="E11398" s="29" t="s">
        <v>44942</v>
      </c>
      <c r="F11398" s="36" t="s">
        <v>54401</v>
      </c>
      <c r="G11398" s="39">
        <v>909195.29</v>
      </c>
      <c r="H11398" s="42">
        <v>211</v>
      </c>
    </row>
    <row r="11399" spans="1:8" ht="15" customHeight="1">
      <c r="A11399" s="26">
        <v>1052388220</v>
      </c>
      <c r="B11399" s="29" t="s">
        <v>13610</v>
      </c>
      <c r="C11399" s="29" t="s">
        <v>27237</v>
      </c>
      <c r="D11399" s="29" t="s">
        <v>40720</v>
      </c>
      <c r="E11399" s="29" t="s">
        <v>44313</v>
      </c>
      <c r="F11399" s="36" t="s">
        <v>54401</v>
      </c>
      <c r="G11399" s="39">
        <v>4150026</v>
      </c>
      <c r="H11399" s="42">
        <v>211</v>
      </c>
    </row>
    <row r="11400" spans="1:8" ht="15" customHeight="1">
      <c r="A11400" s="26">
        <v>1052388228</v>
      </c>
      <c r="B11400" s="29" t="s">
        <v>13611</v>
      </c>
      <c r="C11400" s="29" t="s">
        <v>27238</v>
      </c>
      <c r="D11400" s="29" t="s">
        <v>40721</v>
      </c>
      <c r="E11400" s="29" t="s">
        <v>45178</v>
      </c>
      <c r="F11400" s="36" t="s">
        <v>54401</v>
      </c>
      <c r="G11400" s="39">
        <v>2309356</v>
      </c>
      <c r="H11400" s="42">
        <v>211</v>
      </c>
    </row>
    <row r="11401" spans="1:8" ht="15" customHeight="1">
      <c r="A11401" s="26">
        <v>1052388238</v>
      </c>
      <c r="B11401" s="29" t="s">
        <v>13612</v>
      </c>
      <c r="C11401" s="29" t="s">
        <v>27239</v>
      </c>
      <c r="D11401" s="29" t="s">
        <v>40722</v>
      </c>
      <c r="E11401" s="29" t="s">
        <v>52253</v>
      </c>
      <c r="F11401" s="36" t="s">
        <v>54401</v>
      </c>
      <c r="G11401" s="39">
        <v>3978088</v>
      </c>
      <c r="H11401" s="42">
        <v>211</v>
      </c>
    </row>
    <row r="11402" spans="1:8" ht="15" customHeight="1">
      <c r="A11402" s="26">
        <v>1052388252</v>
      </c>
      <c r="B11402" s="29" t="s">
        <v>13613</v>
      </c>
      <c r="C11402" s="26" t="s">
        <v>27240</v>
      </c>
      <c r="D11402" s="26" t="s">
        <v>40723</v>
      </c>
      <c r="E11402" s="26" t="s">
        <v>52254</v>
      </c>
      <c r="F11402" s="37" t="s">
        <v>54401</v>
      </c>
      <c r="G11402" s="39">
        <v>441215.91</v>
      </c>
      <c r="H11402" s="42">
        <v>211</v>
      </c>
    </row>
    <row r="11403" spans="1:8" ht="15" customHeight="1">
      <c r="A11403" s="26">
        <v>1052388263</v>
      </c>
      <c r="B11403" s="29" t="s">
        <v>13614</v>
      </c>
      <c r="C11403" s="26" t="s">
        <v>17204</v>
      </c>
      <c r="D11403" s="26" t="s">
        <v>40724</v>
      </c>
      <c r="E11403" s="26" t="s">
        <v>43926</v>
      </c>
      <c r="F11403" s="37" t="s">
        <v>54401</v>
      </c>
      <c r="G11403" s="39">
        <v>1294791.23</v>
      </c>
      <c r="H11403" s="42">
        <v>211</v>
      </c>
    </row>
    <row r="11404" spans="1:8" ht="15" customHeight="1">
      <c r="A11404" s="26">
        <v>1052388288</v>
      </c>
      <c r="B11404" s="29" t="s">
        <v>13615</v>
      </c>
      <c r="C11404" s="29" t="s">
        <v>27241</v>
      </c>
      <c r="D11404" s="29" t="s">
        <v>40725</v>
      </c>
      <c r="E11404" s="29" t="s">
        <v>52255</v>
      </c>
      <c r="F11404" s="36" t="s">
        <v>54401</v>
      </c>
      <c r="G11404" s="39">
        <v>1203447.26</v>
      </c>
      <c r="H11404" s="42">
        <v>211</v>
      </c>
    </row>
    <row r="11405" spans="1:8" ht="15" customHeight="1">
      <c r="A11405" s="26">
        <v>1052388300</v>
      </c>
      <c r="B11405" s="29" t="s">
        <v>13616</v>
      </c>
      <c r="C11405" s="26" t="s">
        <v>27242</v>
      </c>
      <c r="D11405" s="26" t="s">
        <v>40726</v>
      </c>
      <c r="E11405" s="26" t="s">
        <v>43926</v>
      </c>
      <c r="F11405" s="37" t="s">
        <v>54401</v>
      </c>
      <c r="G11405" s="39">
        <v>3516008.35</v>
      </c>
      <c r="H11405" s="42">
        <v>211</v>
      </c>
    </row>
    <row r="11406" spans="1:8" ht="15" customHeight="1">
      <c r="A11406" s="26">
        <v>1052388305</v>
      </c>
      <c r="B11406" s="29" t="s">
        <v>13617</v>
      </c>
      <c r="C11406" s="29" t="s">
        <v>27243</v>
      </c>
      <c r="D11406" s="29" t="s">
        <v>40727</v>
      </c>
      <c r="E11406" s="29" t="s">
        <v>52256</v>
      </c>
      <c r="F11406" s="36" t="s">
        <v>54401</v>
      </c>
      <c r="G11406" s="39">
        <v>488717.62</v>
      </c>
      <c r="H11406" s="42">
        <v>211</v>
      </c>
    </row>
    <row r="11407" spans="1:8" ht="15" customHeight="1">
      <c r="A11407" s="26">
        <v>1052388310</v>
      </c>
      <c r="B11407" s="29" t="s">
        <v>13618</v>
      </c>
      <c r="C11407" s="29" t="s">
        <v>27244</v>
      </c>
      <c r="D11407" s="29" t="s">
        <v>40728</v>
      </c>
      <c r="E11407" s="29" t="s">
        <v>45261</v>
      </c>
      <c r="F11407" s="36" t="s">
        <v>54401</v>
      </c>
      <c r="G11407" s="39">
        <v>4616942.3600000003</v>
      </c>
      <c r="H11407" s="42">
        <v>211</v>
      </c>
    </row>
    <row r="11408" spans="1:8" ht="15" customHeight="1">
      <c r="A11408" s="26">
        <v>1052388322</v>
      </c>
      <c r="B11408" s="29" t="s">
        <v>13619</v>
      </c>
      <c r="C11408" s="29" t="s">
        <v>27245</v>
      </c>
      <c r="D11408" s="29" t="s">
        <v>40729</v>
      </c>
      <c r="E11408" s="29" t="s">
        <v>52257</v>
      </c>
      <c r="F11408" s="36" t="s">
        <v>54401</v>
      </c>
      <c r="G11408" s="39">
        <v>263773.28999999998</v>
      </c>
      <c r="H11408" s="42">
        <v>211</v>
      </c>
    </row>
    <row r="11409" spans="1:8" ht="15" customHeight="1">
      <c r="A11409" s="26">
        <v>1052388324</v>
      </c>
      <c r="B11409" s="29" t="s">
        <v>13620</v>
      </c>
      <c r="C11409" s="29" t="s">
        <v>27246</v>
      </c>
      <c r="D11409" s="29" t="s">
        <v>40730</v>
      </c>
      <c r="E11409" s="29" t="s">
        <v>52258</v>
      </c>
      <c r="F11409" s="36" t="s">
        <v>54401</v>
      </c>
      <c r="G11409" s="39">
        <v>194239.83</v>
      </c>
      <c r="H11409" s="42">
        <v>211</v>
      </c>
    </row>
    <row r="11410" spans="1:8" ht="15" customHeight="1">
      <c r="A11410" s="26">
        <v>1052388333</v>
      </c>
      <c r="B11410" s="29" t="s">
        <v>13621</v>
      </c>
      <c r="C11410" s="29" t="s">
        <v>27247</v>
      </c>
      <c r="D11410" s="29" t="s">
        <v>40731</v>
      </c>
      <c r="E11410" s="29" t="s">
        <v>52259</v>
      </c>
      <c r="F11410" s="36" t="s">
        <v>54401</v>
      </c>
      <c r="G11410" s="39">
        <v>2513103.25</v>
      </c>
      <c r="H11410" s="42">
        <v>211</v>
      </c>
    </row>
    <row r="11411" spans="1:8" ht="15" customHeight="1">
      <c r="A11411" s="26">
        <v>1052388427</v>
      </c>
      <c r="B11411" s="29" t="s">
        <v>13622</v>
      </c>
      <c r="C11411" s="29" t="s">
        <v>17204</v>
      </c>
      <c r="D11411" s="29" t="s">
        <v>30349</v>
      </c>
      <c r="E11411" s="29" t="s">
        <v>43926</v>
      </c>
      <c r="F11411" s="36" t="s">
        <v>54401</v>
      </c>
      <c r="G11411" s="39">
        <v>151085.06</v>
      </c>
      <c r="H11411" s="42">
        <v>211</v>
      </c>
    </row>
    <row r="11412" spans="1:8" ht="15" customHeight="1">
      <c r="A11412" s="26">
        <v>1052388483</v>
      </c>
      <c r="B11412" s="29" t="s">
        <v>13623</v>
      </c>
      <c r="C11412" s="26" t="s">
        <v>27248</v>
      </c>
      <c r="D11412" s="26" t="s">
        <v>30376</v>
      </c>
      <c r="E11412" s="26" t="s">
        <v>52260</v>
      </c>
      <c r="F11412" s="37" t="s">
        <v>54401</v>
      </c>
      <c r="G11412" s="39">
        <v>1936834.01</v>
      </c>
      <c r="H11412" s="42">
        <v>211</v>
      </c>
    </row>
    <row r="11413" spans="1:8" ht="15" customHeight="1">
      <c r="A11413" s="26">
        <v>1052388486</v>
      </c>
      <c r="B11413" s="29" t="s">
        <v>13624</v>
      </c>
      <c r="C11413" s="29" t="s">
        <v>17204</v>
      </c>
      <c r="D11413" s="29" t="s">
        <v>30349</v>
      </c>
      <c r="E11413" s="29" t="s">
        <v>43926</v>
      </c>
      <c r="F11413" s="36" t="s">
        <v>54401</v>
      </c>
      <c r="G11413" s="39">
        <v>214407.99</v>
      </c>
      <c r="H11413" s="42">
        <v>211</v>
      </c>
    </row>
    <row r="11414" spans="1:8" ht="15" customHeight="1">
      <c r="A11414" s="26">
        <v>1052388493</v>
      </c>
      <c r="B11414" s="29" t="s">
        <v>13625</v>
      </c>
      <c r="C11414" s="29" t="s">
        <v>27249</v>
      </c>
      <c r="D11414" s="29" t="s">
        <v>40732</v>
      </c>
      <c r="E11414" s="29" t="s">
        <v>52261</v>
      </c>
      <c r="F11414" s="36" t="s">
        <v>54401</v>
      </c>
      <c r="G11414" s="39">
        <v>354690.35</v>
      </c>
      <c r="H11414" s="42">
        <v>211</v>
      </c>
    </row>
    <row r="11415" spans="1:8" ht="15" customHeight="1">
      <c r="A11415" s="26">
        <v>1052388540</v>
      </c>
      <c r="B11415" s="29" t="s">
        <v>13626</v>
      </c>
      <c r="C11415" s="29" t="s">
        <v>27250</v>
      </c>
      <c r="D11415" s="29" t="s">
        <v>40733</v>
      </c>
      <c r="E11415" s="29" t="s">
        <v>52262</v>
      </c>
      <c r="F11415" s="36" t="s">
        <v>54401</v>
      </c>
      <c r="G11415" s="39">
        <v>2455752</v>
      </c>
      <c r="H11415" s="42">
        <v>211</v>
      </c>
    </row>
    <row r="11416" spans="1:8" ht="15" customHeight="1">
      <c r="A11416" s="26">
        <v>1052388594</v>
      </c>
      <c r="B11416" s="29" t="s">
        <v>13627</v>
      </c>
      <c r="C11416" s="29" t="s">
        <v>27251</v>
      </c>
      <c r="D11416" s="29" t="s">
        <v>40734</v>
      </c>
      <c r="E11416" s="29" t="s">
        <v>52263</v>
      </c>
      <c r="F11416" s="36" t="s">
        <v>54401</v>
      </c>
      <c r="G11416" s="39">
        <v>3958435</v>
      </c>
      <c r="H11416" s="42">
        <v>211</v>
      </c>
    </row>
    <row r="11417" spans="1:8" ht="15" customHeight="1">
      <c r="A11417" s="26">
        <v>1052388610</v>
      </c>
      <c r="B11417" s="29" t="s">
        <v>13628</v>
      </c>
      <c r="C11417" s="26" t="s">
        <v>27252</v>
      </c>
      <c r="D11417" s="26" t="s">
        <v>40735</v>
      </c>
      <c r="E11417" s="26" t="s">
        <v>52264</v>
      </c>
      <c r="F11417" s="37" t="s">
        <v>54401</v>
      </c>
      <c r="G11417" s="39">
        <v>3648843</v>
      </c>
      <c r="H11417" s="42">
        <v>211</v>
      </c>
    </row>
    <row r="11418" spans="1:8" ht="15" customHeight="1">
      <c r="A11418" s="26">
        <v>1052388619</v>
      </c>
      <c r="B11418" s="29" t="s">
        <v>13629</v>
      </c>
      <c r="C11418" s="29" t="s">
        <v>25423</v>
      </c>
      <c r="D11418" s="29" t="s">
        <v>38835</v>
      </c>
      <c r="E11418" s="29" t="s">
        <v>49701</v>
      </c>
      <c r="F11418" s="36" t="s">
        <v>54401</v>
      </c>
      <c r="G11418" s="39">
        <v>149761.14000000001</v>
      </c>
      <c r="H11418" s="42">
        <v>211</v>
      </c>
    </row>
    <row r="11419" spans="1:8" ht="15" customHeight="1">
      <c r="A11419" s="26">
        <v>1052388623</v>
      </c>
      <c r="B11419" s="29" t="s">
        <v>13630</v>
      </c>
      <c r="C11419" s="29" t="s">
        <v>27253</v>
      </c>
      <c r="D11419" s="29" t="s">
        <v>40736</v>
      </c>
      <c r="E11419" s="29" t="s">
        <v>52265</v>
      </c>
      <c r="F11419" s="36" t="s">
        <v>54401</v>
      </c>
      <c r="G11419" s="39">
        <v>1219812.23</v>
      </c>
      <c r="H11419" s="42">
        <v>211</v>
      </c>
    </row>
    <row r="11420" spans="1:8" ht="15" customHeight="1">
      <c r="A11420" s="26">
        <v>1052388639</v>
      </c>
      <c r="B11420" s="29" t="s">
        <v>13631</v>
      </c>
      <c r="C11420" s="29" t="s">
        <v>27254</v>
      </c>
      <c r="D11420" s="29" t="s">
        <v>40737</v>
      </c>
      <c r="E11420" s="29" t="s">
        <v>52266</v>
      </c>
      <c r="F11420" s="36" t="s">
        <v>54401</v>
      </c>
      <c r="G11420" s="39">
        <v>1389430.27</v>
      </c>
      <c r="H11420" s="42">
        <v>211</v>
      </c>
    </row>
    <row r="11421" spans="1:8" ht="15" customHeight="1">
      <c r="A11421" s="26">
        <v>1052388650</v>
      </c>
      <c r="B11421" s="29" t="s">
        <v>13632</v>
      </c>
      <c r="C11421" s="29" t="s">
        <v>27255</v>
      </c>
      <c r="D11421" s="29" t="s">
        <v>40738</v>
      </c>
      <c r="E11421" s="29" t="s">
        <v>52267</v>
      </c>
      <c r="F11421" s="36" t="s">
        <v>54401</v>
      </c>
      <c r="G11421" s="39">
        <v>3329794</v>
      </c>
      <c r="H11421" s="42">
        <v>211</v>
      </c>
    </row>
    <row r="11422" spans="1:8" ht="15" customHeight="1">
      <c r="A11422" s="26">
        <v>1052388651</v>
      </c>
      <c r="B11422" s="29" t="s">
        <v>13633</v>
      </c>
      <c r="C11422" s="29" t="s">
        <v>27256</v>
      </c>
      <c r="D11422" s="29" t="s">
        <v>40739</v>
      </c>
      <c r="E11422" s="29" t="s">
        <v>45378</v>
      </c>
      <c r="F11422" s="36" t="s">
        <v>54401</v>
      </c>
      <c r="G11422" s="39">
        <v>2497913.09</v>
      </c>
      <c r="H11422" s="42">
        <v>211</v>
      </c>
    </row>
    <row r="11423" spans="1:8" ht="15" customHeight="1">
      <c r="A11423" s="26">
        <v>1052388672</v>
      </c>
      <c r="B11423" s="29" t="s">
        <v>13634</v>
      </c>
      <c r="C11423" s="29" t="s">
        <v>27257</v>
      </c>
      <c r="D11423" s="29" t="s">
        <v>40740</v>
      </c>
      <c r="E11423" s="29" t="s">
        <v>52268</v>
      </c>
      <c r="F11423" s="36" t="s">
        <v>54401</v>
      </c>
      <c r="G11423" s="39">
        <v>516208.23</v>
      </c>
      <c r="H11423" s="42">
        <v>211</v>
      </c>
    </row>
    <row r="11424" spans="1:8" ht="15" customHeight="1">
      <c r="A11424" s="26">
        <v>1052388713</v>
      </c>
      <c r="B11424" s="29" t="s">
        <v>13635</v>
      </c>
      <c r="C11424" s="29" t="s">
        <v>27258</v>
      </c>
      <c r="D11424" s="29" t="s">
        <v>40741</v>
      </c>
      <c r="E11424" s="29" t="s">
        <v>52269</v>
      </c>
      <c r="F11424" s="36" t="s">
        <v>54401</v>
      </c>
      <c r="G11424" s="39">
        <v>2633697</v>
      </c>
      <c r="H11424" s="42">
        <v>211</v>
      </c>
    </row>
    <row r="11425" spans="1:8" ht="15" customHeight="1">
      <c r="A11425" s="26">
        <v>1052388758</v>
      </c>
      <c r="B11425" s="29" t="s">
        <v>13636</v>
      </c>
      <c r="C11425" s="29" t="s">
        <v>27259</v>
      </c>
      <c r="D11425" s="29" t="s">
        <v>40742</v>
      </c>
      <c r="E11425" s="29" t="s">
        <v>52270</v>
      </c>
      <c r="F11425" s="36" t="s">
        <v>54401</v>
      </c>
      <c r="G11425" s="39">
        <v>2841837.79</v>
      </c>
      <c r="H11425" s="42">
        <v>211</v>
      </c>
    </row>
    <row r="11426" spans="1:8" ht="15" customHeight="1">
      <c r="A11426" s="26">
        <v>1052388767</v>
      </c>
      <c r="B11426" s="29" t="s">
        <v>13637</v>
      </c>
      <c r="C11426" s="29" t="s">
        <v>27260</v>
      </c>
      <c r="D11426" s="29" t="s">
        <v>40743</v>
      </c>
      <c r="E11426" s="29" t="s">
        <v>52271</v>
      </c>
      <c r="F11426" s="36" t="s">
        <v>54401</v>
      </c>
      <c r="G11426" s="39">
        <v>3193369.71</v>
      </c>
      <c r="H11426" s="42">
        <v>211</v>
      </c>
    </row>
    <row r="11427" spans="1:8" ht="15" customHeight="1">
      <c r="A11427" s="26">
        <v>1052388768</v>
      </c>
      <c r="B11427" s="29" t="s">
        <v>13638</v>
      </c>
      <c r="C11427" s="29" t="s">
        <v>27261</v>
      </c>
      <c r="D11427" s="29" t="s">
        <v>40744</v>
      </c>
      <c r="E11427" s="29" t="s">
        <v>44324</v>
      </c>
      <c r="F11427" s="36" t="s">
        <v>54401</v>
      </c>
      <c r="G11427" s="39">
        <v>1549358.35</v>
      </c>
      <c r="H11427" s="42">
        <v>211</v>
      </c>
    </row>
    <row r="11428" spans="1:8" ht="15" customHeight="1">
      <c r="A11428" s="26">
        <v>1052388780</v>
      </c>
      <c r="B11428" s="29" t="s">
        <v>13639</v>
      </c>
      <c r="C11428" s="29" t="s">
        <v>27262</v>
      </c>
      <c r="D11428" s="29" t="s">
        <v>40745</v>
      </c>
      <c r="E11428" s="29" t="s">
        <v>43926</v>
      </c>
      <c r="F11428" s="36" t="s">
        <v>54401</v>
      </c>
      <c r="G11428" s="39">
        <v>1755928</v>
      </c>
      <c r="H11428" s="42">
        <v>211</v>
      </c>
    </row>
    <row r="11429" spans="1:8" ht="15" customHeight="1">
      <c r="A11429" s="26">
        <v>1052388781</v>
      </c>
      <c r="B11429" s="29" t="s">
        <v>13640</v>
      </c>
      <c r="C11429" s="29" t="s">
        <v>27263</v>
      </c>
      <c r="D11429" s="29" t="s">
        <v>40746</v>
      </c>
      <c r="E11429" s="29" t="s">
        <v>52272</v>
      </c>
      <c r="F11429" s="36" t="s">
        <v>54401</v>
      </c>
      <c r="G11429" s="39">
        <v>1004050.51</v>
      </c>
      <c r="H11429" s="42">
        <v>211</v>
      </c>
    </row>
    <row r="11430" spans="1:8" ht="15" customHeight="1">
      <c r="A11430" s="26">
        <v>1052388782</v>
      </c>
      <c r="B11430" s="29" t="s">
        <v>13641</v>
      </c>
      <c r="C11430" s="29" t="s">
        <v>27264</v>
      </c>
      <c r="D11430" s="29" t="s">
        <v>40747</v>
      </c>
      <c r="E11430" s="29" t="s">
        <v>52273</v>
      </c>
      <c r="F11430" s="36" t="s">
        <v>54407</v>
      </c>
      <c r="G11430" s="39">
        <v>107847.49</v>
      </c>
      <c r="H11430" s="42">
        <v>211</v>
      </c>
    </row>
    <row r="11431" spans="1:8" ht="15" customHeight="1">
      <c r="A11431" s="26">
        <v>1052388790</v>
      </c>
      <c r="B11431" s="29" t="s">
        <v>13642</v>
      </c>
      <c r="C11431" s="29" t="s">
        <v>27265</v>
      </c>
      <c r="D11431" s="29" t="s">
        <v>40748</v>
      </c>
      <c r="E11431" s="29" t="s">
        <v>52274</v>
      </c>
      <c r="F11431" s="36" t="s">
        <v>54401</v>
      </c>
      <c r="G11431" s="39">
        <v>12773.11</v>
      </c>
      <c r="H11431" s="42">
        <v>211</v>
      </c>
    </row>
    <row r="11432" spans="1:8" ht="15" customHeight="1">
      <c r="A11432" s="26">
        <v>1052388806</v>
      </c>
      <c r="B11432" s="29" t="s">
        <v>13643</v>
      </c>
      <c r="C11432" s="29" t="s">
        <v>27266</v>
      </c>
      <c r="D11432" s="29" t="s">
        <v>40749</v>
      </c>
      <c r="E11432" s="29" t="s">
        <v>52275</v>
      </c>
      <c r="F11432" s="36" t="s">
        <v>54401</v>
      </c>
      <c r="G11432" s="39">
        <v>3019172.54</v>
      </c>
      <c r="H11432" s="42">
        <v>211</v>
      </c>
    </row>
    <row r="11433" spans="1:8" ht="15" customHeight="1">
      <c r="A11433" s="26">
        <v>1052388828</v>
      </c>
      <c r="B11433" s="29" t="s">
        <v>13644</v>
      </c>
      <c r="C11433" s="26" t="s">
        <v>17204</v>
      </c>
      <c r="D11433" s="26" t="s">
        <v>30349</v>
      </c>
      <c r="E11433" s="26" t="s">
        <v>43926</v>
      </c>
      <c r="F11433" s="37" t="s">
        <v>54401</v>
      </c>
      <c r="G11433" s="39">
        <v>480789.27</v>
      </c>
      <c r="H11433" s="42">
        <v>211</v>
      </c>
    </row>
    <row r="11434" spans="1:8" ht="15" customHeight="1">
      <c r="A11434" s="26">
        <v>1052388845</v>
      </c>
      <c r="B11434" s="29" t="s">
        <v>13645</v>
      </c>
      <c r="C11434" s="29" t="s">
        <v>27267</v>
      </c>
      <c r="D11434" s="29" t="s">
        <v>40750</v>
      </c>
      <c r="E11434" s="29" t="s">
        <v>48827</v>
      </c>
      <c r="F11434" s="36" t="s">
        <v>54401</v>
      </c>
      <c r="G11434" s="39">
        <v>3126470.15</v>
      </c>
      <c r="H11434" s="42">
        <v>211</v>
      </c>
    </row>
    <row r="11435" spans="1:8" ht="15" customHeight="1">
      <c r="A11435" s="26">
        <v>1052388857</v>
      </c>
      <c r="B11435" s="29" t="s">
        <v>13646</v>
      </c>
      <c r="C11435" s="29" t="s">
        <v>27268</v>
      </c>
      <c r="D11435" s="29" t="s">
        <v>40751</v>
      </c>
      <c r="E11435" s="29" t="s">
        <v>52276</v>
      </c>
      <c r="F11435" s="36" t="s">
        <v>54401</v>
      </c>
      <c r="G11435" s="39">
        <v>31369.75</v>
      </c>
      <c r="H11435" s="42">
        <v>211</v>
      </c>
    </row>
    <row r="11436" spans="1:8" ht="15" customHeight="1">
      <c r="A11436" s="26">
        <v>1052388889</v>
      </c>
      <c r="B11436" s="29" t="s">
        <v>13647</v>
      </c>
      <c r="C11436" s="29" t="s">
        <v>27269</v>
      </c>
      <c r="D11436" s="29" t="s">
        <v>40752</v>
      </c>
      <c r="E11436" s="29" t="s">
        <v>45963</v>
      </c>
      <c r="F11436" s="36" t="s">
        <v>54401</v>
      </c>
      <c r="G11436" s="39">
        <v>367351.03999999998</v>
      </c>
      <c r="H11436" s="42">
        <v>211</v>
      </c>
    </row>
    <row r="11437" spans="1:8" ht="15" customHeight="1">
      <c r="A11437" s="26">
        <v>1052388914</v>
      </c>
      <c r="B11437" s="29" t="s">
        <v>13648</v>
      </c>
      <c r="C11437" s="29" t="s">
        <v>27270</v>
      </c>
      <c r="D11437" s="29" t="s">
        <v>40753</v>
      </c>
      <c r="E11437" s="29" t="s">
        <v>52277</v>
      </c>
      <c r="F11437" s="36" t="s">
        <v>54401</v>
      </c>
      <c r="G11437" s="39">
        <v>205639.24</v>
      </c>
      <c r="H11437" s="42">
        <v>211</v>
      </c>
    </row>
    <row r="11438" spans="1:8" ht="15" customHeight="1">
      <c r="A11438" s="26">
        <v>1052388940</v>
      </c>
      <c r="B11438" s="29" t="s">
        <v>13649</v>
      </c>
      <c r="C11438" s="29" t="s">
        <v>27271</v>
      </c>
      <c r="D11438" s="29" t="s">
        <v>32755</v>
      </c>
      <c r="E11438" s="29" t="s">
        <v>52278</v>
      </c>
      <c r="F11438" s="36" t="s">
        <v>54401</v>
      </c>
      <c r="G11438" s="39">
        <v>1368970.18</v>
      </c>
      <c r="H11438" s="42">
        <v>211</v>
      </c>
    </row>
    <row r="11439" spans="1:8" ht="15" customHeight="1">
      <c r="A11439" s="26">
        <v>1052388943</v>
      </c>
      <c r="B11439" s="29" t="s">
        <v>13650</v>
      </c>
      <c r="C11439" s="29" t="s">
        <v>27272</v>
      </c>
      <c r="D11439" s="29" t="s">
        <v>40754</v>
      </c>
      <c r="E11439" s="29" t="s">
        <v>52279</v>
      </c>
      <c r="F11439" s="36" t="s">
        <v>54401</v>
      </c>
      <c r="G11439" s="39">
        <v>583879.47</v>
      </c>
      <c r="H11439" s="42">
        <v>211</v>
      </c>
    </row>
    <row r="11440" spans="1:8" ht="15" customHeight="1">
      <c r="A11440" s="26">
        <v>1052388975</v>
      </c>
      <c r="B11440" s="29" t="s">
        <v>13651</v>
      </c>
      <c r="C11440" s="29" t="s">
        <v>27273</v>
      </c>
      <c r="D11440" s="29" t="s">
        <v>40755</v>
      </c>
      <c r="E11440" s="29" t="s">
        <v>45098</v>
      </c>
      <c r="F11440" s="36" t="s">
        <v>54401</v>
      </c>
      <c r="G11440" s="39">
        <v>13391061</v>
      </c>
      <c r="H11440" s="42">
        <v>211</v>
      </c>
    </row>
    <row r="11441" spans="1:8" ht="15" customHeight="1">
      <c r="A11441" s="26">
        <v>1052388983</v>
      </c>
      <c r="B11441" s="29" t="s">
        <v>13652</v>
      </c>
      <c r="C11441" s="29" t="s">
        <v>27274</v>
      </c>
      <c r="D11441" s="29" t="s">
        <v>40756</v>
      </c>
      <c r="E11441" s="29" t="s">
        <v>43926</v>
      </c>
      <c r="F11441" s="36" t="s">
        <v>54401</v>
      </c>
      <c r="G11441" s="39">
        <v>38013.449999999997</v>
      </c>
      <c r="H11441" s="42">
        <v>211</v>
      </c>
    </row>
    <row r="11442" spans="1:8" ht="15" customHeight="1">
      <c r="A11442" s="26">
        <v>1052389001</v>
      </c>
      <c r="B11442" s="29" t="s">
        <v>13653</v>
      </c>
      <c r="C11442" s="29" t="s">
        <v>27275</v>
      </c>
      <c r="D11442" s="29" t="s">
        <v>40757</v>
      </c>
      <c r="E11442" s="29" t="s">
        <v>45226</v>
      </c>
      <c r="F11442" s="36" t="s">
        <v>54401</v>
      </c>
      <c r="G11442" s="39">
        <v>312577.75</v>
      </c>
      <c r="H11442" s="42">
        <v>211</v>
      </c>
    </row>
    <row r="11443" spans="1:8" ht="15" customHeight="1">
      <c r="A11443" s="26">
        <v>1052389007</v>
      </c>
      <c r="B11443" s="29" t="s">
        <v>13654</v>
      </c>
      <c r="C11443" s="29" t="s">
        <v>17204</v>
      </c>
      <c r="D11443" s="29" t="s">
        <v>40758</v>
      </c>
      <c r="E11443" s="29" t="s">
        <v>43926</v>
      </c>
      <c r="F11443" s="36" t="s">
        <v>54401</v>
      </c>
      <c r="G11443" s="39">
        <v>231190.07</v>
      </c>
      <c r="H11443" s="42">
        <v>211</v>
      </c>
    </row>
    <row r="11444" spans="1:8" ht="15" customHeight="1">
      <c r="A11444" s="26">
        <v>1052389050</v>
      </c>
      <c r="B11444" s="29" t="s">
        <v>13655</v>
      </c>
      <c r="C11444" s="29" t="s">
        <v>27276</v>
      </c>
      <c r="D11444" s="29" t="s">
        <v>31265</v>
      </c>
      <c r="E11444" s="29" t="s">
        <v>52280</v>
      </c>
      <c r="F11444" s="36" t="s">
        <v>54401</v>
      </c>
      <c r="G11444" s="39">
        <v>652038.91</v>
      </c>
      <c r="H11444" s="42">
        <v>211</v>
      </c>
    </row>
    <row r="11445" spans="1:8" ht="15" customHeight="1">
      <c r="A11445" s="26">
        <v>1052389059</v>
      </c>
      <c r="B11445" s="29" t="s">
        <v>13656</v>
      </c>
      <c r="C11445" s="29" t="s">
        <v>27277</v>
      </c>
      <c r="D11445" s="29" t="s">
        <v>40759</v>
      </c>
      <c r="E11445" s="29" t="s">
        <v>52281</v>
      </c>
      <c r="F11445" s="36" t="s">
        <v>54401</v>
      </c>
      <c r="G11445" s="39">
        <v>2757215</v>
      </c>
      <c r="H11445" s="42">
        <v>211</v>
      </c>
    </row>
    <row r="11446" spans="1:8" ht="15" customHeight="1">
      <c r="A11446" s="26">
        <v>1052389087</v>
      </c>
      <c r="B11446" s="29" t="s">
        <v>13657</v>
      </c>
      <c r="C11446" s="29" t="s">
        <v>27278</v>
      </c>
      <c r="D11446" s="29" t="s">
        <v>40760</v>
      </c>
      <c r="E11446" s="29" t="s">
        <v>52282</v>
      </c>
      <c r="F11446" s="36" t="s">
        <v>54401</v>
      </c>
      <c r="G11446" s="39">
        <v>2081493.86</v>
      </c>
      <c r="H11446" s="42">
        <v>211</v>
      </c>
    </row>
    <row r="11447" spans="1:8" ht="15" customHeight="1">
      <c r="A11447" s="26">
        <v>1052389095</v>
      </c>
      <c r="B11447" s="29" t="s">
        <v>13658</v>
      </c>
      <c r="C11447" s="29" t="s">
        <v>25275</v>
      </c>
      <c r="D11447" s="29" t="s">
        <v>40761</v>
      </c>
      <c r="E11447" s="29" t="s">
        <v>52283</v>
      </c>
      <c r="F11447" s="36" t="s">
        <v>54412</v>
      </c>
      <c r="G11447" s="39">
        <v>839842.27</v>
      </c>
      <c r="H11447" s="42">
        <v>211</v>
      </c>
    </row>
    <row r="11448" spans="1:8" ht="15" customHeight="1">
      <c r="A11448" s="26">
        <v>1052389115</v>
      </c>
      <c r="B11448" s="29" t="s">
        <v>13659</v>
      </c>
      <c r="C11448" s="29" t="s">
        <v>27279</v>
      </c>
      <c r="D11448" s="29" t="s">
        <v>40762</v>
      </c>
      <c r="E11448" s="29" t="s">
        <v>52284</v>
      </c>
      <c r="F11448" s="36" t="s">
        <v>54401</v>
      </c>
      <c r="G11448" s="39">
        <v>3503846.93</v>
      </c>
      <c r="H11448" s="42">
        <v>211</v>
      </c>
    </row>
    <row r="11449" spans="1:8" ht="15" customHeight="1">
      <c r="A11449" s="26">
        <v>1052389122</v>
      </c>
      <c r="B11449" s="29" t="s">
        <v>13660</v>
      </c>
      <c r="C11449" s="29" t="s">
        <v>27280</v>
      </c>
      <c r="D11449" s="29" t="s">
        <v>40763</v>
      </c>
      <c r="E11449" s="29" t="s">
        <v>44545</v>
      </c>
      <c r="F11449" s="36" t="s">
        <v>54401</v>
      </c>
      <c r="G11449" s="39">
        <v>589075.16</v>
      </c>
      <c r="H11449" s="42">
        <v>211</v>
      </c>
    </row>
    <row r="11450" spans="1:8" ht="15" customHeight="1">
      <c r="A11450" s="26">
        <v>1052389139</v>
      </c>
      <c r="B11450" s="29" t="s">
        <v>13661</v>
      </c>
      <c r="C11450" s="29" t="s">
        <v>27281</v>
      </c>
      <c r="D11450" s="29" t="s">
        <v>40764</v>
      </c>
      <c r="E11450" s="29" t="s">
        <v>52285</v>
      </c>
      <c r="F11450" s="36" t="s">
        <v>54401</v>
      </c>
      <c r="G11450" s="39">
        <v>4285319</v>
      </c>
      <c r="H11450" s="42">
        <v>211</v>
      </c>
    </row>
    <row r="11451" spans="1:8" ht="15" customHeight="1">
      <c r="A11451" s="26">
        <v>1052389149</v>
      </c>
      <c r="B11451" s="29" t="s">
        <v>13662</v>
      </c>
      <c r="C11451" s="26" t="s">
        <v>27282</v>
      </c>
      <c r="D11451" s="26" t="s">
        <v>40765</v>
      </c>
      <c r="E11451" s="26" t="s">
        <v>52286</v>
      </c>
      <c r="F11451" s="37" t="s">
        <v>54401</v>
      </c>
      <c r="G11451" s="39">
        <v>160843.73000000001</v>
      </c>
      <c r="H11451" s="42">
        <v>211</v>
      </c>
    </row>
    <row r="11452" spans="1:8" ht="15" customHeight="1">
      <c r="A11452" s="26">
        <v>1052389177</v>
      </c>
      <c r="B11452" s="29" t="s">
        <v>13663</v>
      </c>
      <c r="C11452" s="29" t="s">
        <v>27283</v>
      </c>
      <c r="D11452" s="29" t="s">
        <v>40766</v>
      </c>
      <c r="E11452" s="29" t="s">
        <v>52287</v>
      </c>
      <c r="F11452" s="36" t="s">
        <v>54401</v>
      </c>
      <c r="G11452" s="39">
        <v>4567011</v>
      </c>
      <c r="H11452" s="42">
        <v>211</v>
      </c>
    </row>
    <row r="11453" spans="1:8" ht="15" customHeight="1">
      <c r="A11453" s="26">
        <v>1052389183</v>
      </c>
      <c r="B11453" s="29" t="s">
        <v>13664</v>
      </c>
      <c r="C11453" s="29" t="s">
        <v>27284</v>
      </c>
      <c r="D11453" s="29" t="s">
        <v>40767</v>
      </c>
      <c r="E11453" s="29" t="s">
        <v>43926</v>
      </c>
      <c r="F11453" s="36" t="s">
        <v>54401</v>
      </c>
      <c r="G11453" s="39">
        <v>102840.57</v>
      </c>
      <c r="H11453" s="42">
        <v>211</v>
      </c>
    </row>
    <row r="11454" spans="1:8" ht="15" customHeight="1">
      <c r="A11454" s="26">
        <v>1052389198</v>
      </c>
      <c r="B11454" s="29" t="s">
        <v>13665</v>
      </c>
      <c r="C11454" s="29" t="s">
        <v>17204</v>
      </c>
      <c r="D11454" s="29" t="s">
        <v>40768</v>
      </c>
      <c r="E11454" s="29" t="s">
        <v>43926</v>
      </c>
      <c r="F11454" s="36" t="s">
        <v>54401</v>
      </c>
      <c r="G11454" s="39">
        <v>138990.38</v>
      </c>
      <c r="H11454" s="42">
        <v>211</v>
      </c>
    </row>
    <row r="11455" spans="1:8" ht="15" customHeight="1">
      <c r="A11455" s="26">
        <v>1052389223</v>
      </c>
      <c r="B11455" s="29" t="s">
        <v>13666</v>
      </c>
      <c r="C11455" s="29" t="s">
        <v>27285</v>
      </c>
      <c r="D11455" s="29" t="s">
        <v>40769</v>
      </c>
      <c r="E11455" s="29" t="s">
        <v>52288</v>
      </c>
      <c r="F11455" s="36" t="s">
        <v>54401</v>
      </c>
      <c r="G11455" s="39">
        <v>79481.8</v>
      </c>
      <c r="H11455" s="42">
        <v>211</v>
      </c>
    </row>
    <row r="11456" spans="1:8" ht="15" customHeight="1">
      <c r="A11456" s="26">
        <v>1052389236</v>
      </c>
      <c r="B11456" s="29" t="s">
        <v>13667</v>
      </c>
      <c r="C11456" s="29" t="s">
        <v>27286</v>
      </c>
      <c r="D11456" s="29" t="s">
        <v>40770</v>
      </c>
      <c r="E11456" s="29" t="s">
        <v>52289</v>
      </c>
      <c r="F11456" s="36" t="s">
        <v>54401</v>
      </c>
      <c r="G11456" s="39">
        <v>1137828.8</v>
      </c>
      <c r="H11456" s="42">
        <v>211</v>
      </c>
    </row>
    <row r="11457" spans="1:8" ht="15" customHeight="1">
      <c r="A11457" s="26">
        <v>1052389255</v>
      </c>
      <c r="B11457" s="29" t="s">
        <v>13668</v>
      </c>
      <c r="C11457" s="29" t="s">
        <v>27287</v>
      </c>
      <c r="D11457" s="29" t="s">
        <v>40771</v>
      </c>
      <c r="E11457" s="29" t="s">
        <v>52290</v>
      </c>
      <c r="F11457" s="36" t="s">
        <v>54401</v>
      </c>
      <c r="G11457" s="39">
        <v>648530.32999999996</v>
      </c>
      <c r="H11457" s="42">
        <v>211</v>
      </c>
    </row>
    <row r="11458" spans="1:8" ht="15" customHeight="1">
      <c r="A11458" s="26">
        <v>1052389267</v>
      </c>
      <c r="B11458" s="29" t="s">
        <v>13669</v>
      </c>
      <c r="C11458" s="29" t="s">
        <v>27288</v>
      </c>
      <c r="D11458" s="29" t="s">
        <v>40772</v>
      </c>
      <c r="E11458" s="29" t="s">
        <v>52291</v>
      </c>
      <c r="F11458" s="36" t="s">
        <v>54401</v>
      </c>
      <c r="G11458" s="39">
        <v>68121.100000000006</v>
      </c>
      <c r="H11458" s="42">
        <v>211</v>
      </c>
    </row>
    <row r="11459" spans="1:8" ht="15" customHeight="1">
      <c r="A11459" s="26">
        <v>1052389298</v>
      </c>
      <c r="B11459" s="29" t="s">
        <v>13670</v>
      </c>
      <c r="C11459" s="29" t="s">
        <v>27289</v>
      </c>
      <c r="D11459" s="29" t="s">
        <v>40773</v>
      </c>
      <c r="E11459" s="29" t="s">
        <v>52292</v>
      </c>
      <c r="F11459" s="36" t="s">
        <v>54401</v>
      </c>
      <c r="G11459" s="39">
        <v>2454550.3199999998</v>
      </c>
      <c r="H11459" s="42">
        <v>211</v>
      </c>
    </row>
    <row r="11460" spans="1:8" ht="15" customHeight="1">
      <c r="A11460" s="26">
        <v>1052389312</v>
      </c>
      <c r="B11460" s="29" t="s">
        <v>13671</v>
      </c>
      <c r="C11460" s="29" t="s">
        <v>27290</v>
      </c>
      <c r="D11460" s="29" t="s">
        <v>40774</v>
      </c>
      <c r="E11460" s="29" t="s">
        <v>52293</v>
      </c>
      <c r="F11460" s="36" t="s">
        <v>54401</v>
      </c>
      <c r="G11460" s="39">
        <v>3634771.93</v>
      </c>
      <c r="H11460" s="42">
        <v>211</v>
      </c>
    </row>
    <row r="11461" spans="1:8" ht="15" customHeight="1">
      <c r="A11461" s="26">
        <v>1052389320</v>
      </c>
      <c r="B11461" s="29" t="s">
        <v>13672</v>
      </c>
      <c r="C11461" s="29" t="s">
        <v>27291</v>
      </c>
      <c r="D11461" s="29" t="s">
        <v>40775</v>
      </c>
      <c r="E11461" s="29" t="s">
        <v>51800</v>
      </c>
      <c r="F11461" s="36" t="s">
        <v>54401</v>
      </c>
      <c r="G11461" s="39">
        <v>3470259.91</v>
      </c>
      <c r="H11461" s="42">
        <v>211</v>
      </c>
    </row>
    <row r="11462" spans="1:8" ht="15" customHeight="1">
      <c r="A11462" s="26">
        <v>1052389346</v>
      </c>
      <c r="B11462" s="29" t="s">
        <v>13673</v>
      </c>
      <c r="C11462" s="29" t="s">
        <v>27292</v>
      </c>
      <c r="D11462" s="29" t="s">
        <v>40776</v>
      </c>
      <c r="E11462" s="29" t="s">
        <v>52294</v>
      </c>
      <c r="F11462" s="36" t="s">
        <v>54401</v>
      </c>
      <c r="G11462" s="39">
        <v>10770816</v>
      </c>
      <c r="H11462" s="42">
        <v>211</v>
      </c>
    </row>
    <row r="11463" spans="1:8" ht="15" customHeight="1">
      <c r="A11463" s="26">
        <v>1052389369</v>
      </c>
      <c r="B11463" s="29" t="s">
        <v>13674</v>
      </c>
      <c r="C11463" s="29" t="s">
        <v>27293</v>
      </c>
      <c r="D11463" s="29" t="s">
        <v>40777</v>
      </c>
      <c r="E11463" s="29" t="s">
        <v>52295</v>
      </c>
      <c r="F11463" s="36" t="s">
        <v>54401</v>
      </c>
      <c r="G11463" s="39">
        <v>360465.03</v>
      </c>
      <c r="H11463" s="42">
        <v>211</v>
      </c>
    </row>
    <row r="11464" spans="1:8" ht="15" customHeight="1">
      <c r="A11464" s="26">
        <v>1052389454</v>
      </c>
      <c r="B11464" s="29" t="s">
        <v>13675</v>
      </c>
      <c r="C11464" s="29" t="s">
        <v>25629</v>
      </c>
      <c r="D11464" s="29" t="s">
        <v>40778</v>
      </c>
      <c r="E11464" s="29" t="s">
        <v>52296</v>
      </c>
      <c r="F11464" s="36" t="s">
        <v>54401</v>
      </c>
      <c r="G11464" s="39">
        <v>230565.54</v>
      </c>
      <c r="H11464" s="42">
        <v>211</v>
      </c>
    </row>
    <row r="11465" spans="1:8" ht="15" customHeight="1">
      <c r="A11465" s="26">
        <v>1052389469</v>
      </c>
      <c r="B11465" s="29" t="s">
        <v>13676</v>
      </c>
      <c r="C11465" s="29" t="s">
        <v>27294</v>
      </c>
      <c r="D11465" s="29" t="s">
        <v>40779</v>
      </c>
      <c r="E11465" s="29" t="s">
        <v>52297</v>
      </c>
      <c r="F11465" s="36" t="s">
        <v>54401</v>
      </c>
      <c r="G11465" s="39">
        <v>1186000.42</v>
      </c>
      <c r="H11465" s="42">
        <v>211</v>
      </c>
    </row>
    <row r="11466" spans="1:8" ht="15" customHeight="1">
      <c r="A11466" s="26">
        <v>1052389475</v>
      </c>
      <c r="B11466" s="29" t="s">
        <v>13677</v>
      </c>
      <c r="C11466" s="29" t="s">
        <v>27295</v>
      </c>
      <c r="D11466" s="29" t="s">
        <v>40780</v>
      </c>
      <c r="E11466" s="29" t="s">
        <v>45950</v>
      </c>
      <c r="F11466" s="36" t="s">
        <v>54401</v>
      </c>
      <c r="G11466" s="39">
        <v>2955014.15</v>
      </c>
      <c r="H11466" s="42">
        <v>211</v>
      </c>
    </row>
    <row r="11467" spans="1:8" ht="15" customHeight="1">
      <c r="A11467" s="26">
        <v>1052389483</v>
      </c>
      <c r="B11467" s="29" t="s">
        <v>13678</v>
      </c>
      <c r="C11467" s="29" t="s">
        <v>27296</v>
      </c>
      <c r="D11467" s="29" t="s">
        <v>40781</v>
      </c>
      <c r="E11467" s="29" t="s">
        <v>52298</v>
      </c>
      <c r="F11467" s="36" t="s">
        <v>54401</v>
      </c>
      <c r="G11467" s="39">
        <v>8942634.7100000009</v>
      </c>
      <c r="H11467" s="42">
        <v>211</v>
      </c>
    </row>
    <row r="11468" spans="1:8" ht="15" customHeight="1">
      <c r="A11468" s="26">
        <v>1052389491</v>
      </c>
      <c r="B11468" s="29" t="s">
        <v>13679</v>
      </c>
      <c r="C11468" s="29" t="s">
        <v>27297</v>
      </c>
      <c r="D11468" s="29" t="s">
        <v>40782</v>
      </c>
      <c r="E11468" s="29" t="s">
        <v>51050</v>
      </c>
      <c r="F11468" s="36" t="s">
        <v>54401</v>
      </c>
      <c r="G11468" s="39">
        <v>1752942.42</v>
      </c>
      <c r="H11468" s="42">
        <v>211</v>
      </c>
    </row>
    <row r="11469" spans="1:8" ht="15" customHeight="1">
      <c r="A11469" s="26">
        <v>1052389497</v>
      </c>
      <c r="B11469" s="29" t="s">
        <v>13680</v>
      </c>
      <c r="C11469" s="29" t="s">
        <v>27298</v>
      </c>
      <c r="D11469" s="29" t="s">
        <v>40783</v>
      </c>
      <c r="E11469" s="29" t="s">
        <v>52299</v>
      </c>
      <c r="F11469" s="36" t="s">
        <v>54401</v>
      </c>
      <c r="G11469" s="39">
        <v>621295.48</v>
      </c>
      <c r="H11469" s="42">
        <v>211</v>
      </c>
    </row>
    <row r="11470" spans="1:8" ht="15" customHeight="1">
      <c r="A11470" s="26">
        <v>1052389512</v>
      </c>
      <c r="B11470" s="29" t="s">
        <v>13681</v>
      </c>
      <c r="C11470" s="26" t="s">
        <v>27299</v>
      </c>
      <c r="D11470" s="26" t="s">
        <v>40784</v>
      </c>
      <c r="E11470" s="26" t="s">
        <v>52300</v>
      </c>
      <c r="F11470" s="37" t="s">
        <v>54401</v>
      </c>
      <c r="G11470" s="39">
        <v>48121.48</v>
      </c>
      <c r="H11470" s="42">
        <v>211</v>
      </c>
    </row>
    <row r="11471" spans="1:8" ht="15" customHeight="1">
      <c r="A11471" s="26">
        <v>1052389538</v>
      </c>
      <c r="B11471" s="29" t="s">
        <v>13682</v>
      </c>
      <c r="C11471" s="29" t="s">
        <v>27300</v>
      </c>
      <c r="D11471" s="29" t="s">
        <v>40785</v>
      </c>
      <c r="E11471" s="29" t="s">
        <v>45394</v>
      </c>
      <c r="F11471" s="36" t="s">
        <v>54401</v>
      </c>
      <c r="G11471" s="39">
        <v>3321314.33</v>
      </c>
      <c r="H11471" s="42">
        <v>211</v>
      </c>
    </row>
    <row r="11472" spans="1:8" ht="15" customHeight="1">
      <c r="A11472" s="26">
        <v>1052389545</v>
      </c>
      <c r="B11472" s="29" t="s">
        <v>13683</v>
      </c>
      <c r="C11472" s="29" t="s">
        <v>27301</v>
      </c>
      <c r="D11472" s="29" t="s">
        <v>40786</v>
      </c>
      <c r="E11472" s="29" t="s">
        <v>52301</v>
      </c>
      <c r="F11472" s="36" t="s">
        <v>54401</v>
      </c>
      <c r="G11472" s="39">
        <v>19402.38</v>
      </c>
      <c r="H11472" s="42">
        <v>211</v>
      </c>
    </row>
    <row r="11473" spans="1:8" ht="15" customHeight="1">
      <c r="A11473" s="26">
        <v>1052389555</v>
      </c>
      <c r="B11473" s="29" t="s">
        <v>13684</v>
      </c>
      <c r="C11473" s="29" t="s">
        <v>27302</v>
      </c>
      <c r="D11473" s="29" t="s">
        <v>40787</v>
      </c>
      <c r="E11473" s="29" t="s">
        <v>52302</v>
      </c>
      <c r="F11473" s="36" t="s">
        <v>54401</v>
      </c>
      <c r="G11473" s="39">
        <v>5424702.4400000004</v>
      </c>
      <c r="H11473" s="42">
        <v>211</v>
      </c>
    </row>
    <row r="11474" spans="1:8" ht="15" customHeight="1">
      <c r="A11474" s="26">
        <v>1052389556</v>
      </c>
      <c r="B11474" s="29" t="s">
        <v>13685</v>
      </c>
      <c r="C11474" s="29" t="s">
        <v>27303</v>
      </c>
      <c r="D11474" s="29" t="s">
        <v>40788</v>
      </c>
      <c r="E11474" s="29" t="s">
        <v>43926</v>
      </c>
      <c r="F11474" s="36" t="s">
        <v>54401</v>
      </c>
      <c r="G11474" s="39">
        <v>418785.45</v>
      </c>
      <c r="H11474" s="42">
        <v>211</v>
      </c>
    </row>
    <row r="11475" spans="1:8" ht="15" customHeight="1">
      <c r="A11475" s="26">
        <v>1052389563</v>
      </c>
      <c r="B11475" s="29" t="s">
        <v>13686</v>
      </c>
      <c r="C11475" s="29" t="s">
        <v>27304</v>
      </c>
      <c r="D11475" s="29" t="s">
        <v>40789</v>
      </c>
      <c r="E11475" s="29" t="s">
        <v>52303</v>
      </c>
      <c r="F11475" s="36" t="s">
        <v>54401</v>
      </c>
      <c r="G11475" s="39">
        <v>12507898</v>
      </c>
      <c r="H11475" s="42">
        <v>211</v>
      </c>
    </row>
    <row r="11476" spans="1:8" ht="15" customHeight="1">
      <c r="A11476" s="26">
        <v>1052389591</v>
      </c>
      <c r="B11476" s="29" t="s">
        <v>13687</v>
      </c>
      <c r="C11476" s="26" t="s">
        <v>17204</v>
      </c>
      <c r="D11476" s="26" t="s">
        <v>30349</v>
      </c>
      <c r="E11476" s="26" t="s">
        <v>43926</v>
      </c>
      <c r="F11476" s="37" t="s">
        <v>54401</v>
      </c>
      <c r="G11476" s="39">
        <v>88420.17</v>
      </c>
      <c r="H11476" s="42">
        <v>211</v>
      </c>
    </row>
    <row r="11477" spans="1:8" ht="15" customHeight="1">
      <c r="A11477" s="26">
        <v>1052389598</v>
      </c>
      <c r="B11477" s="29" t="s">
        <v>13688</v>
      </c>
      <c r="C11477" s="29" t="s">
        <v>27305</v>
      </c>
      <c r="D11477" s="29" t="s">
        <v>40790</v>
      </c>
      <c r="E11477" s="29" t="s">
        <v>52304</v>
      </c>
      <c r="F11477" s="36" t="s">
        <v>54401</v>
      </c>
      <c r="G11477" s="39">
        <v>543230.06000000006</v>
      </c>
      <c r="H11477" s="42">
        <v>211</v>
      </c>
    </row>
    <row r="11478" spans="1:8" ht="15" customHeight="1">
      <c r="A11478" s="26">
        <v>1052389603</v>
      </c>
      <c r="B11478" s="29" t="s">
        <v>13689</v>
      </c>
      <c r="C11478" s="29" t="s">
        <v>27306</v>
      </c>
      <c r="D11478" s="29" t="s">
        <v>40791</v>
      </c>
      <c r="E11478" s="29" t="s">
        <v>52305</v>
      </c>
      <c r="F11478" s="36" t="s">
        <v>54401</v>
      </c>
      <c r="G11478" s="39">
        <v>5365981</v>
      </c>
      <c r="H11478" s="42">
        <v>211</v>
      </c>
    </row>
    <row r="11479" spans="1:8" ht="15" customHeight="1">
      <c r="A11479" s="26">
        <v>1052389625</v>
      </c>
      <c r="B11479" s="29" t="s">
        <v>13690</v>
      </c>
      <c r="C11479" s="29" t="s">
        <v>27307</v>
      </c>
      <c r="D11479" s="29" t="s">
        <v>40792</v>
      </c>
      <c r="E11479" s="29" t="s">
        <v>52306</v>
      </c>
      <c r="F11479" s="36" t="s">
        <v>54401</v>
      </c>
      <c r="G11479" s="39">
        <v>1917054.6</v>
      </c>
      <c r="H11479" s="42">
        <v>211</v>
      </c>
    </row>
    <row r="11480" spans="1:8" ht="15" customHeight="1">
      <c r="A11480" s="26">
        <v>1052389628</v>
      </c>
      <c r="B11480" s="29" t="s">
        <v>13691</v>
      </c>
      <c r="C11480" s="29" t="s">
        <v>27308</v>
      </c>
      <c r="D11480" s="29" t="s">
        <v>40793</v>
      </c>
      <c r="E11480" s="29" t="s">
        <v>52307</v>
      </c>
      <c r="F11480" s="36" t="s">
        <v>54401</v>
      </c>
      <c r="G11480" s="39">
        <v>1919269.74</v>
      </c>
      <c r="H11480" s="42">
        <v>211</v>
      </c>
    </row>
    <row r="11481" spans="1:8" ht="15" customHeight="1">
      <c r="A11481" s="26">
        <v>1052389634</v>
      </c>
      <c r="B11481" s="29" t="s">
        <v>13692</v>
      </c>
      <c r="C11481" s="29" t="s">
        <v>27309</v>
      </c>
      <c r="D11481" s="29" t="s">
        <v>40794</v>
      </c>
      <c r="E11481" s="29" t="s">
        <v>52308</v>
      </c>
      <c r="F11481" s="36" t="s">
        <v>54401</v>
      </c>
      <c r="G11481" s="39">
        <v>314205.03000000003</v>
      </c>
      <c r="H11481" s="42">
        <v>211</v>
      </c>
    </row>
    <row r="11482" spans="1:8" ht="15" customHeight="1">
      <c r="A11482" s="26">
        <v>1052389652</v>
      </c>
      <c r="B11482" s="29" t="s">
        <v>13693</v>
      </c>
      <c r="C11482" s="29" t="s">
        <v>27310</v>
      </c>
      <c r="D11482" s="29" t="s">
        <v>39814</v>
      </c>
      <c r="E11482" s="29" t="s">
        <v>52309</v>
      </c>
      <c r="F11482" s="36" t="s">
        <v>54401</v>
      </c>
      <c r="G11482" s="39">
        <v>5062511</v>
      </c>
      <c r="H11482" s="42">
        <v>211</v>
      </c>
    </row>
    <row r="11483" spans="1:8" ht="15" customHeight="1">
      <c r="A11483" s="26">
        <v>1052389662</v>
      </c>
      <c r="B11483" s="29" t="s">
        <v>13694</v>
      </c>
      <c r="C11483" s="26" t="s">
        <v>27311</v>
      </c>
      <c r="D11483" s="26" t="s">
        <v>40795</v>
      </c>
      <c r="E11483" s="26" t="s">
        <v>52310</v>
      </c>
      <c r="F11483" s="37" t="s">
        <v>54401</v>
      </c>
      <c r="G11483" s="39">
        <v>362870.83</v>
      </c>
      <c r="H11483" s="42">
        <v>211</v>
      </c>
    </row>
    <row r="11484" spans="1:8" ht="15" customHeight="1">
      <c r="A11484" s="26">
        <v>1052389663</v>
      </c>
      <c r="B11484" s="29" t="s">
        <v>13695</v>
      </c>
      <c r="C11484" s="29" t="s">
        <v>25548</v>
      </c>
      <c r="D11484" s="29" t="s">
        <v>38975</v>
      </c>
      <c r="E11484" s="29" t="s">
        <v>51010</v>
      </c>
      <c r="F11484" s="36" t="s">
        <v>54401</v>
      </c>
      <c r="G11484" s="39">
        <v>5864039.5199999996</v>
      </c>
      <c r="H11484" s="42">
        <v>211</v>
      </c>
    </row>
    <row r="11485" spans="1:8" ht="15" customHeight="1">
      <c r="A11485" s="26">
        <v>1052389667</v>
      </c>
      <c r="B11485" s="29" t="s">
        <v>13696</v>
      </c>
      <c r="C11485" s="29" t="s">
        <v>27312</v>
      </c>
      <c r="D11485" s="29" t="s">
        <v>40796</v>
      </c>
      <c r="E11485" s="29" t="s">
        <v>49362</v>
      </c>
      <c r="F11485" s="36" t="s">
        <v>54401</v>
      </c>
      <c r="G11485" s="39">
        <v>1633185.27</v>
      </c>
      <c r="H11485" s="42">
        <v>211</v>
      </c>
    </row>
    <row r="11486" spans="1:8" ht="15" customHeight="1">
      <c r="A11486" s="26">
        <v>1052389678</v>
      </c>
      <c r="B11486" s="29" t="s">
        <v>13697</v>
      </c>
      <c r="C11486" s="29" t="s">
        <v>17204</v>
      </c>
      <c r="D11486" s="29" t="s">
        <v>30349</v>
      </c>
      <c r="E11486" s="29" t="s">
        <v>43926</v>
      </c>
      <c r="F11486" s="36" t="s">
        <v>54401</v>
      </c>
      <c r="G11486" s="39">
        <v>589852.98</v>
      </c>
      <c r="H11486" s="42">
        <v>211</v>
      </c>
    </row>
    <row r="11487" spans="1:8" ht="15" customHeight="1">
      <c r="A11487" s="26">
        <v>1052389684</v>
      </c>
      <c r="B11487" s="29" t="s">
        <v>13698</v>
      </c>
      <c r="C11487" s="26" t="s">
        <v>27313</v>
      </c>
      <c r="D11487" s="26" t="s">
        <v>40797</v>
      </c>
      <c r="E11487" s="26" t="s">
        <v>52311</v>
      </c>
      <c r="F11487" s="37" t="s">
        <v>54401</v>
      </c>
      <c r="G11487" s="39">
        <v>288805.59999999998</v>
      </c>
      <c r="H11487" s="42">
        <v>211</v>
      </c>
    </row>
    <row r="11488" spans="1:8" ht="15" customHeight="1">
      <c r="A11488" s="26">
        <v>1052389705</v>
      </c>
      <c r="B11488" s="29" t="s">
        <v>13699</v>
      </c>
      <c r="C11488" s="29" t="s">
        <v>27314</v>
      </c>
      <c r="D11488" s="29" t="s">
        <v>40798</v>
      </c>
      <c r="E11488" s="29" t="s">
        <v>52312</v>
      </c>
      <c r="F11488" s="36" t="s">
        <v>54401</v>
      </c>
      <c r="G11488" s="39">
        <v>116269.9</v>
      </c>
      <c r="H11488" s="42">
        <v>211</v>
      </c>
    </row>
    <row r="11489" spans="1:8" ht="15" customHeight="1">
      <c r="A11489" s="26">
        <v>1052389706</v>
      </c>
      <c r="B11489" s="29" t="s">
        <v>13700</v>
      </c>
      <c r="C11489" s="29" t="s">
        <v>27315</v>
      </c>
      <c r="D11489" s="29" t="s">
        <v>40799</v>
      </c>
      <c r="E11489" s="29" t="s">
        <v>52313</v>
      </c>
      <c r="F11489" s="36" t="s">
        <v>54401</v>
      </c>
      <c r="G11489" s="39">
        <v>182626.84</v>
      </c>
      <c r="H11489" s="42">
        <v>211</v>
      </c>
    </row>
    <row r="11490" spans="1:8" ht="15" customHeight="1">
      <c r="A11490" s="26">
        <v>1052389738</v>
      </c>
      <c r="B11490" s="29" t="s">
        <v>13701</v>
      </c>
      <c r="C11490" s="29" t="s">
        <v>27316</v>
      </c>
      <c r="D11490" s="29" t="s">
        <v>40800</v>
      </c>
      <c r="E11490" s="29" t="s">
        <v>50021</v>
      </c>
      <c r="F11490" s="36" t="s">
        <v>54401</v>
      </c>
      <c r="G11490" s="39">
        <v>106129.42</v>
      </c>
      <c r="H11490" s="42">
        <v>211</v>
      </c>
    </row>
    <row r="11491" spans="1:8" ht="15" customHeight="1">
      <c r="A11491" s="26">
        <v>1052389761</v>
      </c>
      <c r="B11491" s="29" t="s">
        <v>13702</v>
      </c>
      <c r="C11491" s="29" t="s">
        <v>27317</v>
      </c>
      <c r="D11491" s="29" t="s">
        <v>40801</v>
      </c>
      <c r="E11491" s="29" t="s">
        <v>52314</v>
      </c>
      <c r="F11491" s="36" t="s">
        <v>54401</v>
      </c>
      <c r="G11491" s="39">
        <v>2662575.63</v>
      </c>
      <c r="H11491" s="42">
        <v>211</v>
      </c>
    </row>
    <row r="11492" spans="1:8" ht="15" customHeight="1">
      <c r="A11492" s="26">
        <v>1052389778</v>
      </c>
      <c r="B11492" s="29" t="s">
        <v>13703</v>
      </c>
      <c r="C11492" s="29" t="s">
        <v>27318</v>
      </c>
      <c r="D11492" s="29" t="s">
        <v>40802</v>
      </c>
      <c r="E11492" s="29" t="s">
        <v>52315</v>
      </c>
      <c r="F11492" s="36" t="s">
        <v>54401</v>
      </c>
      <c r="G11492" s="39">
        <v>162571.9</v>
      </c>
      <c r="H11492" s="42">
        <v>211</v>
      </c>
    </row>
    <row r="11493" spans="1:8" ht="15" customHeight="1">
      <c r="A11493" s="26">
        <v>1052389790</v>
      </c>
      <c r="B11493" s="29" t="s">
        <v>13704</v>
      </c>
      <c r="C11493" s="29" t="s">
        <v>27319</v>
      </c>
      <c r="D11493" s="29" t="s">
        <v>40803</v>
      </c>
      <c r="E11493" s="29" t="s">
        <v>45285</v>
      </c>
      <c r="F11493" s="36" t="s">
        <v>54401</v>
      </c>
      <c r="G11493" s="39">
        <v>647668.51</v>
      </c>
      <c r="H11493" s="42">
        <v>211</v>
      </c>
    </row>
    <row r="11494" spans="1:8" ht="15" customHeight="1">
      <c r="A11494" s="26">
        <v>1052389818</v>
      </c>
      <c r="B11494" s="29" t="s">
        <v>13705</v>
      </c>
      <c r="C11494" s="29" t="s">
        <v>27320</v>
      </c>
      <c r="D11494" s="29" t="s">
        <v>40804</v>
      </c>
      <c r="E11494" s="29" t="s">
        <v>43926</v>
      </c>
      <c r="F11494" s="36" t="s">
        <v>54401</v>
      </c>
      <c r="G11494" s="39">
        <v>531597.32999999996</v>
      </c>
      <c r="H11494" s="42">
        <v>211</v>
      </c>
    </row>
    <row r="11495" spans="1:8" ht="15" customHeight="1">
      <c r="A11495" s="26">
        <v>1052389845</v>
      </c>
      <c r="B11495" s="29" t="s">
        <v>13706</v>
      </c>
      <c r="C11495" s="26" t="s">
        <v>17204</v>
      </c>
      <c r="D11495" s="26" t="s">
        <v>30349</v>
      </c>
      <c r="E11495" s="26" t="s">
        <v>43926</v>
      </c>
      <c r="F11495" s="37" t="s">
        <v>54401</v>
      </c>
      <c r="G11495" s="39">
        <v>70393.47</v>
      </c>
      <c r="H11495" s="42">
        <v>211</v>
      </c>
    </row>
    <row r="11496" spans="1:8" ht="15" customHeight="1">
      <c r="A11496" s="26">
        <v>1052389846</v>
      </c>
      <c r="B11496" s="29" t="s">
        <v>13707</v>
      </c>
      <c r="C11496" s="29" t="s">
        <v>27321</v>
      </c>
      <c r="D11496" s="29" t="s">
        <v>40805</v>
      </c>
      <c r="E11496" s="29" t="s">
        <v>43926</v>
      </c>
      <c r="F11496" s="36" t="s">
        <v>54401</v>
      </c>
      <c r="G11496" s="39">
        <v>79243.7</v>
      </c>
      <c r="H11496" s="42">
        <v>211</v>
      </c>
    </row>
    <row r="11497" spans="1:8" ht="15" customHeight="1">
      <c r="A11497" s="26">
        <v>1052389853</v>
      </c>
      <c r="B11497" s="29" t="s">
        <v>13708</v>
      </c>
      <c r="C11497" s="29" t="s">
        <v>27322</v>
      </c>
      <c r="D11497" s="29" t="s">
        <v>40806</v>
      </c>
      <c r="E11497" s="29" t="s">
        <v>52316</v>
      </c>
      <c r="F11497" s="36" t="s">
        <v>54401</v>
      </c>
      <c r="G11497" s="39">
        <v>3131055.97</v>
      </c>
      <c r="H11497" s="42">
        <v>211</v>
      </c>
    </row>
    <row r="11498" spans="1:8" ht="15" customHeight="1">
      <c r="A11498" s="26">
        <v>1052389862</v>
      </c>
      <c r="B11498" s="29" t="s">
        <v>13709</v>
      </c>
      <c r="C11498" s="26" t="s">
        <v>27323</v>
      </c>
      <c r="D11498" s="26" t="s">
        <v>37178</v>
      </c>
      <c r="E11498" s="26" t="s">
        <v>52317</v>
      </c>
      <c r="F11498" s="37" t="s">
        <v>54401</v>
      </c>
      <c r="G11498" s="39">
        <v>5846201.9699999997</v>
      </c>
      <c r="H11498" s="42">
        <v>211</v>
      </c>
    </row>
    <row r="11499" spans="1:8" ht="15" customHeight="1">
      <c r="A11499" s="26">
        <v>1052389864</v>
      </c>
      <c r="B11499" s="29" t="s">
        <v>13710</v>
      </c>
      <c r="C11499" s="29" t="s">
        <v>27324</v>
      </c>
      <c r="D11499" s="29" t="s">
        <v>40807</v>
      </c>
      <c r="E11499" s="29" t="s">
        <v>52318</v>
      </c>
      <c r="F11499" s="36" t="s">
        <v>54401</v>
      </c>
      <c r="G11499" s="39">
        <v>5995465</v>
      </c>
      <c r="H11499" s="42">
        <v>211</v>
      </c>
    </row>
    <row r="11500" spans="1:8" ht="15" customHeight="1">
      <c r="A11500" s="26">
        <v>1052389876</v>
      </c>
      <c r="B11500" s="29" t="s">
        <v>13711</v>
      </c>
      <c r="C11500" s="29" t="s">
        <v>27325</v>
      </c>
      <c r="D11500" s="29" t="s">
        <v>40808</v>
      </c>
      <c r="E11500" s="29" t="s">
        <v>52319</v>
      </c>
      <c r="F11500" s="36" t="s">
        <v>54401</v>
      </c>
      <c r="G11500" s="39">
        <v>294811.68</v>
      </c>
      <c r="H11500" s="42">
        <v>211</v>
      </c>
    </row>
    <row r="11501" spans="1:8" ht="15" customHeight="1">
      <c r="A11501" s="26">
        <v>1052389887</v>
      </c>
      <c r="B11501" s="29" t="s">
        <v>13712</v>
      </c>
      <c r="C11501" s="29" t="s">
        <v>27326</v>
      </c>
      <c r="D11501" s="29" t="s">
        <v>40809</v>
      </c>
      <c r="E11501" s="29" t="s">
        <v>51927</v>
      </c>
      <c r="F11501" s="36" t="s">
        <v>54401</v>
      </c>
      <c r="G11501" s="39">
        <v>739000.49</v>
      </c>
      <c r="H11501" s="42">
        <v>211</v>
      </c>
    </row>
    <row r="11502" spans="1:8" ht="15" customHeight="1">
      <c r="A11502" s="26">
        <v>1052389904</v>
      </c>
      <c r="B11502" s="29" t="s">
        <v>13713</v>
      </c>
      <c r="C11502" s="29" t="s">
        <v>27327</v>
      </c>
      <c r="D11502" s="29" t="s">
        <v>40810</v>
      </c>
      <c r="E11502" s="29" t="s">
        <v>52320</v>
      </c>
      <c r="F11502" s="36" t="s">
        <v>54401</v>
      </c>
      <c r="G11502" s="39">
        <v>1071338.26</v>
      </c>
      <c r="H11502" s="42">
        <v>211</v>
      </c>
    </row>
    <row r="11503" spans="1:8" ht="15" customHeight="1">
      <c r="A11503" s="26">
        <v>1052389952</v>
      </c>
      <c r="B11503" s="29" t="s">
        <v>13714</v>
      </c>
      <c r="C11503" s="26" t="s">
        <v>27328</v>
      </c>
      <c r="D11503" s="26" t="s">
        <v>32029</v>
      </c>
      <c r="E11503" s="26" t="s">
        <v>45006</v>
      </c>
      <c r="F11503" s="37" t="s">
        <v>54401</v>
      </c>
      <c r="G11503" s="39">
        <v>4809617</v>
      </c>
      <c r="H11503" s="42">
        <v>211</v>
      </c>
    </row>
    <row r="11504" spans="1:8" ht="15" customHeight="1">
      <c r="A11504" s="26">
        <v>1052389966</v>
      </c>
      <c r="B11504" s="29" t="s">
        <v>13715</v>
      </c>
      <c r="C11504" s="29" t="s">
        <v>27329</v>
      </c>
      <c r="D11504" s="29" t="s">
        <v>40811</v>
      </c>
      <c r="E11504" s="29" t="s">
        <v>52321</v>
      </c>
      <c r="F11504" s="36" t="s">
        <v>54401</v>
      </c>
      <c r="G11504" s="39">
        <v>1759495</v>
      </c>
      <c r="H11504" s="42">
        <v>211</v>
      </c>
    </row>
    <row r="11505" spans="1:8" ht="15" customHeight="1">
      <c r="A11505" s="26">
        <v>1052389985</v>
      </c>
      <c r="B11505" s="29" t="s">
        <v>13716</v>
      </c>
      <c r="C11505" s="29" t="s">
        <v>27330</v>
      </c>
      <c r="D11505" s="29" t="s">
        <v>40812</v>
      </c>
      <c r="E11505" s="29" t="s">
        <v>52322</v>
      </c>
      <c r="F11505" s="36" t="s">
        <v>54401</v>
      </c>
      <c r="G11505" s="39">
        <v>383545.34</v>
      </c>
      <c r="H11505" s="42">
        <v>211</v>
      </c>
    </row>
    <row r="11506" spans="1:8" ht="15" customHeight="1">
      <c r="A11506" s="26">
        <v>1052390000</v>
      </c>
      <c r="B11506" s="29" t="s">
        <v>13717</v>
      </c>
      <c r="C11506" s="29" t="s">
        <v>18985</v>
      </c>
      <c r="D11506" s="29" t="s">
        <v>32149</v>
      </c>
      <c r="E11506" s="29" t="s">
        <v>46000</v>
      </c>
      <c r="F11506" s="36" t="s">
        <v>54401</v>
      </c>
      <c r="G11506" s="39">
        <v>29960</v>
      </c>
      <c r="H11506" s="42">
        <v>211</v>
      </c>
    </row>
    <row r="11507" spans="1:8" ht="15" customHeight="1">
      <c r="A11507" s="26">
        <v>1052390015</v>
      </c>
      <c r="B11507" s="29" t="s">
        <v>13718</v>
      </c>
      <c r="C11507" s="29" t="s">
        <v>27331</v>
      </c>
      <c r="D11507" s="29" t="s">
        <v>40813</v>
      </c>
      <c r="E11507" s="29" t="s">
        <v>52323</v>
      </c>
      <c r="F11507" s="36" t="s">
        <v>54401</v>
      </c>
      <c r="G11507" s="39">
        <v>196599.41</v>
      </c>
      <c r="H11507" s="42">
        <v>211</v>
      </c>
    </row>
    <row r="11508" spans="1:8" ht="15" customHeight="1">
      <c r="A11508" s="26">
        <v>1052390025</v>
      </c>
      <c r="B11508" s="29" t="s">
        <v>13719</v>
      </c>
      <c r="C11508" s="29" t="s">
        <v>27332</v>
      </c>
      <c r="D11508" s="29" t="s">
        <v>40814</v>
      </c>
      <c r="E11508" s="29" t="s">
        <v>43926</v>
      </c>
      <c r="F11508" s="36" t="s">
        <v>54401</v>
      </c>
      <c r="G11508" s="39">
        <v>67230.19</v>
      </c>
      <c r="H11508" s="42">
        <v>211</v>
      </c>
    </row>
    <row r="11509" spans="1:8" ht="15" customHeight="1">
      <c r="A11509" s="26">
        <v>1052390034</v>
      </c>
      <c r="B11509" s="29" t="s">
        <v>13720</v>
      </c>
      <c r="C11509" s="26" t="s">
        <v>27333</v>
      </c>
      <c r="D11509" s="26" t="s">
        <v>40815</v>
      </c>
      <c r="E11509" s="26" t="s">
        <v>52324</v>
      </c>
      <c r="F11509" s="37" t="s">
        <v>54401</v>
      </c>
      <c r="G11509" s="39">
        <v>1294496.53</v>
      </c>
      <c r="H11509" s="42">
        <v>211</v>
      </c>
    </row>
    <row r="11510" spans="1:8" ht="15" customHeight="1">
      <c r="A11510" s="26">
        <v>1052390043</v>
      </c>
      <c r="B11510" s="29" t="s">
        <v>13721</v>
      </c>
      <c r="C11510" s="29" t="s">
        <v>27334</v>
      </c>
      <c r="D11510" s="29" t="s">
        <v>40816</v>
      </c>
      <c r="E11510" s="29" t="s">
        <v>52325</v>
      </c>
      <c r="F11510" s="36" t="s">
        <v>54401</v>
      </c>
      <c r="G11510" s="39">
        <v>1639435.1</v>
      </c>
      <c r="H11510" s="42">
        <v>211</v>
      </c>
    </row>
    <row r="11511" spans="1:8" ht="15" customHeight="1">
      <c r="A11511" s="26">
        <v>1052390058</v>
      </c>
      <c r="B11511" s="29" t="s">
        <v>13722</v>
      </c>
      <c r="C11511" s="29" t="s">
        <v>27335</v>
      </c>
      <c r="D11511" s="29" t="s">
        <v>40817</v>
      </c>
      <c r="E11511" s="29" t="s">
        <v>52326</v>
      </c>
      <c r="F11511" s="36" t="s">
        <v>54401</v>
      </c>
      <c r="G11511" s="39">
        <v>1752463</v>
      </c>
      <c r="H11511" s="42">
        <v>211</v>
      </c>
    </row>
    <row r="11512" spans="1:8" ht="15" customHeight="1">
      <c r="A11512" s="26">
        <v>1052390103</v>
      </c>
      <c r="B11512" s="29" t="s">
        <v>13723</v>
      </c>
      <c r="C11512" s="29" t="s">
        <v>27336</v>
      </c>
      <c r="D11512" s="29" t="s">
        <v>40818</v>
      </c>
      <c r="E11512" s="29" t="s">
        <v>1456</v>
      </c>
      <c r="F11512" s="36" t="s">
        <v>54401</v>
      </c>
      <c r="G11512" s="39">
        <v>174287.06</v>
      </c>
      <c r="H11512" s="42">
        <v>211</v>
      </c>
    </row>
    <row r="11513" spans="1:8" ht="15" customHeight="1">
      <c r="A11513" s="26">
        <v>1052390134</v>
      </c>
      <c r="B11513" s="29" t="s">
        <v>13724</v>
      </c>
      <c r="C11513" s="29" t="s">
        <v>27337</v>
      </c>
      <c r="D11513" s="29" t="s">
        <v>40819</v>
      </c>
      <c r="E11513" s="29" t="s">
        <v>52327</v>
      </c>
      <c r="F11513" s="36" t="s">
        <v>54401</v>
      </c>
      <c r="G11513" s="39">
        <v>47314.29</v>
      </c>
      <c r="H11513" s="42">
        <v>211</v>
      </c>
    </row>
    <row r="11514" spans="1:8" ht="15" customHeight="1">
      <c r="A11514" s="26">
        <v>1052390145</v>
      </c>
      <c r="B11514" s="29" t="s">
        <v>13725</v>
      </c>
      <c r="C11514" s="29" t="s">
        <v>27338</v>
      </c>
      <c r="D11514" s="29" t="s">
        <v>40820</v>
      </c>
      <c r="E11514" s="29" t="s">
        <v>52328</v>
      </c>
      <c r="F11514" s="36" t="s">
        <v>54401</v>
      </c>
      <c r="G11514" s="39">
        <v>55818.39</v>
      </c>
      <c r="H11514" s="42">
        <v>211</v>
      </c>
    </row>
    <row r="11515" spans="1:8" ht="15" customHeight="1">
      <c r="A11515" s="26">
        <v>1052390153</v>
      </c>
      <c r="B11515" s="29" t="s">
        <v>13726</v>
      </c>
      <c r="C11515" s="29" t="s">
        <v>27339</v>
      </c>
      <c r="D11515" s="29" t="s">
        <v>40821</v>
      </c>
      <c r="E11515" s="29" t="s">
        <v>52329</v>
      </c>
      <c r="F11515" s="36" t="s">
        <v>54412</v>
      </c>
      <c r="G11515" s="39">
        <v>2339299.0299999998</v>
      </c>
      <c r="H11515" s="42">
        <v>211</v>
      </c>
    </row>
    <row r="11516" spans="1:8" ht="15" customHeight="1">
      <c r="A11516" s="26">
        <v>1052390197</v>
      </c>
      <c r="B11516" s="29" t="s">
        <v>13727</v>
      </c>
      <c r="C11516" s="29" t="s">
        <v>27340</v>
      </c>
      <c r="D11516" s="29" t="s">
        <v>40822</v>
      </c>
      <c r="E11516" s="29" t="s">
        <v>45043</v>
      </c>
      <c r="F11516" s="36" t="s">
        <v>54401</v>
      </c>
      <c r="G11516" s="39">
        <v>4203605.6900000004</v>
      </c>
      <c r="H11516" s="42">
        <v>211</v>
      </c>
    </row>
    <row r="11517" spans="1:8" ht="15" customHeight="1">
      <c r="A11517" s="26">
        <v>1052390222</v>
      </c>
      <c r="B11517" s="29" t="s">
        <v>13728</v>
      </c>
      <c r="C11517" s="29" t="s">
        <v>27341</v>
      </c>
      <c r="D11517" s="29" t="s">
        <v>40823</v>
      </c>
      <c r="E11517" s="29" t="s">
        <v>50425</v>
      </c>
      <c r="F11517" s="36" t="s">
        <v>54401</v>
      </c>
      <c r="G11517" s="39">
        <v>1329109.5</v>
      </c>
      <c r="H11517" s="42">
        <v>211</v>
      </c>
    </row>
    <row r="11518" spans="1:8" ht="15" customHeight="1">
      <c r="A11518" s="26">
        <v>1052390260</v>
      </c>
      <c r="B11518" s="29" t="s">
        <v>13729</v>
      </c>
      <c r="C11518" s="29" t="s">
        <v>27342</v>
      </c>
      <c r="D11518" s="29" t="s">
        <v>40824</v>
      </c>
      <c r="E11518" s="29" t="s">
        <v>43926</v>
      </c>
      <c r="F11518" s="36" t="s">
        <v>54401</v>
      </c>
      <c r="G11518" s="39">
        <v>104963.2</v>
      </c>
      <c r="H11518" s="42">
        <v>211</v>
      </c>
    </row>
    <row r="11519" spans="1:8" ht="15" customHeight="1">
      <c r="A11519" s="26">
        <v>1052390308</v>
      </c>
      <c r="B11519" s="29" t="s">
        <v>13730</v>
      </c>
      <c r="C11519" s="29" t="s">
        <v>27343</v>
      </c>
      <c r="D11519" s="29" t="s">
        <v>40825</v>
      </c>
      <c r="E11519" s="29" t="s">
        <v>52330</v>
      </c>
      <c r="F11519" s="36" t="s">
        <v>54401</v>
      </c>
      <c r="G11519" s="39">
        <v>5177105</v>
      </c>
      <c r="H11519" s="42">
        <v>211</v>
      </c>
    </row>
    <row r="11520" spans="1:8" ht="15" customHeight="1">
      <c r="A11520" s="26">
        <v>1052390309</v>
      </c>
      <c r="B11520" s="29" t="s">
        <v>13731</v>
      </c>
      <c r="C11520" s="29" t="s">
        <v>27344</v>
      </c>
      <c r="D11520" s="29" t="s">
        <v>40826</v>
      </c>
      <c r="E11520" s="29" t="s">
        <v>52331</v>
      </c>
      <c r="F11520" s="36" t="s">
        <v>54401</v>
      </c>
      <c r="G11520" s="39">
        <v>191743.75</v>
      </c>
      <c r="H11520" s="42">
        <v>211</v>
      </c>
    </row>
    <row r="11521" spans="1:8" ht="15" customHeight="1">
      <c r="A11521" s="26">
        <v>1052390379</v>
      </c>
      <c r="B11521" s="29" t="s">
        <v>13732</v>
      </c>
      <c r="C11521" s="29" t="s">
        <v>27345</v>
      </c>
      <c r="D11521" s="29" t="s">
        <v>40827</v>
      </c>
      <c r="E11521" s="29" t="s">
        <v>52332</v>
      </c>
      <c r="F11521" s="36" t="s">
        <v>54401</v>
      </c>
      <c r="G11521" s="39">
        <v>3060622.45</v>
      </c>
      <c r="H11521" s="42">
        <v>211</v>
      </c>
    </row>
    <row r="11522" spans="1:8" ht="15" customHeight="1">
      <c r="A11522" s="26">
        <v>1052390397</v>
      </c>
      <c r="B11522" s="29" t="s">
        <v>13733</v>
      </c>
      <c r="C11522" s="29" t="s">
        <v>24744</v>
      </c>
      <c r="D11522" s="29" t="s">
        <v>40828</v>
      </c>
      <c r="E11522" s="29" t="s">
        <v>51941</v>
      </c>
      <c r="F11522" s="36" t="s">
        <v>54401</v>
      </c>
      <c r="G11522" s="39">
        <v>582319.77</v>
      </c>
      <c r="H11522" s="42">
        <v>211</v>
      </c>
    </row>
    <row r="11523" spans="1:8" ht="15" customHeight="1">
      <c r="A11523" s="26">
        <v>1052390447</v>
      </c>
      <c r="B11523" s="29" t="s">
        <v>13734</v>
      </c>
      <c r="C11523" s="29" t="s">
        <v>27346</v>
      </c>
      <c r="D11523" s="29" t="s">
        <v>40829</v>
      </c>
      <c r="E11523" s="29" t="s">
        <v>52333</v>
      </c>
      <c r="F11523" s="36" t="s">
        <v>54401</v>
      </c>
      <c r="G11523" s="39">
        <v>6122446.2199999997</v>
      </c>
      <c r="H11523" s="42">
        <v>211</v>
      </c>
    </row>
    <row r="11524" spans="1:8" ht="15" customHeight="1">
      <c r="A11524" s="26">
        <v>1052390476</v>
      </c>
      <c r="B11524" s="29" t="s">
        <v>13735</v>
      </c>
      <c r="C11524" s="29" t="s">
        <v>27347</v>
      </c>
      <c r="D11524" s="29" t="s">
        <v>40830</v>
      </c>
      <c r="E11524" s="29" t="s">
        <v>52334</v>
      </c>
      <c r="F11524" s="36" t="s">
        <v>54401</v>
      </c>
      <c r="G11524" s="39">
        <v>282765.76</v>
      </c>
      <c r="H11524" s="42">
        <v>211</v>
      </c>
    </row>
    <row r="11525" spans="1:8" ht="15" customHeight="1">
      <c r="A11525" s="26">
        <v>1052390484</v>
      </c>
      <c r="B11525" s="29" t="s">
        <v>13736</v>
      </c>
      <c r="C11525" s="29" t="s">
        <v>27348</v>
      </c>
      <c r="D11525" s="29" t="s">
        <v>40831</v>
      </c>
      <c r="E11525" s="29" t="s">
        <v>47843</v>
      </c>
      <c r="F11525" s="36" t="s">
        <v>54401</v>
      </c>
      <c r="G11525" s="39">
        <v>1927549</v>
      </c>
      <c r="H11525" s="42">
        <v>211</v>
      </c>
    </row>
    <row r="11526" spans="1:8" ht="15" customHeight="1">
      <c r="A11526" s="26">
        <v>1052390491</v>
      </c>
      <c r="B11526" s="29" t="s">
        <v>13737</v>
      </c>
      <c r="C11526" s="29" t="s">
        <v>27349</v>
      </c>
      <c r="D11526" s="29" t="s">
        <v>40832</v>
      </c>
      <c r="E11526" s="29" t="s">
        <v>45314</v>
      </c>
      <c r="F11526" s="36" t="s">
        <v>54401</v>
      </c>
      <c r="G11526" s="39">
        <v>3158408</v>
      </c>
      <c r="H11526" s="42">
        <v>211</v>
      </c>
    </row>
    <row r="11527" spans="1:8" ht="15" customHeight="1">
      <c r="A11527" s="26">
        <v>1052390523</v>
      </c>
      <c r="B11527" s="29" t="s">
        <v>13738</v>
      </c>
      <c r="C11527" s="29" t="s">
        <v>17204</v>
      </c>
      <c r="D11527" s="29" t="s">
        <v>40833</v>
      </c>
      <c r="E11527" s="29" t="s">
        <v>43926</v>
      </c>
      <c r="F11527" s="36" t="s">
        <v>54401</v>
      </c>
      <c r="G11527" s="39">
        <v>1122039.3600000001</v>
      </c>
      <c r="H11527" s="42">
        <v>211</v>
      </c>
    </row>
    <row r="11528" spans="1:8" ht="15" customHeight="1">
      <c r="A11528" s="26">
        <v>1052390552</v>
      </c>
      <c r="B11528" s="29" t="s">
        <v>13739</v>
      </c>
      <c r="C11528" s="29" t="s">
        <v>27350</v>
      </c>
      <c r="D11528" s="29" t="s">
        <v>40834</v>
      </c>
      <c r="E11528" s="29" t="s">
        <v>52335</v>
      </c>
      <c r="F11528" s="36" t="s">
        <v>54401</v>
      </c>
      <c r="G11528" s="39">
        <v>176739.98</v>
      </c>
      <c r="H11528" s="42">
        <v>211</v>
      </c>
    </row>
    <row r="11529" spans="1:8" ht="15" customHeight="1">
      <c r="A11529" s="26">
        <v>1052390557</v>
      </c>
      <c r="B11529" s="29" t="s">
        <v>13740</v>
      </c>
      <c r="C11529" s="29" t="s">
        <v>27351</v>
      </c>
      <c r="D11529" s="29" t="s">
        <v>40835</v>
      </c>
      <c r="E11529" s="29" t="s">
        <v>52336</v>
      </c>
      <c r="F11529" s="36" t="s">
        <v>54401</v>
      </c>
      <c r="G11529" s="39">
        <v>4834815</v>
      </c>
      <c r="H11529" s="42">
        <v>211</v>
      </c>
    </row>
    <row r="11530" spans="1:8" ht="15" customHeight="1">
      <c r="A11530" s="26">
        <v>1052390564</v>
      </c>
      <c r="B11530" s="29" t="s">
        <v>13741</v>
      </c>
      <c r="C11530" s="29" t="s">
        <v>27352</v>
      </c>
      <c r="D11530" s="29" t="s">
        <v>40836</v>
      </c>
      <c r="E11530" s="29" t="s">
        <v>52337</v>
      </c>
      <c r="F11530" s="36" t="s">
        <v>54401</v>
      </c>
      <c r="G11530" s="39">
        <v>203409.75</v>
      </c>
      <c r="H11530" s="42">
        <v>211</v>
      </c>
    </row>
    <row r="11531" spans="1:8" ht="15" customHeight="1">
      <c r="A11531" s="26">
        <v>1052390570</v>
      </c>
      <c r="B11531" s="29" t="s">
        <v>13742</v>
      </c>
      <c r="C11531" s="26" t="s">
        <v>27353</v>
      </c>
      <c r="D11531" s="26" t="s">
        <v>40837</v>
      </c>
      <c r="E11531" s="26" t="s">
        <v>52338</v>
      </c>
      <c r="F11531" s="37" t="s">
        <v>54401</v>
      </c>
      <c r="G11531" s="39">
        <v>31954.62</v>
      </c>
      <c r="H11531" s="42">
        <v>211</v>
      </c>
    </row>
    <row r="11532" spans="1:8" ht="15" customHeight="1">
      <c r="A11532" s="26">
        <v>1052390574</v>
      </c>
      <c r="B11532" s="29" t="s">
        <v>13743</v>
      </c>
      <c r="C11532" s="26" t="s">
        <v>27354</v>
      </c>
      <c r="D11532" s="26" t="s">
        <v>31008</v>
      </c>
      <c r="E11532" s="26" t="s">
        <v>52339</v>
      </c>
      <c r="F11532" s="37" t="s">
        <v>54401</v>
      </c>
      <c r="G11532" s="39">
        <v>3052089</v>
      </c>
      <c r="H11532" s="42">
        <v>211</v>
      </c>
    </row>
    <row r="11533" spans="1:8" ht="15" customHeight="1">
      <c r="A11533" s="26">
        <v>1052390577</v>
      </c>
      <c r="B11533" s="29" t="s">
        <v>13744</v>
      </c>
      <c r="C11533" s="29" t="s">
        <v>17204</v>
      </c>
      <c r="D11533" s="29" t="s">
        <v>30349</v>
      </c>
      <c r="E11533" s="29" t="s">
        <v>43926</v>
      </c>
      <c r="F11533" s="36" t="s">
        <v>54401</v>
      </c>
      <c r="G11533" s="39">
        <v>976389.2</v>
      </c>
      <c r="H11533" s="42">
        <v>211</v>
      </c>
    </row>
    <row r="11534" spans="1:8" ht="15" customHeight="1">
      <c r="A11534" s="26">
        <v>1052390588</v>
      </c>
      <c r="B11534" s="29" t="s">
        <v>13745</v>
      </c>
      <c r="C11534" s="29" t="s">
        <v>27355</v>
      </c>
      <c r="D11534" s="29" t="s">
        <v>40838</v>
      </c>
      <c r="E11534" s="29" t="s">
        <v>52340</v>
      </c>
      <c r="F11534" s="36" t="s">
        <v>54401</v>
      </c>
      <c r="G11534" s="39">
        <v>276540.55</v>
      </c>
      <c r="H11534" s="42">
        <v>211</v>
      </c>
    </row>
    <row r="11535" spans="1:8" ht="15" customHeight="1">
      <c r="A11535" s="26">
        <v>1052390599</v>
      </c>
      <c r="B11535" s="29" t="s">
        <v>13746</v>
      </c>
      <c r="C11535" s="29" t="s">
        <v>27356</v>
      </c>
      <c r="D11535" s="29" t="s">
        <v>40839</v>
      </c>
      <c r="E11535" s="29" t="s">
        <v>52341</v>
      </c>
      <c r="F11535" s="36" t="s">
        <v>54401</v>
      </c>
      <c r="G11535" s="39">
        <v>3854760.77</v>
      </c>
      <c r="H11535" s="42">
        <v>211</v>
      </c>
    </row>
    <row r="11536" spans="1:8" ht="15" customHeight="1">
      <c r="A11536" s="26">
        <v>1052390620</v>
      </c>
      <c r="B11536" s="29" t="s">
        <v>13747</v>
      </c>
      <c r="C11536" s="29" t="s">
        <v>27357</v>
      </c>
      <c r="D11536" s="29" t="s">
        <v>40840</v>
      </c>
      <c r="E11536" s="29" t="s">
        <v>52342</v>
      </c>
      <c r="F11536" s="36" t="s">
        <v>54401</v>
      </c>
      <c r="G11536" s="39">
        <v>547504.52</v>
      </c>
      <c r="H11536" s="42">
        <v>211</v>
      </c>
    </row>
    <row r="11537" spans="1:8" ht="15" customHeight="1">
      <c r="A11537" s="26">
        <v>1052390638</v>
      </c>
      <c r="B11537" s="29" t="s">
        <v>13748</v>
      </c>
      <c r="C11537" s="29" t="s">
        <v>27358</v>
      </c>
      <c r="D11537" s="29" t="s">
        <v>40841</v>
      </c>
      <c r="E11537" s="29" t="s">
        <v>2095</v>
      </c>
      <c r="F11537" s="36" t="s">
        <v>54401</v>
      </c>
      <c r="G11537" s="39">
        <v>720597.41</v>
      </c>
      <c r="H11537" s="42">
        <v>211</v>
      </c>
    </row>
    <row r="11538" spans="1:8" ht="15" customHeight="1">
      <c r="A11538" s="26">
        <v>1052390646</v>
      </c>
      <c r="B11538" s="29" t="s">
        <v>13749</v>
      </c>
      <c r="C11538" s="29" t="s">
        <v>27359</v>
      </c>
      <c r="D11538" s="29" t="s">
        <v>40842</v>
      </c>
      <c r="E11538" s="29" t="s">
        <v>52343</v>
      </c>
      <c r="F11538" s="36" t="s">
        <v>54401</v>
      </c>
      <c r="G11538" s="39">
        <v>5163370.66</v>
      </c>
      <c r="H11538" s="42">
        <v>211</v>
      </c>
    </row>
    <row r="11539" spans="1:8" ht="15" customHeight="1">
      <c r="A11539" s="26">
        <v>1052390660</v>
      </c>
      <c r="B11539" s="29" t="s">
        <v>13750</v>
      </c>
      <c r="C11539" s="29" t="s">
        <v>17204</v>
      </c>
      <c r="D11539" s="29" t="s">
        <v>40843</v>
      </c>
      <c r="E11539" s="29" t="s">
        <v>43926</v>
      </c>
      <c r="F11539" s="36" t="s">
        <v>54401</v>
      </c>
      <c r="G11539" s="39">
        <v>114904.02</v>
      </c>
      <c r="H11539" s="42">
        <v>211</v>
      </c>
    </row>
    <row r="11540" spans="1:8" ht="15" customHeight="1">
      <c r="A11540" s="26">
        <v>1052390683</v>
      </c>
      <c r="B11540" s="29" t="s">
        <v>13751</v>
      </c>
      <c r="C11540" s="29" t="s">
        <v>27360</v>
      </c>
      <c r="D11540" s="29" t="s">
        <v>40844</v>
      </c>
      <c r="E11540" s="29" t="s">
        <v>52344</v>
      </c>
      <c r="F11540" s="36" t="s">
        <v>54401</v>
      </c>
      <c r="G11540" s="39">
        <v>3898637.82</v>
      </c>
      <c r="H11540" s="42">
        <v>211</v>
      </c>
    </row>
    <row r="11541" spans="1:8" ht="15" customHeight="1">
      <c r="A11541" s="26">
        <v>1052390688</v>
      </c>
      <c r="B11541" s="29" t="s">
        <v>13752</v>
      </c>
      <c r="C11541" s="29" t="s">
        <v>27361</v>
      </c>
      <c r="D11541" s="29" t="s">
        <v>40845</v>
      </c>
      <c r="E11541" s="29" t="s">
        <v>52345</v>
      </c>
      <c r="F11541" s="36" t="s">
        <v>54401</v>
      </c>
      <c r="G11541" s="39">
        <v>3681916</v>
      </c>
      <c r="H11541" s="42">
        <v>211</v>
      </c>
    </row>
    <row r="11542" spans="1:8" ht="15" customHeight="1">
      <c r="A11542" s="26">
        <v>1052390719</v>
      </c>
      <c r="B11542" s="29" t="s">
        <v>13753</v>
      </c>
      <c r="C11542" s="29" t="s">
        <v>27362</v>
      </c>
      <c r="D11542" s="29" t="s">
        <v>40846</v>
      </c>
      <c r="E11542" s="29" t="s">
        <v>52346</v>
      </c>
      <c r="F11542" s="36" t="s">
        <v>54401</v>
      </c>
      <c r="G11542" s="39">
        <v>169327.62</v>
      </c>
      <c r="H11542" s="42">
        <v>211</v>
      </c>
    </row>
    <row r="11543" spans="1:8" ht="15" customHeight="1">
      <c r="A11543" s="26">
        <v>1052390736</v>
      </c>
      <c r="B11543" s="29" t="s">
        <v>13754</v>
      </c>
      <c r="C11543" s="29" t="s">
        <v>27363</v>
      </c>
      <c r="D11543" s="29" t="s">
        <v>40847</v>
      </c>
      <c r="E11543" s="29" t="s">
        <v>44345</v>
      </c>
      <c r="F11543" s="36" t="s">
        <v>54401</v>
      </c>
      <c r="G11543" s="39">
        <v>1755611.49</v>
      </c>
      <c r="H11543" s="42">
        <v>211</v>
      </c>
    </row>
    <row r="11544" spans="1:8" ht="15" customHeight="1">
      <c r="A11544" s="26">
        <v>1052390796</v>
      </c>
      <c r="B11544" s="29" t="s">
        <v>13755</v>
      </c>
      <c r="C11544" s="29" t="s">
        <v>27364</v>
      </c>
      <c r="D11544" s="29" t="s">
        <v>40848</v>
      </c>
      <c r="E11544" s="29" t="s">
        <v>43926</v>
      </c>
      <c r="F11544" s="36" t="s">
        <v>54401</v>
      </c>
      <c r="G11544" s="39">
        <v>4461062.91</v>
      </c>
      <c r="H11544" s="42">
        <v>211</v>
      </c>
    </row>
    <row r="11545" spans="1:8" ht="15" customHeight="1">
      <c r="A11545" s="26">
        <v>1052390822</v>
      </c>
      <c r="B11545" s="29" t="s">
        <v>13756</v>
      </c>
      <c r="C11545" s="29" t="s">
        <v>17204</v>
      </c>
      <c r="D11545" s="29" t="s">
        <v>30349</v>
      </c>
      <c r="E11545" s="29" t="s">
        <v>43926</v>
      </c>
      <c r="F11545" s="36" t="s">
        <v>54401</v>
      </c>
      <c r="G11545" s="39">
        <v>111832.12</v>
      </c>
      <c r="H11545" s="42">
        <v>211</v>
      </c>
    </row>
    <row r="11546" spans="1:8" ht="15" customHeight="1">
      <c r="A11546" s="26">
        <v>1052390828</v>
      </c>
      <c r="B11546" s="29" t="s">
        <v>13757</v>
      </c>
      <c r="C11546" s="29" t="s">
        <v>27365</v>
      </c>
      <c r="D11546" s="29" t="s">
        <v>40849</v>
      </c>
      <c r="E11546" s="29" t="s">
        <v>52347</v>
      </c>
      <c r="F11546" s="36" t="s">
        <v>54401</v>
      </c>
      <c r="G11546" s="39">
        <v>1571129.83</v>
      </c>
      <c r="H11546" s="42">
        <v>211</v>
      </c>
    </row>
    <row r="11547" spans="1:8" ht="15" customHeight="1">
      <c r="A11547" s="26">
        <v>1052390837</v>
      </c>
      <c r="B11547" s="29" t="s">
        <v>13758</v>
      </c>
      <c r="C11547" s="29" t="s">
        <v>27366</v>
      </c>
      <c r="D11547" s="29" t="s">
        <v>40850</v>
      </c>
      <c r="E11547" s="29" t="s">
        <v>43926</v>
      </c>
      <c r="F11547" s="36" t="s">
        <v>54401</v>
      </c>
      <c r="G11547" s="39">
        <v>10389</v>
      </c>
      <c r="H11547" s="42">
        <v>211</v>
      </c>
    </row>
    <row r="11548" spans="1:8" ht="15" customHeight="1">
      <c r="A11548" s="26">
        <v>1052390846</v>
      </c>
      <c r="B11548" s="29" t="s">
        <v>13759</v>
      </c>
      <c r="C11548" s="29" t="s">
        <v>27367</v>
      </c>
      <c r="D11548" s="29" t="s">
        <v>40851</v>
      </c>
      <c r="E11548" s="29" t="s">
        <v>52348</v>
      </c>
      <c r="F11548" s="36" t="s">
        <v>54401</v>
      </c>
      <c r="G11548" s="39">
        <v>4257421.37</v>
      </c>
      <c r="H11548" s="42">
        <v>211</v>
      </c>
    </row>
    <row r="11549" spans="1:8" ht="15" customHeight="1">
      <c r="A11549" s="26">
        <v>1052390864</v>
      </c>
      <c r="B11549" s="29" t="s">
        <v>13760</v>
      </c>
      <c r="C11549" s="26" t="s">
        <v>27368</v>
      </c>
      <c r="D11549" s="26" t="s">
        <v>40852</v>
      </c>
      <c r="E11549" s="26" t="s">
        <v>52349</v>
      </c>
      <c r="F11549" s="37" t="s">
        <v>54401</v>
      </c>
      <c r="G11549" s="39">
        <v>28260</v>
      </c>
      <c r="H11549" s="42">
        <v>211</v>
      </c>
    </row>
    <row r="11550" spans="1:8" ht="15" customHeight="1">
      <c r="A11550" s="26">
        <v>1052390871</v>
      </c>
      <c r="B11550" s="29" t="s">
        <v>13761</v>
      </c>
      <c r="C11550" s="29" t="s">
        <v>17204</v>
      </c>
      <c r="D11550" s="29" t="s">
        <v>40853</v>
      </c>
      <c r="E11550" s="29" t="s">
        <v>43926</v>
      </c>
      <c r="F11550" s="36" t="s">
        <v>54401</v>
      </c>
      <c r="G11550" s="39">
        <v>4642869</v>
      </c>
      <c r="H11550" s="42">
        <v>211</v>
      </c>
    </row>
    <row r="11551" spans="1:8" ht="15" customHeight="1">
      <c r="A11551" s="26">
        <v>1052390874</v>
      </c>
      <c r="B11551" s="29" t="s">
        <v>13762</v>
      </c>
      <c r="C11551" s="29" t="s">
        <v>27369</v>
      </c>
      <c r="D11551" s="29" t="s">
        <v>40854</v>
      </c>
      <c r="E11551" s="29" t="s">
        <v>43926</v>
      </c>
      <c r="F11551" s="36" t="s">
        <v>54401</v>
      </c>
      <c r="G11551" s="39">
        <v>160451.46</v>
      </c>
      <c r="H11551" s="42">
        <v>211</v>
      </c>
    </row>
    <row r="11552" spans="1:8" ht="15" customHeight="1">
      <c r="A11552" s="26">
        <v>1052390881</v>
      </c>
      <c r="B11552" s="29" t="s">
        <v>13763</v>
      </c>
      <c r="C11552" s="29" t="s">
        <v>17204</v>
      </c>
      <c r="D11552" s="29" t="s">
        <v>40855</v>
      </c>
      <c r="E11552" s="29" t="s">
        <v>43926</v>
      </c>
      <c r="F11552" s="36" t="s">
        <v>54401</v>
      </c>
      <c r="G11552" s="39">
        <v>100504.2</v>
      </c>
      <c r="H11552" s="42">
        <v>211</v>
      </c>
    </row>
    <row r="11553" spans="1:8" ht="15" customHeight="1">
      <c r="A11553" s="26">
        <v>1052390889</v>
      </c>
      <c r="B11553" s="29" t="s">
        <v>13764</v>
      </c>
      <c r="C11553" s="29" t="s">
        <v>27370</v>
      </c>
      <c r="D11553" s="29" t="s">
        <v>40856</v>
      </c>
      <c r="E11553" s="29" t="s">
        <v>52350</v>
      </c>
      <c r="F11553" s="36" t="s">
        <v>54401</v>
      </c>
      <c r="G11553" s="39">
        <v>824542.47</v>
      </c>
      <c r="H11553" s="42">
        <v>211</v>
      </c>
    </row>
    <row r="11554" spans="1:8" ht="15" customHeight="1">
      <c r="A11554" s="26">
        <v>1052390896</v>
      </c>
      <c r="B11554" s="29" t="s">
        <v>13765</v>
      </c>
      <c r="C11554" s="29" t="s">
        <v>27371</v>
      </c>
      <c r="D11554" s="29" t="s">
        <v>40857</v>
      </c>
      <c r="E11554" s="29" t="s">
        <v>43926</v>
      </c>
      <c r="F11554" s="36" t="s">
        <v>54401</v>
      </c>
      <c r="G11554" s="39">
        <v>62014.66</v>
      </c>
      <c r="H11554" s="42">
        <v>211</v>
      </c>
    </row>
    <row r="11555" spans="1:8" ht="15" customHeight="1">
      <c r="A11555" s="26">
        <v>1052390922</v>
      </c>
      <c r="B11555" s="29" t="s">
        <v>13766</v>
      </c>
      <c r="C11555" s="29" t="s">
        <v>27372</v>
      </c>
      <c r="D11555" s="29" t="s">
        <v>40858</v>
      </c>
      <c r="E11555" s="29" t="s">
        <v>52351</v>
      </c>
      <c r="F11555" s="36" t="s">
        <v>54401</v>
      </c>
      <c r="G11555" s="39">
        <v>103814.95</v>
      </c>
      <c r="H11555" s="42">
        <v>211</v>
      </c>
    </row>
    <row r="11556" spans="1:8" ht="15" customHeight="1">
      <c r="A11556" s="26">
        <v>1052390923</v>
      </c>
      <c r="B11556" s="29" t="s">
        <v>13767</v>
      </c>
      <c r="C11556" s="26" t="s">
        <v>27373</v>
      </c>
      <c r="D11556" s="26" t="s">
        <v>40859</v>
      </c>
      <c r="E11556" s="26" t="s">
        <v>52352</v>
      </c>
      <c r="F11556" s="37" t="s">
        <v>54401</v>
      </c>
      <c r="G11556" s="39">
        <v>225965.85</v>
      </c>
      <c r="H11556" s="42">
        <v>211</v>
      </c>
    </row>
    <row r="11557" spans="1:8" ht="15" customHeight="1">
      <c r="A11557" s="26">
        <v>1052390972</v>
      </c>
      <c r="B11557" s="29" t="s">
        <v>13768</v>
      </c>
      <c r="C11557" s="29" t="s">
        <v>27374</v>
      </c>
      <c r="D11557" s="29" t="s">
        <v>40860</v>
      </c>
      <c r="E11557" s="29" t="s">
        <v>52353</v>
      </c>
      <c r="F11557" s="36" t="s">
        <v>54401</v>
      </c>
      <c r="G11557" s="39">
        <v>438752.98</v>
      </c>
      <c r="H11557" s="42">
        <v>211</v>
      </c>
    </row>
    <row r="11558" spans="1:8" ht="15" customHeight="1">
      <c r="A11558" s="26">
        <v>1052390975</v>
      </c>
      <c r="B11558" s="29" t="s">
        <v>13769</v>
      </c>
      <c r="C11558" s="29" t="s">
        <v>27375</v>
      </c>
      <c r="D11558" s="29" t="s">
        <v>40861</v>
      </c>
      <c r="E11558" s="29" t="s">
        <v>52354</v>
      </c>
      <c r="F11558" s="36" t="s">
        <v>54401</v>
      </c>
      <c r="G11558" s="39">
        <v>1313208.08</v>
      </c>
      <c r="H11558" s="42">
        <v>211</v>
      </c>
    </row>
    <row r="11559" spans="1:8" ht="15" customHeight="1">
      <c r="A11559" s="26">
        <v>1052390993</v>
      </c>
      <c r="B11559" s="29" t="s">
        <v>13770</v>
      </c>
      <c r="C11559" s="29" t="s">
        <v>27376</v>
      </c>
      <c r="D11559" s="29" t="s">
        <v>40862</v>
      </c>
      <c r="E11559" s="29" t="s">
        <v>52355</v>
      </c>
      <c r="F11559" s="36" t="s">
        <v>54401</v>
      </c>
      <c r="G11559" s="39">
        <v>1291464.8</v>
      </c>
      <c r="H11559" s="42">
        <v>211</v>
      </c>
    </row>
    <row r="11560" spans="1:8" ht="15" customHeight="1">
      <c r="A11560" s="26">
        <v>1052391025</v>
      </c>
      <c r="B11560" s="29" t="s">
        <v>13771</v>
      </c>
      <c r="C11560" s="29" t="s">
        <v>27377</v>
      </c>
      <c r="D11560" s="29" t="s">
        <v>40863</v>
      </c>
      <c r="E11560" s="29" t="s">
        <v>44536</v>
      </c>
      <c r="F11560" s="36" t="s">
        <v>54401</v>
      </c>
      <c r="G11560" s="39">
        <v>555033.61</v>
      </c>
      <c r="H11560" s="42">
        <v>211</v>
      </c>
    </row>
    <row r="11561" spans="1:8" ht="15" customHeight="1">
      <c r="A11561" s="26">
        <v>1052391043</v>
      </c>
      <c r="B11561" s="29" t="s">
        <v>13772</v>
      </c>
      <c r="C11561" s="29" t="s">
        <v>23337</v>
      </c>
      <c r="D11561" s="29" t="s">
        <v>36614</v>
      </c>
      <c r="E11561" s="29" t="s">
        <v>49093</v>
      </c>
      <c r="F11561" s="36" t="s">
        <v>54401</v>
      </c>
      <c r="G11561" s="39">
        <v>2620412.4</v>
      </c>
      <c r="H11561" s="42">
        <v>211</v>
      </c>
    </row>
    <row r="11562" spans="1:8" ht="15" customHeight="1">
      <c r="A11562" s="26">
        <v>1052391049</v>
      </c>
      <c r="B11562" s="29" t="s">
        <v>13773</v>
      </c>
      <c r="C11562" s="29" t="s">
        <v>27378</v>
      </c>
      <c r="D11562" s="29" t="s">
        <v>40864</v>
      </c>
      <c r="E11562" s="29" t="s">
        <v>48840</v>
      </c>
      <c r="F11562" s="36" t="s">
        <v>54423</v>
      </c>
      <c r="G11562" s="39">
        <v>1340986.99</v>
      </c>
      <c r="H11562" s="42">
        <v>211</v>
      </c>
    </row>
    <row r="11563" spans="1:8" ht="15" customHeight="1">
      <c r="A11563" s="26">
        <v>1052391058</v>
      </c>
      <c r="B11563" s="29" t="s">
        <v>13774</v>
      </c>
      <c r="C11563" s="26" t="s">
        <v>27379</v>
      </c>
      <c r="D11563" s="26" t="s">
        <v>40865</v>
      </c>
      <c r="E11563" s="26" t="s">
        <v>52233</v>
      </c>
      <c r="F11563" s="37" t="s">
        <v>54401</v>
      </c>
      <c r="G11563" s="39">
        <v>4589613.34</v>
      </c>
      <c r="H11563" s="42">
        <v>211</v>
      </c>
    </row>
    <row r="11564" spans="1:8" ht="15" customHeight="1">
      <c r="A11564" s="26">
        <v>1052391111</v>
      </c>
      <c r="B11564" s="29" t="s">
        <v>13775</v>
      </c>
      <c r="C11564" s="26" t="s">
        <v>27380</v>
      </c>
      <c r="D11564" s="26" t="s">
        <v>40866</v>
      </c>
      <c r="E11564" s="26" t="s">
        <v>52356</v>
      </c>
      <c r="F11564" s="37" t="s">
        <v>54401</v>
      </c>
      <c r="G11564" s="39">
        <v>4787113.8099999996</v>
      </c>
      <c r="H11564" s="42">
        <v>211</v>
      </c>
    </row>
    <row r="11565" spans="1:8" ht="15" customHeight="1">
      <c r="A11565" s="26">
        <v>1052391121</v>
      </c>
      <c r="B11565" s="29" t="s">
        <v>13776</v>
      </c>
      <c r="C11565" s="29" t="s">
        <v>27381</v>
      </c>
      <c r="D11565" s="29" t="s">
        <v>40867</v>
      </c>
      <c r="E11565" s="29" t="s">
        <v>52357</v>
      </c>
      <c r="F11565" s="36" t="s">
        <v>54401</v>
      </c>
      <c r="G11565" s="39">
        <v>293041.39</v>
      </c>
      <c r="H11565" s="42">
        <v>211</v>
      </c>
    </row>
    <row r="11566" spans="1:8" ht="15" customHeight="1">
      <c r="A11566" s="26">
        <v>1052391135</v>
      </c>
      <c r="B11566" s="29" t="s">
        <v>13777</v>
      </c>
      <c r="C11566" s="29" t="s">
        <v>27382</v>
      </c>
      <c r="D11566" s="29" t="s">
        <v>39133</v>
      </c>
      <c r="E11566" s="29" t="s">
        <v>52358</v>
      </c>
      <c r="F11566" s="36" t="s">
        <v>54401</v>
      </c>
      <c r="G11566" s="39">
        <v>715150.46</v>
      </c>
      <c r="H11566" s="42">
        <v>211</v>
      </c>
    </row>
    <row r="11567" spans="1:8" ht="15" customHeight="1">
      <c r="A11567" s="26">
        <v>1052391145</v>
      </c>
      <c r="B11567" s="29" t="s">
        <v>13778</v>
      </c>
      <c r="C11567" s="26" t="s">
        <v>27383</v>
      </c>
      <c r="D11567" s="26" t="s">
        <v>40868</v>
      </c>
      <c r="E11567" s="26" t="s">
        <v>52359</v>
      </c>
      <c r="F11567" s="37" t="s">
        <v>54401</v>
      </c>
      <c r="G11567" s="39">
        <v>582020.32999999996</v>
      </c>
      <c r="H11567" s="42">
        <v>211</v>
      </c>
    </row>
    <row r="11568" spans="1:8" ht="15" customHeight="1">
      <c r="A11568" s="26">
        <v>1052391148</v>
      </c>
      <c r="B11568" s="29" t="s">
        <v>13779</v>
      </c>
      <c r="C11568" s="29" t="s">
        <v>27384</v>
      </c>
      <c r="D11568" s="29" t="s">
        <v>40869</v>
      </c>
      <c r="E11568" s="29" t="s">
        <v>52360</v>
      </c>
      <c r="F11568" s="36" t="s">
        <v>54401</v>
      </c>
      <c r="G11568" s="39">
        <v>48973.94</v>
      </c>
      <c r="H11568" s="42">
        <v>211</v>
      </c>
    </row>
    <row r="11569" spans="1:8" ht="15" customHeight="1">
      <c r="A11569" s="26">
        <v>1052391236</v>
      </c>
      <c r="B11569" s="29" t="s">
        <v>13780</v>
      </c>
      <c r="C11569" s="29" t="s">
        <v>27385</v>
      </c>
      <c r="D11569" s="29" t="s">
        <v>40870</v>
      </c>
      <c r="E11569" s="29" t="s">
        <v>52361</v>
      </c>
      <c r="F11569" s="36" t="s">
        <v>54401</v>
      </c>
      <c r="G11569" s="39">
        <v>222328.71</v>
      </c>
      <c r="H11569" s="42">
        <v>211</v>
      </c>
    </row>
    <row r="11570" spans="1:8" ht="15" customHeight="1">
      <c r="A11570" s="26">
        <v>1052391255</v>
      </c>
      <c r="B11570" s="29" t="s">
        <v>13781</v>
      </c>
      <c r="C11570" s="29" t="s">
        <v>27386</v>
      </c>
      <c r="D11570" s="29" t="s">
        <v>40871</v>
      </c>
      <c r="E11570" s="29" t="s">
        <v>52362</v>
      </c>
      <c r="F11570" s="36" t="s">
        <v>54401</v>
      </c>
      <c r="G11570" s="39">
        <v>1084005.6499999999</v>
      </c>
      <c r="H11570" s="42">
        <v>211</v>
      </c>
    </row>
    <row r="11571" spans="1:8" ht="15" customHeight="1">
      <c r="A11571" s="26">
        <v>1052391270</v>
      </c>
      <c r="B11571" s="29" t="s">
        <v>13782</v>
      </c>
      <c r="C11571" s="29" t="s">
        <v>27387</v>
      </c>
      <c r="D11571" s="29" t="s">
        <v>40872</v>
      </c>
      <c r="E11571" s="29" t="s">
        <v>52363</v>
      </c>
      <c r="F11571" s="36" t="s">
        <v>54401</v>
      </c>
      <c r="G11571" s="39">
        <v>1096263.23</v>
      </c>
      <c r="H11571" s="42">
        <v>211</v>
      </c>
    </row>
    <row r="11572" spans="1:8" ht="15" customHeight="1">
      <c r="A11572" s="26">
        <v>1052391278</v>
      </c>
      <c r="B11572" s="29" t="s">
        <v>13783</v>
      </c>
      <c r="C11572" s="29" t="s">
        <v>27388</v>
      </c>
      <c r="D11572" s="29" t="s">
        <v>40873</v>
      </c>
      <c r="E11572" s="29" t="s">
        <v>52364</v>
      </c>
      <c r="F11572" s="36" t="s">
        <v>54401</v>
      </c>
      <c r="G11572" s="39">
        <v>376322.67</v>
      </c>
      <c r="H11572" s="42">
        <v>211</v>
      </c>
    </row>
    <row r="11573" spans="1:8" ht="15" customHeight="1">
      <c r="A11573" s="26">
        <v>1052391294</v>
      </c>
      <c r="B11573" s="29" t="s">
        <v>13784</v>
      </c>
      <c r="C11573" s="26" t="s">
        <v>27389</v>
      </c>
      <c r="D11573" s="26" t="s">
        <v>40874</v>
      </c>
      <c r="E11573" s="26" t="s">
        <v>52365</v>
      </c>
      <c r="F11573" s="37" t="s">
        <v>54401</v>
      </c>
      <c r="G11573" s="39">
        <v>91069.27</v>
      </c>
      <c r="H11573" s="42">
        <v>211</v>
      </c>
    </row>
    <row r="11574" spans="1:8" ht="15" customHeight="1">
      <c r="A11574" s="26">
        <v>1052391306</v>
      </c>
      <c r="B11574" s="29" t="s">
        <v>13785</v>
      </c>
      <c r="C11574" s="29" t="s">
        <v>27390</v>
      </c>
      <c r="D11574" s="29" t="s">
        <v>40875</v>
      </c>
      <c r="E11574" s="29" t="s">
        <v>44909</v>
      </c>
      <c r="F11574" s="36" t="s">
        <v>54401</v>
      </c>
      <c r="G11574" s="39">
        <v>7367271.6100000003</v>
      </c>
      <c r="H11574" s="42">
        <v>211</v>
      </c>
    </row>
    <row r="11575" spans="1:8" ht="15" customHeight="1">
      <c r="A11575" s="26">
        <v>1052391312</v>
      </c>
      <c r="B11575" s="29" t="s">
        <v>13786</v>
      </c>
      <c r="C11575" s="29" t="s">
        <v>27391</v>
      </c>
      <c r="D11575" s="29" t="s">
        <v>40876</v>
      </c>
      <c r="E11575" s="29" t="s">
        <v>44559</v>
      </c>
      <c r="F11575" s="36" t="s">
        <v>54409</v>
      </c>
      <c r="G11575" s="39">
        <v>3206298.8</v>
      </c>
      <c r="H11575" s="42">
        <v>211</v>
      </c>
    </row>
    <row r="11576" spans="1:8" ht="15" customHeight="1">
      <c r="A11576" s="26">
        <v>1052391325</v>
      </c>
      <c r="B11576" s="29" t="s">
        <v>13787</v>
      </c>
      <c r="C11576" s="29" t="s">
        <v>27392</v>
      </c>
      <c r="D11576" s="29" t="s">
        <v>40877</v>
      </c>
      <c r="E11576" s="29" t="s">
        <v>43926</v>
      </c>
      <c r="F11576" s="36" t="s">
        <v>54401</v>
      </c>
      <c r="G11576" s="39">
        <v>5161714.37</v>
      </c>
      <c r="H11576" s="42">
        <v>211</v>
      </c>
    </row>
    <row r="11577" spans="1:8" ht="15" customHeight="1">
      <c r="A11577" s="26">
        <v>1052391331</v>
      </c>
      <c r="B11577" s="29" t="s">
        <v>13788</v>
      </c>
      <c r="C11577" s="26" t="s">
        <v>27393</v>
      </c>
      <c r="D11577" s="26" t="s">
        <v>30376</v>
      </c>
      <c r="E11577" s="26" t="s">
        <v>52366</v>
      </c>
      <c r="F11577" s="37" t="s">
        <v>54409</v>
      </c>
      <c r="G11577" s="39">
        <v>1947105.48</v>
      </c>
      <c r="H11577" s="42">
        <v>211</v>
      </c>
    </row>
    <row r="11578" spans="1:8" ht="15" customHeight="1">
      <c r="A11578" s="26">
        <v>1052391333</v>
      </c>
      <c r="B11578" s="29" t="s">
        <v>13789</v>
      </c>
      <c r="C11578" s="29" t="s">
        <v>27394</v>
      </c>
      <c r="D11578" s="29" t="s">
        <v>40878</v>
      </c>
      <c r="E11578" s="29" t="s">
        <v>52367</v>
      </c>
      <c r="F11578" s="36" t="s">
        <v>54401</v>
      </c>
      <c r="G11578" s="39">
        <v>293615.28999999998</v>
      </c>
      <c r="H11578" s="42">
        <v>211</v>
      </c>
    </row>
    <row r="11579" spans="1:8" ht="15" customHeight="1">
      <c r="A11579" s="26">
        <v>1052391349</v>
      </c>
      <c r="B11579" s="29" t="s">
        <v>13790</v>
      </c>
      <c r="C11579" s="29" t="s">
        <v>27395</v>
      </c>
      <c r="D11579" s="29" t="s">
        <v>40879</v>
      </c>
      <c r="E11579" s="29" t="s">
        <v>52368</v>
      </c>
      <c r="F11579" s="36" t="s">
        <v>54413</v>
      </c>
      <c r="G11579" s="39">
        <v>3664316</v>
      </c>
      <c r="H11579" s="42">
        <v>211</v>
      </c>
    </row>
    <row r="11580" spans="1:8" ht="15" customHeight="1">
      <c r="A11580" s="26">
        <v>1052391391</v>
      </c>
      <c r="B11580" s="29" t="s">
        <v>13791</v>
      </c>
      <c r="C11580" s="29" t="s">
        <v>27396</v>
      </c>
      <c r="D11580" s="29" t="s">
        <v>40880</v>
      </c>
      <c r="E11580" s="29" t="s">
        <v>52369</v>
      </c>
      <c r="F11580" s="36" t="s">
        <v>54401</v>
      </c>
      <c r="G11580" s="39">
        <v>2466177.14</v>
      </c>
      <c r="H11580" s="42">
        <v>211</v>
      </c>
    </row>
    <row r="11581" spans="1:8" ht="15" customHeight="1">
      <c r="A11581" s="26">
        <v>1052391395</v>
      </c>
      <c r="B11581" s="29" t="s">
        <v>13792</v>
      </c>
      <c r="C11581" s="29" t="s">
        <v>27397</v>
      </c>
      <c r="D11581" s="29" t="s">
        <v>40881</v>
      </c>
      <c r="E11581" s="29" t="s">
        <v>52370</v>
      </c>
      <c r="F11581" s="36" t="s">
        <v>54401</v>
      </c>
      <c r="G11581" s="39">
        <v>3096129</v>
      </c>
      <c r="H11581" s="42">
        <v>211</v>
      </c>
    </row>
    <row r="11582" spans="1:8" ht="15" customHeight="1">
      <c r="A11582" s="26">
        <v>1052391407</v>
      </c>
      <c r="B11582" s="29" t="s">
        <v>13793</v>
      </c>
      <c r="C11582" s="29" t="s">
        <v>27398</v>
      </c>
      <c r="D11582" s="29" t="s">
        <v>40882</v>
      </c>
      <c r="E11582" s="29" t="s">
        <v>52371</v>
      </c>
      <c r="F11582" s="36" t="s">
        <v>54401</v>
      </c>
      <c r="G11582" s="39">
        <v>206691.68</v>
      </c>
      <c r="H11582" s="42">
        <v>211</v>
      </c>
    </row>
    <row r="11583" spans="1:8" ht="15" customHeight="1">
      <c r="A11583" s="26">
        <v>1052391414</v>
      </c>
      <c r="B11583" s="29" t="s">
        <v>13794</v>
      </c>
      <c r="C11583" s="29" t="s">
        <v>27399</v>
      </c>
      <c r="D11583" s="29" t="s">
        <v>40883</v>
      </c>
      <c r="E11583" s="29" t="s">
        <v>52372</v>
      </c>
      <c r="F11583" s="36" t="s">
        <v>54401</v>
      </c>
      <c r="G11583" s="39">
        <v>369964.86</v>
      </c>
      <c r="H11583" s="42">
        <v>211</v>
      </c>
    </row>
    <row r="11584" spans="1:8" ht="15" customHeight="1">
      <c r="A11584" s="26">
        <v>1052391438</v>
      </c>
      <c r="B11584" s="29" t="s">
        <v>13795</v>
      </c>
      <c r="C11584" s="29" t="s">
        <v>27400</v>
      </c>
      <c r="D11584" s="29" t="s">
        <v>40884</v>
      </c>
      <c r="E11584" s="29" t="s">
        <v>51152</v>
      </c>
      <c r="F11584" s="36" t="s">
        <v>54401</v>
      </c>
      <c r="G11584" s="39">
        <v>448278.89</v>
      </c>
      <c r="H11584" s="42">
        <v>211</v>
      </c>
    </row>
    <row r="11585" spans="1:8" ht="15" customHeight="1">
      <c r="A11585" s="26">
        <v>1052391499</v>
      </c>
      <c r="B11585" s="29" t="s">
        <v>13796</v>
      </c>
      <c r="C11585" s="29" t="s">
        <v>27401</v>
      </c>
      <c r="D11585" s="29" t="s">
        <v>40885</v>
      </c>
      <c r="E11585" s="29" t="s">
        <v>52373</v>
      </c>
      <c r="F11585" s="36" t="s">
        <v>54401</v>
      </c>
      <c r="G11585" s="39">
        <v>2108547</v>
      </c>
      <c r="H11585" s="42">
        <v>211</v>
      </c>
    </row>
    <row r="11586" spans="1:8" ht="15" customHeight="1">
      <c r="A11586" s="26">
        <v>1052391534</v>
      </c>
      <c r="B11586" s="29" t="s">
        <v>13797</v>
      </c>
      <c r="C11586" s="29" t="s">
        <v>27402</v>
      </c>
      <c r="D11586" s="29" t="s">
        <v>40886</v>
      </c>
      <c r="E11586" s="29" t="s">
        <v>52374</v>
      </c>
      <c r="F11586" s="36" t="s">
        <v>54401</v>
      </c>
      <c r="G11586" s="39">
        <v>1717989.92</v>
      </c>
      <c r="H11586" s="42">
        <v>211</v>
      </c>
    </row>
    <row r="11587" spans="1:8" ht="15" customHeight="1">
      <c r="A11587" s="26">
        <v>1052391551</v>
      </c>
      <c r="B11587" s="29" t="s">
        <v>13798</v>
      </c>
      <c r="C11587" s="29" t="s">
        <v>27403</v>
      </c>
      <c r="D11587" s="29" t="s">
        <v>40887</v>
      </c>
      <c r="E11587" s="29" t="s">
        <v>52375</v>
      </c>
      <c r="F11587" s="36" t="s">
        <v>54401</v>
      </c>
      <c r="G11587" s="39">
        <v>2392395</v>
      </c>
      <c r="H11587" s="42">
        <v>211</v>
      </c>
    </row>
    <row r="11588" spans="1:8" ht="15" customHeight="1">
      <c r="A11588" s="26">
        <v>1052391566</v>
      </c>
      <c r="B11588" s="29" t="s">
        <v>13799</v>
      </c>
      <c r="C11588" s="29" t="s">
        <v>27404</v>
      </c>
      <c r="D11588" s="29" t="s">
        <v>40888</v>
      </c>
      <c r="E11588" s="29" t="s">
        <v>52376</v>
      </c>
      <c r="F11588" s="36" t="s">
        <v>54401</v>
      </c>
      <c r="G11588" s="39">
        <v>7756409</v>
      </c>
      <c r="H11588" s="42">
        <v>211</v>
      </c>
    </row>
    <row r="11589" spans="1:8" ht="15" customHeight="1">
      <c r="A11589" s="26">
        <v>1052391575</v>
      </c>
      <c r="B11589" s="29" t="s">
        <v>13800</v>
      </c>
      <c r="C11589" s="29" t="s">
        <v>27405</v>
      </c>
      <c r="D11589" s="29" t="s">
        <v>40889</v>
      </c>
      <c r="E11589" s="29" t="s">
        <v>43926</v>
      </c>
      <c r="F11589" s="36" t="s">
        <v>54401</v>
      </c>
      <c r="G11589" s="39">
        <v>554942.79</v>
      </c>
      <c r="H11589" s="42">
        <v>211</v>
      </c>
    </row>
    <row r="11590" spans="1:8" ht="15" customHeight="1">
      <c r="A11590" s="26">
        <v>1052391581</v>
      </c>
      <c r="B11590" s="29" t="s">
        <v>13801</v>
      </c>
      <c r="C11590" s="29" t="s">
        <v>27406</v>
      </c>
      <c r="D11590" s="29" t="s">
        <v>40890</v>
      </c>
      <c r="E11590" s="29" t="s">
        <v>52377</v>
      </c>
      <c r="F11590" s="36" t="s">
        <v>54401</v>
      </c>
      <c r="G11590" s="39">
        <v>262591.15000000002</v>
      </c>
      <c r="H11590" s="42">
        <v>211</v>
      </c>
    </row>
    <row r="11591" spans="1:8" ht="15" customHeight="1">
      <c r="A11591" s="26">
        <v>1052391623</v>
      </c>
      <c r="B11591" s="29" t="s">
        <v>13802</v>
      </c>
      <c r="C11591" s="29" t="s">
        <v>27407</v>
      </c>
      <c r="D11591" s="29" t="s">
        <v>40891</v>
      </c>
      <c r="E11591" s="29" t="s">
        <v>50609</v>
      </c>
      <c r="F11591" s="36" t="s">
        <v>54401</v>
      </c>
      <c r="G11591" s="39">
        <v>4867129.04</v>
      </c>
      <c r="H11591" s="42">
        <v>211</v>
      </c>
    </row>
    <row r="11592" spans="1:8" ht="15" customHeight="1">
      <c r="A11592" s="26">
        <v>1052391638</v>
      </c>
      <c r="B11592" s="29" t="s">
        <v>13803</v>
      </c>
      <c r="C11592" s="29" t="s">
        <v>27408</v>
      </c>
      <c r="D11592" s="29" t="s">
        <v>40892</v>
      </c>
      <c r="E11592" s="29" t="s">
        <v>43928</v>
      </c>
      <c r="F11592" s="36" t="s">
        <v>54401</v>
      </c>
      <c r="G11592" s="39">
        <v>2522156.52</v>
      </c>
      <c r="H11592" s="42">
        <v>211</v>
      </c>
    </row>
    <row r="11593" spans="1:8" ht="15" customHeight="1">
      <c r="A11593" s="26">
        <v>1052391640</v>
      </c>
      <c r="B11593" s="29" t="s">
        <v>13804</v>
      </c>
      <c r="C11593" s="29" t="s">
        <v>27409</v>
      </c>
      <c r="D11593" s="29" t="s">
        <v>40893</v>
      </c>
      <c r="E11593" s="29" t="s">
        <v>52378</v>
      </c>
      <c r="F11593" s="36" t="s">
        <v>54401</v>
      </c>
      <c r="G11593" s="39">
        <v>5530470.5099999998</v>
      </c>
      <c r="H11593" s="42">
        <v>211</v>
      </c>
    </row>
    <row r="11594" spans="1:8" ht="15" customHeight="1">
      <c r="A11594" s="26">
        <v>1052391656</v>
      </c>
      <c r="B11594" s="29" t="s">
        <v>13805</v>
      </c>
      <c r="C11594" s="26" t="s">
        <v>27410</v>
      </c>
      <c r="D11594" s="26" t="s">
        <v>40894</v>
      </c>
      <c r="E11594" s="26" t="s">
        <v>52379</v>
      </c>
      <c r="F11594" s="37" t="s">
        <v>54401</v>
      </c>
      <c r="G11594" s="39">
        <v>4735631.29</v>
      </c>
      <c r="H11594" s="42">
        <v>211</v>
      </c>
    </row>
    <row r="11595" spans="1:8" ht="15" customHeight="1">
      <c r="A11595" s="26">
        <v>1052391677</v>
      </c>
      <c r="B11595" s="29" t="s">
        <v>13806</v>
      </c>
      <c r="C11595" s="29" t="s">
        <v>27411</v>
      </c>
      <c r="D11595" s="29" t="s">
        <v>40895</v>
      </c>
      <c r="E11595" s="29" t="s">
        <v>52380</v>
      </c>
      <c r="F11595" s="36" t="s">
        <v>54401</v>
      </c>
      <c r="G11595" s="39">
        <v>2447531.15</v>
      </c>
      <c r="H11595" s="42">
        <v>211</v>
      </c>
    </row>
    <row r="11596" spans="1:8" ht="15" customHeight="1">
      <c r="A11596" s="26">
        <v>1052391712</v>
      </c>
      <c r="B11596" s="29" t="s">
        <v>13807</v>
      </c>
      <c r="C11596" s="29" t="s">
        <v>27412</v>
      </c>
      <c r="D11596" s="29" t="s">
        <v>40896</v>
      </c>
      <c r="E11596" s="29" t="s">
        <v>52381</v>
      </c>
      <c r="F11596" s="36" t="s">
        <v>54401</v>
      </c>
      <c r="G11596" s="39">
        <v>4736784.2300000004</v>
      </c>
      <c r="H11596" s="42">
        <v>211</v>
      </c>
    </row>
    <row r="11597" spans="1:8" ht="15" customHeight="1">
      <c r="A11597" s="26">
        <v>1052391742</v>
      </c>
      <c r="B11597" s="29" t="s">
        <v>13808</v>
      </c>
      <c r="C11597" s="29" t="s">
        <v>27413</v>
      </c>
      <c r="D11597" s="29" t="s">
        <v>40897</v>
      </c>
      <c r="E11597" s="29" t="s">
        <v>46375</v>
      </c>
      <c r="F11597" s="36" t="s">
        <v>54401</v>
      </c>
      <c r="G11597" s="39">
        <v>1749644</v>
      </c>
      <c r="H11597" s="42">
        <v>211</v>
      </c>
    </row>
    <row r="11598" spans="1:8" ht="15" customHeight="1">
      <c r="A11598" s="26">
        <v>1052391745</v>
      </c>
      <c r="B11598" s="29" t="s">
        <v>13809</v>
      </c>
      <c r="C11598" s="29" t="s">
        <v>27414</v>
      </c>
      <c r="D11598" s="29" t="s">
        <v>40898</v>
      </c>
      <c r="E11598" s="29" t="s">
        <v>52382</v>
      </c>
      <c r="F11598" s="36" t="s">
        <v>54401</v>
      </c>
      <c r="G11598" s="39">
        <v>1544324.22</v>
      </c>
      <c r="H11598" s="42">
        <v>211</v>
      </c>
    </row>
    <row r="11599" spans="1:8" ht="15" customHeight="1">
      <c r="A11599" s="26">
        <v>1052391751</v>
      </c>
      <c r="B11599" s="29" t="s">
        <v>13810</v>
      </c>
      <c r="C11599" s="29" t="s">
        <v>27415</v>
      </c>
      <c r="D11599" s="29" t="s">
        <v>40899</v>
      </c>
      <c r="E11599" s="29" t="s">
        <v>52383</v>
      </c>
      <c r="F11599" s="36" t="s">
        <v>54401</v>
      </c>
      <c r="G11599" s="39">
        <v>3293356</v>
      </c>
      <c r="H11599" s="42">
        <v>211</v>
      </c>
    </row>
    <row r="11600" spans="1:8" ht="15" customHeight="1">
      <c r="A11600" s="26">
        <v>1052391753</v>
      </c>
      <c r="B11600" s="29" t="s">
        <v>13811</v>
      </c>
      <c r="C11600" s="29" t="s">
        <v>27416</v>
      </c>
      <c r="D11600" s="29" t="s">
        <v>40900</v>
      </c>
      <c r="E11600" s="29" t="s">
        <v>52384</v>
      </c>
      <c r="F11600" s="36" t="s">
        <v>54401</v>
      </c>
      <c r="G11600" s="39">
        <v>387693.15</v>
      </c>
      <c r="H11600" s="42">
        <v>211</v>
      </c>
    </row>
    <row r="11601" spans="1:8" ht="15" customHeight="1">
      <c r="A11601" s="26">
        <v>1052391763</v>
      </c>
      <c r="B11601" s="29" t="s">
        <v>13812</v>
      </c>
      <c r="C11601" s="29" t="s">
        <v>27417</v>
      </c>
      <c r="D11601" s="29" t="s">
        <v>40901</v>
      </c>
      <c r="E11601" s="29" t="s">
        <v>52385</v>
      </c>
      <c r="F11601" s="36" t="s">
        <v>54401</v>
      </c>
      <c r="G11601" s="39">
        <v>2216421</v>
      </c>
      <c r="H11601" s="42">
        <v>211</v>
      </c>
    </row>
    <row r="11602" spans="1:8" ht="15" customHeight="1">
      <c r="A11602" s="26">
        <v>1052391782</v>
      </c>
      <c r="B11602" s="29" t="s">
        <v>13813</v>
      </c>
      <c r="C11602" s="29" t="s">
        <v>17204</v>
      </c>
      <c r="D11602" s="29" t="s">
        <v>40902</v>
      </c>
      <c r="E11602" s="29" t="s">
        <v>43926</v>
      </c>
      <c r="F11602" s="36" t="s">
        <v>54401</v>
      </c>
      <c r="G11602" s="39">
        <v>247765.73</v>
      </c>
      <c r="H11602" s="42">
        <v>211</v>
      </c>
    </row>
    <row r="11603" spans="1:8" ht="15" customHeight="1">
      <c r="A11603" s="26">
        <v>1052391784</v>
      </c>
      <c r="B11603" s="29" t="s">
        <v>13814</v>
      </c>
      <c r="C11603" s="29" t="s">
        <v>27418</v>
      </c>
      <c r="D11603" s="29" t="s">
        <v>40903</v>
      </c>
      <c r="E11603" s="29" t="s">
        <v>44025</v>
      </c>
      <c r="F11603" s="36" t="s">
        <v>54401</v>
      </c>
      <c r="G11603" s="39">
        <v>10800</v>
      </c>
      <c r="H11603" s="42">
        <v>211</v>
      </c>
    </row>
    <row r="11604" spans="1:8" ht="15" customHeight="1">
      <c r="A11604" s="26">
        <v>1052391808</v>
      </c>
      <c r="B11604" s="29" t="s">
        <v>13815</v>
      </c>
      <c r="C11604" s="29" t="s">
        <v>27419</v>
      </c>
      <c r="D11604" s="29" t="s">
        <v>40904</v>
      </c>
      <c r="E11604" s="29" t="s">
        <v>52386</v>
      </c>
      <c r="F11604" s="36" t="s">
        <v>54401</v>
      </c>
      <c r="G11604" s="39">
        <v>1588355.29</v>
      </c>
      <c r="H11604" s="42">
        <v>211</v>
      </c>
    </row>
    <row r="11605" spans="1:8" ht="15" customHeight="1">
      <c r="A11605" s="26">
        <v>1052391812</v>
      </c>
      <c r="B11605" s="29" t="s">
        <v>13816</v>
      </c>
      <c r="C11605" s="26" t="s">
        <v>27420</v>
      </c>
      <c r="D11605" s="26" t="s">
        <v>40905</v>
      </c>
      <c r="E11605" s="26" t="s">
        <v>52387</v>
      </c>
      <c r="F11605" s="37" t="s">
        <v>54401</v>
      </c>
      <c r="G11605" s="39">
        <v>1040562.23</v>
      </c>
      <c r="H11605" s="42">
        <v>211</v>
      </c>
    </row>
    <row r="11606" spans="1:8" ht="15" customHeight="1">
      <c r="A11606" s="26">
        <v>1052391824</v>
      </c>
      <c r="B11606" s="29" t="s">
        <v>13817</v>
      </c>
      <c r="C11606" s="29" t="s">
        <v>27421</v>
      </c>
      <c r="D11606" s="29" t="s">
        <v>40906</v>
      </c>
      <c r="E11606" s="29" t="s">
        <v>52388</v>
      </c>
      <c r="F11606" s="36" t="s">
        <v>54401</v>
      </c>
      <c r="G11606" s="39">
        <v>8230848.1600000001</v>
      </c>
      <c r="H11606" s="42">
        <v>211</v>
      </c>
    </row>
    <row r="11607" spans="1:8" ht="15" customHeight="1">
      <c r="A11607" s="26">
        <v>1052391833</v>
      </c>
      <c r="B11607" s="29" t="s">
        <v>13818</v>
      </c>
      <c r="C11607" s="29" t="s">
        <v>27422</v>
      </c>
      <c r="D11607" s="29" t="s">
        <v>40907</v>
      </c>
      <c r="E11607" s="29" t="s">
        <v>43926</v>
      </c>
      <c r="F11607" s="36" t="s">
        <v>54401</v>
      </c>
      <c r="G11607" s="39">
        <v>48653.95</v>
      </c>
      <c r="H11607" s="42">
        <v>211</v>
      </c>
    </row>
    <row r="11608" spans="1:8" ht="15" customHeight="1">
      <c r="A11608" s="26">
        <v>1052391844</v>
      </c>
      <c r="B11608" s="29" t="s">
        <v>13819</v>
      </c>
      <c r="C11608" s="29" t="s">
        <v>27423</v>
      </c>
      <c r="D11608" s="29" t="s">
        <v>40908</v>
      </c>
      <c r="E11608" s="29" t="s">
        <v>52389</v>
      </c>
      <c r="F11608" s="36" t="s">
        <v>54401</v>
      </c>
      <c r="G11608" s="39">
        <v>2306665</v>
      </c>
      <c r="H11608" s="42">
        <v>211</v>
      </c>
    </row>
    <row r="11609" spans="1:8" ht="15" customHeight="1">
      <c r="A11609" s="26">
        <v>1052391860</v>
      </c>
      <c r="B11609" s="29" t="s">
        <v>13820</v>
      </c>
      <c r="C11609" s="29" t="s">
        <v>27424</v>
      </c>
      <c r="D11609" s="29" t="s">
        <v>40909</v>
      </c>
      <c r="E11609" s="29" t="s">
        <v>43926</v>
      </c>
      <c r="F11609" s="36" t="s">
        <v>54401</v>
      </c>
      <c r="G11609" s="39">
        <v>174843.47</v>
      </c>
      <c r="H11609" s="42">
        <v>211</v>
      </c>
    </row>
    <row r="11610" spans="1:8" ht="15" customHeight="1">
      <c r="A11610" s="26">
        <v>1052391867</v>
      </c>
      <c r="B11610" s="29" t="s">
        <v>13821</v>
      </c>
      <c r="C11610" s="29" t="s">
        <v>27425</v>
      </c>
      <c r="D11610" s="29" t="s">
        <v>40910</v>
      </c>
      <c r="E11610" s="29" t="s">
        <v>52390</v>
      </c>
      <c r="F11610" s="36" t="s">
        <v>54401</v>
      </c>
      <c r="G11610" s="39">
        <v>6306897</v>
      </c>
      <c r="H11610" s="42">
        <v>211</v>
      </c>
    </row>
    <row r="11611" spans="1:8" ht="15" customHeight="1">
      <c r="A11611" s="26">
        <v>1052391872</v>
      </c>
      <c r="B11611" s="29" t="s">
        <v>13822</v>
      </c>
      <c r="C11611" s="29" t="s">
        <v>27426</v>
      </c>
      <c r="D11611" s="29" t="s">
        <v>40911</v>
      </c>
      <c r="E11611" s="29" t="s">
        <v>43926</v>
      </c>
      <c r="F11611" s="36" t="s">
        <v>54401</v>
      </c>
      <c r="G11611" s="39">
        <v>5340862</v>
      </c>
      <c r="H11611" s="42">
        <v>211</v>
      </c>
    </row>
    <row r="11612" spans="1:8" ht="15" customHeight="1">
      <c r="A11612" s="26">
        <v>1052391882</v>
      </c>
      <c r="B11612" s="29" t="s">
        <v>13823</v>
      </c>
      <c r="C11612" s="29" t="s">
        <v>27427</v>
      </c>
      <c r="D11612" s="29" t="s">
        <v>40912</v>
      </c>
      <c r="E11612" s="29" t="s">
        <v>52391</v>
      </c>
      <c r="F11612" s="36" t="s">
        <v>54401</v>
      </c>
      <c r="G11612" s="39">
        <v>3721617.63</v>
      </c>
      <c r="H11612" s="42">
        <v>211</v>
      </c>
    </row>
    <row r="11613" spans="1:8" ht="15" customHeight="1">
      <c r="A11613" s="26">
        <v>1052391912</v>
      </c>
      <c r="B11613" s="29" t="s">
        <v>13824</v>
      </c>
      <c r="C11613" s="29" t="s">
        <v>27428</v>
      </c>
      <c r="D11613" s="29" t="s">
        <v>40913</v>
      </c>
      <c r="E11613" s="29" t="s">
        <v>45502</v>
      </c>
      <c r="F11613" s="36" t="s">
        <v>54401</v>
      </c>
      <c r="G11613" s="39">
        <v>829372.63</v>
      </c>
      <c r="H11613" s="42">
        <v>211</v>
      </c>
    </row>
    <row r="11614" spans="1:8" ht="15" customHeight="1">
      <c r="A11614" s="26">
        <v>1052391914</v>
      </c>
      <c r="B11614" s="29" t="s">
        <v>13825</v>
      </c>
      <c r="C11614" s="29" t="s">
        <v>27429</v>
      </c>
      <c r="D11614" s="29" t="s">
        <v>40914</v>
      </c>
      <c r="E11614" s="29" t="s">
        <v>52392</v>
      </c>
      <c r="F11614" s="36" t="s">
        <v>54401</v>
      </c>
      <c r="G11614" s="39">
        <v>342380.88</v>
      </c>
      <c r="H11614" s="42">
        <v>211</v>
      </c>
    </row>
    <row r="11615" spans="1:8" ht="15" customHeight="1">
      <c r="A11615" s="26">
        <v>1052391924</v>
      </c>
      <c r="B11615" s="29" t="s">
        <v>13826</v>
      </c>
      <c r="C11615" s="29" t="s">
        <v>17204</v>
      </c>
      <c r="D11615" s="29" t="s">
        <v>40915</v>
      </c>
      <c r="E11615" s="29" t="s">
        <v>43926</v>
      </c>
      <c r="F11615" s="36" t="s">
        <v>54401</v>
      </c>
      <c r="G11615" s="39">
        <v>36864.449999999997</v>
      </c>
      <c r="H11615" s="42">
        <v>211</v>
      </c>
    </row>
    <row r="11616" spans="1:8" ht="15" customHeight="1">
      <c r="A11616" s="26">
        <v>1052391942</v>
      </c>
      <c r="B11616" s="29" t="s">
        <v>13827</v>
      </c>
      <c r="C11616" s="29" t="s">
        <v>26953</v>
      </c>
      <c r="D11616" s="29" t="s">
        <v>40422</v>
      </c>
      <c r="E11616" s="29" t="s">
        <v>52393</v>
      </c>
      <c r="F11616" s="36" t="s">
        <v>54401</v>
      </c>
      <c r="G11616" s="39">
        <v>305317.63</v>
      </c>
      <c r="H11616" s="42">
        <v>211</v>
      </c>
    </row>
    <row r="11617" spans="1:8" ht="15" customHeight="1">
      <c r="A11617" s="26">
        <v>1052391976</v>
      </c>
      <c r="B11617" s="29" t="s">
        <v>13828</v>
      </c>
      <c r="C11617" s="29" t="s">
        <v>27430</v>
      </c>
      <c r="D11617" s="29" t="s">
        <v>40916</v>
      </c>
      <c r="E11617" s="29" t="s">
        <v>52394</v>
      </c>
      <c r="F11617" s="36" t="s">
        <v>54401</v>
      </c>
      <c r="G11617" s="39">
        <v>269839.02</v>
      </c>
      <c r="H11617" s="42">
        <v>211</v>
      </c>
    </row>
    <row r="11618" spans="1:8" ht="15" customHeight="1">
      <c r="A11618" s="26">
        <v>1052391979</v>
      </c>
      <c r="B11618" s="29" t="s">
        <v>13829</v>
      </c>
      <c r="C11618" s="26" t="s">
        <v>27431</v>
      </c>
      <c r="D11618" s="26" t="s">
        <v>40917</v>
      </c>
      <c r="E11618" s="26" t="s">
        <v>52395</v>
      </c>
      <c r="F11618" s="37" t="s">
        <v>54401</v>
      </c>
      <c r="G11618" s="39">
        <v>1901818</v>
      </c>
      <c r="H11618" s="42">
        <v>211</v>
      </c>
    </row>
    <row r="11619" spans="1:8" ht="15" customHeight="1">
      <c r="A11619" s="26">
        <v>1052391984</v>
      </c>
      <c r="B11619" s="29" t="s">
        <v>13830</v>
      </c>
      <c r="C11619" s="29" t="s">
        <v>27432</v>
      </c>
      <c r="D11619" s="29" t="s">
        <v>40918</v>
      </c>
      <c r="E11619" s="29" t="s">
        <v>52396</v>
      </c>
      <c r="F11619" s="36" t="s">
        <v>54401</v>
      </c>
      <c r="G11619" s="39">
        <v>3472680</v>
      </c>
      <c r="H11619" s="42">
        <v>211</v>
      </c>
    </row>
    <row r="11620" spans="1:8" ht="15" customHeight="1">
      <c r="A11620" s="26">
        <v>1052391995</v>
      </c>
      <c r="B11620" s="29" t="s">
        <v>13831</v>
      </c>
      <c r="C11620" s="29" t="s">
        <v>27433</v>
      </c>
      <c r="D11620" s="29" t="s">
        <v>40919</v>
      </c>
      <c r="E11620" s="29" t="s">
        <v>43926</v>
      </c>
      <c r="F11620" s="36" t="s">
        <v>54401</v>
      </c>
      <c r="G11620" s="39">
        <v>23621.08</v>
      </c>
      <c r="H11620" s="42">
        <v>211</v>
      </c>
    </row>
    <row r="11621" spans="1:8" ht="15" customHeight="1">
      <c r="A11621" s="26">
        <v>1052391996</v>
      </c>
      <c r="B11621" s="29" t="s">
        <v>13832</v>
      </c>
      <c r="C11621" s="29" t="s">
        <v>27434</v>
      </c>
      <c r="D11621" s="29" t="s">
        <v>40920</v>
      </c>
      <c r="E11621" s="29" t="s">
        <v>44019</v>
      </c>
      <c r="F11621" s="36" t="s">
        <v>54401</v>
      </c>
      <c r="G11621" s="39">
        <v>607655.03</v>
      </c>
      <c r="H11621" s="42">
        <v>211</v>
      </c>
    </row>
    <row r="11622" spans="1:8" ht="15" customHeight="1">
      <c r="A11622" s="26">
        <v>1052392015</v>
      </c>
      <c r="B11622" s="29" t="s">
        <v>13833</v>
      </c>
      <c r="C11622" s="29" t="s">
        <v>27435</v>
      </c>
      <c r="D11622" s="29" t="s">
        <v>40921</v>
      </c>
      <c r="E11622" s="29" t="s">
        <v>52397</v>
      </c>
      <c r="F11622" s="36" t="s">
        <v>54401</v>
      </c>
      <c r="G11622" s="39">
        <v>4374266</v>
      </c>
      <c r="H11622" s="42">
        <v>211</v>
      </c>
    </row>
    <row r="11623" spans="1:8" ht="15" customHeight="1">
      <c r="A11623" s="26">
        <v>1052392022</v>
      </c>
      <c r="B11623" s="29" t="s">
        <v>13834</v>
      </c>
      <c r="C11623" s="26" t="s">
        <v>27436</v>
      </c>
      <c r="D11623" s="26" t="s">
        <v>40922</v>
      </c>
      <c r="E11623" s="26" t="s">
        <v>52398</v>
      </c>
      <c r="F11623" s="37" t="s">
        <v>54401</v>
      </c>
      <c r="G11623" s="39">
        <v>647334.97</v>
      </c>
      <c r="H11623" s="42">
        <v>211</v>
      </c>
    </row>
    <row r="11624" spans="1:8" ht="15" customHeight="1">
      <c r="A11624" s="26">
        <v>1052392095</v>
      </c>
      <c r="B11624" s="29" t="s">
        <v>13835</v>
      </c>
      <c r="C11624" s="29" t="s">
        <v>27437</v>
      </c>
      <c r="D11624" s="29" t="s">
        <v>40923</v>
      </c>
      <c r="E11624" s="29" t="s">
        <v>43926</v>
      </c>
      <c r="F11624" s="36" t="s">
        <v>54401</v>
      </c>
      <c r="G11624" s="39">
        <v>3357529.23</v>
      </c>
      <c r="H11624" s="42">
        <v>211</v>
      </c>
    </row>
    <row r="11625" spans="1:8" ht="15" customHeight="1">
      <c r="A11625" s="26">
        <v>1052392097</v>
      </c>
      <c r="B11625" s="29" t="s">
        <v>13836</v>
      </c>
      <c r="C11625" s="29" t="s">
        <v>27438</v>
      </c>
      <c r="D11625" s="29" t="s">
        <v>40924</v>
      </c>
      <c r="E11625" s="29" t="s">
        <v>52399</v>
      </c>
      <c r="F11625" s="36" t="s">
        <v>54401</v>
      </c>
      <c r="G11625" s="39">
        <v>488750.59</v>
      </c>
      <c r="H11625" s="42">
        <v>211</v>
      </c>
    </row>
    <row r="11626" spans="1:8" ht="15" customHeight="1">
      <c r="A11626" s="26">
        <v>1052392098</v>
      </c>
      <c r="B11626" s="29" t="s">
        <v>13837</v>
      </c>
      <c r="C11626" s="26" t="s">
        <v>27439</v>
      </c>
      <c r="D11626" s="26" t="s">
        <v>40925</v>
      </c>
      <c r="E11626" s="26" t="s">
        <v>46812</v>
      </c>
      <c r="F11626" s="37" t="s">
        <v>54401</v>
      </c>
      <c r="G11626" s="39">
        <v>3248802.52</v>
      </c>
      <c r="H11626" s="42">
        <v>211</v>
      </c>
    </row>
    <row r="11627" spans="1:8" ht="15" customHeight="1">
      <c r="A11627" s="26">
        <v>1052392100</v>
      </c>
      <c r="B11627" s="29" t="s">
        <v>13838</v>
      </c>
      <c r="C11627" s="29" t="s">
        <v>27440</v>
      </c>
      <c r="D11627" s="29" t="s">
        <v>40926</v>
      </c>
      <c r="E11627" s="29" t="s">
        <v>52400</v>
      </c>
      <c r="F11627" s="36" t="s">
        <v>54401</v>
      </c>
      <c r="G11627" s="39">
        <v>2771266</v>
      </c>
      <c r="H11627" s="42">
        <v>211</v>
      </c>
    </row>
    <row r="11628" spans="1:8" ht="15" customHeight="1">
      <c r="A11628" s="26">
        <v>1052392109</v>
      </c>
      <c r="B11628" s="29" t="s">
        <v>13839</v>
      </c>
      <c r="C11628" s="29" t="s">
        <v>27441</v>
      </c>
      <c r="D11628" s="29" t="s">
        <v>40927</v>
      </c>
      <c r="E11628" s="29" t="s">
        <v>52401</v>
      </c>
      <c r="F11628" s="36" t="s">
        <v>54401</v>
      </c>
      <c r="G11628" s="39">
        <v>797016.72</v>
      </c>
      <c r="H11628" s="42">
        <v>211</v>
      </c>
    </row>
    <row r="11629" spans="1:8" ht="15" customHeight="1">
      <c r="A11629" s="26">
        <v>1052392123</v>
      </c>
      <c r="B11629" s="29" t="s">
        <v>13840</v>
      </c>
      <c r="C11629" s="29" t="s">
        <v>27442</v>
      </c>
      <c r="D11629" s="29" t="s">
        <v>40928</v>
      </c>
      <c r="E11629" s="29" t="s">
        <v>52402</v>
      </c>
      <c r="F11629" s="36" t="s">
        <v>54401</v>
      </c>
      <c r="G11629" s="39">
        <v>488740.25</v>
      </c>
      <c r="H11629" s="42">
        <v>211</v>
      </c>
    </row>
    <row r="11630" spans="1:8" ht="15" customHeight="1">
      <c r="A11630" s="26">
        <v>1052392130</v>
      </c>
      <c r="B11630" s="29" t="s">
        <v>13841</v>
      </c>
      <c r="C11630" s="29" t="s">
        <v>27443</v>
      </c>
      <c r="D11630" s="29" t="s">
        <v>40929</v>
      </c>
      <c r="E11630" s="29" t="s">
        <v>43926</v>
      </c>
      <c r="F11630" s="36" t="s">
        <v>54401</v>
      </c>
      <c r="G11630" s="39">
        <v>1100743.75</v>
      </c>
      <c r="H11630" s="42">
        <v>211</v>
      </c>
    </row>
    <row r="11631" spans="1:8" ht="15" customHeight="1">
      <c r="A11631" s="26">
        <v>1052392143</v>
      </c>
      <c r="B11631" s="29" t="s">
        <v>13842</v>
      </c>
      <c r="C11631" s="29" t="s">
        <v>27444</v>
      </c>
      <c r="D11631" s="29" t="s">
        <v>40930</v>
      </c>
      <c r="E11631" s="29" t="s">
        <v>52403</v>
      </c>
      <c r="F11631" s="36" t="s">
        <v>54401</v>
      </c>
      <c r="G11631" s="39">
        <v>830496.94</v>
      </c>
      <c r="H11631" s="42">
        <v>211</v>
      </c>
    </row>
    <row r="11632" spans="1:8" ht="15" customHeight="1">
      <c r="A11632" s="26">
        <v>1052392157</v>
      </c>
      <c r="B11632" s="29" t="s">
        <v>13843</v>
      </c>
      <c r="C11632" s="29" t="s">
        <v>27445</v>
      </c>
      <c r="D11632" s="29" t="s">
        <v>40931</v>
      </c>
      <c r="E11632" s="29" t="s">
        <v>52404</v>
      </c>
      <c r="F11632" s="36" t="s">
        <v>54401</v>
      </c>
      <c r="G11632" s="39">
        <v>151625.73000000001</v>
      </c>
      <c r="H11632" s="42">
        <v>211</v>
      </c>
    </row>
    <row r="11633" spans="1:8" ht="15" customHeight="1">
      <c r="A11633" s="26">
        <v>1052392201</v>
      </c>
      <c r="B11633" s="29" t="s">
        <v>13844</v>
      </c>
      <c r="C11633" s="29" t="s">
        <v>27446</v>
      </c>
      <c r="D11633" s="29" t="s">
        <v>40932</v>
      </c>
      <c r="E11633" s="29" t="s">
        <v>52405</v>
      </c>
      <c r="F11633" s="36" t="s">
        <v>54401</v>
      </c>
      <c r="G11633" s="39">
        <v>936345.91</v>
      </c>
      <c r="H11633" s="42">
        <v>211</v>
      </c>
    </row>
    <row r="11634" spans="1:8" ht="15" customHeight="1">
      <c r="A11634" s="26">
        <v>1052392205</v>
      </c>
      <c r="B11634" s="29" t="s">
        <v>13845</v>
      </c>
      <c r="C11634" s="29" t="s">
        <v>27447</v>
      </c>
      <c r="D11634" s="29" t="s">
        <v>40933</v>
      </c>
      <c r="E11634" s="29" t="s">
        <v>52406</v>
      </c>
      <c r="F11634" s="36" t="s">
        <v>54401</v>
      </c>
      <c r="G11634" s="39">
        <v>198661.81</v>
      </c>
      <c r="H11634" s="42">
        <v>211</v>
      </c>
    </row>
    <row r="11635" spans="1:8" ht="15" customHeight="1">
      <c r="A11635" s="26">
        <v>1052392222</v>
      </c>
      <c r="B11635" s="29" t="s">
        <v>13846</v>
      </c>
      <c r="C11635" s="29" t="s">
        <v>27448</v>
      </c>
      <c r="D11635" s="29" t="s">
        <v>40934</v>
      </c>
      <c r="E11635" s="29" t="s">
        <v>52407</v>
      </c>
      <c r="F11635" s="36" t="s">
        <v>54401</v>
      </c>
      <c r="G11635" s="39">
        <v>5561324</v>
      </c>
      <c r="H11635" s="42">
        <v>211</v>
      </c>
    </row>
    <row r="11636" spans="1:8" ht="15" customHeight="1">
      <c r="A11636" s="26">
        <v>1052392229</v>
      </c>
      <c r="B11636" s="29" t="s">
        <v>13847</v>
      </c>
      <c r="C11636" s="26" t="s">
        <v>27449</v>
      </c>
      <c r="D11636" s="26" t="s">
        <v>40935</v>
      </c>
      <c r="E11636" s="26" t="s">
        <v>43926</v>
      </c>
      <c r="F11636" s="37" t="s">
        <v>54401</v>
      </c>
      <c r="G11636" s="39">
        <v>454360.49</v>
      </c>
      <c r="H11636" s="42">
        <v>211</v>
      </c>
    </row>
    <row r="11637" spans="1:8" ht="15" customHeight="1">
      <c r="A11637" s="26">
        <v>1052392242</v>
      </c>
      <c r="B11637" s="29" t="s">
        <v>13848</v>
      </c>
      <c r="C11637" s="29" t="s">
        <v>27450</v>
      </c>
      <c r="D11637" s="29" t="s">
        <v>40936</v>
      </c>
      <c r="E11637" s="29" t="s">
        <v>52408</v>
      </c>
      <c r="F11637" s="36" t="s">
        <v>54401</v>
      </c>
      <c r="G11637" s="39">
        <v>464504.54</v>
      </c>
      <c r="H11637" s="42">
        <v>211</v>
      </c>
    </row>
    <row r="11638" spans="1:8" ht="15" customHeight="1">
      <c r="A11638" s="26">
        <v>1052392262</v>
      </c>
      <c r="B11638" s="29" t="s">
        <v>13849</v>
      </c>
      <c r="C11638" s="29" t="s">
        <v>17204</v>
      </c>
      <c r="D11638" s="29" t="s">
        <v>40937</v>
      </c>
      <c r="E11638" s="29" t="s">
        <v>43926</v>
      </c>
      <c r="F11638" s="36" t="s">
        <v>54401</v>
      </c>
      <c r="G11638" s="39">
        <v>2632320</v>
      </c>
      <c r="H11638" s="42">
        <v>211</v>
      </c>
    </row>
    <row r="11639" spans="1:8" ht="15" customHeight="1">
      <c r="A11639" s="26">
        <v>1052392276</v>
      </c>
      <c r="B11639" s="29" t="s">
        <v>13850</v>
      </c>
      <c r="C11639" s="29" t="s">
        <v>27451</v>
      </c>
      <c r="D11639" s="29" t="s">
        <v>40938</v>
      </c>
      <c r="E11639" s="29" t="s">
        <v>52409</v>
      </c>
      <c r="F11639" s="36" t="s">
        <v>54401</v>
      </c>
      <c r="G11639" s="39">
        <v>226487.82</v>
      </c>
      <c r="H11639" s="42">
        <v>211</v>
      </c>
    </row>
    <row r="11640" spans="1:8" ht="15" customHeight="1">
      <c r="A11640" s="26">
        <v>1052392284</v>
      </c>
      <c r="B11640" s="29" t="s">
        <v>13851</v>
      </c>
      <c r="C11640" s="29" t="s">
        <v>27452</v>
      </c>
      <c r="D11640" s="29" t="s">
        <v>40939</v>
      </c>
      <c r="E11640" s="29" t="s">
        <v>52410</v>
      </c>
      <c r="F11640" s="36" t="s">
        <v>54401</v>
      </c>
      <c r="G11640" s="39">
        <v>4730237.3600000003</v>
      </c>
      <c r="H11640" s="42">
        <v>211</v>
      </c>
    </row>
    <row r="11641" spans="1:8" ht="15" customHeight="1">
      <c r="A11641" s="26">
        <v>1052392296</v>
      </c>
      <c r="B11641" s="29" t="s">
        <v>13852</v>
      </c>
      <c r="C11641" s="29" t="s">
        <v>27453</v>
      </c>
      <c r="D11641" s="29" t="s">
        <v>40940</v>
      </c>
      <c r="E11641" s="29" t="s">
        <v>45502</v>
      </c>
      <c r="F11641" s="36" t="s">
        <v>54401</v>
      </c>
      <c r="G11641" s="39">
        <v>52954.49</v>
      </c>
      <c r="H11641" s="42">
        <v>211</v>
      </c>
    </row>
    <row r="11642" spans="1:8" ht="15" customHeight="1">
      <c r="A11642" s="26">
        <v>1052392298</v>
      </c>
      <c r="B11642" s="29" t="s">
        <v>13853</v>
      </c>
      <c r="C11642" s="29" t="s">
        <v>27454</v>
      </c>
      <c r="D11642" s="29" t="s">
        <v>40941</v>
      </c>
      <c r="E11642" s="29" t="s">
        <v>52411</v>
      </c>
      <c r="F11642" s="36" t="s">
        <v>54401</v>
      </c>
      <c r="G11642" s="39">
        <v>698411.89</v>
      </c>
      <c r="H11642" s="42">
        <v>211</v>
      </c>
    </row>
    <row r="11643" spans="1:8" ht="15" customHeight="1">
      <c r="A11643" s="26">
        <v>1052392308</v>
      </c>
      <c r="B11643" s="29" t="s">
        <v>13854</v>
      </c>
      <c r="C11643" s="29" t="s">
        <v>27455</v>
      </c>
      <c r="D11643" s="29" t="s">
        <v>40942</v>
      </c>
      <c r="E11643" s="29" t="s">
        <v>52412</v>
      </c>
      <c r="F11643" s="36" t="s">
        <v>54401</v>
      </c>
      <c r="G11643" s="39">
        <v>304680.15999999997</v>
      </c>
      <c r="H11643" s="42">
        <v>211</v>
      </c>
    </row>
    <row r="11644" spans="1:8" ht="15" customHeight="1">
      <c r="A11644" s="26">
        <v>1052392327</v>
      </c>
      <c r="B11644" s="29" t="s">
        <v>13855</v>
      </c>
      <c r="C11644" s="29" t="s">
        <v>27456</v>
      </c>
      <c r="D11644" s="29" t="s">
        <v>40943</v>
      </c>
      <c r="E11644" s="29" t="s">
        <v>52413</v>
      </c>
      <c r="F11644" s="36" t="s">
        <v>54401</v>
      </c>
      <c r="G11644" s="39">
        <v>195794.64</v>
      </c>
      <c r="H11644" s="42">
        <v>211</v>
      </c>
    </row>
    <row r="11645" spans="1:8" ht="15" customHeight="1">
      <c r="A11645" s="26">
        <v>1052392329</v>
      </c>
      <c r="B11645" s="29" t="s">
        <v>13856</v>
      </c>
      <c r="C11645" s="29" t="s">
        <v>27457</v>
      </c>
      <c r="D11645" s="29" t="s">
        <v>40944</v>
      </c>
      <c r="E11645" s="29" t="s">
        <v>46325</v>
      </c>
      <c r="F11645" s="36" t="s">
        <v>54401</v>
      </c>
      <c r="G11645" s="39">
        <v>351761.91999999998</v>
      </c>
      <c r="H11645" s="42">
        <v>211</v>
      </c>
    </row>
    <row r="11646" spans="1:8" ht="15" customHeight="1">
      <c r="A11646" s="26">
        <v>1052392334</v>
      </c>
      <c r="B11646" s="29" t="s">
        <v>13857</v>
      </c>
      <c r="C11646" s="29" t="s">
        <v>27458</v>
      </c>
      <c r="D11646" s="29" t="s">
        <v>40945</v>
      </c>
      <c r="E11646" s="29" t="s">
        <v>52414</v>
      </c>
      <c r="F11646" s="36" t="s">
        <v>54401</v>
      </c>
      <c r="G11646" s="39">
        <v>1290640.69</v>
      </c>
      <c r="H11646" s="42">
        <v>211</v>
      </c>
    </row>
    <row r="11647" spans="1:8" ht="15" customHeight="1">
      <c r="A11647" s="26">
        <v>1052392336</v>
      </c>
      <c r="B11647" s="29" t="s">
        <v>13858</v>
      </c>
      <c r="C11647" s="29" t="s">
        <v>27459</v>
      </c>
      <c r="D11647" s="29" t="s">
        <v>40946</v>
      </c>
      <c r="E11647" s="29" t="s">
        <v>43926</v>
      </c>
      <c r="F11647" s="36" t="s">
        <v>54401</v>
      </c>
      <c r="G11647" s="39">
        <v>256815.32</v>
      </c>
      <c r="H11647" s="42">
        <v>211</v>
      </c>
    </row>
    <row r="11648" spans="1:8" ht="15" customHeight="1">
      <c r="A11648" s="26">
        <v>1052392358</v>
      </c>
      <c r="B11648" s="29" t="s">
        <v>13859</v>
      </c>
      <c r="C11648" s="29" t="s">
        <v>27460</v>
      </c>
      <c r="D11648" s="29" t="s">
        <v>40947</v>
      </c>
      <c r="E11648" s="29" t="s">
        <v>52415</v>
      </c>
      <c r="F11648" s="36" t="s">
        <v>54401</v>
      </c>
      <c r="G11648" s="39">
        <v>4396786</v>
      </c>
      <c r="H11648" s="42">
        <v>211</v>
      </c>
    </row>
    <row r="11649" spans="1:8" ht="15" customHeight="1">
      <c r="A11649" s="26">
        <v>1052392364</v>
      </c>
      <c r="B11649" s="29" t="s">
        <v>13860</v>
      </c>
      <c r="C11649" s="29" t="s">
        <v>27461</v>
      </c>
      <c r="D11649" s="29" t="s">
        <v>31789</v>
      </c>
      <c r="E11649" s="29" t="s">
        <v>52416</v>
      </c>
      <c r="F11649" s="36" t="s">
        <v>54401</v>
      </c>
      <c r="G11649" s="39">
        <v>1092308.9099999999</v>
      </c>
      <c r="H11649" s="42">
        <v>211</v>
      </c>
    </row>
    <row r="11650" spans="1:8" ht="15" customHeight="1">
      <c r="A11650" s="26">
        <v>1052392388</v>
      </c>
      <c r="B11650" s="29" t="s">
        <v>13861</v>
      </c>
      <c r="C11650" s="29" t="s">
        <v>17204</v>
      </c>
      <c r="D11650" s="29" t="s">
        <v>40948</v>
      </c>
      <c r="E11650" s="29" t="s">
        <v>43926</v>
      </c>
      <c r="F11650" s="36" t="s">
        <v>54401</v>
      </c>
      <c r="G11650" s="39">
        <v>202672.34</v>
      </c>
      <c r="H11650" s="42">
        <v>211</v>
      </c>
    </row>
    <row r="11651" spans="1:8" ht="15" customHeight="1">
      <c r="A11651" s="26">
        <v>1052392389</v>
      </c>
      <c r="B11651" s="29" t="s">
        <v>13862</v>
      </c>
      <c r="C11651" s="29" t="s">
        <v>27462</v>
      </c>
      <c r="D11651" s="29" t="s">
        <v>40949</v>
      </c>
      <c r="E11651" s="29" t="s">
        <v>52417</v>
      </c>
      <c r="F11651" s="36" t="s">
        <v>54423</v>
      </c>
      <c r="G11651" s="39">
        <v>4022042.13</v>
      </c>
      <c r="H11651" s="42">
        <v>211</v>
      </c>
    </row>
    <row r="11652" spans="1:8" ht="15" customHeight="1">
      <c r="A11652" s="26">
        <v>1052392417</v>
      </c>
      <c r="B11652" s="29" t="s">
        <v>13863</v>
      </c>
      <c r="C11652" s="26" t="s">
        <v>17204</v>
      </c>
      <c r="D11652" s="26" t="s">
        <v>30349</v>
      </c>
      <c r="E11652" s="26" t="s">
        <v>43926</v>
      </c>
      <c r="F11652" s="37" t="s">
        <v>54401</v>
      </c>
      <c r="G11652" s="39">
        <v>245098.79</v>
      </c>
      <c r="H11652" s="42">
        <v>211</v>
      </c>
    </row>
    <row r="11653" spans="1:8" ht="15" customHeight="1">
      <c r="A11653" s="26">
        <v>1052392418</v>
      </c>
      <c r="B11653" s="29" t="s">
        <v>13864</v>
      </c>
      <c r="C11653" s="29" t="s">
        <v>27463</v>
      </c>
      <c r="D11653" s="29" t="s">
        <v>40950</v>
      </c>
      <c r="E11653" s="29" t="s">
        <v>52418</v>
      </c>
      <c r="F11653" s="36" t="s">
        <v>54401</v>
      </c>
      <c r="G11653" s="39">
        <v>946646.81</v>
      </c>
      <c r="H11653" s="42">
        <v>211</v>
      </c>
    </row>
    <row r="11654" spans="1:8" ht="15" customHeight="1">
      <c r="A11654" s="26">
        <v>1052392421</v>
      </c>
      <c r="B11654" s="29" t="s">
        <v>13865</v>
      </c>
      <c r="C11654" s="29" t="s">
        <v>27464</v>
      </c>
      <c r="D11654" s="29" t="s">
        <v>40951</v>
      </c>
      <c r="E11654" s="29" t="s">
        <v>52419</v>
      </c>
      <c r="F11654" s="36" t="s">
        <v>54401</v>
      </c>
      <c r="G11654" s="39">
        <v>2198745</v>
      </c>
      <c r="H11654" s="42">
        <v>211</v>
      </c>
    </row>
    <row r="11655" spans="1:8" ht="15" customHeight="1">
      <c r="A11655" s="26">
        <v>1052392428</v>
      </c>
      <c r="B11655" s="29" t="s">
        <v>13866</v>
      </c>
      <c r="C11655" s="29" t="s">
        <v>27465</v>
      </c>
      <c r="D11655" s="29" t="s">
        <v>40952</v>
      </c>
      <c r="E11655" s="29" t="s">
        <v>52420</v>
      </c>
      <c r="F11655" s="36" t="s">
        <v>54401</v>
      </c>
      <c r="G11655" s="39">
        <v>1538819.74</v>
      </c>
      <c r="H11655" s="42">
        <v>211</v>
      </c>
    </row>
    <row r="11656" spans="1:8" ht="15" customHeight="1">
      <c r="A11656" s="26">
        <v>1052392434</v>
      </c>
      <c r="B11656" s="29" t="s">
        <v>13867</v>
      </c>
      <c r="C11656" s="29" t="s">
        <v>27466</v>
      </c>
      <c r="D11656" s="29" t="s">
        <v>40953</v>
      </c>
      <c r="E11656" s="29" t="s">
        <v>52421</v>
      </c>
      <c r="F11656" s="36" t="s">
        <v>54401</v>
      </c>
      <c r="G11656" s="39">
        <v>252148.31</v>
      </c>
      <c r="H11656" s="42">
        <v>211</v>
      </c>
    </row>
    <row r="11657" spans="1:8" ht="15" customHeight="1">
      <c r="A11657" s="26">
        <v>1052392457</v>
      </c>
      <c r="B11657" s="29" t="s">
        <v>13868</v>
      </c>
      <c r="C11657" s="29" t="s">
        <v>27467</v>
      </c>
      <c r="D11657" s="29" t="s">
        <v>40954</v>
      </c>
      <c r="E11657" s="29" t="s">
        <v>52422</v>
      </c>
      <c r="F11657" s="36" t="s">
        <v>54401</v>
      </c>
      <c r="G11657" s="39">
        <v>757287.56</v>
      </c>
      <c r="H11657" s="42">
        <v>211</v>
      </c>
    </row>
    <row r="11658" spans="1:8" ht="15" customHeight="1">
      <c r="A11658" s="26">
        <v>1052392471</v>
      </c>
      <c r="B11658" s="29" t="s">
        <v>13869</v>
      </c>
      <c r="C11658" s="29" t="s">
        <v>27468</v>
      </c>
      <c r="D11658" s="29" t="s">
        <v>40955</v>
      </c>
      <c r="E11658" s="29" t="s">
        <v>52423</v>
      </c>
      <c r="F11658" s="36" t="s">
        <v>54401</v>
      </c>
      <c r="G11658" s="39">
        <v>1913066</v>
      </c>
      <c r="H11658" s="42">
        <v>211</v>
      </c>
    </row>
    <row r="11659" spans="1:8" ht="15" customHeight="1">
      <c r="A11659" s="26">
        <v>1052392479</v>
      </c>
      <c r="B11659" s="29" t="s">
        <v>13870</v>
      </c>
      <c r="C11659" s="29" t="s">
        <v>27469</v>
      </c>
      <c r="D11659" s="29" t="s">
        <v>40956</v>
      </c>
      <c r="E11659" s="29" t="s">
        <v>52424</v>
      </c>
      <c r="F11659" s="36" t="s">
        <v>54401</v>
      </c>
      <c r="G11659" s="39">
        <v>2636107</v>
      </c>
      <c r="H11659" s="42">
        <v>211</v>
      </c>
    </row>
    <row r="11660" spans="1:8" ht="15" customHeight="1">
      <c r="A11660" s="26">
        <v>1052392484</v>
      </c>
      <c r="B11660" s="29" t="s">
        <v>13871</v>
      </c>
      <c r="C11660" s="26" t="s">
        <v>27470</v>
      </c>
      <c r="D11660" s="26" t="s">
        <v>40957</v>
      </c>
      <c r="E11660" s="26" t="s">
        <v>52425</v>
      </c>
      <c r="F11660" s="37" t="s">
        <v>54401</v>
      </c>
      <c r="G11660" s="39">
        <v>608615.26</v>
      </c>
      <c r="H11660" s="42">
        <v>211</v>
      </c>
    </row>
    <row r="11661" spans="1:8" ht="15" customHeight="1">
      <c r="A11661" s="26">
        <v>1052392499</v>
      </c>
      <c r="B11661" s="29" t="s">
        <v>13872</v>
      </c>
      <c r="C11661" s="29" t="s">
        <v>27471</v>
      </c>
      <c r="D11661" s="29" t="s">
        <v>40958</v>
      </c>
      <c r="E11661" s="29" t="s">
        <v>52426</v>
      </c>
      <c r="F11661" s="36" t="s">
        <v>54401</v>
      </c>
      <c r="G11661" s="39">
        <v>45705.87</v>
      </c>
      <c r="H11661" s="42">
        <v>211</v>
      </c>
    </row>
    <row r="11662" spans="1:8" ht="15" customHeight="1">
      <c r="A11662" s="26">
        <v>1052392503</v>
      </c>
      <c r="B11662" s="29" t="s">
        <v>13873</v>
      </c>
      <c r="C11662" s="29" t="s">
        <v>27472</v>
      </c>
      <c r="D11662" s="29" t="s">
        <v>40959</v>
      </c>
      <c r="E11662" s="29" t="s">
        <v>52427</v>
      </c>
      <c r="F11662" s="36" t="s">
        <v>54401</v>
      </c>
      <c r="G11662" s="39">
        <v>4486677</v>
      </c>
      <c r="H11662" s="42">
        <v>211</v>
      </c>
    </row>
    <row r="11663" spans="1:8" ht="15" customHeight="1">
      <c r="A11663" s="26">
        <v>1052392541</v>
      </c>
      <c r="B11663" s="29" t="s">
        <v>13874</v>
      </c>
      <c r="C11663" s="29" t="s">
        <v>27473</v>
      </c>
      <c r="D11663" s="29" t="s">
        <v>40960</v>
      </c>
      <c r="E11663" s="29" t="s">
        <v>52428</v>
      </c>
      <c r="F11663" s="36" t="s">
        <v>54401</v>
      </c>
      <c r="G11663" s="39">
        <v>39386.550000000003</v>
      </c>
      <c r="H11663" s="42">
        <v>211</v>
      </c>
    </row>
    <row r="11664" spans="1:8" ht="15" customHeight="1">
      <c r="A11664" s="26">
        <v>1052392546</v>
      </c>
      <c r="B11664" s="29" t="s">
        <v>13875</v>
      </c>
      <c r="C11664" s="26" t="s">
        <v>27474</v>
      </c>
      <c r="D11664" s="26" t="s">
        <v>40961</v>
      </c>
      <c r="E11664" s="26" t="s">
        <v>43926</v>
      </c>
      <c r="F11664" s="37" t="s">
        <v>54401</v>
      </c>
      <c r="G11664" s="39">
        <v>3454885</v>
      </c>
      <c r="H11664" s="42">
        <v>211</v>
      </c>
    </row>
    <row r="11665" spans="1:8" ht="15" customHeight="1">
      <c r="A11665" s="26">
        <v>1052392569</v>
      </c>
      <c r="B11665" s="29" t="s">
        <v>13876</v>
      </c>
      <c r="C11665" s="29" t="s">
        <v>27475</v>
      </c>
      <c r="D11665" s="29" t="s">
        <v>40962</v>
      </c>
      <c r="E11665" s="29" t="s">
        <v>52429</v>
      </c>
      <c r="F11665" s="36" t="s">
        <v>54401</v>
      </c>
      <c r="G11665" s="39">
        <v>4614171</v>
      </c>
      <c r="H11665" s="42">
        <v>211</v>
      </c>
    </row>
    <row r="11666" spans="1:8" ht="15" customHeight="1">
      <c r="A11666" s="26">
        <v>1052392579</v>
      </c>
      <c r="B11666" s="29" t="s">
        <v>13877</v>
      </c>
      <c r="C11666" s="26" t="s">
        <v>27476</v>
      </c>
      <c r="D11666" s="26" t="s">
        <v>40963</v>
      </c>
      <c r="E11666" s="26" t="s">
        <v>43926</v>
      </c>
      <c r="F11666" s="37" t="s">
        <v>54401</v>
      </c>
      <c r="G11666" s="39">
        <v>65554.62</v>
      </c>
      <c r="H11666" s="42">
        <v>211</v>
      </c>
    </row>
    <row r="11667" spans="1:8" ht="15" customHeight="1">
      <c r="A11667" s="26">
        <v>1052392581</v>
      </c>
      <c r="B11667" s="29" t="s">
        <v>13878</v>
      </c>
      <c r="C11667" s="29" t="s">
        <v>27477</v>
      </c>
      <c r="D11667" s="29" t="s">
        <v>40964</v>
      </c>
      <c r="E11667" s="29" t="s">
        <v>52430</v>
      </c>
      <c r="F11667" s="36" t="s">
        <v>54401</v>
      </c>
      <c r="G11667" s="39">
        <v>3446125.04</v>
      </c>
      <c r="H11667" s="42">
        <v>211</v>
      </c>
    </row>
    <row r="11668" spans="1:8" ht="15" customHeight="1">
      <c r="A11668" s="26">
        <v>1052392602</v>
      </c>
      <c r="B11668" s="29" t="s">
        <v>13879</v>
      </c>
      <c r="C11668" s="26" t="s">
        <v>27478</v>
      </c>
      <c r="D11668" s="26" t="s">
        <v>40965</v>
      </c>
      <c r="E11668" s="26" t="s">
        <v>52431</v>
      </c>
      <c r="F11668" s="37" t="s">
        <v>54401</v>
      </c>
      <c r="G11668" s="39">
        <v>43237.86</v>
      </c>
      <c r="H11668" s="42">
        <v>211</v>
      </c>
    </row>
    <row r="11669" spans="1:8" ht="15" customHeight="1">
      <c r="A11669" s="26">
        <v>1052392614</v>
      </c>
      <c r="B11669" s="29" t="s">
        <v>13880</v>
      </c>
      <c r="C11669" s="29" t="s">
        <v>27479</v>
      </c>
      <c r="D11669" s="29" t="s">
        <v>40966</v>
      </c>
      <c r="E11669" s="29" t="s">
        <v>49490</v>
      </c>
      <c r="F11669" s="36" t="s">
        <v>54401</v>
      </c>
      <c r="G11669" s="39">
        <v>329282.19</v>
      </c>
      <c r="H11669" s="42">
        <v>211</v>
      </c>
    </row>
    <row r="11670" spans="1:8" ht="15" customHeight="1">
      <c r="A11670" s="26">
        <v>1052392621</v>
      </c>
      <c r="B11670" s="29" t="s">
        <v>13881</v>
      </c>
      <c r="C11670" s="29" t="s">
        <v>27480</v>
      </c>
      <c r="D11670" s="29" t="s">
        <v>40967</v>
      </c>
      <c r="E11670" s="29" t="s">
        <v>45967</v>
      </c>
      <c r="F11670" s="36" t="s">
        <v>54401</v>
      </c>
      <c r="G11670" s="39">
        <v>2442696</v>
      </c>
      <c r="H11670" s="42">
        <v>211</v>
      </c>
    </row>
    <row r="11671" spans="1:8" ht="15" customHeight="1">
      <c r="A11671" s="26">
        <v>1052392635</v>
      </c>
      <c r="B11671" s="29" t="s">
        <v>13882</v>
      </c>
      <c r="C11671" s="29" t="s">
        <v>27481</v>
      </c>
      <c r="D11671" s="29" t="s">
        <v>40968</v>
      </c>
      <c r="E11671" s="29" t="s">
        <v>44973</v>
      </c>
      <c r="F11671" s="36" t="s">
        <v>54401</v>
      </c>
      <c r="G11671" s="39">
        <v>517097.38</v>
      </c>
      <c r="H11671" s="42">
        <v>211</v>
      </c>
    </row>
    <row r="11672" spans="1:8" ht="15" customHeight="1">
      <c r="A11672" s="26">
        <v>1052392636</v>
      </c>
      <c r="B11672" s="29" t="s">
        <v>13883</v>
      </c>
      <c r="C11672" s="29" t="s">
        <v>27482</v>
      </c>
      <c r="D11672" s="29" t="s">
        <v>40969</v>
      </c>
      <c r="E11672" s="29" t="s">
        <v>52432</v>
      </c>
      <c r="F11672" s="36" t="s">
        <v>54401</v>
      </c>
      <c r="G11672" s="39">
        <v>5315240.9400000004</v>
      </c>
      <c r="H11672" s="42">
        <v>211</v>
      </c>
    </row>
    <row r="11673" spans="1:8" ht="15" customHeight="1">
      <c r="A11673" s="26">
        <v>1052392639</v>
      </c>
      <c r="B11673" s="29" t="s">
        <v>13884</v>
      </c>
      <c r="C11673" s="29" t="s">
        <v>27483</v>
      </c>
      <c r="D11673" s="29" t="s">
        <v>40970</v>
      </c>
      <c r="E11673" s="29" t="s">
        <v>52433</v>
      </c>
      <c r="F11673" s="36" t="s">
        <v>54401</v>
      </c>
      <c r="G11673" s="39">
        <v>696334.16</v>
      </c>
      <c r="H11673" s="42">
        <v>211</v>
      </c>
    </row>
    <row r="11674" spans="1:8" ht="15" customHeight="1">
      <c r="A11674" s="26">
        <v>1052392663</v>
      </c>
      <c r="B11674" s="29" t="s">
        <v>13885</v>
      </c>
      <c r="C11674" s="29" t="s">
        <v>27484</v>
      </c>
      <c r="D11674" s="29" t="s">
        <v>40971</v>
      </c>
      <c r="E11674" s="29" t="s">
        <v>52434</v>
      </c>
      <c r="F11674" s="36" t="s">
        <v>54401</v>
      </c>
      <c r="G11674" s="39">
        <v>443742.09</v>
      </c>
      <c r="H11674" s="42">
        <v>211</v>
      </c>
    </row>
    <row r="11675" spans="1:8" ht="15" customHeight="1">
      <c r="A11675" s="26">
        <v>1052392670</v>
      </c>
      <c r="B11675" s="29" t="s">
        <v>13886</v>
      </c>
      <c r="C11675" s="29" t="s">
        <v>27485</v>
      </c>
      <c r="D11675" s="29" t="s">
        <v>40972</v>
      </c>
      <c r="E11675" s="29" t="s">
        <v>52435</v>
      </c>
      <c r="F11675" s="36" t="s">
        <v>54401</v>
      </c>
      <c r="G11675" s="39">
        <v>4137281.28</v>
      </c>
      <c r="H11675" s="42">
        <v>211</v>
      </c>
    </row>
    <row r="11676" spans="1:8" ht="15" customHeight="1">
      <c r="A11676" s="26">
        <v>1052392674</v>
      </c>
      <c r="B11676" s="29" t="s">
        <v>13887</v>
      </c>
      <c r="C11676" s="29" t="s">
        <v>27486</v>
      </c>
      <c r="D11676" s="29" t="s">
        <v>40973</v>
      </c>
      <c r="E11676" s="29" t="s">
        <v>52436</v>
      </c>
      <c r="F11676" s="36" t="s">
        <v>54401</v>
      </c>
      <c r="G11676" s="39">
        <v>798281.23</v>
      </c>
      <c r="H11676" s="42">
        <v>211</v>
      </c>
    </row>
    <row r="11677" spans="1:8" ht="15" customHeight="1">
      <c r="A11677" s="26">
        <v>1052392690</v>
      </c>
      <c r="B11677" s="29" t="s">
        <v>13888</v>
      </c>
      <c r="C11677" s="26" t="s">
        <v>27487</v>
      </c>
      <c r="D11677" s="26" t="s">
        <v>40974</v>
      </c>
      <c r="E11677" s="26" t="s">
        <v>52437</v>
      </c>
      <c r="F11677" s="37" t="s">
        <v>54401</v>
      </c>
      <c r="G11677" s="39">
        <v>4519958.83</v>
      </c>
      <c r="H11677" s="42">
        <v>211</v>
      </c>
    </row>
    <row r="11678" spans="1:8" ht="15" customHeight="1">
      <c r="A11678" s="26">
        <v>1052392692</v>
      </c>
      <c r="B11678" s="29" t="s">
        <v>13889</v>
      </c>
      <c r="C11678" s="29" t="s">
        <v>27488</v>
      </c>
      <c r="D11678" s="29" t="s">
        <v>30376</v>
      </c>
      <c r="E11678" s="29" t="s">
        <v>43928</v>
      </c>
      <c r="F11678" s="36" t="s">
        <v>54401</v>
      </c>
      <c r="G11678" s="39">
        <v>2118226.59</v>
      </c>
      <c r="H11678" s="42">
        <v>211</v>
      </c>
    </row>
    <row r="11679" spans="1:8" ht="15" customHeight="1">
      <c r="A11679" s="26">
        <v>1052392693</v>
      </c>
      <c r="B11679" s="29" t="s">
        <v>13890</v>
      </c>
      <c r="C11679" s="29" t="s">
        <v>27489</v>
      </c>
      <c r="D11679" s="29" t="s">
        <v>40975</v>
      </c>
      <c r="E11679" s="29" t="s">
        <v>46768</v>
      </c>
      <c r="F11679" s="36" t="s">
        <v>54401</v>
      </c>
      <c r="G11679" s="39">
        <v>6918847.54</v>
      </c>
      <c r="H11679" s="42">
        <v>211</v>
      </c>
    </row>
    <row r="11680" spans="1:8" ht="15" customHeight="1">
      <c r="A11680" s="26">
        <v>1052392697</v>
      </c>
      <c r="B11680" s="29" t="s">
        <v>13891</v>
      </c>
      <c r="C11680" s="29" t="s">
        <v>27490</v>
      </c>
      <c r="D11680" s="29" t="s">
        <v>40976</v>
      </c>
      <c r="E11680" s="29" t="s">
        <v>52438</v>
      </c>
      <c r="F11680" s="36" t="s">
        <v>54401</v>
      </c>
      <c r="G11680" s="39">
        <v>2541958.15</v>
      </c>
      <c r="H11680" s="42">
        <v>211</v>
      </c>
    </row>
    <row r="11681" spans="1:8" ht="15" customHeight="1">
      <c r="A11681" s="26">
        <v>1052392699</v>
      </c>
      <c r="B11681" s="29" t="s">
        <v>13892</v>
      </c>
      <c r="C11681" s="29" t="s">
        <v>17204</v>
      </c>
      <c r="D11681" s="29" t="s">
        <v>30349</v>
      </c>
      <c r="E11681" s="29" t="s">
        <v>43926</v>
      </c>
      <c r="F11681" s="36" t="s">
        <v>54401</v>
      </c>
      <c r="G11681" s="39">
        <v>21882.35</v>
      </c>
      <c r="H11681" s="42">
        <v>211</v>
      </c>
    </row>
    <row r="11682" spans="1:8" ht="15" customHeight="1">
      <c r="A11682" s="26">
        <v>1052392731</v>
      </c>
      <c r="B11682" s="29" t="s">
        <v>13893</v>
      </c>
      <c r="C11682" s="29" t="s">
        <v>27491</v>
      </c>
      <c r="D11682" s="29" t="s">
        <v>40977</v>
      </c>
      <c r="E11682" s="29" t="s">
        <v>52439</v>
      </c>
      <c r="F11682" s="36" t="s">
        <v>54401</v>
      </c>
      <c r="G11682" s="39">
        <v>4702182</v>
      </c>
      <c r="H11682" s="42">
        <v>211</v>
      </c>
    </row>
    <row r="11683" spans="1:8" ht="15" customHeight="1">
      <c r="A11683" s="26">
        <v>1052392761</v>
      </c>
      <c r="B11683" s="29" t="s">
        <v>13894</v>
      </c>
      <c r="C11683" s="29" t="s">
        <v>17204</v>
      </c>
      <c r="D11683" s="29" t="s">
        <v>40978</v>
      </c>
      <c r="E11683" s="29" t="s">
        <v>43926</v>
      </c>
      <c r="F11683" s="36" t="s">
        <v>54401</v>
      </c>
      <c r="G11683" s="39">
        <v>68006.59</v>
      </c>
      <c r="H11683" s="42">
        <v>211</v>
      </c>
    </row>
    <row r="11684" spans="1:8" ht="15" customHeight="1">
      <c r="A11684" s="26">
        <v>1052392771</v>
      </c>
      <c r="B11684" s="29" t="s">
        <v>13895</v>
      </c>
      <c r="C11684" s="29" t="s">
        <v>17204</v>
      </c>
      <c r="D11684" s="29" t="s">
        <v>40979</v>
      </c>
      <c r="E11684" s="29" t="s">
        <v>43926</v>
      </c>
      <c r="F11684" s="36" t="s">
        <v>54401</v>
      </c>
      <c r="G11684" s="39">
        <v>186954.68</v>
      </c>
      <c r="H11684" s="42">
        <v>211</v>
      </c>
    </row>
    <row r="11685" spans="1:8" ht="15" customHeight="1">
      <c r="A11685" s="26">
        <v>1052392772</v>
      </c>
      <c r="B11685" s="29" t="s">
        <v>13896</v>
      </c>
      <c r="C11685" s="29" t="s">
        <v>27492</v>
      </c>
      <c r="D11685" s="29" t="s">
        <v>40980</v>
      </c>
      <c r="E11685" s="29" t="s">
        <v>43926</v>
      </c>
      <c r="F11685" s="36" t="s">
        <v>54401</v>
      </c>
      <c r="G11685" s="39">
        <v>164224.82</v>
      </c>
      <c r="H11685" s="42">
        <v>211</v>
      </c>
    </row>
    <row r="11686" spans="1:8" ht="15" customHeight="1">
      <c r="A11686" s="26">
        <v>1052392777</v>
      </c>
      <c r="B11686" s="29" t="s">
        <v>13897</v>
      </c>
      <c r="C11686" s="29" t="s">
        <v>27493</v>
      </c>
      <c r="D11686" s="29" t="s">
        <v>40981</v>
      </c>
      <c r="E11686" s="29" t="s">
        <v>52440</v>
      </c>
      <c r="F11686" s="36" t="s">
        <v>54401</v>
      </c>
      <c r="G11686" s="39">
        <v>1769731.35</v>
      </c>
      <c r="H11686" s="42">
        <v>211</v>
      </c>
    </row>
    <row r="11687" spans="1:8" ht="15" customHeight="1">
      <c r="A11687" s="26">
        <v>1052392783</v>
      </c>
      <c r="B11687" s="29" t="s">
        <v>13898</v>
      </c>
      <c r="C11687" s="29" t="s">
        <v>27494</v>
      </c>
      <c r="D11687" s="29" t="s">
        <v>40982</v>
      </c>
      <c r="E11687" s="29" t="s">
        <v>52441</v>
      </c>
      <c r="F11687" s="36" t="s">
        <v>54401</v>
      </c>
      <c r="G11687" s="39">
        <v>162647.21</v>
      </c>
      <c r="H11687" s="42">
        <v>211</v>
      </c>
    </row>
    <row r="11688" spans="1:8" ht="15" customHeight="1">
      <c r="A11688" s="26">
        <v>1052392810</v>
      </c>
      <c r="B11688" s="29" t="s">
        <v>13899</v>
      </c>
      <c r="C11688" s="29" t="s">
        <v>27495</v>
      </c>
      <c r="D11688" s="29" t="s">
        <v>40983</v>
      </c>
      <c r="E11688" s="29" t="s">
        <v>52442</v>
      </c>
      <c r="F11688" s="36" t="s">
        <v>54401</v>
      </c>
      <c r="G11688" s="39">
        <v>405971.84</v>
      </c>
      <c r="H11688" s="42">
        <v>211</v>
      </c>
    </row>
    <row r="11689" spans="1:8" ht="15" customHeight="1">
      <c r="A11689" s="26">
        <v>1052392816</v>
      </c>
      <c r="B11689" s="29" t="s">
        <v>13900</v>
      </c>
      <c r="C11689" s="29" t="s">
        <v>27496</v>
      </c>
      <c r="D11689" s="29" t="s">
        <v>40984</v>
      </c>
      <c r="E11689" s="29" t="s">
        <v>52369</v>
      </c>
      <c r="F11689" s="36" t="s">
        <v>54401</v>
      </c>
      <c r="G11689" s="39">
        <v>1361968.56</v>
      </c>
      <c r="H11689" s="42">
        <v>211</v>
      </c>
    </row>
    <row r="11690" spans="1:8" ht="15" customHeight="1">
      <c r="A11690" s="26">
        <v>1052392831</v>
      </c>
      <c r="B11690" s="29" t="s">
        <v>13901</v>
      </c>
      <c r="C11690" s="29" t="s">
        <v>27497</v>
      </c>
      <c r="D11690" s="29" t="s">
        <v>40985</v>
      </c>
      <c r="E11690" s="29" t="s">
        <v>52443</v>
      </c>
      <c r="F11690" s="36" t="s">
        <v>54401</v>
      </c>
      <c r="G11690" s="39">
        <v>86076.81</v>
      </c>
      <c r="H11690" s="42">
        <v>211</v>
      </c>
    </row>
    <row r="11691" spans="1:8" ht="15" customHeight="1">
      <c r="A11691" s="26">
        <v>1052392838</v>
      </c>
      <c r="B11691" s="29" t="s">
        <v>13902</v>
      </c>
      <c r="C11691" s="26" t="s">
        <v>27498</v>
      </c>
      <c r="D11691" s="26" t="s">
        <v>40986</v>
      </c>
      <c r="E11691" s="26" t="s">
        <v>52444</v>
      </c>
      <c r="F11691" s="37" t="s">
        <v>54401</v>
      </c>
      <c r="G11691" s="39">
        <v>42215.12</v>
      </c>
      <c r="H11691" s="42">
        <v>211</v>
      </c>
    </row>
    <row r="11692" spans="1:8" ht="15" customHeight="1">
      <c r="A11692" s="26">
        <v>1052392852</v>
      </c>
      <c r="B11692" s="29" t="s">
        <v>13903</v>
      </c>
      <c r="C11692" s="29" t="s">
        <v>27499</v>
      </c>
      <c r="D11692" s="29" t="s">
        <v>40987</v>
      </c>
      <c r="E11692" s="29" t="s">
        <v>49735</v>
      </c>
      <c r="F11692" s="36" t="s">
        <v>54401</v>
      </c>
      <c r="G11692" s="39">
        <v>3283191.02</v>
      </c>
      <c r="H11692" s="42">
        <v>211</v>
      </c>
    </row>
    <row r="11693" spans="1:8" ht="15" customHeight="1">
      <c r="A11693" s="26">
        <v>1052392854</v>
      </c>
      <c r="B11693" s="29" t="s">
        <v>13904</v>
      </c>
      <c r="C11693" s="29" t="s">
        <v>27500</v>
      </c>
      <c r="D11693" s="29" t="s">
        <v>40988</v>
      </c>
      <c r="E11693" s="29" t="s">
        <v>43926</v>
      </c>
      <c r="F11693" s="36" t="s">
        <v>54401</v>
      </c>
      <c r="G11693" s="39">
        <v>1099263.0900000001</v>
      </c>
      <c r="H11693" s="42">
        <v>211</v>
      </c>
    </row>
    <row r="11694" spans="1:8" ht="15" customHeight="1">
      <c r="A11694" s="26">
        <v>1052392855</v>
      </c>
      <c r="B11694" s="29" t="s">
        <v>13905</v>
      </c>
      <c r="C11694" s="29" t="s">
        <v>27501</v>
      </c>
      <c r="D11694" s="29" t="s">
        <v>40989</v>
      </c>
      <c r="E11694" s="29" t="s">
        <v>52445</v>
      </c>
      <c r="F11694" s="36" t="s">
        <v>54401</v>
      </c>
      <c r="G11694" s="39">
        <v>538474.23</v>
      </c>
      <c r="H11694" s="42">
        <v>211</v>
      </c>
    </row>
    <row r="11695" spans="1:8" ht="15" customHeight="1">
      <c r="A11695" s="26">
        <v>1052392868</v>
      </c>
      <c r="B11695" s="29" t="s">
        <v>13906</v>
      </c>
      <c r="C11695" s="29" t="s">
        <v>27502</v>
      </c>
      <c r="D11695" s="29" t="s">
        <v>40990</v>
      </c>
      <c r="E11695" s="29" t="s">
        <v>52446</v>
      </c>
      <c r="F11695" s="36" t="s">
        <v>54401</v>
      </c>
      <c r="G11695" s="39">
        <v>447673.08</v>
      </c>
      <c r="H11695" s="42">
        <v>211</v>
      </c>
    </row>
    <row r="11696" spans="1:8" ht="15" customHeight="1">
      <c r="A11696" s="26">
        <v>1052392882</v>
      </c>
      <c r="B11696" s="29" t="s">
        <v>13907</v>
      </c>
      <c r="C11696" s="29" t="s">
        <v>27503</v>
      </c>
      <c r="D11696" s="29" t="s">
        <v>40991</v>
      </c>
      <c r="E11696" s="29" t="s">
        <v>43926</v>
      </c>
      <c r="F11696" s="36" t="s">
        <v>54401</v>
      </c>
      <c r="G11696" s="39">
        <v>419750.67</v>
      </c>
      <c r="H11696" s="42">
        <v>211</v>
      </c>
    </row>
    <row r="11697" spans="1:8" ht="15" customHeight="1">
      <c r="A11697" s="26">
        <v>1052392884</v>
      </c>
      <c r="B11697" s="29" t="s">
        <v>13908</v>
      </c>
      <c r="C11697" s="29" t="s">
        <v>27504</v>
      </c>
      <c r="D11697" s="29" t="s">
        <v>40992</v>
      </c>
      <c r="E11697" s="29" t="s">
        <v>52447</v>
      </c>
      <c r="F11697" s="36" t="s">
        <v>54401</v>
      </c>
      <c r="G11697" s="39">
        <v>3928758</v>
      </c>
      <c r="H11697" s="42">
        <v>211</v>
      </c>
    </row>
    <row r="11698" spans="1:8" ht="15" customHeight="1">
      <c r="A11698" s="26">
        <v>1052392885</v>
      </c>
      <c r="B11698" s="29" t="s">
        <v>13909</v>
      </c>
      <c r="C11698" s="26" t="s">
        <v>27505</v>
      </c>
      <c r="D11698" s="26" t="s">
        <v>40993</v>
      </c>
      <c r="E11698" s="26" t="s">
        <v>52448</v>
      </c>
      <c r="F11698" s="37" t="s">
        <v>54401</v>
      </c>
      <c r="G11698" s="39">
        <v>293742.64</v>
      </c>
      <c r="H11698" s="42">
        <v>211</v>
      </c>
    </row>
    <row r="11699" spans="1:8" ht="15" customHeight="1">
      <c r="A11699" s="26">
        <v>1052392894</v>
      </c>
      <c r="B11699" s="29" t="s">
        <v>13910</v>
      </c>
      <c r="C11699" s="29" t="s">
        <v>27506</v>
      </c>
      <c r="D11699" s="29" t="s">
        <v>40994</v>
      </c>
      <c r="E11699" s="29" t="s">
        <v>52449</v>
      </c>
      <c r="F11699" s="36" t="s">
        <v>54401</v>
      </c>
      <c r="G11699" s="39">
        <v>706114.72</v>
      </c>
      <c r="H11699" s="42">
        <v>211</v>
      </c>
    </row>
    <row r="11700" spans="1:8" ht="15" customHeight="1">
      <c r="A11700" s="26">
        <v>1052392896</v>
      </c>
      <c r="B11700" s="29" t="s">
        <v>13911</v>
      </c>
      <c r="C11700" s="29" t="s">
        <v>27507</v>
      </c>
      <c r="D11700" s="29" t="s">
        <v>40995</v>
      </c>
      <c r="E11700" s="29" t="s">
        <v>52450</v>
      </c>
      <c r="F11700" s="36" t="s">
        <v>54401</v>
      </c>
      <c r="G11700" s="39">
        <v>352803.19</v>
      </c>
      <c r="H11700" s="42">
        <v>211</v>
      </c>
    </row>
    <row r="11701" spans="1:8" ht="15" customHeight="1">
      <c r="A11701" s="26">
        <v>1052392897</v>
      </c>
      <c r="B11701" s="29" t="s">
        <v>13912</v>
      </c>
      <c r="C11701" s="29" t="s">
        <v>27508</v>
      </c>
      <c r="D11701" s="29" t="s">
        <v>40996</v>
      </c>
      <c r="E11701" s="29" t="s">
        <v>52451</v>
      </c>
      <c r="F11701" s="36" t="s">
        <v>54401</v>
      </c>
      <c r="G11701" s="39">
        <v>1920321.02</v>
      </c>
      <c r="H11701" s="42">
        <v>211</v>
      </c>
    </row>
    <row r="11702" spans="1:8" ht="15" customHeight="1">
      <c r="A11702" s="26">
        <v>1052392929</v>
      </c>
      <c r="B11702" s="29" t="s">
        <v>13913</v>
      </c>
      <c r="C11702" s="29" t="s">
        <v>27509</v>
      </c>
      <c r="D11702" s="29" t="s">
        <v>40997</v>
      </c>
      <c r="E11702" s="29" t="s">
        <v>52452</v>
      </c>
      <c r="F11702" s="36" t="s">
        <v>54401</v>
      </c>
      <c r="G11702" s="39">
        <v>668920.41</v>
      </c>
      <c r="H11702" s="42">
        <v>211</v>
      </c>
    </row>
    <row r="11703" spans="1:8" ht="15" customHeight="1">
      <c r="A11703" s="26">
        <v>1052392944</v>
      </c>
      <c r="B11703" s="29" t="s">
        <v>13914</v>
      </c>
      <c r="C11703" s="29" t="s">
        <v>27510</v>
      </c>
      <c r="D11703" s="29" t="s">
        <v>40998</v>
      </c>
      <c r="E11703" s="29" t="s">
        <v>45953</v>
      </c>
      <c r="F11703" s="36" t="s">
        <v>54401</v>
      </c>
      <c r="G11703" s="39">
        <v>3941909.99</v>
      </c>
      <c r="H11703" s="42">
        <v>211</v>
      </c>
    </row>
    <row r="11704" spans="1:8" ht="15" customHeight="1">
      <c r="A11704" s="26">
        <v>1052392946</v>
      </c>
      <c r="B11704" s="29" t="s">
        <v>13915</v>
      </c>
      <c r="C11704" s="26" t="s">
        <v>17204</v>
      </c>
      <c r="D11704" s="26" t="s">
        <v>30349</v>
      </c>
      <c r="E11704" s="26" t="s">
        <v>43926</v>
      </c>
      <c r="F11704" s="37" t="s">
        <v>54401</v>
      </c>
      <c r="G11704" s="39">
        <v>336833.52</v>
      </c>
      <c r="H11704" s="42">
        <v>211</v>
      </c>
    </row>
    <row r="11705" spans="1:8" ht="15" customHeight="1">
      <c r="A11705" s="26">
        <v>1052392947</v>
      </c>
      <c r="B11705" s="29" t="s">
        <v>13916</v>
      </c>
      <c r="C11705" s="29" t="s">
        <v>27511</v>
      </c>
      <c r="D11705" s="29" t="s">
        <v>40999</v>
      </c>
      <c r="E11705" s="29" t="s">
        <v>52453</v>
      </c>
      <c r="F11705" s="36" t="s">
        <v>54401</v>
      </c>
      <c r="G11705" s="39">
        <v>791850.7</v>
      </c>
      <c r="H11705" s="42">
        <v>211</v>
      </c>
    </row>
    <row r="11706" spans="1:8" ht="15" customHeight="1">
      <c r="A11706" s="26">
        <v>1052392954</v>
      </c>
      <c r="B11706" s="29" t="s">
        <v>13917</v>
      </c>
      <c r="C11706" s="29" t="s">
        <v>27512</v>
      </c>
      <c r="D11706" s="29" t="s">
        <v>41000</v>
      </c>
      <c r="E11706" s="29" t="s">
        <v>52454</v>
      </c>
      <c r="F11706" s="36" t="s">
        <v>54401</v>
      </c>
      <c r="G11706" s="39">
        <v>412929.21</v>
      </c>
      <c r="H11706" s="42">
        <v>211</v>
      </c>
    </row>
    <row r="11707" spans="1:8" ht="15" customHeight="1">
      <c r="A11707" s="26">
        <v>1052392958</v>
      </c>
      <c r="B11707" s="29" t="s">
        <v>13918</v>
      </c>
      <c r="C11707" s="29" t="s">
        <v>27513</v>
      </c>
      <c r="D11707" s="29" t="s">
        <v>41001</v>
      </c>
      <c r="E11707" s="29" t="s">
        <v>46209</v>
      </c>
      <c r="F11707" s="36" t="s">
        <v>54401</v>
      </c>
      <c r="G11707" s="39">
        <v>2592897.64</v>
      </c>
      <c r="H11707" s="42">
        <v>211</v>
      </c>
    </row>
    <row r="11708" spans="1:8" ht="15" customHeight="1">
      <c r="A11708" s="26">
        <v>1052392965</v>
      </c>
      <c r="B11708" s="29" t="s">
        <v>13919</v>
      </c>
      <c r="C11708" s="29" t="s">
        <v>25375</v>
      </c>
      <c r="D11708" s="29" t="s">
        <v>41002</v>
      </c>
      <c r="E11708" s="29" t="s">
        <v>52455</v>
      </c>
      <c r="F11708" s="36" t="s">
        <v>54401</v>
      </c>
      <c r="G11708" s="39">
        <v>306367.76</v>
      </c>
      <c r="H11708" s="42">
        <v>211</v>
      </c>
    </row>
    <row r="11709" spans="1:8" ht="15" customHeight="1">
      <c r="A11709" s="26">
        <v>1052392967</v>
      </c>
      <c r="B11709" s="29" t="s">
        <v>13920</v>
      </c>
      <c r="C11709" s="29" t="s">
        <v>27514</v>
      </c>
      <c r="D11709" s="29" t="s">
        <v>41003</v>
      </c>
      <c r="E11709" s="29" t="s">
        <v>52456</v>
      </c>
      <c r="F11709" s="36" t="s">
        <v>54401</v>
      </c>
      <c r="G11709" s="39">
        <v>1072636.97</v>
      </c>
      <c r="H11709" s="42">
        <v>211</v>
      </c>
    </row>
    <row r="11710" spans="1:8" ht="15" customHeight="1">
      <c r="A11710" s="26">
        <v>1052392988</v>
      </c>
      <c r="B11710" s="29" t="s">
        <v>13921</v>
      </c>
      <c r="C11710" s="29" t="s">
        <v>27515</v>
      </c>
      <c r="D11710" s="29" t="s">
        <v>41004</v>
      </c>
      <c r="E11710" s="29" t="s">
        <v>52457</v>
      </c>
      <c r="F11710" s="36" t="s">
        <v>54401</v>
      </c>
      <c r="G11710" s="39">
        <v>37250.42</v>
      </c>
      <c r="H11710" s="42">
        <v>211</v>
      </c>
    </row>
    <row r="11711" spans="1:8" ht="15" customHeight="1">
      <c r="A11711" s="26">
        <v>1052392993</v>
      </c>
      <c r="B11711" s="29" t="s">
        <v>13922</v>
      </c>
      <c r="C11711" s="26" t="s">
        <v>27516</v>
      </c>
      <c r="D11711" s="26" t="s">
        <v>41005</v>
      </c>
      <c r="E11711" s="26" t="s">
        <v>52458</v>
      </c>
      <c r="F11711" s="37" t="s">
        <v>54401</v>
      </c>
      <c r="G11711" s="39">
        <v>138552.29</v>
      </c>
      <c r="H11711" s="42">
        <v>211</v>
      </c>
    </row>
    <row r="11712" spans="1:8" ht="15" customHeight="1">
      <c r="A11712" s="26">
        <v>1052393003</v>
      </c>
      <c r="B11712" s="29" t="s">
        <v>13923</v>
      </c>
      <c r="C11712" s="26" t="s">
        <v>27517</v>
      </c>
      <c r="D11712" s="26" t="s">
        <v>41006</v>
      </c>
      <c r="E11712" s="26" t="s">
        <v>52459</v>
      </c>
      <c r="F11712" s="37" t="s">
        <v>54401</v>
      </c>
      <c r="G11712" s="39">
        <v>3185577.37</v>
      </c>
      <c r="H11712" s="42">
        <v>211</v>
      </c>
    </row>
    <row r="11713" spans="1:8" ht="15" customHeight="1">
      <c r="A11713" s="26">
        <v>1052393007</v>
      </c>
      <c r="B11713" s="29" t="s">
        <v>13924</v>
      </c>
      <c r="C11713" s="29" t="s">
        <v>27518</v>
      </c>
      <c r="D11713" s="29" t="s">
        <v>41007</v>
      </c>
      <c r="E11713" s="29" t="s">
        <v>43926</v>
      </c>
      <c r="F11713" s="36" t="s">
        <v>54401</v>
      </c>
      <c r="G11713" s="39">
        <v>388390.5</v>
      </c>
      <c r="H11713" s="42">
        <v>211</v>
      </c>
    </row>
    <row r="11714" spans="1:8" ht="15" customHeight="1">
      <c r="A11714" s="26">
        <v>1052393021</v>
      </c>
      <c r="B11714" s="29" t="s">
        <v>13925</v>
      </c>
      <c r="C11714" s="26" t="s">
        <v>27519</v>
      </c>
      <c r="D11714" s="26" t="s">
        <v>41008</v>
      </c>
      <c r="E11714" s="26" t="s">
        <v>52460</v>
      </c>
      <c r="F11714" s="37" t="s">
        <v>54401</v>
      </c>
      <c r="G11714" s="39">
        <v>1006943.29</v>
      </c>
      <c r="H11714" s="42">
        <v>211</v>
      </c>
    </row>
    <row r="11715" spans="1:8" ht="15" customHeight="1">
      <c r="A11715" s="26">
        <v>1052393022</v>
      </c>
      <c r="B11715" s="29" t="s">
        <v>13926</v>
      </c>
      <c r="C11715" s="26" t="s">
        <v>27166</v>
      </c>
      <c r="D11715" s="26" t="s">
        <v>41009</v>
      </c>
      <c r="E11715" s="26" t="s">
        <v>52202</v>
      </c>
      <c r="F11715" s="37" t="s">
        <v>54401</v>
      </c>
      <c r="G11715" s="39">
        <v>957912.66</v>
      </c>
      <c r="H11715" s="42">
        <v>211</v>
      </c>
    </row>
    <row r="11716" spans="1:8" ht="15" customHeight="1">
      <c r="A11716" s="26">
        <v>1052393032</v>
      </c>
      <c r="B11716" s="29" t="s">
        <v>13927</v>
      </c>
      <c r="C11716" s="29" t="s">
        <v>27520</v>
      </c>
      <c r="D11716" s="29" t="s">
        <v>41010</v>
      </c>
      <c r="E11716" s="29" t="s">
        <v>44853</v>
      </c>
      <c r="F11716" s="36" t="s">
        <v>54406</v>
      </c>
      <c r="G11716" s="39">
        <v>302470.95</v>
      </c>
      <c r="H11716" s="42">
        <v>211</v>
      </c>
    </row>
    <row r="11717" spans="1:8" ht="15" customHeight="1">
      <c r="A11717" s="26">
        <v>1052393041</v>
      </c>
      <c r="B11717" s="29" t="s">
        <v>13928</v>
      </c>
      <c r="C11717" s="29" t="s">
        <v>27521</v>
      </c>
      <c r="D11717" s="29" t="s">
        <v>41011</v>
      </c>
      <c r="E11717" s="29" t="s">
        <v>43926</v>
      </c>
      <c r="F11717" s="36" t="s">
        <v>54401</v>
      </c>
      <c r="G11717" s="39">
        <v>114314.7</v>
      </c>
      <c r="H11717" s="42">
        <v>211</v>
      </c>
    </row>
    <row r="11718" spans="1:8" ht="15" customHeight="1">
      <c r="A11718" s="26">
        <v>1052393053</v>
      </c>
      <c r="B11718" s="29" t="s">
        <v>13929</v>
      </c>
      <c r="C11718" s="29" t="s">
        <v>17204</v>
      </c>
      <c r="D11718" s="29" t="s">
        <v>41012</v>
      </c>
      <c r="E11718" s="29" t="s">
        <v>43926</v>
      </c>
      <c r="F11718" s="36" t="s">
        <v>54401</v>
      </c>
      <c r="G11718" s="39">
        <v>42512.62</v>
      </c>
      <c r="H11718" s="42">
        <v>211</v>
      </c>
    </row>
    <row r="11719" spans="1:8" ht="15" customHeight="1">
      <c r="A11719" s="26">
        <v>1052393092</v>
      </c>
      <c r="B11719" s="29" t="s">
        <v>13930</v>
      </c>
      <c r="C11719" s="29" t="s">
        <v>27522</v>
      </c>
      <c r="D11719" s="29" t="s">
        <v>37156</v>
      </c>
      <c r="E11719" s="29" t="s">
        <v>43941</v>
      </c>
      <c r="F11719" s="36" t="s">
        <v>54401</v>
      </c>
      <c r="G11719" s="39">
        <v>3344256</v>
      </c>
      <c r="H11719" s="42">
        <v>211</v>
      </c>
    </row>
    <row r="11720" spans="1:8" ht="15" customHeight="1">
      <c r="A11720" s="26">
        <v>1052393101</v>
      </c>
      <c r="B11720" s="29" t="s">
        <v>13931</v>
      </c>
      <c r="C11720" s="29" t="s">
        <v>27523</v>
      </c>
      <c r="D11720" s="29" t="s">
        <v>41013</v>
      </c>
      <c r="E11720" s="29" t="s">
        <v>52461</v>
      </c>
      <c r="F11720" s="36" t="s">
        <v>54401</v>
      </c>
      <c r="G11720" s="39">
        <v>2880085</v>
      </c>
      <c r="H11720" s="42">
        <v>211</v>
      </c>
    </row>
    <row r="11721" spans="1:8" ht="15" customHeight="1">
      <c r="A11721" s="26">
        <v>1052393115</v>
      </c>
      <c r="B11721" s="29" t="s">
        <v>13932</v>
      </c>
      <c r="C11721" s="29" t="s">
        <v>17204</v>
      </c>
      <c r="D11721" s="29" t="s">
        <v>30349</v>
      </c>
      <c r="E11721" s="29" t="s">
        <v>43926</v>
      </c>
      <c r="F11721" s="36" t="s">
        <v>54401</v>
      </c>
      <c r="G11721" s="39">
        <v>18731.09</v>
      </c>
      <c r="H11721" s="42">
        <v>211</v>
      </c>
    </row>
    <row r="11722" spans="1:8" ht="15" customHeight="1">
      <c r="A11722" s="26">
        <v>1052393118</v>
      </c>
      <c r="B11722" s="29" t="s">
        <v>13933</v>
      </c>
      <c r="C11722" s="29" t="s">
        <v>27524</v>
      </c>
      <c r="D11722" s="29" t="s">
        <v>41014</v>
      </c>
      <c r="E11722" s="29" t="s">
        <v>52462</v>
      </c>
      <c r="F11722" s="36" t="s">
        <v>54406</v>
      </c>
      <c r="G11722" s="39">
        <v>2244196.83</v>
      </c>
      <c r="H11722" s="42">
        <v>211</v>
      </c>
    </row>
    <row r="11723" spans="1:8" ht="15" customHeight="1">
      <c r="A11723" s="26">
        <v>1052393120</v>
      </c>
      <c r="B11723" s="29" t="s">
        <v>13934</v>
      </c>
      <c r="C11723" s="26" t="s">
        <v>27525</v>
      </c>
      <c r="D11723" s="26" t="s">
        <v>41015</v>
      </c>
      <c r="E11723" s="26" t="s">
        <v>52463</v>
      </c>
      <c r="F11723" s="37" t="s">
        <v>54401</v>
      </c>
      <c r="G11723" s="39">
        <v>4598838.05</v>
      </c>
      <c r="H11723" s="42">
        <v>211</v>
      </c>
    </row>
    <row r="11724" spans="1:8" ht="15" customHeight="1">
      <c r="A11724" s="26">
        <v>1052393138</v>
      </c>
      <c r="B11724" s="29" t="s">
        <v>13935</v>
      </c>
      <c r="C11724" s="29" t="s">
        <v>27526</v>
      </c>
      <c r="D11724" s="29" t="s">
        <v>41016</v>
      </c>
      <c r="E11724" s="29" t="s">
        <v>52464</v>
      </c>
      <c r="F11724" s="36" t="s">
        <v>54401</v>
      </c>
      <c r="G11724" s="39">
        <v>54684.59</v>
      </c>
      <c r="H11724" s="42">
        <v>211</v>
      </c>
    </row>
    <row r="11725" spans="1:8" ht="15" customHeight="1">
      <c r="A11725" s="26">
        <v>1052393150</v>
      </c>
      <c r="B11725" s="29" t="s">
        <v>13936</v>
      </c>
      <c r="C11725" s="26" t="s">
        <v>27527</v>
      </c>
      <c r="D11725" s="26" t="s">
        <v>41017</v>
      </c>
      <c r="E11725" s="26" t="s">
        <v>52465</v>
      </c>
      <c r="F11725" s="37" t="s">
        <v>54401</v>
      </c>
      <c r="G11725" s="39">
        <v>4348247.72</v>
      </c>
      <c r="H11725" s="42">
        <v>211</v>
      </c>
    </row>
    <row r="11726" spans="1:8" ht="15" customHeight="1">
      <c r="A11726" s="26">
        <v>1052393170</v>
      </c>
      <c r="B11726" s="29" t="s">
        <v>13937</v>
      </c>
      <c r="C11726" s="29" t="s">
        <v>27528</v>
      </c>
      <c r="D11726" s="29" t="s">
        <v>41018</v>
      </c>
      <c r="E11726" s="29" t="s">
        <v>52466</v>
      </c>
      <c r="F11726" s="36" t="s">
        <v>54401</v>
      </c>
      <c r="G11726" s="39">
        <v>4904227</v>
      </c>
      <c r="H11726" s="42">
        <v>211</v>
      </c>
    </row>
    <row r="11727" spans="1:8" ht="15" customHeight="1">
      <c r="A11727" s="26">
        <v>1052393175</v>
      </c>
      <c r="B11727" s="29" t="s">
        <v>13938</v>
      </c>
      <c r="C11727" s="29" t="s">
        <v>27529</v>
      </c>
      <c r="D11727" s="29" t="s">
        <v>41019</v>
      </c>
      <c r="E11727" s="29" t="s">
        <v>44404</v>
      </c>
      <c r="F11727" s="36" t="s">
        <v>54401</v>
      </c>
      <c r="G11727" s="39">
        <v>1151574.54</v>
      </c>
      <c r="H11727" s="42">
        <v>211</v>
      </c>
    </row>
    <row r="11728" spans="1:8" ht="15" customHeight="1">
      <c r="A11728" s="26">
        <v>1052393203</v>
      </c>
      <c r="B11728" s="29" t="s">
        <v>13939</v>
      </c>
      <c r="C11728" s="29" t="s">
        <v>27530</v>
      </c>
      <c r="D11728" s="29" t="s">
        <v>41020</v>
      </c>
      <c r="E11728" s="29" t="s">
        <v>47200</v>
      </c>
      <c r="F11728" s="36" t="s">
        <v>54401</v>
      </c>
      <c r="G11728" s="39">
        <v>181211.49</v>
      </c>
      <c r="H11728" s="42">
        <v>211</v>
      </c>
    </row>
    <row r="11729" spans="1:8" ht="15" customHeight="1">
      <c r="A11729" s="26">
        <v>1052393211</v>
      </c>
      <c r="B11729" s="29" t="s">
        <v>13940</v>
      </c>
      <c r="C11729" s="29" t="s">
        <v>27531</v>
      </c>
      <c r="D11729" s="29" t="s">
        <v>41021</v>
      </c>
      <c r="E11729" s="29" t="s">
        <v>52467</v>
      </c>
      <c r="F11729" s="36" t="s">
        <v>54401</v>
      </c>
      <c r="G11729" s="39">
        <v>690294.91</v>
      </c>
      <c r="H11729" s="42">
        <v>211</v>
      </c>
    </row>
    <row r="11730" spans="1:8" ht="15" customHeight="1">
      <c r="A11730" s="26">
        <v>1052393212</v>
      </c>
      <c r="B11730" s="29" t="s">
        <v>13941</v>
      </c>
      <c r="C11730" s="26" t="s">
        <v>27532</v>
      </c>
      <c r="D11730" s="26" t="s">
        <v>41022</v>
      </c>
      <c r="E11730" s="26" t="s">
        <v>52468</v>
      </c>
      <c r="F11730" s="37" t="s">
        <v>54401</v>
      </c>
      <c r="G11730" s="39">
        <v>664240.59</v>
      </c>
      <c r="H11730" s="42">
        <v>211</v>
      </c>
    </row>
    <row r="11731" spans="1:8" ht="15" customHeight="1">
      <c r="A11731" s="26">
        <v>1052393215</v>
      </c>
      <c r="B11731" s="29" t="s">
        <v>13942</v>
      </c>
      <c r="C11731" s="29" t="s">
        <v>27533</v>
      </c>
      <c r="D11731" s="29" t="s">
        <v>30376</v>
      </c>
      <c r="E11731" s="29" t="s">
        <v>52469</v>
      </c>
      <c r="F11731" s="36" t="s">
        <v>54401</v>
      </c>
      <c r="G11731" s="39">
        <v>382809.77</v>
      </c>
      <c r="H11731" s="42">
        <v>211</v>
      </c>
    </row>
    <row r="11732" spans="1:8" ht="15" customHeight="1">
      <c r="A11732" s="26">
        <v>1052393232</v>
      </c>
      <c r="B11732" s="29" t="s">
        <v>13943</v>
      </c>
      <c r="C11732" s="29" t="s">
        <v>27534</v>
      </c>
      <c r="D11732" s="29" t="s">
        <v>41023</v>
      </c>
      <c r="E11732" s="29" t="s">
        <v>43926</v>
      </c>
      <c r="F11732" s="36" t="s">
        <v>54401</v>
      </c>
      <c r="G11732" s="39">
        <v>3526844</v>
      </c>
      <c r="H11732" s="42">
        <v>211</v>
      </c>
    </row>
    <row r="11733" spans="1:8" ht="15" customHeight="1">
      <c r="A11733" s="26">
        <v>1052393234</v>
      </c>
      <c r="B11733" s="29" t="s">
        <v>13944</v>
      </c>
      <c r="C11733" s="29" t="s">
        <v>27535</v>
      </c>
      <c r="D11733" s="29" t="s">
        <v>41024</v>
      </c>
      <c r="E11733" s="29" t="s">
        <v>52470</v>
      </c>
      <c r="F11733" s="36" t="s">
        <v>54401</v>
      </c>
      <c r="G11733" s="39">
        <v>867003.79</v>
      </c>
      <c r="H11733" s="42">
        <v>211</v>
      </c>
    </row>
    <row r="11734" spans="1:8" ht="15" customHeight="1">
      <c r="A11734" s="26">
        <v>1052393241</v>
      </c>
      <c r="B11734" s="29" t="s">
        <v>13945</v>
      </c>
      <c r="C11734" s="29" t="s">
        <v>27536</v>
      </c>
      <c r="D11734" s="29" t="s">
        <v>41025</v>
      </c>
      <c r="E11734" s="29" t="s">
        <v>52471</v>
      </c>
      <c r="F11734" s="36" t="s">
        <v>54401</v>
      </c>
      <c r="G11734" s="39">
        <v>4088942.01</v>
      </c>
      <c r="H11734" s="42">
        <v>211</v>
      </c>
    </row>
    <row r="11735" spans="1:8" ht="15" customHeight="1">
      <c r="A11735" s="26">
        <v>1052393253</v>
      </c>
      <c r="B11735" s="29" t="s">
        <v>13946</v>
      </c>
      <c r="C11735" s="29" t="s">
        <v>25391</v>
      </c>
      <c r="D11735" s="29" t="s">
        <v>38794</v>
      </c>
      <c r="E11735" s="29" t="s">
        <v>52472</v>
      </c>
      <c r="F11735" s="36" t="s">
        <v>54401</v>
      </c>
      <c r="G11735" s="39">
        <v>2045785.11</v>
      </c>
      <c r="H11735" s="42">
        <v>211</v>
      </c>
    </row>
    <row r="11736" spans="1:8" ht="15" customHeight="1">
      <c r="A11736" s="26">
        <v>1052393260</v>
      </c>
      <c r="B11736" s="29" t="s">
        <v>13947</v>
      </c>
      <c r="C11736" s="29" t="s">
        <v>27537</v>
      </c>
      <c r="D11736" s="29" t="s">
        <v>41026</v>
      </c>
      <c r="E11736" s="29" t="s">
        <v>52473</v>
      </c>
      <c r="F11736" s="36" t="s">
        <v>54401</v>
      </c>
      <c r="G11736" s="39">
        <v>1750767.73</v>
      </c>
      <c r="H11736" s="42">
        <v>211</v>
      </c>
    </row>
    <row r="11737" spans="1:8" ht="15" customHeight="1">
      <c r="A11737" s="26">
        <v>1052393274</v>
      </c>
      <c r="B11737" s="29" t="s">
        <v>13948</v>
      </c>
      <c r="C11737" s="29" t="s">
        <v>27538</v>
      </c>
      <c r="D11737" s="29" t="s">
        <v>41027</v>
      </c>
      <c r="E11737" s="29" t="s">
        <v>52474</v>
      </c>
      <c r="F11737" s="36" t="s">
        <v>54401</v>
      </c>
      <c r="G11737" s="39">
        <v>8050548.9900000002</v>
      </c>
      <c r="H11737" s="42">
        <v>211</v>
      </c>
    </row>
    <row r="11738" spans="1:8" ht="15" customHeight="1">
      <c r="A11738" s="26">
        <v>1052393277</v>
      </c>
      <c r="B11738" s="29" t="s">
        <v>13949</v>
      </c>
      <c r="C11738" s="29" t="s">
        <v>27539</v>
      </c>
      <c r="D11738" s="29" t="s">
        <v>41028</v>
      </c>
      <c r="E11738" s="29" t="s">
        <v>52475</v>
      </c>
      <c r="F11738" s="36" t="s">
        <v>54401</v>
      </c>
      <c r="G11738" s="39">
        <v>4088424</v>
      </c>
      <c r="H11738" s="42">
        <v>211</v>
      </c>
    </row>
    <row r="11739" spans="1:8" ht="15" customHeight="1">
      <c r="A11739" s="26">
        <v>1052393279</v>
      </c>
      <c r="B11739" s="29" t="s">
        <v>13950</v>
      </c>
      <c r="C11739" s="26" t="s">
        <v>27540</v>
      </c>
      <c r="D11739" s="26" t="s">
        <v>41029</v>
      </c>
      <c r="E11739" s="26" t="s">
        <v>52476</v>
      </c>
      <c r="F11739" s="37" t="s">
        <v>54401</v>
      </c>
      <c r="G11739" s="39">
        <v>1053782.3799999999</v>
      </c>
      <c r="H11739" s="42">
        <v>211</v>
      </c>
    </row>
    <row r="11740" spans="1:8" ht="15" customHeight="1">
      <c r="A11740" s="26">
        <v>1052393296</v>
      </c>
      <c r="B11740" s="29" t="s">
        <v>13951</v>
      </c>
      <c r="C11740" s="29" t="s">
        <v>27541</v>
      </c>
      <c r="D11740" s="29" t="s">
        <v>41030</v>
      </c>
      <c r="E11740" s="29" t="s">
        <v>43926</v>
      </c>
      <c r="F11740" s="36" t="s">
        <v>54401</v>
      </c>
      <c r="G11740" s="39">
        <v>245027.49</v>
      </c>
      <c r="H11740" s="42">
        <v>211</v>
      </c>
    </row>
    <row r="11741" spans="1:8" ht="15" customHeight="1">
      <c r="A11741" s="26">
        <v>1052393312</v>
      </c>
      <c r="B11741" s="29" t="s">
        <v>13952</v>
      </c>
      <c r="C11741" s="29" t="s">
        <v>27542</v>
      </c>
      <c r="D11741" s="29" t="s">
        <v>41031</v>
      </c>
      <c r="E11741" s="29" t="s">
        <v>51647</v>
      </c>
      <c r="F11741" s="36" t="s">
        <v>54401</v>
      </c>
      <c r="G11741" s="39">
        <v>6200120</v>
      </c>
      <c r="H11741" s="42">
        <v>211</v>
      </c>
    </row>
    <row r="11742" spans="1:8" ht="15" customHeight="1">
      <c r="A11742" s="26">
        <v>1052393326</v>
      </c>
      <c r="B11742" s="29" t="s">
        <v>13953</v>
      </c>
      <c r="C11742" s="29" t="s">
        <v>27543</v>
      </c>
      <c r="D11742" s="29" t="s">
        <v>41032</v>
      </c>
      <c r="E11742" s="29" t="s">
        <v>51134</v>
      </c>
      <c r="F11742" s="36" t="s">
        <v>54401</v>
      </c>
      <c r="G11742" s="39">
        <v>2341187</v>
      </c>
      <c r="H11742" s="42">
        <v>211</v>
      </c>
    </row>
    <row r="11743" spans="1:8" ht="15" customHeight="1">
      <c r="A11743" s="26">
        <v>1052393329</v>
      </c>
      <c r="B11743" s="29" t="s">
        <v>13954</v>
      </c>
      <c r="C11743" s="26" t="s">
        <v>17204</v>
      </c>
      <c r="D11743" s="26" t="s">
        <v>41033</v>
      </c>
      <c r="E11743" s="26" t="s">
        <v>52477</v>
      </c>
      <c r="F11743" s="37" t="s">
        <v>54401</v>
      </c>
      <c r="G11743" s="39">
        <v>11396.05</v>
      </c>
      <c r="H11743" s="42">
        <v>211</v>
      </c>
    </row>
    <row r="11744" spans="1:8" ht="15" customHeight="1">
      <c r="A11744" s="26">
        <v>1052393339</v>
      </c>
      <c r="B11744" s="29" t="s">
        <v>13955</v>
      </c>
      <c r="C11744" s="29" t="s">
        <v>27544</v>
      </c>
      <c r="D11744" s="29" t="s">
        <v>30376</v>
      </c>
      <c r="E11744" s="29" t="s">
        <v>52478</v>
      </c>
      <c r="F11744" s="36" t="s">
        <v>54401</v>
      </c>
      <c r="G11744" s="39">
        <v>821768.1</v>
      </c>
      <c r="H11744" s="42">
        <v>211</v>
      </c>
    </row>
    <row r="11745" spans="1:8" ht="15" customHeight="1">
      <c r="A11745" s="26">
        <v>1052393341</v>
      </c>
      <c r="B11745" s="29" t="s">
        <v>13956</v>
      </c>
      <c r="C11745" s="29" t="s">
        <v>27545</v>
      </c>
      <c r="D11745" s="29" t="s">
        <v>30376</v>
      </c>
      <c r="E11745" s="29" t="s">
        <v>717</v>
      </c>
      <c r="F11745" s="36" t="s">
        <v>54401</v>
      </c>
      <c r="G11745" s="39">
        <v>2120281.1</v>
      </c>
      <c r="H11745" s="42">
        <v>211</v>
      </c>
    </row>
    <row r="11746" spans="1:8" ht="15" customHeight="1">
      <c r="A11746" s="26">
        <v>1052393352</v>
      </c>
      <c r="B11746" s="29" t="s">
        <v>13957</v>
      </c>
      <c r="C11746" s="26" t="s">
        <v>27546</v>
      </c>
      <c r="D11746" s="26" t="s">
        <v>30376</v>
      </c>
      <c r="E11746" s="26" t="s">
        <v>47355</v>
      </c>
      <c r="F11746" s="37" t="s">
        <v>54401</v>
      </c>
      <c r="G11746" s="39">
        <v>250241.08</v>
      </c>
      <c r="H11746" s="42">
        <v>211</v>
      </c>
    </row>
    <row r="11747" spans="1:8" ht="15" customHeight="1">
      <c r="A11747" s="26">
        <v>1052393356</v>
      </c>
      <c r="B11747" s="29" t="s">
        <v>13958</v>
      </c>
      <c r="C11747" s="29" t="s">
        <v>17204</v>
      </c>
      <c r="D11747" s="29" t="s">
        <v>41034</v>
      </c>
      <c r="E11747" s="29" t="s">
        <v>52479</v>
      </c>
      <c r="F11747" s="36" t="s">
        <v>54401</v>
      </c>
      <c r="G11747" s="39">
        <v>1132297.49</v>
      </c>
      <c r="H11747" s="42">
        <v>211</v>
      </c>
    </row>
    <row r="11748" spans="1:8" ht="15" customHeight="1">
      <c r="A11748" s="26">
        <v>1052393379</v>
      </c>
      <c r="B11748" s="29" t="s">
        <v>13959</v>
      </c>
      <c r="C11748" s="29" t="s">
        <v>27547</v>
      </c>
      <c r="D11748" s="29" t="s">
        <v>41035</v>
      </c>
      <c r="E11748" s="29" t="s">
        <v>52480</v>
      </c>
      <c r="F11748" s="36" t="s">
        <v>54401</v>
      </c>
      <c r="G11748" s="39">
        <v>564125.43000000005</v>
      </c>
      <c r="H11748" s="42">
        <v>211</v>
      </c>
    </row>
    <row r="11749" spans="1:8" ht="15" customHeight="1">
      <c r="A11749" s="26">
        <v>1052393395</v>
      </c>
      <c r="B11749" s="29" t="s">
        <v>13960</v>
      </c>
      <c r="C11749" s="29" t="s">
        <v>27548</v>
      </c>
      <c r="D11749" s="29" t="s">
        <v>41036</v>
      </c>
      <c r="E11749" s="29" t="s">
        <v>52481</v>
      </c>
      <c r="F11749" s="36" t="s">
        <v>54401</v>
      </c>
      <c r="G11749" s="39">
        <v>228923.78</v>
      </c>
      <c r="H11749" s="42">
        <v>211</v>
      </c>
    </row>
    <row r="11750" spans="1:8" ht="15" customHeight="1">
      <c r="A11750" s="26">
        <v>1052393396</v>
      </c>
      <c r="B11750" s="29" t="s">
        <v>13961</v>
      </c>
      <c r="C11750" s="29" t="s">
        <v>27549</v>
      </c>
      <c r="D11750" s="29" t="s">
        <v>41037</v>
      </c>
      <c r="E11750" s="29" t="s">
        <v>52482</v>
      </c>
      <c r="F11750" s="36" t="s">
        <v>54401</v>
      </c>
      <c r="G11750" s="39">
        <v>467925.5</v>
      </c>
      <c r="H11750" s="42">
        <v>211</v>
      </c>
    </row>
    <row r="11751" spans="1:8" ht="15" customHeight="1">
      <c r="A11751" s="26">
        <v>1052393405</v>
      </c>
      <c r="B11751" s="29" t="s">
        <v>13962</v>
      </c>
      <c r="C11751" s="29" t="s">
        <v>27550</v>
      </c>
      <c r="D11751" s="29" t="s">
        <v>41038</v>
      </c>
      <c r="E11751" s="29" t="s">
        <v>52483</v>
      </c>
      <c r="F11751" s="36" t="s">
        <v>54401</v>
      </c>
      <c r="G11751" s="39">
        <v>6431905.1799999997</v>
      </c>
      <c r="H11751" s="42">
        <v>211</v>
      </c>
    </row>
    <row r="11752" spans="1:8" ht="15" customHeight="1">
      <c r="A11752" s="26">
        <v>1052393427</v>
      </c>
      <c r="B11752" s="29" t="s">
        <v>13963</v>
      </c>
      <c r="C11752" s="29" t="s">
        <v>27551</v>
      </c>
      <c r="D11752" s="29" t="s">
        <v>41039</v>
      </c>
      <c r="E11752" s="29" t="s">
        <v>52484</v>
      </c>
      <c r="F11752" s="36" t="s">
        <v>54423</v>
      </c>
      <c r="G11752" s="39">
        <v>4199807.57</v>
      </c>
      <c r="H11752" s="42">
        <v>211</v>
      </c>
    </row>
    <row r="11753" spans="1:8" ht="15" customHeight="1">
      <c r="A11753" s="26">
        <v>1052393438</v>
      </c>
      <c r="B11753" s="29" t="s">
        <v>13964</v>
      </c>
      <c r="C11753" s="29" t="s">
        <v>27552</v>
      </c>
      <c r="D11753" s="29" t="s">
        <v>41040</v>
      </c>
      <c r="E11753" s="29" t="s">
        <v>52485</v>
      </c>
      <c r="F11753" s="36" t="s">
        <v>54401</v>
      </c>
      <c r="G11753" s="39">
        <v>2062546.8</v>
      </c>
      <c r="H11753" s="42">
        <v>211</v>
      </c>
    </row>
    <row r="11754" spans="1:8" ht="15" customHeight="1">
      <c r="A11754" s="26">
        <v>1052393463</v>
      </c>
      <c r="B11754" s="29" t="s">
        <v>13965</v>
      </c>
      <c r="C11754" s="29" t="s">
        <v>27553</v>
      </c>
      <c r="D11754" s="29" t="s">
        <v>41041</v>
      </c>
      <c r="E11754" s="29" t="s">
        <v>52486</v>
      </c>
      <c r="F11754" s="36" t="s">
        <v>54401</v>
      </c>
      <c r="G11754" s="39">
        <v>497619.55</v>
      </c>
      <c r="H11754" s="42">
        <v>211</v>
      </c>
    </row>
    <row r="11755" spans="1:8" ht="15" customHeight="1">
      <c r="A11755" s="26">
        <v>1052393497</v>
      </c>
      <c r="B11755" s="29" t="s">
        <v>13966</v>
      </c>
      <c r="C11755" s="29" t="s">
        <v>27554</v>
      </c>
      <c r="D11755" s="29" t="s">
        <v>41042</v>
      </c>
      <c r="E11755" s="29" t="s">
        <v>45285</v>
      </c>
      <c r="F11755" s="36" t="s">
        <v>54401</v>
      </c>
      <c r="G11755" s="39">
        <v>899687.16</v>
      </c>
      <c r="H11755" s="42">
        <v>211</v>
      </c>
    </row>
    <row r="11756" spans="1:8" ht="15" customHeight="1">
      <c r="A11756" s="26">
        <v>1052393499</v>
      </c>
      <c r="B11756" s="29" t="s">
        <v>13967</v>
      </c>
      <c r="C11756" s="29" t="s">
        <v>27555</v>
      </c>
      <c r="D11756" s="29" t="s">
        <v>41043</v>
      </c>
      <c r="E11756" s="29" t="s">
        <v>52487</v>
      </c>
      <c r="F11756" s="36" t="s">
        <v>54401</v>
      </c>
      <c r="G11756" s="39">
        <v>156558.57999999999</v>
      </c>
      <c r="H11756" s="42">
        <v>211</v>
      </c>
    </row>
    <row r="11757" spans="1:8" ht="15" customHeight="1">
      <c r="A11757" s="26">
        <v>1052393504</v>
      </c>
      <c r="B11757" s="29" t="s">
        <v>13968</v>
      </c>
      <c r="C11757" s="29" t="s">
        <v>27556</v>
      </c>
      <c r="D11757" s="29" t="s">
        <v>41044</v>
      </c>
      <c r="E11757" s="29" t="s">
        <v>52488</v>
      </c>
      <c r="F11757" s="36" t="s">
        <v>54401</v>
      </c>
      <c r="G11757" s="39">
        <v>34907.56</v>
      </c>
      <c r="H11757" s="42">
        <v>211</v>
      </c>
    </row>
    <row r="11758" spans="1:8" ht="15" customHeight="1">
      <c r="A11758" s="26">
        <v>1052393513</v>
      </c>
      <c r="B11758" s="29" t="s">
        <v>13969</v>
      </c>
      <c r="C11758" s="29" t="s">
        <v>27557</v>
      </c>
      <c r="D11758" s="29" t="s">
        <v>41045</v>
      </c>
      <c r="E11758" s="29" t="s">
        <v>49399</v>
      </c>
      <c r="F11758" s="36" t="s">
        <v>54401</v>
      </c>
      <c r="G11758" s="39">
        <v>336506.73</v>
      </c>
      <c r="H11758" s="42">
        <v>211</v>
      </c>
    </row>
    <row r="11759" spans="1:8" ht="15" customHeight="1">
      <c r="A11759" s="26">
        <v>1052393515</v>
      </c>
      <c r="B11759" s="29" t="s">
        <v>13970</v>
      </c>
      <c r="C11759" s="29" t="s">
        <v>27558</v>
      </c>
      <c r="D11759" s="29" t="s">
        <v>41046</v>
      </c>
      <c r="E11759" s="29" t="s">
        <v>52489</v>
      </c>
      <c r="F11759" s="36" t="s">
        <v>54401</v>
      </c>
      <c r="G11759" s="39">
        <v>317466.34000000003</v>
      </c>
      <c r="H11759" s="42">
        <v>211</v>
      </c>
    </row>
    <row r="11760" spans="1:8" ht="15" customHeight="1">
      <c r="A11760" s="26">
        <v>1052393525</v>
      </c>
      <c r="B11760" s="29" t="s">
        <v>13971</v>
      </c>
      <c r="C11760" s="29" t="s">
        <v>27559</v>
      </c>
      <c r="D11760" s="29" t="s">
        <v>41047</v>
      </c>
      <c r="E11760" s="29" t="s">
        <v>52490</v>
      </c>
      <c r="F11760" s="36" t="s">
        <v>54401</v>
      </c>
      <c r="G11760" s="39">
        <v>3151585</v>
      </c>
      <c r="H11760" s="42">
        <v>211</v>
      </c>
    </row>
    <row r="11761" spans="1:8" ht="15" customHeight="1">
      <c r="A11761" s="26">
        <v>1052393532</v>
      </c>
      <c r="B11761" s="29" t="s">
        <v>13972</v>
      </c>
      <c r="C11761" s="29" t="s">
        <v>27560</v>
      </c>
      <c r="D11761" s="29" t="s">
        <v>41048</v>
      </c>
      <c r="E11761" s="29" t="s">
        <v>52491</v>
      </c>
      <c r="F11761" s="36" t="s">
        <v>54401</v>
      </c>
      <c r="G11761" s="39">
        <v>452578.63</v>
      </c>
      <c r="H11761" s="42">
        <v>211</v>
      </c>
    </row>
    <row r="11762" spans="1:8" ht="15" customHeight="1">
      <c r="A11762" s="26">
        <v>1052393547</v>
      </c>
      <c r="B11762" s="29" t="s">
        <v>13973</v>
      </c>
      <c r="C11762" s="29" t="s">
        <v>27561</v>
      </c>
      <c r="D11762" s="29" t="s">
        <v>41049</v>
      </c>
      <c r="E11762" s="29" t="s">
        <v>52492</v>
      </c>
      <c r="F11762" s="36" t="s">
        <v>54401</v>
      </c>
      <c r="G11762" s="39">
        <v>1928044</v>
      </c>
      <c r="H11762" s="42">
        <v>211</v>
      </c>
    </row>
    <row r="11763" spans="1:8" ht="15" customHeight="1">
      <c r="A11763" s="26">
        <v>1052393555</v>
      </c>
      <c r="B11763" s="29" t="s">
        <v>13974</v>
      </c>
      <c r="C11763" s="29" t="s">
        <v>27562</v>
      </c>
      <c r="D11763" s="29" t="s">
        <v>41050</v>
      </c>
      <c r="E11763" s="29" t="s">
        <v>47399</v>
      </c>
      <c r="F11763" s="36" t="s">
        <v>54401</v>
      </c>
      <c r="G11763" s="39">
        <v>2412697</v>
      </c>
      <c r="H11763" s="42">
        <v>211</v>
      </c>
    </row>
    <row r="11764" spans="1:8" ht="15" customHeight="1">
      <c r="A11764" s="26">
        <v>1052393559</v>
      </c>
      <c r="B11764" s="29" t="s">
        <v>13975</v>
      </c>
      <c r="C11764" s="29" t="s">
        <v>27563</v>
      </c>
      <c r="D11764" s="29" t="s">
        <v>41051</v>
      </c>
      <c r="E11764" s="29" t="s">
        <v>52493</v>
      </c>
      <c r="F11764" s="36" t="s">
        <v>54401</v>
      </c>
      <c r="G11764" s="39">
        <v>5115312</v>
      </c>
      <c r="H11764" s="42">
        <v>211</v>
      </c>
    </row>
    <row r="11765" spans="1:8" ht="15" customHeight="1">
      <c r="A11765" s="26">
        <v>1052393563</v>
      </c>
      <c r="B11765" s="29" t="s">
        <v>13976</v>
      </c>
      <c r="C11765" s="29" t="s">
        <v>27564</v>
      </c>
      <c r="D11765" s="29" t="s">
        <v>41052</v>
      </c>
      <c r="E11765" s="29" t="s">
        <v>52494</v>
      </c>
      <c r="F11765" s="36" t="s">
        <v>54401</v>
      </c>
      <c r="G11765" s="39">
        <v>344973.67</v>
      </c>
      <c r="H11765" s="42">
        <v>211</v>
      </c>
    </row>
    <row r="11766" spans="1:8" ht="15" customHeight="1">
      <c r="A11766" s="26">
        <v>1052393564</v>
      </c>
      <c r="B11766" s="29" t="s">
        <v>13977</v>
      </c>
      <c r="C11766" s="29" t="s">
        <v>27565</v>
      </c>
      <c r="D11766" s="29" t="s">
        <v>41053</v>
      </c>
      <c r="E11766" s="29" t="s">
        <v>52495</v>
      </c>
      <c r="F11766" s="36" t="s">
        <v>54401</v>
      </c>
      <c r="G11766" s="39">
        <v>1129266.69</v>
      </c>
      <c r="H11766" s="42">
        <v>211</v>
      </c>
    </row>
    <row r="11767" spans="1:8" ht="15" customHeight="1">
      <c r="A11767" s="26">
        <v>1052393581</v>
      </c>
      <c r="B11767" s="29" t="s">
        <v>13978</v>
      </c>
      <c r="C11767" s="29" t="s">
        <v>27566</v>
      </c>
      <c r="D11767" s="29" t="s">
        <v>41054</v>
      </c>
      <c r="E11767" s="29" t="s">
        <v>52496</v>
      </c>
      <c r="F11767" s="36" t="s">
        <v>54401</v>
      </c>
      <c r="G11767" s="39">
        <v>1328646.27</v>
      </c>
      <c r="H11767" s="42">
        <v>211</v>
      </c>
    </row>
    <row r="11768" spans="1:8" ht="15" customHeight="1">
      <c r="A11768" s="26">
        <v>1052393590</v>
      </c>
      <c r="B11768" s="29" t="s">
        <v>13979</v>
      </c>
      <c r="C11768" s="29" t="s">
        <v>27567</v>
      </c>
      <c r="D11768" s="29" t="s">
        <v>30349</v>
      </c>
      <c r="E11768" s="29" t="s">
        <v>45254</v>
      </c>
      <c r="F11768" s="36" t="s">
        <v>54401</v>
      </c>
      <c r="G11768" s="39">
        <v>897397.71</v>
      </c>
      <c r="H11768" s="42">
        <v>211</v>
      </c>
    </row>
    <row r="11769" spans="1:8" ht="15" customHeight="1">
      <c r="A11769" s="26">
        <v>1052393595</v>
      </c>
      <c r="B11769" s="29" t="s">
        <v>13980</v>
      </c>
      <c r="C11769" s="29" t="s">
        <v>27568</v>
      </c>
      <c r="D11769" s="29" t="s">
        <v>41055</v>
      </c>
      <c r="E11769" s="29" t="s">
        <v>52497</v>
      </c>
      <c r="F11769" s="36" t="s">
        <v>54401</v>
      </c>
      <c r="G11769" s="39">
        <v>2699616</v>
      </c>
      <c r="H11769" s="42">
        <v>211</v>
      </c>
    </row>
    <row r="11770" spans="1:8" ht="15" customHeight="1">
      <c r="A11770" s="26">
        <v>1052393601</v>
      </c>
      <c r="B11770" s="29" t="s">
        <v>13981</v>
      </c>
      <c r="C11770" s="29" t="s">
        <v>27569</v>
      </c>
      <c r="D11770" s="29" t="s">
        <v>41056</v>
      </c>
      <c r="E11770" s="29" t="s">
        <v>52498</v>
      </c>
      <c r="F11770" s="36" t="s">
        <v>54401</v>
      </c>
      <c r="G11770" s="39">
        <v>3847829</v>
      </c>
      <c r="H11770" s="42">
        <v>211</v>
      </c>
    </row>
    <row r="11771" spans="1:8" ht="15" customHeight="1">
      <c r="A11771" s="26">
        <v>1052393618</v>
      </c>
      <c r="B11771" s="29" t="s">
        <v>13982</v>
      </c>
      <c r="C11771" s="29" t="s">
        <v>27570</v>
      </c>
      <c r="D11771" s="29" t="s">
        <v>41057</v>
      </c>
      <c r="E11771" s="29" t="s">
        <v>52499</v>
      </c>
      <c r="F11771" s="36" t="s">
        <v>54401</v>
      </c>
      <c r="G11771" s="39">
        <v>70105.56</v>
      </c>
      <c r="H11771" s="42">
        <v>211</v>
      </c>
    </row>
    <row r="11772" spans="1:8" ht="15" customHeight="1">
      <c r="A11772" s="26">
        <v>1052393637</v>
      </c>
      <c r="B11772" s="29" t="s">
        <v>13983</v>
      </c>
      <c r="C11772" s="29" t="s">
        <v>27571</v>
      </c>
      <c r="D11772" s="29" t="s">
        <v>41058</v>
      </c>
      <c r="E11772" s="29" t="s">
        <v>52500</v>
      </c>
      <c r="F11772" s="36" t="s">
        <v>54401</v>
      </c>
      <c r="G11772" s="39">
        <v>1140008.23</v>
      </c>
      <c r="H11772" s="42">
        <v>211</v>
      </c>
    </row>
    <row r="11773" spans="1:8" ht="15" customHeight="1">
      <c r="A11773" s="26">
        <v>1052393646</v>
      </c>
      <c r="B11773" s="29" t="s">
        <v>13984</v>
      </c>
      <c r="C11773" s="29" t="s">
        <v>27572</v>
      </c>
      <c r="D11773" s="29" t="s">
        <v>41059</v>
      </c>
      <c r="E11773" s="29" t="s">
        <v>43926</v>
      </c>
      <c r="F11773" s="36" t="s">
        <v>54401</v>
      </c>
      <c r="G11773" s="39">
        <v>76559.289999999994</v>
      </c>
      <c r="H11773" s="42">
        <v>211</v>
      </c>
    </row>
    <row r="11774" spans="1:8" ht="15" customHeight="1">
      <c r="A11774" s="26">
        <v>1052393659</v>
      </c>
      <c r="B11774" s="29" t="s">
        <v>13985</v>
      </c>
      <c r="C11774" s="26" t="s">
        <v>27573</v>
      </c>
      <c r="D11774" s="26" t="s">
        <v>41060</v>
      </c>
      <c r="E11774" s="26" t="s">
        <v>52501</v>
      </c>
      <c r="F11774" s="37" t="s">
        <v>54401</v>
      </c>
      <c r="G11774" s="39">
        <v>77321.850000000006</v>
      </c>
      <c r="H11774" s="42">
        <v>211</v>
      </c>
    </row>
    <row r="11775" spans="1:8" ht="15" customHeight="1">
      <c r="A11775" s="26">
        <v>1052393684</v>
      </c>
      <c r="B11775" s="29" t="s">
        <v>13986</v>
      </c>
      <c r="C11775" s="29" t="s">
        <v>27574</v>
      </c>
      <c r="D11775" s="29" t="s">
        <v>41061</v>
      </c>
      <c r="E11775" s="29" t="s">
        <v>44439</v>
      </c>
      <c r="F11775" s="36" t="s">
        <v>54401</v>
      </c>
      <c r="G11775" s="39">
        <v>31614.82</v>
      </c>
      <c r="H11775" s="42">
        <v>211</v>
      </c>
    </row>
    <row r="11776" spans="1:8" ht="15" customHeight="1">
      <c r="A11776" s="26">
        <v>1052393694</v>
      </c>
      <c r="B11776" s="29" t="s">
        <v>13987</v>
      </c>
      <c r="C11776" s="29" t="s">
        <v>27575</v>
      </c>
      <c r="D11776" s="29" t="s">
        <v>41062</v>
      </c>
      <c r="E11776" s="29" t="s">
        <v>43926</v>
      </c>
      <c r="F11776" s="36" t="s">
        <v>54401</v>
      </c>
      <c r="G11776" s="39">
        <v>33480.949999999997</v>
      </c>
      <c r="H11776" s="42">
        <v>211</v>
      </c>
    </row>
    <row r="11777" spans="1:8" ht="15" customHeight="1">
      <c r="A11777" s="26">
        <v>1052393731</v>
      </c>
      <c r="B11777" s="29" t="s">
        <v>13988</v>
      </c>
      <c r="C11777" s="29" t="s">
        <v>27576</v>
      </c>
      <c r="D11777" s="29" t="s">
        <v>41063</v>
      </c>
      <c r="E11777" s="29" t="s">
        <v>52502</v>
      </c>
      <c r="F11777" s="36" t="s">
        <v>54401</v>
      </c>
      <c r="G11777" s="39">
        <v>3009406.02</v>
      </c>
      <c r="H11777" s="42">
        <v>211</v>
      </c>
    </row>
    <row r="11778" spans="1:8" ht="15" customHeight="1">
      <c r="A11778" s="26">
        <v>1052393733</v>
      </c>
      <c r="B11778" s="29" t="s">
        <v>13989</v>
      </c>
      <c r="C11778" s="29" t="s">
        <v>17204</v>
      </c>
      <c r="D11778" s="29" t="s">
        <v>30349</v>
      </c>
      <c r="E11778" s="29" t="s">
        <v>43926</v>
      </c>
      <c r="F11778" s="36" t="s">
        <v>54401</v>
      </c>
      <c r="G11778" s="39">
        <v>585439</v>
      </c>
      <c r="H11778" s="42">
        <v>211</v>
      </c>
    </row>
    <row r="11779" spans="1:8" ht="15" customHeight="1">
      <c r="A11779" s="26">
        <v>1052393739</v>
      </c>
      <c r="B11779" s="29" t="s">
        <v>13990</v>
      </c>
      <c r="C11779" s="29" t="s">
        <v>27577</v>
      </c>
      <c r="D11779" s="29" t="s">
        <v>41064</v>
      </c>
      <c r="E11779" s="29" t="s">
        <v>52503</v>
      </c>
      <c r="F11779" s="36" t="s">
        <v>54401</v>
      </c>
      <c r="G11779" s="39">
        <v>319996.78000000003</v>
      </c>
      <c r="H11779" s="42">
        <v>211</v>
      </c>
    </row>
    <row r="11780" spans="1:8" ht="15" customHeight="1">
      <c r="A11780" s="26">
        <v>1052393749</v>
      </c>
      <c r="B11780" s="29" t="s">
        <v>13991</v>
      </c>
      <c r="C11780" s="29" t="s">
        <v>27578</v>
      </c>
      <c r="D11780" s="29" t="s">
        <v>41065</v>
      </c>
      <c r="E11780" s="29" t="s">
        <v>46800</v>
      </c>
      <c r="F11780" s="36" t="s">
        <v>54401</v>
      </c>
      <c r="G11780" s="39">
        <v>2406834</v>
      </c>
      <c r="H11780" s="42">
        <v>211</v>
      </c>
    </row>
    <row r="11781" spans="1:8" ht="15" customHeight="1">
      <c r="A11781" s="26">
        <v>1052393759</v>
      </c>
      <c r="B11781" s="29" t="s">
        <v>13992</v>
      </c>
      <c r="C11781" s="29" t="s">
        <v>27579</v>
      </c>
      <c r="D11781" s="29" t="s">
        <v>41066</v>
      </c>
      <c r="E11781" s="29" t="s">
        <v>52504</v>
      </c>
      <c r="F11781" s="36" t="s">
        <v>54401</v>
      </c>
      <c r="G11781" s="39">
        <v>2831543.82</v>
      </c>
      <c r="H11781" s="42">
        <v>211</v>
      </c>
    </row>
    <row r="11782" spans="1:8" ht="15" customHeight="1">
      <c r="A11782" s="26">
        <v>1052393760</v>
      </c>
      <c r="B11782" s="29" t="s">
        <v>13993</v>
      </c>
      <c r="C11782" s="29" t="s">
        <v>17204</v>
      </c>
      <c r="D11782" s="29" t="s">
        <v>30349</v>
      </c>
      <c r="E11782" s="29" t="s">
        <v>43926</v>
      </c>
      <c r="F11782" s="36" t="s">
        <v>54401</v>
      </c>
      <c r="G11782" s="39">
        <v>47760</v>
      </c>
      <c r="H11782" s="42">
        <v>211</v>
      </c>
    </row>
    <row r="11783" spans="1:8" ht="15" customHeight="1">
      <c r="A11783" s="26">
        <v>1052393788</v>
      </c>
      <c r="B11783" s="29" t="s">
        <v>13994</v>
      </c>
      <c r="C11783" s="29" t="s">
        <v>27580</v>
      </c>
      <c r="D11783" s="29" t="s">
        <v>41067</v>
      </c>
      <c r="E11783" s="29" t="s">
        <v>52505</v>
      </c>
      <c r="F11783" s="36" t="s">
        <v>54401</v>
      </c>
      <c r="G11783" s="39">
        <v>200950</v>
      </c>
      <c r="H11783" s="42">
        <v>211</v>
      </c>
    </row>
    <row r="11784" spans="1:8" ht="15" customHeight="1">
      <c r="A11784" s="26">
        <v>1052393792</v>
      </c>
      <c r="B11784" s="29" t="s">
        <v>13995</v>
      </c>
      <c r="C11784" s="26" t="s">
        <v>27581</v>
      </c>
      <c r="D11784" s="26" t="s">
        <v>41068</v>
      </c>
      <c r="E11784" s="26" t="s">
        <v>52506</v>
      </c>
      <c r="F11784" s="37" t="s">
        <v>54401</v>
      </c>
      <c r="G11784" s="39">
        <v>991008.31</v>
      </c>
      <c r="H11784" s="42">
        <v>211</v>
      </c>
    </row>
    <row r="11785" spans="1:8" ht="15" customHeight="1">
      <c r="A11785" s="26">
        <v>1052393810</v>
      </c>
      <c r="B11785" s="29" t="s">
        <v>13996</v>
      </c>
      <c r="C11785" s="29" t="s">
        <v>27582</v>
      </c>
      <c r="D11785" s="29" t="s">
        <v>41069</v>
      </c>
      <c r="E11785" s="29" t="s">
        <v>43926</v>
      </c>
      <c r="F11785" s="36" t="s">
        <v>54401</v>
      </c>
      <c r="G11785" s="39">
        <v>112990.33</v>
      </c>
      <c r="H11785" s="42">
        <v>211</v>
      </c>
    </row>
    <row r="11786" spans="1:8" ht="15" customHeight="1">
      <c r="A11786" s="26">
        <v>1052393811</v>
      </c>
      <c r="B11786" s="29" t="s">
        <v>13997</v>
      </c>
      <c r="C11786" s="29" t="s">
        <v>27583</v>
      </c>
      <c r="D11786" s="29" t="s">
        <v>31546</v>
      </c>
      <c r="E11786" s="29" t="s">
        <v>52507</v>
      </c>
      <c r="F11786" s="36" t="s">
        <v>54401</v>
      </c>
      <c r="G11786" s="39">
        <v>718885.61</v>
      </c>
      <c r="H11786" s="42">
        <v>211</v>
      </c>
    </row>
    <row r="11787" spans="1:8" ht="15" customHeight="1">
      <c r="A11787" s="26">
        <v>1052393822</v>
      </c>
      <c r="B11787" s="29" t="s">
        <v>13998</v>
      </c>
      <c r="C11787" s="26" t="s">
        <v>17204</v>
      </c>
      <c r="D11787" s="26" t="s">
        <v>30349</v>
      </c>
      <c r="E11787" s="26" t="s">
        <v>43926</v>
      </c>
      <c r="F11787" s="37" t="s">
        <v>54401</v>
      </c>
      <c r="G11787" s="39">
        <v>300347.53999999998</v>
      </c>
      <c r="H11787" s="42">
        <v>211</v>
      </c>
    </row>
    <row r="11788" spans="1:8" ht="15" customHeight="1">
      <c r="A11788" s="26">
        <v>1052393831</v>
      </c>
      <c r="B11788" s="29" t="s">
        <v>13999</v>
      </c>
      <c r="C11788" s="29" t="s">
        <v>27584</v>
      </c>
      <c r="D11788" s="29" t="s">
        <v>41070</v>
      </c>
      <c r="E11788" s="29" t="s">
        <v>46258</v>
      </c>
      <c r="F11788" s="36" t="s">
        <v>54401</v>
      </c>
      <c r="G11788" s="39">
        <v>3635819</v>
      </c>
      <c r="H11788" s="42">
        <v>211</v>
      </c>
    </row>
    <row r="11789" spans="1:8" ht="15" customHeight="1">
      <c r="A11789" s="26">
        <v>1052393842</v>
      </c>
      <c r="B11789" s="29" t="s">
        <v>14000</v>
      </c>
      <c r="C11789" s="29" t="s">
        <v>27585</v>
      </c>
      <c r="D11789" s="29" t="s">
        <v>30349</v>
      </c>
      <c r="E11789" s="29" t="s">
        <v>43926</v>
      </c>
      <c r="F11789" s="36" t="s">
        <v>54401</v>
      </c>
      <c r="G11789" s="39">
        <v>119156.07</v>
      </c>
      <c r="H11789" s="42">
        <v>211</v>
      </c>
    </row>
    <row r="11790" spans="1:8" ht="15" customHeight="1">
      <c r="A11790" s="26">
        <v>1052393854</v>
      </c>
      <c r="B11790" s="29" t="s">
        <v>14001</v>
      </c>
      <c r="C11790" s="29" t="s">
        <v>27586</v>
      </c>
      <c r="D11790" s="29" t="s">
        <v>41071</v>
      </c>
      <c r="E11790" s="29" t="s">
        <v>52508</v>
      </c>
      <c r="F11790" s="36" t="s">
        <v>54401</v>
      </c>
      <c r="G11790" s="39">
        <v>227461.52</v>
      </c>
      <c r="H11790" s="42">
        <v>211</v>
      </c>
    </row>
    <row r="11791" spans="1:8" ht="15" customHeight="1">
      <c r="A11791" s="26">
        <v>1052393880</v>
      </c>
      <c r="B11791" s="29" t="s">
        <v>14002</v>
      </c>
      <c r="C11791" s="29" t="s">
        <v>27587</v>
      </c>
      <c r="D11791" s="29" t="s">
        <v>41072</v>
      </c>
      <c r="E11791" s="29" t="s">
        <v>52509</v>
      </c>
      <c r="F11791" s="36" t="s">
        <v>54401</v>
      </c>
      <c r="G11791" s="39">
        <v>2058145.23</v>
      </c>
      <c r="H11791" s="42">
        <v>211</v>
      </c>
    </row>
    <row r="11792" spans="1:8" ht="15" customHeight="1">
      <c r="A11792" s="26">
        <v>1052393909</v>
      </c>
      <c r="B11792" s="29" t="s">
        <v>14003</v>
      </c>
      <c r="C11792" s="29" t="s">
        <v>27588</v>
      </c>
      <c r="D11792" s="29" t="s">
        <v>41073</v>
      </c>
      <c r="E11792" s="29" t="s">
        <v>45178</v>
      </c>
      <c r="F11792" s="36" t="s">
        <v>54401</v>
      </c>
      <c r="G11792" s="39">
        <v>604935.30000000005</v>
      </c>
      <c r="H11792" s="42">
        <v>211</v>
      </c>
    </row>
    <row r="11793" spans="1:8" ht="15" customHeight="1">
      <c r="A11793" s="26">
        <v>1052393931</v>
      </c>
      <c r="B11793" s="29" t="s">
        <v>14004</v>
      </c>
      <c r="C11793" s="29" t="s">
        <v>17204</v>
      </c>
      <c r="D11793" s="29" t="s">
        <v>30349</v>
      </c>
      <c r="E11793" s="29" t="s">
        <v>43926</v>
      </c>
      <c r="F11793" s="36" t="s">
        <v>54401</v>
      </c>
      <c r="G11793" s="39">
        <v>354489.4</v>
      </c>
      <c r="H11793" s="42">
        <v>211</v>
      </c>
    </row>
    <row r="11794" spans="1:8" ht="15" customHeight="1">
      <c r="A11794" s="26">
        <v>1052393935</v>
      </c>
      <c r="B11794" s="29" t="s">
        <v>14005</v>
      </c>
      <c r="C11794" s="29" t="s">
        <v>27589</v>
      </c>
      <c r="D11794" s="29" t="s">
        <v>41074</v>
      </c>
      <c r="E11794" s="29" t="s">
        <v>52510</v>
      </c>
      <c r="F11794" s="36" t="s">
        <v>54401</v>
      </c>
      <c r="G11794" s="39">
        <v>496631.66</v>
      </c>
      <c r="H11794" s="42">
        <v>211</v>
      </c>
    </row>
    <row r="11795" spans="1:8" ht="15" customHeight="1">
      <c r="A11795" s="26">
        <v>1052393953</v>
      </c>
      <c r="B11795" s="29" t="s">
        <v>14006</v>
      </c>
      <c r="C11795" s="29" t="s">
        <v>27590</v>
      </c>
      <c r="D11795" s="29" t="s">
        <v>41075</v>
      </c>
      <c r="E11795" s="29" t="s">
        <v>52511</v>
      </c>
      <c r="F11795" s="36" t="s">
        <v>54401</v>
      </c>
      <c r="G11795" s="39">
        <v>223732.5</v>
      </c>
      <c r="H11795" s="42">
        <v>211</v>
      </c>
    </row>
    <row r="11796" spans="1:8" ht="15" customHeight="1">
      <c r="A11796" s="26">
        <v>1052393955</v>
      </c>
      <c r="B11796" s="29" t="s">
        <v>14007</v>
      </c>
      <c r="C11796" s="29" t="s">
        <v>17204</v>
      </c>
      <c r="D11796" s="29" t="s">
        <v>41076</v>
      </c>
      <c r="E11796" s="29" t="s">
        <v>43926</v>
      </c>
      <c r="F11796" s="36" t="s">
        <v>54401</v>
      </c>
      <c r="G11796" s="39">
        <v>155256.82</v>
      </c>
      <c r="H11796" s="42">
        <v>211</v>
      </c>
    </row>
    <row r="11797" spans="1:8" ht="15" customHeight="1">
      <c r="A11797" s="26">
        <v>1052393957</v>
      </c>
      <c r="B11797" s="29" t="s">
        <v>14008</v>
      </c>
      <c r="C11797" s="29" t="s">
        <v>27591</v>
      </c>
      <c r="D11797" s="29" t="s">
        <v>41077</v>
      </c>
      <c r="E11797" s="29" t="s">
        <v>46759</v>
      </c>
      <c r="F11797" s="36" t="s">
        <v>54401</v>
      </c>
      <c r="G11797" s="39">
        <v>423684.59</v>
      </c>
      <c r="H11797" s="42">
        <v>211</v>
      </c>
    </row>
    <row r="11798" spans="1:8" ht="15" customHeight="1">
      <c r="A11798" s="26">
        <v>1052393961</v>
      </c>
      <c r="B11798" s="29" t="s">
        <v>14009</v>
      </c>
      <c r="C11798" s="29" t="s">
        <v>27592</v>
      </c>
      <c r="D11798" s="29" t="s">
        <v>41078</v>
      </c>
      <c r="E11798" s="29" t="s">
        <v>44023</v>
      </c>
      <c r="F11798" s="36" t="s">
        <v>54401</v>
      </c>
      <c r="G11798" s="39">
        <v>4236343.53</v>
      </c>
      <c r="H11798" s="42">
        <v>211</v>
      </c>
    </row>
    <row r="11799" spans="1:8" ht="15" customHeight="1">
      <c r="A11799" s="26">
        <v>1052393973</v>
      </c>
      <c r="B11799" s="29" t="s">
        <v>14010</v>
      </c>
      <c r="C11799" s="29" t="s">
        <v>25990</v>
      </c>
      <c r="D11799" s="29" t="s">
        <v>39430</v>
      </c>
      <c r="E11799" s="29" t="s">
        <v>51316</v>
      </c>
      <c r="F11799" s="36" t="s">
        <v>54401</v>
      </c>
      <c r="G11799" s="39">
        <v>550575.16</v>
      </c>
      <c r="H11799" s="42">
        <v>211</v>
      </c>
    </row>
    <row r="11800" spans="1:8" ht="15" customHeight="1">
      <c r="A11800" s="26">
        <v>1052393992</v>
      </c>
      <c r="B11800" s="29" t="s">
        <v>14011</v>
      </c>
      <c r="C11800" s="29" t="s">
        <v>27593</v>
      </c>
      <c r="D11800" s="29" t="s">
        <v>41079</v>
      </c>
      <c r="E11800" s="29" t="s">
        <v>52512</v>
      </c>
      <c r="F11800" s="36" t="s">
        <v>54401</v>
      </c>
      <c r="G11800" s="39">
        <v>305227.71999999997</v>
      </c>
      <c r="H11800" s="42">
        <v>211</v>
      </c>
    </row>
    <row r="11801" spans="1:8" ht="15" customHeight="1">
      <c r="A11801" s="26">
        <v>1052394008</v>
      </c>
      <c r="B11801" s="29" t="s">
        <v>14012</v>
      </c>
      <c r="C11801" s="29" t="s">
        <v>27594</v>
      </c>
      <c r="D11801" s="29" t="s">
        <v>41080</v>
      </c>
      <c r="E11801" s="29" t="s">
        <v>46375</v>
      </c>
      <c r="F11801" s="36" t="s">
        <v>54401</v>
      </c>
      <c r="G11801" s="39">
        <v>136613.46</v>
      </c>
      <c r="H11801" s="42">
        <v>211</v>
      </c>
    </row>
    <row r="11802" spans="1:8" ht="15" customHeight="1">
      <c r="A11802" s="26">
        <v>1052394016</v>
      </c>
      <c r="B11802" s="29" t="s">
        <v>14013</v>
      </c>
      <c r="C11802" s="29" t="s">
        <v>27595</v>
      </c>
      <c r="D11802" s="29" t="s">
        <v>41081</v>
      </c>
      <c r="E11802" s="29" t="s">
        <v>52513</v>
      </c>
      <c r="F11802" s="36" t="s">
        <v>54401</v>
      </c>
      <c r="G11802" s="39">
        <v>1770487.72</v>
      </c>
      <c r="H11802" s="42">
        <v>211</v>
      </c>
    </row>
    <row r="11803" spans="1:8" ht="15" customHeight="1">
      <c r="A11803" s="26">
        <v>1052394031</v>
      </c>
      <c r="B11803" s="29" t="s">
        <v>14014</v>
      </c>
      <c r="C11803" s="29" t="s">
        <v>27596</v>
      </c>
      <c r="D11803" s="29" t="s">
        <v>41082</v>
      </c>
      <c r="E11803" s="29" t="s">
        <v>52514</v>
      </c>
      <c r="F11803" s="36" t="s">
        <v>54401</v>
      </c>
      <c r="G11803" s="39">
        <v>432990.1</v>
      </c>
      <c r="H11803" s="42">
        <v>211</v>
      </c>
    </row>
    <row r="11804" spans="1:8" ht="15" customHeight="1">
      <c r="A11804" s="26">
        <v>1052394043</v>
      </c>
      <c r="B11804" s="29" t="s">
        <v>14015</v>
      </c>
      <c r="C11804" s="29" t="s">
        <v>27597</v>
      </c>
      <c r="D11804" s="29" t="s">
        <v>41083</v>
      </c>
      <c r="E11804" s="29" t="s">
        <v>52515</v>
      </c>
      <c r="F11804" s="36" t="s">
        <v>54401</v>
      </c>
      <c r="G11804" s="39">
        <v>3516832.57</v>
      </c>
      <c r="H11804" s="42">
        <v>211</v>
      </c>
    </row>
    <row r="11805" spans="1:8" ht="15" customHeight="1">
      <c r="A11805" s="26">
        <v>1052394047</v>
      </c>
      <c r="B11805" s="29" t="s">
        <v>14016</v>
      </c>
      <c r="C11805" s="29" t="s">
        <v>27598</v>
      </c>
      <c r="D11805" s="29" t="s">
        <v>41084</v>
      </c>
      <c r="E11805" s="29" t="s">
        <v>52516</v>
      </c>
      <c r="F11805" s="36" t="s">
        <v>54401</v>
      </c>
      <c r="G11805" s="39">
        <v>762345.41</v>
      </c>
      <c r="H11805" s="42">
        <v>211</v>
      </c>
    </row>
    <row r="11806" spans="1:8" ht="15" customHeight="1">
      <c r="A11806" s="26">
        <v>1052394059</v>
      </c>
      <c r="B11806" s="29" t="s">
        <v>14017</v>
      </c>
      <c r="C11806" s="29" t="s">
        <v>27599</v>
      </c>
      <c r="D11806" s="29" t="s">
        <v>41085</v>
      </c>
      <c r="E11806" s="29" t="s">
        <v>52517</v>
      </c>
      <c r="F11806" s="36" t="s">
        <v>54401</v>
      </c>
      <c r="G11806" s="39">
        <v>3848846</v>
      </c>
      <c r="H11806" s="42">
        <v>211</v>
      </c>
    </row>
    <row r="11807" spans="1:8" ht="15" customHeight="1">
      <c r="A11807" s="26">
        <v>1052394087</v>
      </c>
      <c r="B11807" s="29" t="s">
        <v>14018</v>
      </c>
      <c r="C11807" s="29" t="s">
        <v>27600</v>
      </c>
      <c r="D11807" s="29" t="s">
        <v>41086</v>
      </c>
      <c r="E11807" s="29" t="s">
        <v>45950</v>
      </c>
      <c r="F11807" s="36" t="s">
        <v>54401</v>
      </c>
      <c r="G11807" s="39">
        <v>4195071.99</v>
      </c>
      <c r="H11807" s="42">
        <v>211</v>
      </c>
    </row>
    <row r="11808" spans="1:8" ht="15" customHeight="1">
      <c r="A11808" s="26">
        <v>1052394090</v>
      </c>
      <c r="B11808" s="29" t="s">
        <v>14019</v>
      </c>
      <c r="C11808" s="29" t="s">
        <v>27601</v>
      </c>
      <c r="D11808" s="29" t="s">
        <v>41087</v>
      </c>
      <c r="E11808" s="29" t="s">
        <v>52518</v>
      </c>
      <c r="F11808" s="36" t="s">
        <v>54401</v>
      </c>
      <c r="G11808" s="39">
        <v>4395107.2300000004</v>
      </c>
      <c r="H11808" s="42">
        <v>211</v>
      </c>
    </row>
    <row r="11809" spans="1:8" ht="15" customHeight="1">
      <c r="A11809" s="26">
        <v>1052394131</v>
      </c>
      <c r="B11809" s="29" t="s">
        <v>14020</v>
      </c>
      <c r="C11809" s="29" t="s">
        <v>27602</v>
      </c>
      <c r="D11809" s="29" t="s">
        <v>41088</v>
      </c>
      <c r="E11809" s="29" t="s">
        <v>44025</v>
      </c>
      <c r="F11809" s="36" t="s">
        <v>54401</v>
      </c>
      <c r="G11809" s="39">
        <v>964139.11</v>
      </c>
      <c r="H11809" s="42">
        <v>211</v>
      </c>
    </row>
    <row r="11810" spans="1:8" ht="15" customHeight="1">
      <c r="A11810" s="26">
        <v>1052394134</v>
      </c>
      <c r="B11810" s="29" t="s">
        <v>14021</v>
      </c>
      <c r="C11810" s="29" t="s">
        <v>27603</v>
      </c>
      <c r="D11810" s="29" t="s">
        <v>41089</v>
      </c>
      <c r="E11810" s="29" t="s">
        <v>44313</v>
      </c>
      <c r="F11810" s="36" t="s">
        <v>54401</v>
      </c>
      <c r="G11810" s="39">
        <v>4375406</v>
      </c>
      <c r="H11810" s="42">
        <v>211</v>
      </c>
    </row>
    <row r="11811" spans="1:8" ht="15" customHeight="1">
      <c r="A11811" s="26">
        <v>1052394146</v>
      </c>
      <c r="B11811" s="29" t="s">
        <v>14022</v>
      </c>
      <c r="C11811" s="29" t="s">
        <v>27604</v>
      </c>
      <c r="D11811" s="29" t="s">
        <v>41090</v>
      </c>
      <c r="E11811" s="29" t="s">
        <v>52519</v>
      </c>
      <c r="F11811" s="36" t="s">
        <v>54401</v>
      </c>
      <c r="G11811" s="39">
        <v>216584.8</v>
      </c>
      <c r="H11811" s="42">
        <v>211</v>
      </c>
    </row>
    <row r="11812" spans="1:8" ht="15" customHeight="1">
      <c r="A11812" s="26">
        <v>1052394163</v>
      </c>
      <c r="B11812" s="29" t="s">
        <v>14023</v>
      </c>
      <c r="C11812" s="29" t="s">
        <v>27605</v>
      </c>
      <c r="D11812" s="29" t="s">
        <v>30349</v>
      </c>
      <c r="E11812" s="29" t="s">
        <v>43926</v>
      </c>
      <c r="F11812" s="36" t="s">
        <v>54401</v>
      </c>
      <c r="G11812" s="39">
        <v>681102.22</v>
      </c>
      <c r="H11812" s="42">
        <v>211</v>
      </c>
    </row>
    <row r="11813" spans="1:8" ht="15" customHeight="1">
      <c r="A11813" s="26">
        <v>1052394169</v>
      </c>
      <c r="B11813" s="29" t="s">
        <v>14024</v>
      </c>
      <c r="C11813" s="29" t="s">
        <v>27606</v>
      </c>
      <c r="D11813" s="29" t="s">
        <v>41091</v>
      </c>
      <c r="E11813" s="29" t="s">
        <v>47326</v>
      </c>
      <c r="F11813" s="36" t="s">
        <v>54401</v>
      </c>
      <c r="G11813" s="39">
        <v>3981125.75</v>
      </c>
      <c r="H11813" s="42">
        <v>211</v>
      </c>
    </row>
    <row r="11814" spans="1:8" ht="15" customHeight="1">
      <c r="A11814" s="26">
        <v>1052394203</v>
      </c>
      <c r="B11814" s="29" t="s">
        <v>14025</v>
      </c>
      <c r="C11814" s="29" t="s">
        <v>27607</v>
      </c>
      <c r="D11814" s="29" t="s">
        <v>41092</v>
      </c>
      <c r="E11814" s="29" t="s">
        <v>52520</v>
      </c>
      <c r="F11814" s="36" t="s">
        <v>54401</v>
      </c>
      <c r="G11814" s="39">
        <v>1469892.32</v>
      </c>
      <c r="H11814" s="42">
        <v>211</v>
      </c>
    </row>
    <row r="11815" spans="1:8" ht="15" customHeight="1">
      <c r="A11815" s="26">
        <v>1052394216</v>
      </c>
      <c r="B11815" s="29" t="s">
        <v>14026</v>
      </c>
      <c r="C11815" s="29" t="s">
        <v>27608</v>
      </c>
      <c r="D11815" s="29" t="s">
        <v>41093</v>
      </c>
      <c r="E11815" s="29" t="s">
        <v>44536</v>
      </c>
      <c r="F11815" s="36" t="s">
        <v>54401</v>
      </c>
      <c r="G11815" s="39">
        <v>5904929</v>
      </c>
      <c r="H11815" s="42">
        <v>211</v>
      </c>
    </row>
    <row r="11816" spans="1:8" ht="15" customHeight="1">
      <c r="A11816" s="26">
        <v>1052394220</v>
      </c>
      <c r="B11816" s="29" t="s">
        <v>14027</v>
      </c>
      <c r="C11816" s="29" t="s">
        <v>27609</v>
      </c>
      <c r="D11816" s="29" t="s">
        <v>41094</v>
      </c>
      <c r="E11816" s="29" t="s">
        <v>52521</v>
      </c>
      <c r="F11816" s="36" t="s">
        <v>54401</v>
      </c>
      <c r="G11816" s="39">
        <v>33646.19</v>
      </c>
      <c r="H11816" s="42">
        <v>211</v>
      </c>
    </row>
    <row r="11817" spans="1:8" ht="15" customHeight="1">
      <c r="A11817" s="26">
        <v>1052394227</v>
      </c>
      <c r="B11817" s="29" t="s">
        <v>14028</v>
      </c>
      <c r="C11817" s="29" t="s">
        <v>27610</v>
      </c>
      <c r="D11817" s="29" t="s">
        <v>41095</v>
      </c>
      <c r="E11817" s="29" t="s">
        <v>44973</v>
      </c>
      <c r="F11817" s="36" t="s">
        <v>54401</v>
      </c>
      <c r="G11817" s="39">
        <v>226230.72</v>
      </c>
      <c r="H11817" s="42">
        <v>211</v>
      </c>
    </row>
    <row r="11818" spans="1:8" ht="15" customHeight="1">
      <c r="A11818" s="26">
        <v>1052394262</v>
      </c>
      <c r="B11818" s="29" t="s">
        <v>14029</v>
      </c>
      <c r="C11818" s="29" t="s">
        <v>27611</v>
      </c>
      <c r="D11818" s="29" t="s">
        <v>41096</v>
      </c>
      <c r="E11818" s="29" t="s">
        <v>52522</v>
      </c>
      <c r="F11818" s="36" t="s">
        <v>54401</v>
      </c>
      <c r="G11818" s="39">
        <v>3351185.89</v>
      </c>
      <c r="H11818" s="42">
        <v>211</v>
      </c>
    </row>
    <row r="11819" spans="1:8" ht="15" customHeight="1">
      <c r="A11819" s="26">
        <v>1052394282</v>
      </c>
      <c r="B11819" s="29" t="s">
        <v>14030</v>
      </c>
      <c r="C11819" s="29" t="s">
        <v>27612</v>
      </c>
      <c r="D11819" s="29" t="s">
        <v>30349</v>
      </c>
      <c r="E11819" s="29" t="s">
        <v>43926</v>
      </c>
      <c r="F11819" s="36" t="s">
        <v>54401</v>
      </c>
      <c r="G11819" s="39">
        <v>362472.12</v>
      </c>
      <c r="H11819" s="42">
        <v>211</v>
      </c>
    </row>
    <row r="11820" spans="1:8" ht="15" customHeight="1">
      <c r="A11820" s="26">
        <v>1052394303</v>
      </c>
      <c r="B11820" s="29" t="s">
        <v>14031</v>
      </c>
      <c r="C11820" s="29" t="s">
        <v>27613</v>
      </c>
      <c r="D11820" s="29" t="s">
        <v>41097</v>
      </c>
      <c r="E11820" s="29" t="s">
        <v>52523</v>
      </c>
      <c r="F11820" s="36" t="s">
        <v>54401</v>
      </c>
      <c r="G11820" s="39">
        <v>1158046.17</v>
      </c>
      <c r="H11820" s="42">
        <v>211</v>
      </c>
    </row>
    <row r="11821" spans="1:8" ht="15" customHeight="1">
      <c r="A11821" s="26">
        <v>1052394309</v>
      </c>
      <c r="B11821" s="29" t="s">
        <v>14032</v>
      </c>
      <c r="C11821" s="29" t="s">
        <v>17204</v>
      </c>
      <c r="D11821" s="29" t="s">
        <v>41098</v>
      </c>
      <c r="E11821" s="29" t="s">
        <v>43926</v>
      </c>
      <c r="F11821" s="36" t="s">
        <v>54401</v>
      </c>
      <c r="G11821" s="39">
        <v>1159220.17</v>
      </c>
      <c r="H11821" s="42">
        <v>211</v>
      </c>
    </row>
    <row r="11822" spans="1:8" ht="15" customHeight="1">
      <c r="A11822" s="26">
        <v>1052394315</v>
      </c>
      <c r="B11822" s="29" t="s">
        <v>14033</v>
      </c>
      <c r="C11822" s="29" t="s">
        <v>27614</v>
      </c>
      <c r="D11822" s="29" t="s">
        <v>41099</v>
      </c>
      <c r="E11822" s="29" t="s">
        <v>52524</v>
      </c>
      <c r="F11822" s="36" t="s">
        <v>54401</v>
      </c>
      <c r="G11822" s="39">
        <v>604044.28</v>
      </c>
      <c r="H11822" s="42">
        <v>211</v>
      </c>
    </row>
    <row r="11823" spans="1:8" ht="15" customHeight="1">
      <c r="A11823" s="26">
        <v>1052394316</v>
      </c>
      <c r="B11823" s="29" t="s">
        <v>14034</v>
      </c>
      <c r="C11823" s="29" t="s">
        <v>27615</v>
      </c>
      <c r="D11823" s="29" t="s">
        <v>41100</v>
      </c>
      <c r="E11823" s="29" t="s">
        <v>52525</v>
      </c>
      <c r="F11823" s="36" t="s">
        <v>54401</v>
      </c>
      <c r="G11823" s="39">
        <v>966255.18</v>
      </c>
      <c r="H11823" s="42">
        <v>211</v>
      </c>
    </row>
    <row r="11824" spans="1:8" ht="15" customHeight="1">
      <c r="A11824" s="26">
        <v>1052394321</v>
      </c>
      <c r="B11824" s="29" t="s">
        <v>14035</v>
      </c>
      <c r="C11824" s="29" t="s">
        <v>27616</v>
      </c>
      <c r="D11824" s="29" t="s">
        <v>41101</v>
      </c>
      <c r="E11824" s="29" t="s">
        <v>52526</v>
      </c>
      <c r="F11824" s="36" t="s">
        <v>54401</v>
      </c>
      <c r="G11824" s="39">
        <v>1764513.25</v>
      </c>
      <c r="H11824" s="42">
        <v>211</v>
      </c>
    </row>
    <row r="11825" spans="1:8" ht="15" customHeight="1">
      <c r="A11825" s="26">
        <v>1052394340</v>
      </c>
      <c r="B11825" s="29" t="s">
        <v>14036</v>
      </c>
      <c r="C11825" s="26" t="s">
        <v>27617</v>
      </c>
      <c r="D11825" s="26" t="s">
        <v>41102</v>
      </c>
      <c r="E11825" s="26" t="s">
        <v>52527</v>
      </c>
      <c r="F11825" s="37" t="s">
        <v>54401</v>
      </c>
      <c r="G11825" s="39">
        <v>560400.30000000005</v>
      </c>
      <c r="H11825" s="42">
        <v>211</v>
      </c>
    </row>
    <row r="11826" spans="1:8" ht="15" customHeight="1">
      <c r="A11826" s="26">
        <v>1052394347</v>
      </c>
      <c r="B11826" s="29" t="s">
        <v>14037</v>
      </c>
      <c r="C11826" s="29" t="s">
        <v>25133</v>
      </c>
      <c r="D11826" s="29" t="s">
        <v>41103</v>
      </c>
      <c r="E11826" s="29" t="s">
        <v>45603</v>
      </c>
      <c r="F11826" s="36" t="s">
        <v>54401</v>
      </c>
      <c r="G11826" s="39">
        <v>6324242</v>
      </c>
      <c r="H11826" s="42">
        <v>211</v>
      </c>
    </row>
    <row r="11827" spans="1:8" ht="15" customHeight="1">
      <c r="A11827" s="26">
        <v>1052394363</v>
      </c>
      <c r="B11827" s="29" t="s">
        <v>14038</v>
      </c>
      <c r="C11827" s="29" t="s">
        <v>27618</v>
      </c>
      <c r="D11827" s="29" t="s">
        <v>41104</v>
      </c>
      <c r="E11827" s="29" t="s">
        <v>52528</v>
      </c>
      <c r="F11827" s="36" t="s">
        <v>54401</v>
      </c>
      <c r="G11827" s="39">
        <v>5654319</v>
      </c>
      <c r="H11827" s="42">
        <v>211</v>
      </c>
    </row>
    <row r="11828" spans="1:8" ht="15" customHeight="1">
      <c r="A11828" s="26">
        <v>1052394366</v>
      </c>
      <c r="B11828" s="29" t="s">
        <v>14039</v>
      </c>
      <c r="C11828" s="29" t="s">
        <v>27619</v>
      </c>
      <c r="D11828" s="29" t="s">
        <v>41105</v>
      </c>
      <c r="E11828" s="29" t="s">
        <v>52529</v>
      </c>
      <c r="F11828" s="36" t="s">
        <v>54401</v>
      </c>
      <c r="G11828" s="39">
        <v>46368.07</v>
      </c>
      <c r="H11828" s="42">
        <v>211</v>
      </c>
    </row>
    <row r="11829" spans="1:8" ht="15" customHeight="1">
      <c r="A11829" s="26">
        <v>1052394393</v>
      </c>
      <c r="B11829" s="29" t="s">
        <v>14040</v>
      </c>
      <c r="C11829" s="29" t="s">
        <v>27620</v>
      </c>
      <c r="D11829" s="29" t="s">
        <v>41106</v>
      </c>
      <c r="E11829" s="29" t="s">
        <v>52530</v>
      </c>
      <c r="F11829" s="36" t="s">
        <v>54401</v>
      </c>
      <c r="G11829" s="39">
        <v>2325046</v>
      </c>
      <c r="H11829" s="42">
        <v>211</v>
      </c>
    </row>
    <row r="11830" spans="1:8" ht="15" customHeight="1">
      <c r="A11830" s="26">
        <v>1052394404</v>
      </c>
      <c r="B11830" s="29" t="s">
        <v>14041</v>
      </c>
      <c r="C11830" s="29" t="s">
        <v>17204</v>
      </c>
      <c r="D11830" s="29" t="s">
        <v>30349</v>
      </c>
      <c r="E11830" s="29" t="s">
        <v>43926</v>
      </c>
      <c r="F11830" s="36" t="s">
        <v>54401</v>
      </c>
      <c r="G11830" s="39">
        <v>3402010</v>
      </c>
      <c r="H11830" s="42">
        <v>211</v>
      </c>
    </row>
    <row r="11831" spans="1:8" ht="15" customHeight="1">
      <c r="A11831" s="26">
        <v>1052394409</v>
      </c>
      <c r="B11831" s="29" t="s">
        <v>14042</v>
      </c>
      <c r="C11831" s="29" t="s">
        <v>27621</v>
      </c>
      <c r="D11831" s="29" t="s">
        <v>41107</v>
      </c>
      <c r="E11831" s="29" t="s">
        <v>52531</v>
      </c>
      <c r="F11831" s="36" t="s">
        <v>54401</v>
      </c>
      <c r="G11831" s="39">
        <v>5563855.0800000001</v>
      </c>
      <c r="H11831" s="42">
        <v>211</v>
      </c>
    </row>
    <row r="11832" spans="1:8" ht="15" customHeight="1">
      <c r="A11832" s="26">
        <v>1052394413</v>
      </c>
      <c r="B11832" s="29" t="s">
        <v>14043</v>
      </c>
      <c r="C11832" s="29" t="s">
        <v>27622</v>
      </c>
      <c r="D11832" s="29" t="s">
        <v>41108</v>
      </c>
      <c r="E11832" s="29" t="s">
        <v>52532</v>
      </c>
      <c r="F11832" s="36" t="s">
        <v>54401</v>
      </c>
      <c r="G11832" s="39">
        <v>3424552</v>
      </c>
      <c r="H11832" s="42">
        <v>211</v>
      </c>
    </row>
    <row r="11833" spans="1:8" ht="15" customHeight="1">
      <c r="A11833" s="26">
        <v>1052394422</v>
      </c>
      <c r="B11833" s="29" t="s">
        <v>14044</v>
      </c>
      <c r="C11833" s="29" t="s">
        <v>27623</v>
      </c>
      <c r="D11833" s="29" t="s">
        <v>41109</v>
      </c>
      <c r="E11833" s="29" t="s">
        <v>52533</v>
      </c>
      <c r="F11833" s="36" t="s">
        <v>54401</v>
      </c>
      <c r="G11833" s="39">
        <v>1302320.1399999999</v>
      </c>
      <c r="H11833" s="42">
        <v>211</v>
      </c>
    </row>
    <row r="11834" spans="1:8" ht="15" customHeight="1">
      <c r="A11834" s="26">
        <v>1052394425</v>
      </c>
      <c r="B11834" s="29" t="s">
        <v>14045</v>
      </c>
      <c r="C11834" s="29" t="s">
        <v>27624</v>
      </c>
      <c r="D11834" s="29" t="s">
        <v>41110</v>
      </c>
      <c r="E11834" s="29" t="s">
        <v>52534</v>
      </c>
      <c r="F11834" s="36" t="s">
        <v>54401</v>
      </c>
      <c r="G11834" s="39">
        <v>901947.78</v>
      </c>
      <c r="H11834" s="42">
        <v>211</v>
      </c>
    </row>
    <row r="11835" spans="1:8" ht="15" customHeight="1">
      <c r="A11835" s="26">
        <v>1052394428</v>
      </c>
      <c r="B11835" s="29" t="s">
        <v>14046</v>
      </c>
      <c r="C11835" s="29" t="s">
        <v>27625</v>
      </c>
      <c r="D11835" s="29" t="s">
        <v>41111</v>
      </c>
      <c r="E11835" s="29" t="s">
        <v>52535</v>
      </c>
      <c r="F11835" s="36" t="s">
        <v>54401</v>
      </c>
      <c r="G11835" s="39">
        <v>5682484.4900000002</v>
      </c>
      <c r="H11835" s="42">
        <v>211</v>
      </c>
    </row>
    <row r="11836" spans="1:8" ht="15" customHeight="1">
      <c r="A11836" s="26">
        <v>1052394437</v>
      </c>
      <c r="B11836" s="29" t="s">
        <v>14047</v>
      </c>
      <c r="C11836" s="29" t="s">
        <v>27626</v>
      </c>
      <c r="D11836" s="29" t="s">
        <v>41112</v>
      </c>
      <c r="E11836" s="29" t="s">
        <v>52536</v>
      </c>
      <c r="F11836" s="36" t="s">
        <v>54401</v>
      </c>
      <c r="G11836" s="39">
        <v>1327051.1499999999</v>
      </c>
      <c r="H11836" s="42">
        <v>211</v>
      </c>
    </row>
    <row r="11837" spans="1:8" ht="15" customHeight="1">
      <c r="A11837" s="26">
        <v>1052394480</v>
      </c>
      <c r="B11837" s="29" t="s">
        <v>14048</v>
      </c>
      <c r="C11837" s="29" t="s">
        <v>27627</v>
      </c>
      <c r="D11837" s="29" t="s">
        <v>41113</v>
      </c>
      <c r="E11837" s="29" t="s">
        <v>52537</v>
      </c>
      <c r="F11837" s="36" t="s">
        <v>54401</v>
      </c>
      <c r="G11837" s="39">
        <v>3862139</v>
      </c>
      <c r="H11837" s="42">
        <v>211</v>
      </c>
    </row>
    <row r="11838" spans="1:8" ht="15" customHeight="1">
      <c r="A11838" s="26">
        <v>1052394489</v>
      </c>
      <c r="B11838" s="29" t="s">
        <v>14049</v>
      </c>
      <c r="C11838" s="29" t="s">
        <v>27628</v>
      </c>
      <c r="D11838" s="29" t="s">
        <v>41114</v>
      </c>
      <c r="E11838" s="29" t="s">
        <v>43926</v>
      </c>
      <c r="F11838" s="36" t="s">
        <v>54401</v>
      </c>
      <c r="G11838" s="39">
        <v>6573344</v>
      </c>
      <c r="H11838" s="42">
        <v>211</v>
      </c>
    </row>
    <row r="11839" spans="1:8" ht="15" customHeight="1">
      <c r="A11839" s="26">
        <v>1052394493</v>
      </c>
      <c r="B11839" s="29" t="s">
        <v>14050</v>
      </c>
      <c r="C11839" s="29" t="s">
        <v>27629</v>
      </c>
      <c r="D11839" s="29" t="s">
        <v>41115</v>
      </c>
      <c r="E11839" s="29" t="s">
        <v>52538</v>
      </c>
      <c r="F11839" s="36" t="s">
        <v>54401</v>
      </c>
      <c r="G11839" s="39">
        <v>3828096</v>
      </c>
      <c r="H11839" s="42">
        <v>211</v>
      </c>
    </row>
    <row r="11840" spans="1:8" ht="15" customHeight="1">
      <c r="A11840" s="26">
        <v>1052394526</v>
      </c>
      <c r="B11840" s="29" t="s">
        <v>14051</v>
      </c>
      <c r="C11840" s="29" t="s">
        <v>27630</v>
      </c>
      <c r="D11840" s="29" t="s">
        <v>41116</v>
      </c>
      <c r="E11840" s="29" t="s">
        <v>52539</v>
      </c>
      <c r="F11840" s="36" t="s">
        <v>54401</v>
      </c>
      <c r="G11840" s="39">
        <v>254836.02</v>
      </c>
      <c r="H11840" s="42">
        <v>211</v>
      </c>
    </row>
    <row r="11841" spans="1:8" ht="15" customHeight="1">
      <c r="A11841" s="26">
        <v>1052394535</v>
      </c>
      <c r="B11841" s="29" t="s">
        <v>14052</v>
      </c>
      <c r="C11841" s="29" t="s">
        <v>27631</v>
      </c>
      <c r="D11841" s="29" t="s">
        <v>41117</v>
      </c>
      <c r="E11841" s="29" t="s">
        <v>52540</v>
      </c>
      <c r="F11841" s="36" t="s">
        <v>54401</v>
      </c>
      <c r="G11841" s="39">
        <v>77180.56</v>
      </c>
      <c r="H11841" s="42">
        <v>211</v>
      </c>
    </row>
    <row r="11842" spans="1:8" ht="15" customHeight="1">
      <c r="A11842" s="26">
        <v>1052394560</v>
      </c>
      <c r="B11842" s="29" t="s">
        <v>14053</v>
      </c>
      <c r="C11842" s="29" t="s">
        <v>27632</v>
      </c>
      <c r="D11842" s="29" t="s">
        <v>40638</v>
      </c>
      <c r="E11842" s="29" t="s">
        <v>52541</v>
      </c>
      <c r="F11842" s="36" t="s">
        <v>54401</v>
      </c>
      <c r="G11842" s="39">
        <v>8081330</v>
      </c>
      <c r="H11842" s="42">
        <v>211</v>
      </c>
    </row>
    <row r="11843" spans="1:8" ht="15" customHeight="1">
      <c r="A11843" s="26">
        <v>1052394563</v>
      </c>
      <c r="B11843" s="29" t="s">
        <v>14054</v>
      </c>
      <c r="C11843" s="26" t="s">
        <v>27633</v>
      </c>
      <c r="D11843" s="26" t="s">
        <v>41118</v>
      </c>
      <c r="E11843" s="26" t="s">
        <v>48267</v>
      </c>
      <c r="F11843" s="37" t="s">
        <v>54401</v>
      </c>
      <c r="G11843" s="39">
        <v>33831.93</v>
      </c>
      <c r="H11843" s="42">
        <v>211</v>
      </c>
    </row>
    <row r="11844" spans="1:8" ht="15" customHeight="1">
      <c r="A11844" s="26">
        <v>1052394565</v>
      </c>
      <c r="B11844" s="29" t="s">
        <v>14055</v>
      </c>
      <c r="C11844" s="29" t="s">
        <v>27634</v>
      </c>
      <c r="D11844" s="29" t="s">
        <v>41119</v>
      </c>
      <c r="E11844" s="29" t="s">
        <v>52542</v>
      </c>
      <c r="F11844" s="36" t="s">
        <v>54401</v>
      </c>
      <c r="G11844" s="39">
        <v>237267.58</v>
      </c>
      <c r="H11844" s="42">
        <v>211</v>
      </c>
    </row>
    <row r="11845" spans="1:8" ht="15" customHeight="1">
      <c r="A11845" s="26">
        <v>1052394587</v>
      </c>
      <c r="B11845" s="29" t="s">
        <v>14056</v>
      </c>
      <c r="C11845" s="29" t="s">
        <v>27635</v>
      </c>
      <c r="D11845" s="29" t="s">
        <v>41120</v>
      </c>
      <c r="E11845" s="29" t="s">
        <v>43926</v>
      </c>
      <c r="F11845" s="36" t="s">
        <v>54401</v>
      </c>
      <c r="G11845" s="39">
        <v>610769.59</v>
      </c>
      <c r="H11845" s="42">
        <v>211</v>
      </c>
    </row>
    <row r="11846" spans="1:8" ht="15" customHeight="1">
      <c r="A11846" s="26">
        <v>1052394598</v>
      </c>
      <c r="B11846" s="29" t="s">
        <v>14057</v>
      </c>
      <c r="C11846" s="29" t="s">
        <v>27636</v>
      </c>
      <c r="D11846" s="29" t="s">
        <v>41121</v>
      </c>
      <c r="E11846" s="29" t="s">
        <v>52543</v>
      </c>
      <c r="F11846" s="36" t="s">
        <v>54401</v>
      </c>
      <c r="G11846" s="39">
        <v>1012847.83</v>
      </c>
      <c r="H11846" s="42">
        <v>211</v>
      </c>
    </row>
    <row r="11847" spans="1:8" ht="15" customHeight="1">
      <c r="A11847" s="26">
        <v>1052394608</v>
      </c>
      <c r="B11847" s="29" t="s">
        <v>14058</v>
      </c>
      <c r="C11847" s="29" t="s">
        <v>27637</v>
      </c>
      <c r="D11847" s="29" t="s">
        <v>41122</v>
      </c>
      <c r="E11847" s="29" t="s">
        <v>45514</v>
      </c>
      <c r="F11847" s="36" t="s">
        <v>54401</v>
      </c>
      <c r="G11847" s="39">
        <v>3309947</v>
      </c>
      <c r="H11847" s="42">
        <v>211</v>
      </c>
    </row>
    <row r="11848" spans="1:8" ht="15" customHeight="1">
      <c r="A11848" s="26">
        <v>1052394615</v>
      </c>
      <c r="B11848" s="29" t="s">
        <v>14059</v>
      </c>
      <c r="C11848" s="29" t="s">
        <v>27638</v>
      </c>
      <c r="D11848" s="29" t="s">
        <v>41123</v>
      </c>
      <c r="E11848" s="29" t="s">
        <v>44973</v>
      </c>
      <c r="F11848" s="36" t="s">
        <v>54401</v>
      </c>
      <c r="G11848" s="39">
        <v>1174710.31</v>
      </c>
      <c r="H11848" s="42">
        <v>211</v>
      </c>
    </row>
    <row r="11849" spans="1:8" ht="15" customHeight="1">
      <c r="A11849" s="26">
        <v>1052394626</v>
      </c>
      <c r="B11849" s="29" t="s">
        <v>14060</v>
      </c>
      <c r="C11849" s="29" t="s">
        <v>27639</v>
      </c>
      <c r="D11849" s="29" t="s">
        <v>31893</v>
      </c>
      <c r="E11849" s="29" t="s">
        <v>52544</v>
      </c>
      <c r="F11849" s="36" t="s">
        <v>54401</v>
      </c>
      <c r="G11849" s="39">
        <v>759390.52</v>
      </c>
      <c r="H11849" s="42">
        <v>211</v>
      </c>
    </row>
    <row r="11850" spans="1:8" ht="15" customHeight="1">
      <c r="A11850" s="26">
        <v>1052394641</v>
      </c>
      <c r="B11850" s="29" t="s">
        <v>14061</v>
      </c>
      <c r="C11850" s="29" t="s">
        <v>27640</v>
      </c>
      <c r="D11850" s="29" t="s">
        <v>41124</v>
      </c>
      <c r="E11850" s="29" t="s">
        <v>52545</v>
      </c>
      <c r="F11850" s="36" t="s">
        <v>54401</v>
      </c>
      <c r="G11850" s="39">
        <v>431947.73</v>
      </c>
      <c r="H11850" s="42">
        <v>211</v>
      </c>
    </row>
    <row r="11851" spans="1:8" ht="15" customHeight="1">
      <c r="A11851" s="26">
        <v>1052394672</v>
      </c>
      <c r="B11851" s="29" t="s">
        <v>14062</v>
      </c>
      <c r="C11851" s="29" t="s">
        <v>27641</v>
      </c>
      <c r="D11851" s="29" t="s">
        <v>41125</v>
      </c>
      <c r="E11851" s="29" t="s">
        <v>52546</v>
      </c>
      <c r="F11851" s="36" t="s">
        <v>54401</v>
      </c>
      <c r="G11851" s="39">
        <v>349365.06</v>
      </c>
      <c r="H11851" s="42">
        <v>211</v>
      </c>
    </row>
    <row r="11852" spans="1:8" ht="15" customHeight="1">
      <c r="A11852" s="26">
        <v>1052394690</v>
      </c>
      <c r="B11852" s="29" t="s">
        <v>14063</v>
      </c>
      <c r="C11852" s="29" t="s">
        <v>27642</v>
      </c>
      <c r="D11852" s="29" t="s">
        <v>41126</v>
      </c>
      <c r="E11852" s="29" t="s">
        <v>52547</v>
      </c>
      <c r="F11852" s="36" t="s">
        <v>54401</v>
      </c>
      <c r="G11852" s="39">
        <v>1673162.3</v>
      </c>
      <c r="H11852" s="42">
        <v>211</v>
      </c>
    </row>
    <row r="11853" spans="1:8" ht="15" customHeight="1">
      <c r="A11853" s="26">
        <v>1052394692</v>
      </c>
      <c r="B11853" s="29" t="s">
        <v>14064</v>
      </c>
      <c r="C11853" s="29" t="s">
        <v>27643</v>
      </c>
      <c r="D11853" s="29" t="s">
        <v>41127</v>
      </c>
      <c r="E11853" s="29" t="s">
        <v>52548</v>
      </c>
      <c r="F11853" s="36" t="s">
        <v>54401</v>
      </c>
      <c r="G11853" s="39">
        <v>163866.01</v>
      </c>
      <c r="H11853" s="42">
        <v>211</v>
      </c>
    </row>
    <row r="11854" spans="1:8" ht="15" customHeight="1">
      <c r="A11854" s="26">
        <v>1052394703</v>
      </c>
      <c r="B11854" s="29" t="s">
        <v>14065</v>
      </c>
      <c r="C11854" s="29" t="s">
        <v>27644</v>
      </c>
      <c r="D11854" s="29" t="s">
        <v>41128</v>
      </c>
      <c r="E11854" s="29" t="s">
        <v>52549</v>
      </c>
      <c r="F11854" s="36" t="s">
        <v>54401</v>
      </c>
      <c r="G11854" s="39">
        <v>381533.2</v>
      </c>
      <c r="H11854" s="42">
        <v>211</v>
      </c>
    </row>
    <row r="11855" spans="1:8" ht="15" customHeight="1">
      <c r="A11855" s="26">
        <v>1052394732</v>
      </c>
      <c r="B11855" s="29" t="s">
        <v>14066</v>
      </c>
      <c r="C11855" s="29" t="s">
        <v>27645</v>
      </c>
      <c r="D11855" s="29" t="s">
        <v>41129</v>
      </c>
      <c r="E11855" s="29" t="s">
        <v>51214</v>
      </c>
      <c r="F11855" s="36" t="s">
        <v>54401</v>
      </c>
      <c r="G11855" s="39">
        <v>63921.919999999998</v>
      </c>
      <c r="H11855" s="42">
        <v>211</v>
      </c>
    </row>
    <row r="11856" spans="1:8" ht="15" customHeight="1">
      <c r="A11856" s="26">
        <v>1052394733</v>
      </c>
      <c r="B11856" s="29" t="s">
        <v>14067</v>
      </c>
      <c r="C11856" s="29" t="s">
        <v>27646</v>
      </c>
      <c r="D11856" s="29" t="s">
        <v>41130</v>
      </c>
      <c r="E11856" s="29" t="s">
        <v>50938</v>
      </c>
      <c r="F11856" s="36" t="s">
        <v>54401</v>
      </c>
      <c r="G11856" s="39">
        <v>4714274.8499999996</v>
      </c>
      <c r="H11856" s="42">
        <v>211</v>
      </c>
    </row>
    <row r="11857" spans="1:8" ht="15" customHeight="1">
      <c r="A11857" s="26">
        <v>1052394738</v>
      </c>
      <c r="B11857" s="29" t="s">
        <v>14068</v>
      </c>
      <c r="C11857" s="29" t="s">
        <v>27647</v>
      </c>
      <c r="D11857" s="29" t="s">
        <v>41131</v>
      </c>
      <c r="E11857" s="29" t="s">
        <v>870</v>
      </c>
      <c r="F11857" s="36" t="s">
        <v>54401</v>
      </c>
      <c r="G11857" s="39">
        <v>1487102.73</v>
      </c>
      <c r="H11857" s="42">
        <v>211</v>
      </c>
    </row>
    <row r="11858" spans="1:8" ht="15" customHeight="1">
      <c r="A11858" s="26">
        <v>1052394739</v>
      </c>
      <c r="B11858" s="29" t="s">
        <v>14069</v>
      </c>
      <c r="C11858" s="29" t="s">
        <v>27648</v>
      </c>
      <c r="D11858" s="29" t="s">
        <v>41132</v>
      </c>
      <c r="E11858" s="29" t="s">
        <v>49701</v>
      </c>
      <c r="F11858" s="36" t="s">
        <v>54401</v>
      </c>
      <c r="G11858" s="39">
        <v>63285.71</v>
      </c>
      <c r="H11858" s="42">
        <v>211</v>
      </c>
    </row>
    <row r="11859" spans="1:8" ht="15" customHeight="1">
      <c r="A11859" s="26">
        <v>1052394750</v>
      </c>
      <c r="B11859" s="29" t="s">
        <v>14070</v>
      </c>
      <c r="C11859" s="29" t="s">
        <v>27649</v>
      </c>
      <c r="D11859" s="29" t="s">
        <v>41133</v>
      </c>
      <c r="E11859" s="29" t="s">
        <v>52550</v>
      </c>
      <c r="F11859" s="36" t="s">
        <v>54401</v>
      </c>
      <c r="G11859" s="39">
        <v>169320.3</v>
      </c>
      <c r="H11859" s="42">
        <v>211</v>
      </c>
    </row>
    <row r="11860" spans="1:8" ht="15" customHeight="1">
      <c r="A11860" s="26">
        <v>1052394759</v>
      </c>
      <c r="B11860" s="29" t="s">
        <v>14071</v>
      </c>
      <c r="C11860" s="26" t="s">
        <v>27650</v>
      </c>
      <c r="D11860" s="26" t="s">
        <v>41134</v>
      </c>
      <c r="E11860" s="26" t="s">
        <v>52551</v>
      </c>
      <c r="F11860" s="37" t="s">
        <v>54401</v>
      </c>
      <c r="G11860" s="39">
        <v>284236.64</v>
      </c>
      <c r="H11860" s="42">
        <v>211</v>
      </c>
    </row>
    <row r="11861" spans="1:8" ht="15" customHeight="1">
      <c r="A11861" s="26">
        <v>1052394765</v>
      </c>
      <c r="B11861" s="29" t="s">
        <v>14072</v>
      </c>
      <c r="C11861" s="29" t="s">
        <v>27651</v>
      </c>
      <c r="D11861" s="29" t="s">
        <v>41135</v>
      </c>
      <c r="E11861" s="29" t="s">
        <v>52552</v>
      </c>
      <c r="F11861" s="36" t="s">
        <v>54401</v>
      </c>
      <c r="G11861" s="39">
        <v>3936746.94</v>
      </c>
      <c r="H11861" s="42">
        <v>211</v>
      </c>
    </row>
    <row r="11862" spans="1:8" ht="15" customHeight="1">
      <c r="A11862" s="26">
        <v>1052394769</v>
      </c>
      <c r="B11862" s="29" t="s">
        <v>14073</v>
      </c>
      <c r="C11862" s="29" t="s">
        <v>27652</v>
      </c>
      <c r="D11862" s="29" t="s">
        <v>41136</v>
      </c>
      <c r="E11862" s="29" t="s">
        <v>43926</v>
      </c>
      <c r="F11862" s="36" t="s">
        <v>54401</v>
      </c>
      <c r="G11862" s="39">
        <v>801055.25</v>
      </c>
      <c r="H11862" s="42">
        <v>211</v>
      </c>
    </row>
    <row r="11863" spans="1:8" ht="15" customHeight="1">
      <c r="A11863" s="26">
        <v>1052394793</v>
      </c>
      <c r="B11863" s="29" t="s">
        <v>14074</v>
      </c>
      <c r="C11863" s="29" t="s">
        <v>27653</v>
      </c>
      <c r="D11863" s="29" t="s">
        <v>41137</v>
      </c>
      <c r="E11863" s="29" t="s">
        <v>52553</v>
      </c>
      <c r="F11863" s="36" t="s">
        <v>54401</v>
      </c>
      <c r="G11863" s="39">
        <v>445789.54</v>
      </c>
      <c r="H11863" s="42">
        <v>211</v>
      </c>
    </row>
    <row r="11864" spans="1:8" ht="15" customHeight="1">
      <c r="A11864" s="26">
        <v>1052394794</v>
      </c>
      <c r="B11864" s="29" t="s">
        <v>14075</v>
      </c>
      <c r="C11864" s="29" t="s">
        <v>27654</v>
      </c>
      <c r="D11864" s="29" t="s">
        <v>41138</v>
      </c>
      <c r="E11864" s="29" t="s">
        <v>52554</v>
      </c>
      <c r="F11864" s="36" t="s">
        <v>54401</v>
      </c>
      <c r="G11864" s="39">
        <v>891159.95</v>
      </c>
      <c r="H11864" s="42">
        <v>211</v>
      </c>
    </row>
    <row r="11865" spans="1:8" ht="15" customHeight="1">
      <c r="A11865" s="26">
        <v>1052394807</v>
      </c>
      <c r="B11865" s="29" t="s">
        <v>14076</v>
      </c>
      <c r="C11865" s="26" t="s">
        <v>27655</v>
      </c>
      <c r="D11865" s="26" t="s">
        <v>41139</v>
      </c>
      <c r="E11865" s="26" t="s">
        <v>52555</v>
      </c>
      <c r="F11865" s="37" t="s">
        <v>54401</v>
      </c>
      <c r="G11865" s="39">
        <v>299103.18</v>
      </c>
      <c r="H11865" s="42">
        <v>211</v>
      </c>
    </row>
    <row r="11866" spans="1:8" ht="15" customHeight="1">
      <c r="A11866" s="26">
        <v>1052394811</v>
      </c>
      <c r="B11866" s="29" t="s">
        <v>14077</v>
      </c>
      <c r="C11866" s="29" t="s">
        <v>27656</v>
      </c>
      <c r="D11866" s="29" t="s">
        <v>41140</v>
      </c>
      <c r="E11866" s="29" t="s">
        <v>52556</v>
      </c>
      <c r="F11866" s="36" t="s">
        <v>54401</v>
      </c>
      <c r="G11866" s="39">
        <v>3092890.99</v>
      </c>
      <c r="H11866" s="42">
        <v>211</v>
      </c>
    </row>
    <row r="11867" spans="1:8" ht="15" customHeight="1">
      <c r="A11867" s="26">
        <v>1052394856</v>
      </c>
      <c r="B11867" s="29" t="s">
        <v>14078</v>
      </c>
      <c r="C11867" s="29" t="s">
        <v>27657</v>
      </c>
      <c r="D11867" s="29" t="s">
        <v>41141</v>
      </c>
      <c r="E11867" s="29" t="s">
        <v>52557</v>
      </c>
      <c r="F11867" s="36" t="s">
        <v>54401</v>
      </c>
      <c r="G11867" s="39">
        <v>1249778.58</v>
      </c>
      <c r="H11867" s="42">
        <v>211</v>
      </c>
    </row>
    <row r="11868" spans="1:8" ht="15" customHeight="1">
      <c r="A11868" s="26">
        <v>1052394881</v>
      </c>
      <c r="B11868" s="29" t="s">
        <v>14079</v>
      </c>
      <c r="C11868" s="29" t="s">
        <v>27658</v>
      </c>
      <c r="D11868" s="29" t="s">
        <v>41142</v>
      </c>
      <c r="E11868" s="29" t="s">
        <v>52558</v>
      </c>
      <c r="F11868" s="36" t="s">
        <v>54401</v>
      </c>
      <c r="G11868" s="39">
        <v>2911188</v>
      </c>
      <c r="H11868" s="42">
        <v>211</v>
      </c>
    </row>
    <row r="11869" spans="1:8" ht="15" customHeight="1">
      <c r="A11869" s="26">
        <v>1052394892</v>
      </c>
      <c r="B11869" s="29" t="s">
        <v>14080</v>
      </c>
      <c r="C11869" s="29" t="s">
        <v>27659</v>
      </c>
      <c r="D11869" s="29" t="s">
        <v>41143</v>
      </c>
      <c r="E11869" s="29" t="s">
        <v>52559</v>
      </c>
      <c r="F11869" s="36" t="s">
        <v>54401</v>
      </c>
      <c r="G11869" s="39">
        <v>750322.37</v>
      </c>
      <c r="H11869" s="42">
        <v>211</v>
      </c>
    </row>
    <row r="11870" spans="1:8" ht="15" customHeight="1">
      <c r="A11870" s="26">
        <v>1052394894</v>
      </c>
      <c r="B11870" s="29" t="s">
        <v>14081</v>
      </c>
      <c r="C11870" s="29" t="s">
        <v>27660</v>
      </c>
      <c r="D11870" s="29" t="s">
        <v>41144</v>
      </c>
      <c r="E11870" s="29" t="s">
        <v>47463</v>
      </c>
      <c r="F11870" s="36" t="s">
        <v>54401</v>
      </c>
      <c r="G11870" s="39">
        <v>876683.38</v>
      </c>
      <c r="H11870" s="42">
        <v>211</v>
      </c>
    </row>
    <row r="11871" spans="1:8" ht="15" customHeight="1">
      <c r="A11871" s="26">
        <v>1052394909</v>
      </c>
      <c r="B11871" s="29" t="s">
        <v>14082</v>
      </c>
      <c r="C11871" s="29" t="s">
        <v>27661</v>
      </c>
      <c r="D11871" s="29" t="s">
        <v>41145</v>
      </c>
      <c r="E11871" s="29" t="s">
        <v>52560</v>
      </c>
      <c r="F11871" s="36" t="s">
        <v>54401</v>
      </c>
      <c r="G11871" s="39">
        <v>3907668.9</v>
      </c>
      <c r="H11871" s="42">
        <v>211</v>
      </c>
    </row>
    <row r="11872" spans="1:8" ht="15" customHeight="1">
      <c r="A11872" s="26">
        <v>1052394936</v>
      </c>
      <c r="B11872" s="29" t="s">
        <v>14083</v>
      </c>
      <c r="C11872" s="29" t="s">
        <v>27662</v>
      </c>
      <c r="D11872" s="29" t="s">
        <v>41146</v>
      </c>
      <c r="E11872" s="29" t="s">
        <v>43926</v>
      </c>
      <c r="F11872" s="36" t="s">
        <v>54401</v>
      </c>
      <c r="G11872" s="39">
        <v>3797322</v>
      </c>
      <c r="H11872" s="42">
        <v>211</v>
      </c>
    </row>
    <row r="11873" spans="1:8" ht="15" customHeight="1">
      <c r="A11873" s="26">
        <v>1052394939</v>
      </c>
      <c r="B11873" s="29" t="s">
        <v>14084</v>
      </c>
      <c r="C11873" s="26" t="s">
        <v>17204</v>
      </c>
      <c r="D11873" s="26" t="s">
        <v>30349</v>
      </c>
      <c r="E11873" s="26" t="s">
        <v>43926</v>
      </c>
      <c r="F11873" s="37" t="s">
        <v>54401</v>
      </c>
      <c r="G11873" s="39">
        <v>302999.56</v>
      </c>
      <c r="H11873" s="42">
        <v>211</v>
      </c>
    </row>
    <row r="11874" spans="1:8" ht="15" customHeight="1">
      <c r="A11874" s="26">
        <v>1052394947</v>
      </c>
      <c r="B11874" s="29" t="s">
        <v>14085</v>
      </c>
      <c r="C11874" s="29" t="s">
        <v>27663</v>
      </c>
      <c r="D11874" s="29" t="s">
        <v>41147</v>
      </c>
      <c r="E11874" s="29" t="s">
        <v>45056</v>
      </c>
      <c r="F11874" s="36" t="s">
        <v>54401</v>
      </c>
      <c r="G11874" s="39">
        <v>644568.26</v>
      </c>
      <c r="H11874" s="42">
        <v>211</v>
      </c>
    </row>
    <row r="11875" spans="1:8" ht="15" customHeight="1">
      <c r="A11875" s="26">
        <v>1052394970</v>
      </c>
      <c r="B11875" s="29" t="s">
        <v>14086</v>
      </c>
      <c r="C11875" s="29" t="s">
        <v>27664</v>
      </c>
      <c r="D11875" s="29" t="s">
        <v>41148</v>
      </c>
      <c r="E11875" s="29" t="s">
        <v>52561</v>
      </c>
      <c r="F11875" s="36" t="s">
        <v>54401</v>
      </c>
      <c r="G11875" s="39">
        <v>28612.41</v>
      </c>
      <c r="H11875" s="42">
        <v>211</v>
      </c>
    </row>
    <row r="11876" spans="1:8" ht="15" customHeight="1">
      <c r="A11876" s="26">
        <v>1052394978</v>
      </c>
      <c r="B11876" s="29" t="s">
        <v>14087</v>
      </c>
      <c r="C11876" s="29" t="s">
        <v>27665</v>
      </c>
      <c r="D11876" s="29" t="s">
        <v>41149</v>
      </c>
      <c r="E11876" s="29" t="s">
        <v>48889</v>
      </c>
      <c r="F11876" s="36" t="s">
        <v>54401</v>
      </c>
      <c r="G11876" s="39">
        <v>72786.289999999994</v>
      </c>
      <c r="H11876" s="42">
        <v>211</v>
      </c>
    </row>
    <row r="11877" spans="1:8" ht="15" customHeight="1">
      <c r="A11877" s="26">
        <v>1052394996</v>
      </c>
      <c r="B11877" s="29" t="s">
        <v>14088</v>
      </c>
      <c r="C11877" s="29" t="s">
        <v>27666</v>
      </c>
      <c r="D11877" s="29" t="s">
        <v>41150</v>
      </c>
      <c r="E11877" s="29" t="s">
        <v>52562</v>
      </c>
      <c r="F11877" s="36" t="s">
        <v>54401</v>
      </c>
      <c r="G11877" s="39">
        <v>5245291.1100000003</v>
      </c>
      <c r="H11877" s="42">
        <v>211</v>
      </c>
    </row>
    <row r="11878" spans="1:8" ht="15" customHeight="1">
      <c r="A11878" s="26">
        <v>1052395008</v>
      </c>
      <c r="B11878" s="29" t="s">
        <v>14089</v>
      </c>
      <c r="C11878" s="29" t="s">
        <v>27667</v>
      </c>
      <c r="D11878" s="29" t="s">
        <v>41151</v>
      </c>
      <c r="E11878" s="29" t="s">
        <v>50419</v>
      </c>
      <c r="F11878" s="36" t="s">
        <v>54401</v>
      </c>
      <c r="G11878" s="39">
        <v>3754089.36</v>
      </c>
      <c r="H11878" s="42">
        <v>211</v>
      </c>
    </row>
    <row r="11879" spans="1:8" ht="15" customHeight="1">
      <c r="A11879" s="26">
        <v>1052395012</v>
      </c>
      <c r="B11879" s="29" t="s">
        <v>14090</v>
      </c>
      <c r="C11879" s="29" t="s">
        <v>27668</v>
      </c>
      <c r="D11879" s="29" t="s">
        <v>41152</v>
      </c>
      <c r="E11879" s="29" t="s">
        <v>52563</v>
      </c>
      <c r="F11879" s="36" t="s">
        <v>54401</v>
      </c>
      <c r="G11879" s="39">
        <v>495332.56</v>
      </c>
      <c r="H11879" s="42">
        <v>211</v>
      </c>
    </row>
    <row r="11880" spans="1:8" ht="15" customHeight="1">
      <c r="A11880" s="26">
        <v>1052395018</v>
      </c>
      <c r="B11880" s="29" t="s">
        <v>14091</v>
      </c>
      <c r="C11880" s="29" t="s">
        <v>17204</v>
      </c>
      <c r="D11880" s="29" t="s">
        <v>41153</v>
      </c>
      <c r="E11880" s="29" t="s">
        <v>43926</v>
      </c>
      <c r="F11880" s="36" t="s">
        <v>54401</v>
      </c>
      <c r="G11880" s="39">
        <v>775817.02</v>
      </c>
      <c r="H11880" s="42">
        <v>211</v>
      </c>
    </row>
    <row r="11881" spans="1:8" ht="15" customHeight="1">
      <c r="A11881" s="26">
        <v>1052395032</v>
      </c>
      <c r="B11881" s="29" t="s">
        <v>14092</v>
      </c>
      <c r="C11881" s="29" t="s">
        <v>27669</v>
      </c>
      <c r="D11881" s="29" t="s">
        <v>41154</v>
      </c>
      <c r="E11881" s="29" t="s">
        <v>52564</v>
      </c>
      <c r="F11881" s="36" t="s">
        <v>54401</v>
      </c>
      <c r="G11881" s="39">
        <v>5331424.32</v>
      </c>
      <c r="H11881" s="42">
        <v>211</v>
      </c>
    </row>
    <row r="11882" spans="1:8" ht="15" customHeight="1">
      <c r="A11882" s="26">
        <v>1052395039</v>
      </c>
      <c r="B11882" s="29" t="s">
        <v>14093</v>
      </c>
      <c r="C11882" s="29" t="s">
        <v>17204</v>
      </c>
      <c r="D11882" s="29" t="s">
        <v>41155</v>
      </c>
      <c r="E11882" s="29" t="s">
        <v>43926</v>
      </c>
      <c r="F11882" s="36" t="s">
        <v>54401</v>
      </c>
      <c r="G11882" s="39">
        <v>545526.42000000004</v>
      </c>
      <c r="H11882" s="42">
        <v>211</v>
      </c>
    </row>
    <row r="11883" spans="1:8" ht="15" customHeight="1">
      <c r="A11883" s="26">
        <v>1052395057</v>
      </c>
      <c r="B11883" s="29" t="s">
        <v>14094</v>
      </c>
      <c r="C11883" s="29" t="s">
        <v>27670</v>
      </c>
      <c r="D11883" s="29" t="s">
        <v>41156</v>
      </c>
      <c r="E11883" s="29" t="s">
        <v>43926</v>
      </c>
      <c r="F11883" s="36" t="s">
        <v>54401</v>
      </c>
      <c r="G11883" s="39">
        <v>1076838.01</v>
      </c>
      <c r="H11883" s="42">
        <v>211</v>
      </c>
    </row>
    <row r="11884" spans="1:8" ht="15" customHeight="1">
      <c r="A11884" s="26">
        <v>1052395067</v>
      </c>
      <c r="B11884" s="29" t="s">
        <v>14095</v>
      </c>
      <c r="C11884" s="29" t="s">
        <v>27671</v>
      </c>
      <c r="D11884" s="29" t="s">
        <v>41157</v>
      </c>
      <c r="E11884" s="29" t="s">
        <v>52565</v>
      </c>
      <c r="F11884" s="36" t="s">
        <v>54401</v>
      </c>
      <c r="G11884" s="39">
        <v>549528.23</v>
      </c>
      <c r="H11884" s="42">
        <v>211</v>
      </c>
    </row>
    <row r="11885" spans="1:8" ht="15" customHeight="1">
      <c r="A11885" s="26">
        <v>1052395095</v>
      </c>
      <c r="B11885" s="29" t="s">
        <v>14096</v>
      </c>
      <c r="C11885" s="29" t="s">
        <v>27672</v>
      </c>
      <c r="D11885" s="29" t="s">
        <v>41158</v>
      </c>
      <c r="E11885" s="29" t="s">
        <v>52566</v>
      </c>
      <c r="F11885" s="36" t="s">
        <v>54401</v>
      </c>
      <c r="G11885" s="39">
        <v>3675020</v>
      </c>
      <c r="H11885" s="42">
        <v>211</v>
      </c>
    </row>
    <row r="11886" spans="1:8" ht="15" customHeight="1">
      <c r="A11886" s="26">
        <v>1052395111</v>
      </c>
      <c r="B11886" s="29" t="s">
        <v>14097</v>
      </c>
      <c r="C11886" s="26" t="s">
        <v>17204</v>
      </c>
      <c r="D11886" s="26" t="s">
        <v>30349</v>
      </c>
      <c r="E11886" s="26" t="s">
        <v>43926</v>
      </c>
      <c r="F11886" s="37" t="s">
        <v>54401</v>
      </c>
      <c r="G11886" s="39">
        <v>463154.38</v>
      </c>
      <c r="H11886" s="42">
        <v>211</v>
      </c>
    </row>
    <row r="11887" spans="1:8" ht="15" customHeight="1">
      <c r="A11887" s="26">
        <v>1052395121</v>
      </c>
      <c r="B11887" s="29" t="s">
        <v>14098</v>
      </c>
      <c r="C11887" s="29" t="s">
        <v>27673</v>
      </c>
      <c r="D11887" s="29" t="s">
        <v>41159</v>
      </c>
      <c r="E11887" s="29" t="s">
        <v>45285</v>
      </c>
      <c r="F11887" s="36" t="s">
        <v>54401</v>
      </c>
      <c r="G11887" s="39">
        <v>58277.7</v>
      </c>
      <c r="H11887" s="42">
        <v>211</v>
      </c>
    </row>
    <row r="11888" spans="1:8" ht="15" customHeight="1">
      <c r="A11888" s="26">
        <v>1052395152</v>
      </c>
      <c r="B11888" s="29" t="s">
        <v>14099</v>
      </c>
      <c r="C11888" s="29" t="s">
        <v>17204</v>
      </c>
      <c r="D11888" s="29" t="s">
        <v>30349</v>
      </c>
      <c r="E11888" s="29" t="s">
        <v>43926</v>
      </c>
      <c r="F11888" s="36" t="s">
        <v>54401</v>
      </c>
      <c r="G11888" s="39">
        <v>556967.44999999995</v>
      </c>
      <c r="H11888" s="42">
        <v>211</v>
      </c>
    </row>
    <row r="11889" spans="1:8" ht="15" customHeight="1">
      <c r="A11889" s="26">
        <v>1052395158</v>
      </c>
      <c r="B11889" s="29" t="s">
        <v>14100</v>
      </c>
      <c r="C11889" s="26" t="s">
        <v>17204</v>
      </c>
      <c r="D11889" s="26" t="s">
        <v>30349</v>
      </c>
      <c r="E11889" s="26" t="s">
        <v>43926</v>
      </c>
      <c r="F11889" s="37" t="s">
        <v>54401</v>
      </c>
      <c r="G11889" s="39">
        <v>102423.46</v>
      </c>
      <c r="H11889" s="42">
        <v>211</v>
      </c>
    </row>
    <row r="11890" spans="1:8" ht="15" customHeight="1">
      <c r="A11890" s="26">
        <v>1052395173</v>
      </c>
      <c r="B11890" s="29" t="s">
        <v>14101</v>
      </c>
      <c r="C11890" s="26" t="s">
        <v>27674</v>
      </c>
      <c r="D11890" s="26" t="s">
        <v>41160</v>
      </c>
      <c r="E11890" s="26" t="s">
        <v>52567</v>
      </c>
      <c r="F11890" s="37" t="s">
        <v>54401</v>
      </c>
      <c r="G11890" s="39">
        <v>2963815</v>
      </c>
      <c r="H11890" s="42">
        <v>211</v>
      </c>
    </row>
    <row r="11891" spans="1:8" ht="15" customHeight="1">
      <c r="A11891" s="26">
        <v>1052395197</v>
      </c>
      <c r="B11891" s="29" t="s">
        <v>14102</v>
      </c>
      <c r="C11891" s="29" t="s">
        <v>27675</v>
      </c>
      <c r="D11891" s="29" t="s">
        <v>41161</v>
      </c>
      <c r="E11891" s="29" t="s">
        <v>51688</v>
      </c>
      <c r="F11891" s="36" t="s">
        <v>54401</v>
      </c>
      <c r="G11891" s="39">
        <v>1771491.11</v>
      </c>
      <c r="H11891" s="42">
        <v>211</v>
      </c>
    </row>
    <row r="11892" spans="1:8" ht="15" customHeight="1">
      <c r="A11892" s="26">
        <v>1052395229</v>
      </c>
      <c r="B11892" s="29" t="s">
        <v>14103</v>
      </c>
      <c r="C11892" s="29" t="s">
        <v>27676</v>
      </c>
      <c r="D11892" s="29" t="s">
        <v>41162</v>
      </c>
      <c r="E11892" s="29" t="s">
        <v>52568</v>
      </c>
      <c r="F11892" s="36" t="s">
        <v>54401</v>
      </c>
      <c r="G11892" s="39">
        <v>5955855</v>
      </c>
      <c r="H11892" s="42">
        <v>211</v>
      </c>
    </row>
    <row r="11893" spans="1:8" ht="15" customHeight="1">
      <c r="A11893" s="26">
        <v>1052395233</v>
      </c>
      <c r="B11893" s="29" t="s">
        <v>14104</v>
      </c>
      <c r="C11893" s="29" t="s">
        <v>27677</v>
      </c>
      <c r="D11893" s="29" t="s">
        <v>41163</v>
      </c>
      <c r="E11893" s="29" t="s">
        <v>52569</v>
      </c>
      <c r="F11893" s="36" t="s">
        <v>54401</v>
      </c>
      <c r="G11893" s="39">
        <v>373402.95</v>
      </c>
      <c r="H11893" s="42">
        <v>211</v>
      </c>
    </row>
    <row r="11894" spans="1:8" ht="15" customHeight="1">
      <c r="A11894" s="26">
        <v>1052395239</v>
      </c>
      <c r="B11894" s="29" t="s">
        <v>14105</v>
      </c>
      <c r="C11894" s="29" t="s">
        <v>27678</v>
      </c>
      <c r="D11894" s="29" t="s">
        <v>41164</v>
      </c>
      <c r="E11894" s="29" t="s">
        <v>52570</v>
      </c>
      <c r="F11894" s="36" t="s">
        <v>54401</v>
      </c>
      <c r="G11894" s="39">
        <v>197050.52</v>
      </c>
      <c r="H11894" s="42">
        <v>211</v>
      </c>
    </row>
    <row r="11895" spans="1:8" ht="15" customHeight="1">
      <c r="A11895" s="26">
        <v>1052395245</v>
      </c>
      <c r="B11895" s="29" t="s">
        <v>14106</v>
      </c>
      <c r="C11895" s="29" t="s">
        <v>27679</v>
      </c>
      <c r="D11895" s="29" t="s">
        <v>41165</v>
      </c>
      <c r="E11895" s="29" t="s">
        <v>52571</v>
      </c>
      <c r="F11895" s="36" t="s">
        <v>54401</v>
      </c>
      <c r="G11895" s="39">
        <v>462321.89</v>
      </c>
      <c r="H11895" s="42">
        <v>211</v>
      </c>
    </row>
    <row r="11896" spans="1:8" ht="15" customHeight="1">
      <c r="A11896" s="26">
        <v>1052395268</v>
      </c>
      <c r="B11896" s="29" t="s">
        <v>14107</v>
      </c>
      <c r="C11896" s="29" t="s">
        <v>27680</v>
      </c>
      <c r="D11896" s="29" t="s">
        <v>41166</v>
      </c>
      <c r="E11896" s="29" t="s">
        <v>52572</v>
      </c>
      <c r="F11896" s="36" t="s">
        <v>54401</v>
      </c>
      <c r="G11896" s="39">
        <v>118666.22</v>
      </c>
      <c r="H11896" s="42">
        <v>211</v>
      </c>
    </row>
    <row r="11897" spans="1:8" ht="15" customHeight="1">
      <c r="A11897" s="26">
        <v>1052395269</v>
      </c>
      <c r="B11897" s="29" t="s">
        <v>14108</v>
      </c>
      <c r="C11897" s="29" t="s">
        <v>27681</v>
      </c>
      <c r="D11897" s="29" t="s">
        <v>41167</v>
      </c>
      <c r="E11897" s="29" t="s">
        <v>52573</v>
      </c>
      <c r="F11897" s="36" t="s">
        <v>54401</v>
      </c>
      <c r="G11897" s="39">
        <v>3140755.23</v>
      </c>
      <c r="H11897" s="42">
        <v>211</v>
      </c>
    </row>
    <row r="11898" spans="1:8" ht="15" customHeight="1">
      <c r="A11898" s="26">
        <v>1052395271</v>
      </c>
      <c r="B11898" s="29" t="s">
        <v>14109</v>
      </c>
      <c r="C11898" s="29" t="s">
        <v>27682</v>
      </c>
      <c r="D11898" s="29" t="s">
        <v>41168</v>
      </c>
      <c r="E11898" s="29" t="s">
        <v>52574</v>
      </c>
      <c r="F11898" s="36" t="s">
        <v>54401</v>
      </c>
      <c r="G11898" s="39">
        <v>7611179.2199999997</v>
      </c>
      <c r="H11898" s="42">
        <v>211</v>
      </c>
    </row>
    <row r="11899" spans="1:8" ht="15" customHeight="1">
      <c r="A11899" s="26">
        <v>1052395274</v>
      </c>
      <c r="B11899" s="29" t="s">
        <v>14110</v>
      </c>
      <c r="C11899" s="29" t="s">
        <v>27683</v>
      </c>
      <c r="D11899" s="29" t="s">
        <v>41169</v>
      </c>
      <c r="E11899" s="29" t="s">
        <v>52575</v>
      </c>
      <c r="F11899" s="36" t="s">
        <v>54401</v>
      </c>
      <c r="G11899" s="39">
        <v>617633.27</v>
      </c>
      <c r="H11899" s="42">
        <v>211</v>
      </c>
    </row>
    <row r="11900" spans="1:8" ht="15" customHeight="1">
      <c r="A11900" s="26">
        <v>1052395284</v>
      </c>
      <c r="B11900" s="29" t="s">
        <v>14111</v>
      </c>
      <c r="C11900" s="29" t="s">
        <v>27684</v>
      </c>
      <c r="D11900" s="29" t="s">
        <v>41170</v>
      </c>
      <c r="E11900" s="29" t="s">
        <v>52576</v>
      </c>
      <c r="F11900" s="36" t="s">
        <v>54401</v>
      </c>
      <c r="G11900" s="39">
        <v>379694.01</v>
      </c>
      <c r="H11900" s="42">
        <v>211</v>
      </c>
    </row>
    <row r="11901" spans="1:8" ht="15" customHeight="1">
      <c r="A11901" s="26">
        <v>1052395291</v>
      </c>
      <c r="B11901" s="29" t="s">
        <v>14112</v>
      </c>
      <c r="C11901" s="26" t="s">
        <v>27685</v>
      </c>
      <c r="D11901" s="26" t="s">
        <v>41171</v>
      </c>
      <c r="E11901" s="26" t="s">
        <v>49360</v>
      </c>
      <c r="F11901" s="37" t="s">
        <v>54401</v>
      </c>
      <c r="G11901" s="39">
        <v>221915.96</v>
      </c>
      <c r="H11901" s="42">
        <v>211</v>
      </c>
    </row>
    <row r="11902" spans="1:8" ht="15" customHeight="1">
      <c r="A11902" s="26">
        <v>1052395319</v>
      </c>
      <c r="B11902" s="29" t="s">
        <v>14113</v>
      </c>
      <c r="C11902" s="26" t="s">
        <v>27686</v>
      </c>
      <c r="D11902" s="26" t="s">
        <v>41172</v>
      </c>
      <c r="E11902" s="26" t="s">
        <v>52577</v>
      </c>
      <c r="F11902" s="37" t="s">
        <v>54423</v>
      </c>
      <c r="G11902" s="39">
        <v>131728.32999999999</v>
      </c>
      <c r="H11902" s="42">
        <v>211</v>
      </c>
    </row>
    <row r="11903" spans="1:8" ht="15" customHeight="1">
      <c r="A11903" s="26">
        <v>1052395328</v>
      </c>
      <c r="B11903" s="29" t="s">
        <v>14114</v>
      </c>
      <c r="C11903" s="29" t="s">
        <v>27687</v>
      </c>
      <c r="D11903" s="29" t="s">
        <v>41173</v>
      </c>
      <c r="E11903" s="29" t="s">
        <v>52578</v>
      </c>
      <c r="F11903" s="36" t="s">
        <v>54401</v>
      </c>
      <c r="G11903" s="39">
        <v>535627.78</v>
      </c>
      <c r="H11903" s="42">
        <v>211</v>
      </c>
    </row>
    <row r="11904" spans="1:8" ht="15" customHeight="1">
      <c r="A11904" s="26">
        <v>1052395340</v>
      </c>
      <c r="B11904" s="29" t="s">
        <v>14115</v>
      </c>
      <c r="C11904" s="26" t="s">
        <v>27688</v>
      </c>
      <c r="D11904" s="26" t="s">
        <v>41174</v>
      </c>
      <c r="E11904" s="26" t="s">
        <v>52579</v>
      </c>
      <c r="F11904" s="37" t="s">
        <v>54401</v>
      </c>
      <c r="G11904" s="39">
        <v>1051114.98</v>
      </c>
      <c r="H11904" s="42">
        <v>211</v>
      </c>
    </row>
    <row r="11905" spans="1:8" ht="15" customHeight="1">
      <c r="A11905" s="26">
        <v>1052395345</v>
      </c>
      <c r="B11905" s="29" t="s">
        <v>14116</v>
      </c>
      <c r="C11905" s="29" t="s">
        <v>27689</v>
      </c>
      <c r="D11905" s="29" t="s">
        <v>41175</v>
      </c>
      <c r="E11905" s="29" t="s">
        <v>52580</v>
      </c>
      <c r="F11905" s="36" t="s">
        <v>54401</v>
      </c>
      <c r="G11905" s="39">
        <v>44428.08</v>
      </c>
      <c r="H11905" s="42">
        <v>211</v>
      </c>
    </row>
    <row r="11906" spans="1:8" ht="15" customHeight="1">
      <c r="A11906" s="26">
        <v>1052395371</v>
      </c>
      <c r="B11906" s="29" t="s">
        <v>14117</v>
      </c>
      <c r="C11906" s="29" t="s">
        <v>27690</v>
      </c>
      <c r="D11906" s="29" t="s">
        <v>41176</v>
      </c>
      <c r="E11906" s="29" t="s">
        <v>52581</v>
      </c>
      <c r="F11906" s="36" t="s">
        <v>54401</v>
      </c>
      <c r="G11906" s="39">
        <v>626265.92000000004</v>
      </c>
      <c r="H11906" s="42">
        <v>211</v>
      </c>
    </row>
    <row r="11907" spans="1:8" ht="15" customHeight="1">
      <c r="A11907" s="26">
        <v>1052395372</v>
      </c>
      <c r="B11907" s="29" t="s">
        <v>14118</v>
      </c>
      <c r="C11907" s="29" t="s">
        <v>27691</v>
      </c>
      <c r="D11907" s="29" t="s">
        <v>41177</v>
      </c>
      <c r="E11907" s="29" t="s">
        <v>52582</v>
      </c>
      <c r="F11907" s="36" t="s">
        <v>54401</v>
      </c>
      <c r="G11907" s="39">
        <v>4602057.01</v>
      </c>
      <c r="H11907" s="42">
        <v>211</v>
      </c>
    </row>
    <row r="11908" spans="1:8" ht="15" customHeight="1">
      <c r="A11908" s="26">
        <v>1052395387</v>
      </c>
      <c r="B11908" s="29" t="s">
        <v>14119</v>
      </c>
      <c r="C11908" s="29" t="s">
        <v>27692</v>
      </c>
      <c r="D11908" s="29" t="s">
        <v>41178</v>
      </c>
      <c r="E11908" s="29" t="s">
        <v>45314</v>
      </c>
      <c r="F11908" s="36" t="s">
        <v>54401</v>
      </c>
      <c r="G11908" s="39">
        <v>21360</v>
      </c>
      <c r="H11908" s="42">
        <v>211</v>
      </c>
    </row>
    <row r="11909" spans="1:8" ht="15" customHeight="1">
      <c r="A11909" s="26">
        <v>1052395390</v>
      </c>
      <c r="B11909" s="29" t="s">
        <v>14120</v>
      </c>
      <c r="C11909" s="29" t="s">
        <v>27693</v>
      </c>
      <c r="D11909" s="29" t="s">
        <v>41179</v>
      </c>
      <c r="E11909" s="29" t="s">
        <v>52583</v>
      </c>
      <c r="F11909" s="36" t="s">
        <v>54414</v>
      </c>
      <c r="G11909" s="39">
        <v>304685.89</v>
      </c>
      <c r="H11909" s="42">
        <v>211</v>
      </c>
    </row>
    <row r="11910" spans="1:8" ht="15" customHeight="1">
      <c r="A11910" s="26">
        <v>1052395395</v>
      </c>
      <c r="B11910" s="29" t="s">
        <v>14121</v>
      </c>
      <c r="C11910" s="29" t="s">
        <v>27694</v>
      </c>
      <c r="D11910" s="29" t="s">
        <v>41180</v>
      </c>
      <c r="E11910" s="29" t="s">
        <v>52584</v>
      </c>
      <c r="F11910" s="36" t="s">
        <v>54401</v>
      </c>
      <c r="G11910" s="39">
        <v>347434.1</v>
      </c>
      <c r="H11910" s="42">
        <v>211</v>
      </c>
    </row>
    <row r="11911" spans="1:8" ht="15" customHeight="1">
      <c r="A11911" s="26">
        <v>1052395398</v>
      </c>
      <c r="B11911" s="29" t="s">
        <v>14122</v>
      </c>
      <c r="C11911" s="29" t="s">
        <v>27695</v>
      </c>
      <c r="D11911" s="29" t="s">
        <v>41181</v>
      </c>
      <c r="E11911" s="29" t="s">
        <v>52585</v>
      </c>
      <c r="F11911" s="36" t="s">
        <v>54401</v>
      </c>
      <c r="G11911" s="39">
        <v>348798.02</v>
      </c>
      <c r="H11911" s="42">
        <v>211</v>
      </c>
    </row>
    <row r="11912" spans="1:8" ht="15" customHeight="1">
      <c r="A11912" s="26">
        <v>1052395400</v>
      </c>
      <c r="B11912" s="29" t="s">
        <v>14123</v>
      </c>
      <c r="C11912" s="29" t="s">
        <v>27696</v>
      </c>
      <c r="D11912" s="29" t="s">
        <v>41182</v>
      </c>
      <c r="E11912" s="29" t="s">
        <v>52586</v>
      </c>
      <c r="F11912" s="36" t="s">
        <v>54401</v>
      </c>
      <c r="G11912" s="39">
        <v>434222.78</v>
      </c>
      <c r="H11912" s="42">
        <v>211</v>
      </c>
    </row>
    <row r="11913" spans="1:8" ht="15" customHeight="1">
      <c r="A11913" s="26">
        <v>1052395417</v>
      </c>
      <c r="B11913" s="29" t="s">
        <v>14124</v>
      </c>
      <c r="C11913" s="29" t="s">
        <v>27697</v>
      </c>
      <c r="D11913" s="29" t="s">
        <v>41183</v>
      </c>
      <c r="E11913" s="29" t="s">
        <v>52587</v>
      </c>
      <c r="F11913" s="36" t="s">
        <v>54402</v>
      </c>
      <c r="G11913" s="39">
        <v>188449.56</v>
      </c>
      <c r="H11913" s="42">
        <v>211</v>
      </c>
    </row>
    <row r="11914" spans="1:8" ht="15" customHeight="1">
      <c r="A11914" s="26">
        <v>1052395425</v>
      </c>
      <c r="B11914" s="29" t="s">
        <v>14125</v>
      </c>
      <c r="C11914" s="29" t="s">
        <v>27698</v>
      </c>
      <c r="D11914" s="29" t="s">
        <v>41184</v>
      </c>
      <c r="E11914" s="29" t="s">
        <v>52588</v>
      </c>
      <c r="F11914" s="36" t="s">
        <v>54401</v>
      </c>
      <c r="G11914" s="39">
        <v>2599841.4900000002</v>
      </c>
      <c r="H11914" s="42">
        <v>211</v>
      </c>
    </row>
    <row r="11915" spans="1:8" ht="15" customHeight="1">
      <c r="A11915" s="26">
        <v>1052395440</v>
      </c>
      <c r="B11915" s="29" t="s">
        <v>14126</v>
      </c>
      <c r="C11915" s="29" t="s">
        <v>27699</v>
      </c>
      <c r="D11915" s="29" t="s">
        <v>41185</v>
      </c>
      <c r="E11915" s="29" t="s">
        <v>52589</v>
      </c>
      <c r="F11915" s="36" t="s">
        <v>54401</v>
      </c>
      <c r="G11915" s="39">
        <v>49476.18</v>
      </c>
      <c r="H11915" s="42">
        <v>211</v>
      </c>
    </row>
    <row r="11916" spans="1:8" ht="15" customHeight="1">
      <c r="A11916" s="26">
        <v>1052395441</v>
      </c>
      <c r="B11916" s="29" t="s">
        <v>14127</v>
      </c>
      <c r="C11916" s="29" t="s">
        <v>27700</v>
      </c>
      <c r="D11916" s="29" t="s">
        <v>41186</v>
      </c>
      <c r="E11916" s="29" t="s">
        <v>52590</v>
      </c>
      <c r="F11916" s="36" t="s">
        <v>54401</v>
      </c>
      <c r="G11916" s="39">
        <v>715714.64</v>
      </c>
      <c r="H11916" s="42">
        <v>211</v>
      </c>
    </row>
    <row r="11917" spans="1:8" ht="15" customHeight="1">
      <c r="A11917" s="26">
        <v>1052395453</v>
      </c>
      <c r="B11917" s="29" t="s">
        <v>14128</v>
      </c>
      <c r="C11917" s="29" t="s">
        <v>27701</v>
      </c>
      <c r="D11917" s="29" t="s">
        <v>41187</v>
      </c>
      <c r="E11917" s="29" t="s">
        <v>52591</v>
      </c>
      <c r="F11917" s="36" t="s">
        <v>54401</v>
      </c>
      <c r="G11917" s="39">
        <v>1787085</v>
      </c>
      <c r="H11917" s="42">
        <v>211</v>
      </c>
    </row>
    <row r="11918" spans="1:8" ht="15" customHeight="1">
      <c r="A11918" s="26">
        <v>1052395497</v>
      </c>
      <c r="B11918" s="29" t="s">
        <v>14129</v>
      </c>
      <c r="C11918" s="29" t="s">
        <v>27702</v>
      </c>
      <c r="D11918" s="29" t="s">
        <v>41188</v>
      </c>
      <c r="E11918" s="29" t="s">
        <v>52592</v>
      </c>
      <c r="F11918" s="36" t="s">
        <v>54401</v>
      </c>
      <c r="G11918" s="39">
        <v>134450.51</v>
      </c>
      <c r="H11918" s="42">
        <v>211</v>
      </c>
    </row>
    <row r="11919" spans="1:8" ht="15" customHeight="1">
      <c r="A11919" s="26">
        <v>1052395499</v>
      </c>
      <c r="B11919" s="29" t="s">
        <v>14130</v>
      </c>
      <c r="C11919" s="29" t="s">
        <v>27703</v>
      </c>
      <c r="D11919" s="29" t="s">
        <v>41189</v>
      </c>
      <c r="E11919" s="29" t="s">
        <v>52593</v>
      </c>
      <c r="F11919" s="36" t="s">
        <v>54401</v>
      </c>
      <c r="G11919" s="39">
        <v>2998403.71</v>
      </c>
      <c r="H11919" s="42">
        <v>211</v>
      </c>
    </row>
    <row r="11920" spans="1:8" ht="15" customHeight="1">
      <c r="A11920" s="26">
        <v>1052395514</v>
      </c>
      <c r="B11920" s="29" t="s">
        <v>14131</v>
      </c>
      <c r="C11920" s="29" t="s">
        <v>27704</v>
      </c>
      <c r="D11920" s="29" t="s">
        <v>41190</v>
      </c>
      <c r="E11920" s="29" t="s">
        <v>52594</v>
      </c>
      <c r="F11920" s="36" t="s">
        <v>54401</v>
      </c>
      <c r="G11920" s="39">
        <v>4581355.82</v>
      </c>
      <c r="H11920" s="42">
        <v>211</v>
      </c>
    </row>
    <row r="11921" spans="1:8" ht="15" customHeight="1">
      <c r="A11921" s="26">
        <v>1052395527</v>
      </c>
      <c r="B11921" s="29" t="s">
        <v>14132</v>
      </c>
      <c r="C11921" s="29" t="s">
        <v>27705</v>
      </c>
      <c r="D11921" s="29" t="s">
        <v>41191</v>
      </c>
      <c r="E11921" s="29" t="s">
        <v>44023</v>
      </c>
      <c r="F11921" s="36" t="s">
        <v>54401</v>
      </c>
      <c r="G11921" s="39">
        <v>337179.47</v>
      </c>
      <c r="H11921" s="42">
        <v>211</v>
      </c>
    </row>
    <row r="11922" spans="1:8" ht="15" customHeight="1">
      <c r="A11922" s="26">
        <v>1052395528</v>
      </c>
      <c r="B11922" s="29" t="s">
        <v>14133</v>
      </c>
      <c r="C11922" s="29" t="s">
        <v>27706</v>
      </c>
      <c r="D11922" s="29" t="s">
        <v>41192</v>
      </c>
      <c r="E11922" s="29" t="s">
        <v>49442</v>
      </c>
      <c r="F11922" s="36" t="s">
        <v>54401</v>
      </c>
      <c r="G11922" s="39">
        <v>2696095</v>
      </c>
      <c r="H11922" s="42">
        <v>211</v>
      </c>
    </row>
    <row r="11923" spans="1:8" ht="15" customHeight="1">
      <c r="A11923" s="26">
        <v>1052395536</v>
      </c>
      <c r="B11923" s="29" t="s">
        <v>14134</v>
      </c>
      <c r="C11923" s="29" t="s">
        <v>27707</v>
      </c>
      <c r="D11923" s="29" t="s">
        <v>41193</v>
      </c>
      <c r="E11923" s="29" t="s">
        <v>52595</v>
      </c>
      <c r="F11923" s="36" t="s">
        <v>54401</v>
      </c>
      <c r="G11923" s="39">
        <v>521108.7</v>
      </c>
      <c r="H11923" s="42">
        <v>211</v>
      </c>
    </row>
    <row r="11924" spans="1:8" ht="15" customHeight="1">
      <c r="A11924" s="26">
        <v>1052395540</v>
      </c>
      <c r="B11924" s="29" t="s">
        <v>14135</v>
      </c>
      <c r="C11924" s="29" t="s">
        <v>17204</v>
      </c>
      <c r="D11924" s="29" t="s">
        <v>41194</v>
      </c>
      <c r="E11924" s="29" t="s">
        <v>43926</v>
      </c>
      <c r="F11924" s="36" t="s">
        <v>54401</v>
      </c>
      <c r="G11924" s="39">
        <v>82677.47</v>
      </c>
      <c r="H11924" s="42">
        <v>211</v>
      </c>
    </row>
    <row r="11925" spans="1:8" ht="15" customHeight="1">
      <c r="A11925" s="26">
        <v>1052395576</v>
      </c>
      <c r="B11925" s="29" t="s">
        <v>14136</v>
      </c>
      <c r="C11925" s="29" t="s">
        <v>27708</v>
      </c>
      <c r="D11925" s="29" t="s">
        <v>41195</v>
      </c>
      <c r="E11925" s="29" t="s">
        <v>52596</v>
      </c>
      <c r="F11925" s="36" t="s">
        <v>54401</v>
      </c>
      <c r="G11925" s="39">
        <v>1559109.4</v>
      </c>
      <c r="H11925" s="42">
        <v>211</v>
      </c>
    </row>
    <row r="11926" spans="1:8" ht="15" customHeight="1">
      <c r="A11926" s="26">
        <v>1052395599</v>
      </c>
      <c r="B11926" s="29" t="s">
        <v>14137</v>
      </c>
      <c r="C11926" s="29" t="s">
        <v>27709</v>
      </c>
      <c r="D11926" s="29" t="s">
        <v>41196</v>
      </c>
      <c r="E11926" s="29" t="s">
        <v>52597</v>
      </c>
      <c r="F11926" s="36" t="s">
        <v>54401</v>
      </c>
      <c r="G11926" s="39">
        <v>107876.62</v>
      </c>
      <c r="H11926" s="42">
        <v>211</v>
      </c>
    </row>
    <row r="11927" spans="1:8" ht="15" customHeight="1">
      <c r="A11927" s="26">
        <v>1052395617</v>
      </c>
      <c r="B11927" s="29" t="s">
        <v>14138</v>
      </c>
      <c r="C11927" s="29" t="s">
        <v>27710</v>
      </c>
      <c r="D11927" s="29" t="s">
        <v>41197</v>
      </c>
      <c r="E11927" s="29" t="s">
        <v>52598</v>
      </c>
      <c r="F11927" s="36" t="s">
        <v>54401</v>
      </c>
      <c r="G11927" s="39">
        <v>478645.81</v>
      </c>
      <c r="H11927" s="42">
        <v>211</v>
      </c>
    </row>
    <row r="11928" spans="1:8" ht="15" customHeight="1">
      <c r="A11928" s="26">
        <v>1052395634</v>
      </c>
      <c r="B11928" s="29" t="s">
        <v>14139</v>
      </c>
      <c r="C11928" s="29" t="s">
        <v>27711</v>
      </c>
      <c r="D11928" s="29" t="s">
        <v>41198</v>
      </c>
      <c r="E11928" s="29" t="s">
        <v>52599</v>
      </c>
      <c r="F11928" s="36" t="s">
        <v>54401</v>
      </c>
      <c r="G11928" s="39">
        <v>806904.45</v>
      </c>
      <c r="H11928" s="42">
        <v>211</v>
      </c>
    </row>
    <row r="11929" spans="1:8" ht="15" customHeight="1">
      <c r="A11929" s="26">
        <v>1052395635</v>
      </c>
      <c r="B11929" s="29" t="s">
        <v>14140</v>
      </c>
      <c r="C11929" s="29" t="s">
        <v>27712</v>
      </c>
      <c r="D11929" s="29" t="s">
        <v>41199</v>
      </c>
      <c r="E11929" s="29" t="s">
        <v>52600</v>
      </c>
      <c r="F11929" s="36" t="s">
        <v>54401</v>
      </c>
      <c r="G11929" s="39">
        <v>3643128.13</v>
      </c>
      <c r="H11929" s="42">
        <v>211</v>
      </c>
    </row>
    <row r="11930" spans="1:8" ht="15" customHeight="1">
      <c r="A11930" s="26">
        <v>1052395656</v>
      </c>
      <c r="B11930" s="29" t="s">
        <v>14141</v>
      </c>
      <c r="C11930" s="29" t="s">
        <v>27713</v>
      </c>
      <c r="D11930" s="29" t="s">
        <v>41200</v>
      </c>
      <c r="E11930" s="29" t="s">
        <v>52601</v>
      </c>
      <c r="F11930" s="36" t="s">
        <v>54403</v>
      </c>
      <c r="G11930" s="39">
        <v>322194.28000000003</v>
      </c>
      <c r="H11930" s="42">
        <v>211</v>
      </c>
    </row>
    <row r="11931" spans="1:8" ht="15" customHeight="1">
      <c r="A11931" s="26">
        <v>1052395666</v>
      </c>
      <c r="B11931" s="29" t="s">
        <v>14142</v>
      </c>
      <c r="C11931" s="29" t="s">
        <v>27714</v>
      </c>
      <c r="D11931" s="29" t="s">
        <v>41201</v>
      </c>
      <c r="E11931" s="29" t="s">
        <v>46396</v>
      </c>
      <c r="F11931" s="36" t="s">
        <v>54401</v>
      </c>
      <c r="G11931" s="39">
        <v>422487.16</v>
      </c>
      <c r="H11931" s="42">
        <v>211</v>
      </c>
    </row>
    <row r="11932" spans="1:8" ht="15" customHeight="1">
      <c r="A11932" s="26">
        <v>1052395670</v>
      </c>
      <c r="B11932" s="29" t="s">
        <v>14143</v>
      </c>
      <c r="C11932" s="29" t="s">
        <v>17204</v>
      </c>
      <c r="D11932" s="29" t="s">
        <v>41202</v>
      </c>
      <c r="E11932" s="29" t="s">
        <v>43926</v>
      </c>
      <c r="F11932" s="36" t="s">
        <v>54401</v>
      </c>
      <c r="G11932" s="39">
        <v>803434.06</v>
      </c>
      <c r="H11932" s="42">
        <v>211</v>
      </c>
    </row>
    <row r="11933" spans="1:8" ht="15" customHeight="1">
      <c r="A11933" s="26">
        <v>1052395678</v>
      </c>
      <c r="B11933" s="29" t="s">
        <v>14144</v>
      </c>
      <c r="C11933" s="29" t="s">
        <v>27715</v>
      </c>
      <c r="D11933" s="29" t="s">
        <v>41203</v>
      </c>
      <c r="E11933" s="29" t="s">
        <v>43926</v>
      </c>
      <c r="F11933" s="36" t="s">
        <v>54401</v>
      </c>
      <c r="G11933" s="39">
        <v>453366.85</v>
      </c>
      <c r="H11933" s="42">
        <v>211</v>
      </c>
    </row>
    <row r="11934" spans="1:8" ht="15" customHeight="1">
      <c r="A11934" s="26">
        <v>1052395680</v>
      </c>
      <c r="B11934" s="29" t="s">
        <v>14145</v>
      </c>
      <c r="C11934" s="29" t="s">
        <v>27716</v>
      </c>
      <c r="D11934" s="29" t="s">
        <v>41204</v>
      </c>
      <c r="E11934" s="29" t="s">
        <v>52602</v>
      </c>
      <c r="F11934" s="36" t="s">
        <v>54401</v>
      </c>
      <c r="G11934" s="39">
        <v>1832483.18</v>
      </c>
      <c r="H11934" s="42">
        <v>211</v>
      </c>
    </row>
    <row r="11935" spans="1:8" ht="15" customHeight="1">
      <c r="A11935" s="26">
        <v>1052395689</v>
      </c>
      <c r="B11935" s="29" t="s">
        <v>14146</v>
      </c>
      <c r="C11935" s="29" t="s">
        <v>27717</v>
      </c>
      <c r="D11935" s="29" t="s">
        <v>30376</v>
      </c>
      <c r="E11935" s="29" t="s">
        <v>731</v>
      </c>
      <c r="F11935" s="36" t="s">
        <v>54401</v>
      </c>
      <c r="G11935" s="39">
        <v>5504164.3899999997</v>
      </c>
      <c r="H11935" s="42">
        <v>211</v>
      </c>
    </row>
    <row r="11936" spans="1:8" ht="15" customHeight="1">
      <c r="A11936" s="26">
        <v>1052395697</v>
      </c>
      <c r="B11936" s="29" t="s">
        <v>14147</v>
      </c>
      <c r="C11936" s="29" t="s">
        <v>17204</v>
      </c>
      <c r="D11936" s="29" t="s">
        <v>41205</v>
      </c>
      <c r="E11936" s="29" t="s">
        <v>43926</v>
      </c>
      <c r="F11936" s="36" t="s">
        <v>54401</v>
      </c>
      <c r="G11936" s="39">
        <v>20100.849999999999</v>
      </c>
      <c r="H11936" s="42">
        <v>211</v>
      </c>
    </row>
    <row r="11937" spans="1:8" ht="15" customHeight="1">
      <c r="A11937" s="26">
        <v>1052395727</v>
      </c>
      <c r="B11937" s="29" t="s">
        <v>14148</v>
      </c>
      <c r="C11937" s="29" t="s">
        <v>27718</v>
      </c>
      <c r="D11937" s="29" t="s">
        <v>41206</v>
      </c>
      <c r="E11937" s="29" t="s">
        <v>52603</v>
      </c>
      <c r="F11937" s="36" t="s">
        <v>54401</v>
      </c>
      <c r="G11937" s="39">
        <v>69368.66</v>
      </c>
      <c r="H11937" s="42">
        <v>211</v>
      </c>
    </row>
    <row r="11938" spans="1:8" ht="15" customHeight="1">
      <c r="A11938" s="26">
        <v>1052395757</v>
      </c>
      <c r="B11938" s="29" t="s">
        <v>14149</v>
      </c>
      <c r="C11938" s="26" t="s">
        <v>17204</v>
      </c>
      <c r="D11938" s="26" t="s">
        <v>41207</v>
      </c>
      <c r="E11938" s="26" t="s">
        <v>52604</v>
      </c>
      <c r="F11938" s="37" t="s">
        <v>54402</v>
      </c>
      <c r="G11938" s="39">
        <v>216702.32</v>
      </c>
      <c r="H11938" s="42">
        <v>211</v>
      </c>
    </row>
    <row r="11939" spans="1:8" ht="15" customHeight="1">
      <c r="A11939" s="26">
        <v>1052395758</v>
      </c>
      <c r="B11939" s="29" t="s">
        <v>14150</v>
      </c>
      <c r="C11939" s="29" t="s">
        <v>27719</v>
      </c>
      <c r="D11939" s="29" t="s">
        <v>41208</v>
      </c>
      <c r="E11939" s="29" t="s">
        <v>52605</v>
      </c>
      <c r="F11939" s="36" t="s">
        <v>54401</v>
      </c>
      <c r="G11939" s="39">
        <v>1196335.6100000001</v>
      </c>
      <c r="H11939" s="42">
        <v>211</v>
      </c>
    </row>
    <row r="11940" spans="1:8" ht="15" customHeight="1">
      <c r="A11940" s="26">
        <v>1052395765</v>
      </c>
      <c r="B11940" s="29" t="s">
        <v>14151</v>
      </c>
      <c r="C11940" s="29" t="s">
        <v>27720</v>
      </c>
      <c r="D11940" s="29" t="s">
        <v>41209</v>
      </c>
      <c r="E11940" s="29" t="s">
        <v>52606</v>
      </c>
      <c r="F11940" s="36" t="s">
        <v>54401</v>
      </c>
      <c r="G11940" s="39">
        <v>417244.57</v>
      </c>
      <c r="H11940" s="42">
        <v>211</v>
      </c>
    </row>
    <row r="11941" spans="1:8" ht="15" customHeight="1">
      <c r="A11941" s="26">
        <v>1052395772</v>
      </c>
      <c r="B11941" s="29" t="s">
        <v>14152</v>
      </c>
      <c r="C11941" s="29" t="s">
        <v>17204</v>
      </c>
      <c r="D11941" s="29" t="s">
        <v>41210</v>
      </c>
      <c r="E11941" s="29" t="s">
        <v>43926</v>
      </c>
      <c r="F11941" s="36" t="s">
        <v>54401</v>
      </c>
      <c r="G11941" s="39">
        <v>214039.71</v>
      </c>
      <c r="H11941" s="42">
        <v>211</v>
      </c>
    </row>
    <row r="11942" spans="1:8" ht="15" customHeight="1">
      <c r="A11942" s="26">
        <v>1052395773</v>
      </c>
      <c r="B11942" s="29" t="s">
        <v>14153</v>
      </c>
      <c r="C11942" s="26" t="s">
        <v>27721</v>
      </c>
      <c r="D11942" s="26" t="s">
        <v>41211</v>
      </c>
      <c r="E11942" s="26" t="s">
        <v>52607</v>
      </c>
      <c r="F11942" s="37" t="s">
        <v>54401</v>
      </c>
      <c r="G11942" s="39">
        <v>1406378.56</v>
      </c>
      <c r="H11942" s="42">
        <v>211</v>
      </c>
    </row>
    <row r="11943" spans="1:8" ht="15" customHeight="1">
      <c r="A11943" s="26">
        <v>1052395779</v>
      </c>
      <c r="B11943" s="29" t="s">
        <v>14154</v>
      </c>
      <c r="C11943" s="29" t="s">
        <v>27722</v>
      </c>
      <c r="D11943" s="29" t="s">
        <v>41212</v>
      </c>
      <c r="E11943" s="29" t="s">
        <v>52608</v>
      </c>
      <c r="F11943" s="36" t="s">
        <v>54401</v>
      </c>
      <c r="G11943" s="39">
        <v>223490.3</v>
      </c>
      <c r="H11943" s="42">
        <v>211</v>
      </c>
    </row>
    <row r="11944" spans="1:8" ht="15" customHeight="1">
      <c r="A11944" s="26">
        <v>1052395781</v>
      </c>
      <c r="B11944" s="29" t="s">
        <v>14155</v>
      </c>
      <c r="C11944" s="29" t="s">
        <v>27723</v>
      </c>
      <c r="D11944" s="29" t="s">
        <v>41213</v>
      </c>
      <c r="E11944" s="29" t="s">
        <v>52609</v>
      </c>
      <c r="F11944" s="36" t="s">
        <v>54401</v>
      </c>
      <c r="G11944" s="39">
        <v>4475029</v>
      </c>
      <c r="H11944" s="42">
        <v>211</v>
      </c>
    </row>
    <row r="11945" spans="1:8" ht="15" customHeight="1">
      <c r="A11945" s="26">
        <v>1052395783</v>
      </c>
      <c r="B11945" s="29" t="s">
        <v>14156</v>
      </c>
      <c r="C11945" s="26" t="s">
        <v>27724</v>
      </c>
      <c r="D11945" s="26" t="s">
        <v>41214</v>
      </c>
      <c r="E11945" s="26" t="s">
        <v>51293</v>
      </c>
      <c r="F11945" s="37" t="s">
        <v>54401</v>
      </c>
      <c r="G11945" s="39">
        <v>2045954.42</v>
      </c>
      <c r="H11945" s="42">
        <v>211</v>
      </c>
    </row>
    <row r="11946" spans="1:8" ht="15" customHeight="1">
      <c r="A11946" s="26">
        <v>1052395784</v>
      </c>
      <c r="B11946" s="29" t="s">
        <v>14157</v>
      </c>
      <c r="C11946" s="29" t="s">
        <v>27725</v>
      </c>
      <c r="D11946" s="29" t="s">
        <v>41215</v>
      </c>
      <c r="E11946" s="29" t="s">
        <v>52610</v>
      </c>
      <c r="F11946" s="36" t="s">
        <v>54401</v>
      </c>
      <c r="G11946" s="39">
        <v>1372330.1</v>
      </c>
      <c r="H11946" s="42">
        <v>211</v>
      </c>
    </row>
    <row r="11947" spans="1:8" ht="15" customHeight="1">
      <c r="A11947" s="26">
        <v>1052395789</v>
      </c>
      <c r="B11947" s="29" t="s">
        <v>14158</v>
      </c>
      <c r="C11947" s="29" t="s">
        <v>27726</v>
      </c>
      <c r="D11947" s="29" t="s">
        <v>41216</v>
      </c>
      <c r="E11947" s="29" t="s">
        <v>52611</v>
      </c>
      <c r="F11947" s="36" t="s">
        <v>54401</v>
      </c>
      <c r="G11947" s="39">
        <v>322545.27</v>
      </c>
      <c r="H11947" s="42">
        <v>211</v>
      </c>
    </row>
    <row r="11948" spans="1:8" ht="15" customHeight="1">
      <c r="A11948" s="26">
        <v>1052395800</v>
      </c>
      <c r="B11948" s="29" t="s">
        <v>14159</v>
      </c>
      <c r="C11948" s="29" t="s">
        <v>27727</v>
      </c>
      <c r="D11948" s="29" t="s">
        <v>41217</v>
      </c>
      <c r="E11948" s="29" t="s">
        <v>52612</v>
      </c>
      <c r="F11948" s="36" t="s">
        <v>54401</v>
      </c>
      <c r="G11948" s="39">
        <v>1134388.83</v>
      </c>
      <c r="H11948" s="42">
        <v>211</v>
      </c>
    </row>
    <row r="11949" spans="1:8" ht="15" customHeight="1">
      <c r="A11949" s="26">
        <v>1052395809</v>
      </c>
      <c r="B11949" s="29" t="s">
        <v>14160</v>
      </c>
      <c r="C11949" s="29" t="s">
        <v>27728</v>
      </c>
      <c r="D11949" s="29" t="s">
        <v>41218</v>
      </c>
      <c r="E11949" s="29" t="s">
        <v>52613</v>
      </c>
      <c r="F11949" s="36" t="s">
        <v>54401</v>
      </c>
      <c r="G11949" s="39">
        <v>717969.37</v>
      </c>
      <c r="H11949" s="42">
        <v>211</v>
      </c>
    </row>
    <row r="11950" spans="1:8" ht="15" customHeight="1">
      <c r="A11950" s="26">
        <v>1052395838</v>
      </c>
      <c r="B11950" s="29" t="s">
        <v>14161</v>
      </c>
      <c r="C11950" s="26" t="s">
        <v>27729</v>
      </c>
      <c r="D11950" s="26" t="s">
        <v>41219</v>
      </c>
      <c r="E11950" s="26" t="s">
        <v>52614</v>
      </c>
      <c r="F11950" s="37" t="s">
        <v>54401</v>
      </c>
      <c r="G11950" s="39">
        <v>999604.57</v>
      </c>
      <c r="H11950" s="42">
        <v>211</v>
      </c>
    </row>
    <row r="11951" spans="1:8" ht="15" customHeight="1">
      <c r="A11951" s="26">
        <v>1052395843</v>
      </c>
      <c r="B11951" s="29" t="s">
        <v>14162</v>
      </c>
      <c r="C11951" s="29" t="s">
        <v>27730</v>
      </c>
      <c r="D11951" s="29" t="s">
        <v>41220</v>
      </c>
      <c r="E11951" s="29" t="s">
        <v>52615</v>
      </c>
      <c r="F11951" s="36" t="s">
        <v>54401</v>
      </c>
      <c r="G11951" s="39">
        <v>451703.42</v>
      </c>
      <c r="H11951" s="42">
        <v>211</v>
      </c>
    </row>
    <row r="11952" spans="1:8" ht="15" customHeight="1">
      <c r="A11952" s="26">
        <v>1052395844</v>
      </c>
      <c r="B11952" s="29" t="s">
        <v>14163</v>
      </c>
      <c r="C11952" s="29" t="s">
        <v>17204</v>
      </c>
      <c r="D11952" s="29" t="s">
        <v>30349</v>
      </c>
      <c r="E11952" s="29" t="s">
        <v>43926</v>
      </c>
      <c r="F11952" s="36" t="s">
        <v>54401</v>
      </c>
      <c r="G11952" s="39">
        <v>701552.42</v>
      </c>
      <c r="H11952" s="42">
        <v>211</v>
      </c>
    </row>
    <row r="11953" spans="1:8" ht="15" customHeight="1">
      <c r="A11953" s="26">
        <v>1052395861</v>
      </c>
      <c r="B11953" s="29" t="s">
        <v>14164</v>
      </c>
      <c r="C11953" s="29" t="s">
        <v>27731</v>
      </c>
      <c r="D11953" s="29" t="s">
        <v>41221</v>
      </c>
      <c r="E11953" s="29" t="s">
        <v>52616</v>
      </c>
      <c r="F11953" s="36" t="s">
        <v>54401</v>
      </c>
      <c r="G11953" s="39">
        <v>427851.18</v>
      </c>
      <c r="H11953" s="42">
        <v>211</v>
      </c>
    </row>
    <row r="11954" spans="1:8" ht="15" customHeight="1">
      <c r="A11954" s="26">
        <v>1052395885</v>
      </c>
      <c r="B11954" s="29" t="s">
        <v>14165</v>
      </c>
      <c r="C11954" s="29" t="s">
        <v>27732</v>
      </c>
      <c r="D11954" s="29" t="s">
        <v>41222</v>
      </c>
      <c r="E11954" s="29" t="s">
        <v>52617</v>
      </c>
      <c r="F11954" s="36" t="s">
        <v>54401</v>
      </c>
      <c r="G11954" s="39">
        <v>2626980.38</v>
      </c>
      <c r="H11954" s="42">
        <v>211</v>
      </c>
    </row>
    <row r="11955" spans="1:8" ht="15" customHeight="1">
      <c r="A11955" s="26">
        <v>1052395901</v>
      </c>
      <c r="B11955" s="29" t="s">
        <v>14166</v>
      </c>
      <c r="C11955" s="29" t="s">
        <v>27733</v>
      </c>
      <c r="D11955" s="29" t="s">
        <v>41223</v>
      </c>
      <c r="E11955" s="29" t="s">
        <v>50836</v>
      </c>
      <c r="F11955" s="36" t="s">
        <v>54401</v>
      </c>
      <c r="G11955" s="39">
        <v>3365148.87</v>
      </c>
      <c r="H11955" s="42">
        <v>211</v>
      </c>
    </row>
    <row r="11956" spans="1:8" ht="15" customHeight="1">
      <c r="A11956" s="26">
        <v>1052395920</v>
      </c>
      <c r="B11956" s="29" t="s">
        <v>14167</v>
      </c>
      <c r="C11956" s="29" t="s">
        <v>27734</v>
      </c>
      <c r="D11956" s="29" t="s">
        <v>41224</v>
      </c>
      <c r="E11956" s="29" t="s">
        <v>52618</v>
      </c>
      <c r="F11956" s="36" t="s">
        <v>54401</v>
      </c>
      <c r="G11956" s="39">
        <v>4970810</v>
      </c>
      <c r="H11956" s="42">
        <v>211</v>
      </c>
    </row>
    <row r="11957" spans="1:8" ht="15" customHeight="1">
      <c r="A11957" s="26">
        <v>1052395933</v>
      </c>
      <c r="B11957" s="29" t="s">
        <v>14168</v>
      </c>
      <c r="C11957" s="29" t="s">
        <v>27735</v>
      </c>
      <c r="D11957" s="29" t="s">
        <v>41225</v>
      </c>
      <c r="E11957" s="29" t="s">
        <v>46653</v>
      </c>
      <c r="F11957" s="36" t="s">
        <v>54401</v>
      </c>
      <c r="G11957" s="39">
        <v>575044.94999999995</v>
      </c>
      <c r="H11957" s="42">
        <v>211</v>
      </c>
    </row>
    <row r="11958" spans="1:8" ht="15" customHeight="1">
      <c r="A11958" s="26">
        <v>1052395941</v>
      </c>
      <c r="B11958" s="29" t="s">
        <v>14169</v>
      </c>
      <c r="C11958" s="29" t="s">
        <v>17204</v>
      </c>
      <c r="D11958" s="29" t="s">
        <v>30349</v>
      </c>
      <c r="E11958" s="29" t="s">
        <v>43926</v>
      </c>
      <c r="F11958" s="36" t="s">
        <v>54401</v>
      </c>
      <c r="G11958" s="39">
        <v>583874.63</v>
      </c>
      <c r="H11958" s="42">
        <v>211</v>
      </c>
    </row>
    <row r="11959" spans="1:8" ht="15" customHeight="1">
      <c r="A11959" s="26">
        <v>1052395948</v>
      </c>
      <c r="B11959" s="29" t="s">
        <v>14170</v>
      </c>
      <c r="C11959" s="29" t="s">
        <v>27736</v>
      </c>
      <c r="D11959" s="29" t="s">
        <v>41226</v>
      </c>
      <c r="E11959" s="29" t="s">
        <v>45285</v>
      </c>
      <c r="F11959" s="36" t="s">
        <v>54401</v>
      </c>
      <c r="G11959" s="39">
        <v>386203.89</v>
      </c>
      <c r="H11959" s="42">
        <v>211</v>
      </c>
    </row>
    <row r="11960" spans="1:8" ht="15" customHeight="1">
      <c r="A11960" s="26">
        <v>1052395952</v>
      </c>
      <c r="B11960" s="29" t="s">
        <v>14171</v>
      </c>
      <c r="C11960" s="26" t="s">
        <v>17204</v>
      </c>
      <c r="D11960" s="26" t="s">
        <v>30349</v>
      </c>
      <c r="E11960" s="26" t="s">
        <v>43926</v>
      </c>
      <c r="F11960" s="37" t="s">
        <v>54401</v>
      </c>
      <c r="G11960" s="39">
        <v>9016.81</v>
      </c>
      <c r="H11960" s="42">
        <v>211</v>
      </c>
    </row>
    <row r="11961" spans="1:8" ht="15" customHeight="1">
      <c r="A11961" s="26">
        <v>1052395954</v>
      </c>
      <c r="B11961" s="29" t="s">
        <v>14172</v>
      </c>
      <c r="C11961" s="29" t="s">
        <v>27737</v>
      </c>
      <c r="D11961" s="29" t="s">
        <v>41227</v>
      </c>
      <c r="E11961" s="29" t="s">
        <v>48980</v>
      </c>
      <c r="F11961" s="36" t="s">
        <v>54401</v>
      </c>
      <c r="G11961" s="39">
        <v>380751.83</v>
      </c>
      <c r="H11961" s="42">
        <v>211</v>
      </c>
    </row>
    <row r="11962" spans="1:8" ht="15" customHeight="1">
      <c r="A11962" s="26">
        <v>1052395956</v>
      </c>
      <c r="B11962" s="29" t="s">
        <v>14173</v>
      </c>
      <c r="C11962" s="29" t="s">
        <v>27738</v>
      </c>
      <c r="D11962" s="29" t="s">
        <v>41228</v>
      </c>
      <c r="E11962" s="29" t="s">
        <v>45178</v>
      </c>
      <c r="F11962" s="36" t="s">
        <v>54401</v>
      </c>
      <c r="G11962" s="39">
        <v>3543083.92</v>
      </c>
      <c r="H11962" s="42">
        <v>211</v>
      </c>
    </row>
    <row r="11963" spans="1:8" ht="15" customHeight="1">
      <c r="A11963" s="26">
        <v>1052395960</v>
      </c>
      <c r="B11963" s="29" t="s">
        <v>14174</v>
      </c>
      <c r="C11963" s="29" t="s">
        <v>27739</v>
      </c>
      <c r="D11963" s="29" t="s">
        <v>41229</v>
      </c>
      <c r="E11963" s="29" t="s">
        <v>50084</v>
      </c>
      <c r="F11963" s="36" t="s">
        <v>54401</v>
      </c>
      <c r="G11963" s="39">
        <v>5327657.42</v>
      </c>
      <c r="H11963" s="42">
        <v>211</v>
      </c>
    </row>
    <row r="11964" spans="1:8" ht="15" customHeight="1">
      <c r="A11964" s="26">
        <v>1052395963</v>
      </c>
      <c r="B11964" s="29" t="s">
        <v>14175</v>
      </c>
      <c r="C11964" s="29" t="s">
        <v>27740</v>
      </c>
      <c r="D11964" s="29" t="s">
        <v>41230</v>
      </c>
      <c r="E11964" s="29" t="s">
        <v>44536</v>
      </c>
      <c r="F11964" s="36" t="s">
        <v>54401</v>
      </c>
      <c r="G11964" s="39">
        <v>4768573.63</v>
      </c>
      <c r="H11964" s="42">
        <v>211</v>
      </c>
    </row>
    <row r="11965" spans="1:8" ht="15" customHeight="1">
      <c r="A11965" s="26">
        <v>1052395981</v>
      </c>
      <c r="B11965" s="29" t="s">
        <v>14176</v>
      </c>
      <c r="C11965" s="29" t="s">
        <v>27741</v>
      </c>
      <c r="D11965" s="29" t="s">
        <v>41231</v>
      </c>
      <c r="E11965" s="29" t="s">
        <v>52619</v>
      </c>
      <c r="F11965" s="36" t="s">
        <v>54401</v>
      </c>
      <c r="G11965" s="39">
        <v>320692.88</v>
      </c>
      <c r="H11965" s="42">
        <v>211</v>
      </c>
    </row>
    <row r="11966" spans="1:8" ht="15" customHeight="1">
      <c r="A11966" s="26">
        <v>1052395985</v>
      </c>
      <c r="B11966" s="29" t="s">
        <v>14177</v>
      </c>
      <c r="C11966" s="29" t="s">
        <v>27742</v>
      </c>
      <c r="D11966" s="29" t="s">
        <v>41232</v>
      </c>
      <c r="E11966" s="29" t="s">
        <v>43926</v>
      </c>
      <c r="F11966" s="36" t="s">
        <v>54401</v>
      </c>
      <c r="G11966" s="39">
        <v>2094720</v>
      </c>
      <c r="H11966" s="42">
        <v>211</v>
      </c>
    </row>
    <row r="11967" spans="1:8" ht="15" customHeight="1">
      <c r="A11967" s="26">
        <v>1052395987</v>
      </c>
      <c r="B11967" s="29" t="s">
        <v>14178</v>
      </c>
      <c r="C11967" s="29" t="s">
        <v>27743</v>
      </c>
      <c r="D11967" s="29" t="s">
        <v>41233</v>
      </c>
      <c r="E11967" s="29" t="s">
        <v>43926</v>
      </c>
      <c r="F11967" s="36" t="s">
        <v>54401</v>
      </c>
      <c r="G11967" s="39">
        <v>158287.81</v>
      </c>
      <c r="H11967" s="42">
        <v>211</v>
      </c>
    </row>
    <row r="11968" spans="1:8" ht="15" customHeight="1">
      <c r="A11968" s="26">
        <v>1052396002</v>
      </c>
      <c r="B11968" s="29" t="s">
        <v>14179</v>
      </c>
      <c r="C11968" s="29" t="s">
        <v>27744</v>
      </c>
      <c r="D11968" s="29" t="s">
        <v>40785</v>
      </c>
      <c r="E11968" s="29" t="s">
        <v>52620</v>
      </c>
      <c r="F11968" s="36" t="s">
        <v>54401</v>
      </c>
      <c r="G11968" s="39">
        <v>2598224.84</v>
      </c>
      <c r="H11968" s="42">
        <v>211</v>
      </c>
    </row>
    <row r="11969" spans="1:8" ht="15" customHeight="1">
      <c r="A11969" s="26">
        <v>1052396011</v>
      </c>
      <c r="B11969" s="29" t="s">
        <v>14180</v>
      </c>
      <c r="C11969" s="29" t="s">
        <v>21257</v>
      </c>
      <c r="D11969" s="29" t="s">
        <v>30376</v>
      </c>
      <c r="E11969" s="29" t="s">
        <v>44520</v>
      </c>
      <c r="F11969" s="36" t="s">
        <v>54401</v>
      </c>
      <c r="G11969" s="39">
        <v>5656931.2199999997</v>
      </c>
      <c r="H11969" s="42">
        <v>211</v>
      </c>
    </row>
    <row r="11970" spans="1:8" ht="15" customHeight="1">
      <c r="A11970" s="26">
        <v>1052396033</v>
      </c>
      <c r="B11970" s="29" t="s">
        <v>14181</v>
      </c>
      <c r="C11970" s="29" t="s">
        <v>27745</v>
      </c>
      <c r="D11970" s="29" t="s">
        <v>41234</v>
      </c>
      <c r="E11970" s="29" t="s">
        <v>52621</v>
      </c>
      <c r="F11970" s="36" t="s">
        <v>54401</v>
      </c>
      <c r="G11970" s="39">
        <v>2885539.39</v>
      </c>
      <c r="H11970" s="42">
        <v>211</v>
      </c>
    </row>
    <row r="11971" spans="1:8" ht="15" customHeight="1">
      <c r="A11971" s="26">
        <v>1052396054</v>
      </c>
      <c r="B11971" s="29" t="s">
        <v>14182</v>
      </c>
      <c r="C11971" s="29" t="s">
        <v>27746</v>
      </c>
      <c r="D11971" s="29" t="s">
        <v>41235</v>
      </c>
      <c r="E11971" s="29" t="s">
        <v>52622</v>
      </c>
      <c r="F11971" s="36" t="s">
        <v>54401</v>
      </c>
      <c r="G11971" s="39">
        <v>4413949.0599999996</v>
      </c>
      <c r="H11971" s="42">
        <v>211</v>
      </c>
    </row>
    <row r="11972" spans="1:8" ht="15" customHeight="1">
      <c r="A11972" s="26">
        <v>1052396064</v>
      </c>
      <c r="B11972" s="29" t="s">
        <v>14183</v>
      </c>
      <c r="C11972" s="26" t="s">
        <v>27747</v>
      </c>
      <c r="D11972" s="26" t="s">
        <v>41236</v>
      </c>
      <c r="E11972" s="26" t="s">
        <v>52623</v>
      </c>
      <c r="F11972" s="37" t="s">
        <v>54401</v>
      </c>
      <c r="G11972" s="39">
        <v>3445132</v>
      </c>
      <c r="H11972" s="42">
        <v>211</v>
      </c>
    </row>
    <row r="11973" spans="1:8" ht="15" customHeight="1">
      <c r="A11973" s="26">
        <v>1052396087</v>
      </c>
      <c r="B11973" s="29" t="s">
        <v>14184</v>
      </c>
      <c r="C11973" s="29" t="s">
        <v>27748</v>
      </c>
      <c r="D11973" s="29" t="s">
        <v>41237</v>
      </c>
      <c r="E11973" s="29" t="s">
        <v>52624</v>
      </c>
      <c r="F11973" s="36" t="s">
        <v>54401</v>
      </c>
      <c r="G11973" s="39">
        <v>453155.85</v>
      </c>
      <c r="H11973" s="42">
        <v>211</v>
      </c>
    </row>
    <row r="11974" spans="1:8" ht="15" customHeight="1">
      <c r="A11974" s="26">
        <v>1052396094</v>
      </c>
      <c r="B11974" s="29" t="s">
        <v>14185</v>
      </c>
      <c r="C11974" s="29" t="s">
        <v>27749</v>
      </c>
      <c r="D11974" s="29" t="s">
        <v>41238</v>
      </c>
      <c r="E11974" s="29" t="s">
        <v>52625</v>
      </c>
      <c r="F11974" s="36" t="s">
        <v>54401</v>
      </c>
      <c r="G11974" s="39">
        <v>802449.84</v>
      </c>
      <c r="H11974" s="42">
        <v>211</v>
      </c>
    </row>
    <row r="11975" spans="1:8" ht="15" customHeight="1">
      <c r="A11975" s="26">
        <v>1052396138</v>
      </c>
      <c r="B11975" s="29" t="s">
        <v>14186</v>
      </c>
      <c r="C11975" s="29" t="s">
        <v>27750</v>
      </c>
      <c r="D11975" s="29" t="s">
        <v>41239</v>
      </c>
      <c r="E11975" s="29" t="s">
        <v>52626</v>
      </c>
      <c r="F11975" s="36" t="s">
        <v>54401</v>
      </c>
      <c r="G11975" s="39">
        <v>207738.57</v>
      </c>
      <c r="H11975" s="42">
        <v>211</v>
      </c>
    </row>
    <row r="11976" spans="1:8" ht="15" customHeight="1">
      <c r="A11976" s="26">
        <v>1052396142</v>
      </c>
      <c r="B11976" s="29" t="s">
        <v>14187</v>
      </c>
      <c r="C11976" s="29" t="s">
        <v>27751</v>
      </c>
      <c r="D11976" s="29" t="s">
        <v>41240</v>
      </c>
      <c r="E11976" s="29" t="s">
        <v>52627</v>
      </c>
      <c r="F11976" s="36" t="s">
        <v>54401</v>
      </c>
      <c r="G11976" s="39">
        <v>447859.24</v>
      </c>
      <c r="H11976" s="42">
        <v>211</v>
      </c>
    </row>
    <row r="11977" spans="1:8" ht="15" customHeight="1">
      <c r="A11977" s="26">
        <v>1052396143</v>
      </c>
      <c r="B11977" s="29" t="s">
        <v>14188</v>
      </c>
      <c r="C11977" s="29" t="s">
        <v>27752</v>
      </c>
      <c r="D11977" s="29" t="s">
        <v>41241</v>
      </c>
      <c r="E11977" s="29" t="s">
        <v>52628</v>
      </c>
      <c r="F11977" s="36" t="s">
        <v>54401</v>
      </c>
      <c r="G11977" s="39">
        <v>4965709.01</v>
      </c>
      <c r="H11977" s="42">
        <v>211</v>
      </c>
    </row>
    <row r="11978" spans="1:8" ht="15" customHeight="1">
      <c r="A11978" s="26">
        <v>1052396155</v>
      </c>
      <c r="B11978" s="29" t="s">
        <v>14189</v>
      </c>
      <c r="C11978" s="29" t="s">
        <v>27753</v>
      </c>
      <c r="D11978" s="29" t="s">
        <v>41242</v>
      </c>
      <c r="E11978" s="29" t="s">
        <v>52629</v>
      </c>
      <c r="F11978" s="36" t="s">
        <v>54401</v>
      </c>
      <c r="G11978" s="39">
        <v>95011.17</v>
      </c>
      <c r="H11978" s="42">
        <v>211</v>
      </c>
    </row>
    <row r="11979" spans="1:8" ht="15" customHeight="1">
      <c r="A11979" s="26">
        <v>1052396156</v>
      </c>
      <c r="B11979" s="29" t="s">
        <v>14190</v>
      </c>
      <c r="C11979" s="29" t="s">
        <v>27754</v>
      </c>
      <c r="D11979" s="29" t="s">
        <v>41243</v>
      </c>
      <c r="E11979" s="29" t="s">
        <v>52630</v>
      </c>
      <c r="F11979" s="36" t="s">
        <v>54401</v>
      </c>
      <c r="G11979" s="39">
        <v>567912.39</v>
      </c>
      <c r="H11979" s="42">
        <v>211</v>
      </c>
    </row>
    <row r="11980" spans="1:8" ht="15" customHeight="1">
      <c r="A11980" s="26">
        <v>1052396175</v>
      </c>
      <c r="B11980" s="29" t="s">
        <v>14191</v>
      </c>
      <c r="C11980" s="29" t="s">
        <v>27174</v>
      </c>
      <c r="D11980" s="29" t="s">
        <v>40651</v>
      </c>
      <c r="E11980" s="29" t="s">
        <v>52631</v>
      </c>
      <c r="F11980" s="36" t="s">
        <v>54401</v>
      </c>
      <c r="G11980" s="39">
        <v>1368329.6</v>
      </c>
      <c r="H11980" s="42">
        <v>211</v>
      </c>
    </row>
    <row r="11981" spans="1:8" ht="15" customHeight="1">
      <c r="A11981" s="26">
        <v>1052396216</v>
      </c>
      <c r="B11981" s="29" t="s">
        <v>14192</v>
      </c>
      <c r="C11981" s="29" t="s">
        <v>17204</v>
      </c>
      <c r="D11981" s="29" t="s">
        <v>30349</v>
      </c>
      <c r="E11981" s="29" t="s">
        <v>43926</v>
      </c>
      <c r="F11981" s="36" t="s">
        <v>54401</v>
      </c>
      <c r="G11981" s="39">
        <v>81484.88</v>
      </c>
      <c r="H11981" s="42">
        <v>211</v>
      </c>
    </row>
    <row r="11982" spans="1:8" ht="15" customHeight="1">
      <c r="A11982" s="26">
        <v>1052396217</v>
      </c>
      <c r="B11982" s="29" t="s">
        <v>14193</v>
      </c>
      <c r="C11982" s="29" t="s">
        <v>27755</v>
      </c>
      <c r="D11982" s="29" t="s">
        <v>41244</v>
      </c>
      <c r="E11982" s="29" t="s">
        <v>52632</v>
      </c>
      <c r="F11982" s="36" t="s">
        <v>54420</v>
      </c>
      <c r="G11982" s="39">
        <v>589576.75</v>
      </c>
      <c r="H11982" s="42">
        <v>211</v>
      </c>
    </row>
    <row r="11983" spans="1:8" ht="15" customHeight="1">
      <c r="A11983" s="26">
        <v>1052396224</v>
      </c>
      <c r="B11983" s="29" t="s">
        <v>14194</v>
      </c>
      <c r="C11983" s="29" t="s">
        <v>27756</v>
      </c>
      <c r="D11983" s="29" t="s">
        <v>41245</v>
      </c>
      <c r="E11983" s="29" t="s">
        <v>52633</v>
      </c>
      <c r="F11983" s="36" t="s">
        <v>54401</v>
      </c>
      <c r="G11983" s="39">
        <v>1460579.1</v>
      </c>
      <c r="H11983" s="42">
        <v>211</v>
      </c>
    </row>
    <row r="11984" spans="1:8" ht="15" customHeight="1">
      <c r="A11984" s="26">
        <v>1052396246</v>
      </c>
      <c r="B11984" s="29" t="s">
        <v>14195</v>
      </c>
      <c r="C11984" s="29" t="s">
        <v>27757</v>
      </c>
      <c r="D11984" s="29" t="s">
        <v>41246</v>
      </c>
      <c r="E11984" s="29" t="s">
        <v>52634</v>
      </c>
      <c r="F11984" s="36" t="s">
        <v>54401</v>
      </c>
      <c r="G11984" s="39">
        <v>1172729.3400000001</v>
      </c>
      <c r="H11984" s="42">
        <v>211</v>
      </c>
    </row>
    <row r="11985" spans="1:8" ht="15" customHeight="1">
      <c r="A11985" s="26">
        <v>1052396255</v>
      </c>
      <c r="B11985" s="29" t="s">
        <v>14196</v>
      </c>
      <c r="C11985" s="29" t="s">
        <v>27758</v>
      </c>
      <c r="D11985" s="29" t="s">
        <v>41247</v>
      </c>
      <c r="E11985" s="29" t="s">
        <v>43926</v>
      </c>
      <c r="F11985" s="36" t="s">
        <v>54401</v>
      </c>
      <c r="G11985" s="39">
        <v>550289.17000000004</v>
      </c>
      <c r="H11985" s="42">
        <v>211</v>
      </c>
    </row>
    <row r="11986" spans="1:8" ht="15" customHeight="1">
      <c r="A11986" s="26">
        <v>1052396276</v>
      </c>
      <c r="B11986" s="29" t="s">
        <v>14197</v>
      </c>
      <c r="C11986" s="29" t="s">
        <v>27759</v>
      </c>
      <c r="D11986" s="29" t="s">
        <v>41248</v>
      </c>
      <c r="E11986" s="29" t="s">
        <v>52635</v>
      </c>
      <c r="F11986" s="36" t="s">
        <v>54401</v>
      </c>
      <c r="G11986" s="39">
        <v>168263.59</v>
      </c>
      <c r="H11986" s="42">
        <v>211</v>
      </c>
    </row>
    <row r="11987" spans="1:8" ht="15" customHeight="1">
      <c r="A11987" s="26">
        <v>1052396293</v>
      </c>
      <c r="B11987" s="29" t="s">
        <v>14198</v>
      </c>
      <c r="C11987" s="29" t="s">
        <v>27760</v>
      </c>
      <c r="D11987" s="29" t="s">
        <v>41249</v>
      </c>
      <c r="E11987" s="29" t="s">
        <v>43926</v>
      </c>
      <c r="F11987" s="36" t="s">
        <v>54401</v>
      </c>
      <c r="G11987" s="39">
        <v>2299353.4</v>
      </c>
      <c r="H11987" s="42">
        <v>211</v>
      </c>
    </row>
    <row r="11988" spans="1:8" ht="15" customHeight="1">
      <c r="A11988" s="26">
        <v>1052396304</v>
      </c>
      <c r="B11988" s="29" t="s">
        <v>14199</v>
      </c>
      <c r="C11988" s="29" t="s">
        <v>27761</v>
      </c>
      <c r="D11988" s="29" t="s">
        <v>41250</v>
      </c>
      <c r="E11988" s="29" t="s">
        <v>52636</v>
      </c>
      <c r="F11988" s="36" t="s">
        <v>54401</v>
      </c>
      <c r="G11988" s="39">
        <v>645744.04</v>
      </c>
      <c r="H11988" s="42">
        <v>211</v>
      </c>
    </row>
    <row r="11989" spans="1:8" ht="15" customHeight="1">
      <c r="A11989" s="26">
        <v>1052396342</v>
      </c>
      <c r="B11989" s="29" t="s">
        <v>14200</v>
      </c>
      <c r="C11989" s="29" t="s">
        <v>27762</v>
      </c>
      <c r="D11989" s="29" t="s">
        <v>41251</v>
      </c>
      <c r="E11989" s="29" t="s">
        <v>52637</v>
      </c>
      <c r="F11989" s="36" t="s">
        <v>54401</v>
      </c>
      <c r="G11989" s="39">
        <v>1823996.06</v>
      </c>
      <c r="H11989" s="42">
        <v>211</v>
      </c>
    </row>
    <row r="11990" spans="1:8" ht="15" customHeight="1">
      <c r="A11990" s="26">
        <v>1052396348</v>
      </c>
      <c r="B11990" s="29" t="s">
        <v>14201</v>
      </c>
      <c r="C11990" s="29" t="s">
        <v>27763</v>
      </c>
      <c r="D11990" s="29" t="s">
        <v>41252</v>
      </c>
      <c r="E11990" s="29" t="s">
        <v>52638</v>
      </c>
      <c r="F11990" s="36" t="s">
        <v>54401</v>
      </c>
      <c r="G11990" s="39">
        <v>224086</v>
      </c>
      <c r="H11990" s="42">
        <v>211</v>
      </c>
    </row>
    <row r="11991" spans="1:8" ht="15" customHeight="1">
      <c r="A11991" s="26">
        <v>1052396364</v>
      </c>
      <c r="B11991" s="29" t="s">
        <v>14202</v>
      </c>
      <c r="C11991" s="26" t="s">
        <v>27764</v>
      </c>
      <c r="D11991" s="26" t="s">
        <v>41253</v>
      </c>
      <c r="E11991" s="26" t="s">
        <v>43926</v>
      </c>
      <c r="F11991" s="37" t="s">
        <v>54401</v>
      </c>
      <c r="G11991" s="39">
        <v>58645.41</v>
      </c>
      <c r="H11991" s="42">
        <v>211</v>
      </c>
    </row>
    <row r="11992" spans="1:8" ht="15" customHeight="1">
      <c r="A11992" s="26">
        <v>1052396375</v>
      </c>
      <c r="B11992" s="29" t="s">
        <v>14203</v>
      </c>
      <c r="C11992" s="29" t="s">
        <v>27765</v>
      </c>
      <c r="D11992" s="29" t="s">
        <v>41254</v>
      </c>
      <c r="E11992" s="29" t="s">
        <v>52639</v>
      </c>
      <c r="F11992" s="36" t="s">
        <v>54401</v>
      </c>
      <c r="G11992" s="39">
        <v>173096.47</v>
      </c>
      <c r="H11992" s="42">
        <v>211</v>
      </c>
    </row>
    <row r="11993" spans="1:8" ht="15" customHeight="1">
      <c r="A11993" s="26">
        <v>1052396404</v>
      </c>
      <c r="B11993" s="29" t="s">
        <v>14204</v>
      </c>
      <c r="C11993" s="29" t="s">
        <v>27766</v>
      </c>
      <c r="D11993" s="29" t="s">
        <v>41255</v>
      </c>
      <c r="E11993" s="29" t="s">
        <v>52640</v>
      </c>
      <c r="F11993" s="36" t="s">
        <v>54401</v>
      </c>
      <c r="G11993" s="39">
        <v>33279.81</v>
      </c>
      <c r="H11993" s="42">
        <v>211</v>
      </c>
    </row>
    <row r="11994" spans="1:8" ht="15" customHeight="1">
      <c r="A11994" s="26">
        <v>1052396420</v>
      </c>
      <c r="B11994" s="29" t="s">
        <v>14205</v>
      </c>
      <c r="C11994" s="29" t="s">
        <v>27767</v>
      </c>
      <c r="D11994" s="29" t="s">
        <v>41256</v>
      </c>
      <c r="E11994" s="29" t="s">
        <v>52641</v>
      </c>
      <c r="F11994" s="36" t="s">
        <v>54401</v>
      </c>
      <c r="G11994" s="39">
        <v>3619695</v>
      </c>
      <c r="H11994" s="42">
        <v>211</v>
      </c>
    </row>
    <row r="11995" spans="1:8" ht="15" customHeight="1">
      <c r="A11995" s="26">
        <v>1052396428</v>
      </c>
      <c r="B11995" s="29" t="s">
        <v>14206</v>
      </c>
      <c r="C11995" s="29" t="s">
        <v>25551</v>
      </c>
      <c r="D11995" s="29" t="s">
        <v>38978</v>
      </c>
      <c r="E11995" s="29" t="s">
        <v>52642</v>
      </c>
      <c r="F11995" s="36" t="s">
        <v>54401</v>
      </c>
      <c r="G11995" s="39">
        <v>3678429.16</v>
      </c>
      <c r="H11995" s="42">
        <v>211</v>
      </c>
    </row>
    <row r="11996" spans="1:8" ht="15" customHeight="1">
      <c r="A11996" s="26">
        <v>1052396429</v>
      </c>
      <c r="B11996" s="29" t="s">
        <v>14207</v>
      </c>
      <c r="C11996" s="29" t="s">
        <v>27768</v>
      </c>
      <c r="D11996" s="29" t="s">
        <v>41257</v>
      </c>
      <c r="E11996" s="29" t="s">
        <v>52643</v>
      </c>
      <c r="F11996" s="36" t="s">
        <v>54401</v>
      </c>
      <c r="G11996" s="39">
        <v>1907547</v>
      </c>
      <c r="H11996" s="42">
        <v>211</v>
      </c>
    </row>
    <row r="11997" spans="1:8" ht="15" customHeight="1">
      <c r="A11997" s="26">
        <v>1052396431</v>
      </c>
      <c r="B11997" s="29" t="s">
        <v>14208</v>
      </c>
      <c r="C11997" s="29" t="s">
        <v>17204</v>
      </c>
      <c r="D11997" s="29" t="s">
        <v>41258</v>
      </c>
      <c r="E11997" s="29" t="s">
        <v>43926</v>
      </c>
      <c r="F11997" s="36" t="s">
        <v>54401</v>
      </c>
      <c r="G11997" s="39">
        <v>479154.65</v>
      </c>
      <c r="H11997" s="42">
        <v>211</v>
      </c>
    </row>
    <row r="11998" spans="1:8" ht="15" customHeight="1">
      <c r="A11998" s="26">
        <v>1052396437</v>
      </c>
      <c r="B11998" s="29" t="s">
        <v>14209</v>
      </c>
      <c r="C11998" s="29" t="s">
        <v>27769</v>
      </c>
      <c r="D11998" s="29" t="s">
        <v>41259</v>
      </c>
      <c r="E11998" s="29" t="s">
        <v>52644</v>
      </c>
      <c r="F11998" s="36" t="s">
        <v>54401</v>
      </c>
      <c r="G11998" s="39">
        <v>1658925.95</v>
      </c>
      <c r="H11998" s="42">
        <v>211</v>
      </c>
    </row>
    <row r="11999" spans="1:8" ht="15" customHeight="1">
      <c r="A11999" s="26">
        <v>1052396438</v>
      </c>
      <c r="B11999" s="29" t="s">
        <v>14210</v>
      </c>
      <c r="C11999" s="26" t="s">
        <v>27770</v>
      </c>
      <c r="D11999" s="26" t="s">
        <v>41260</v>
      </c>
      <c r="E11999" s="26" t="s">
        <v>52645</v>
      </c>
      <c r="F11999" s="37" t="s">
        <v>54401</v>
      </c>
      <c r="G11999" s="39">
        <v>386290.11</v>
      </c>
      <c r="H11999" s="42">
        <v>211</v>
      </c>
    </row>
    <row r="12000" spans="1:8" ht="15" customHeight="1">
      <c r="A12000" s="26">
        <v>1052396486</v>
      </c>
      <c r="B12000" s="29" t="s">
        <v>14211</v>
      </c>
      <c r="C12000" s="29" t="s">
        <v>27771</v>
      </c>
      <c r="D12000" s="29" t="s">
        <v>41261</v>
      </c>
      <c r="E12000" s="29" t="s">
        <v>45254</v>
      </c>
      <c r="F12000" s="36" t="s">
        <v>54401</v>
      </c>
      <c r="G12000" s="39">
        <v>233354.66</v>
      </c>
      <c r="H12000" s="42">
        <v>211</v>
      </c>
    </row>
    <row r="12001" spans="1:8" ht="15" customHeight="1">
      <c r="A12001" s="26">
        <v>1052396491</v>
      </c>
      <c r="B12001" s="29" t="s">
        <v>14212</v>
      </c>
      <c r="C12001" s="29" t="s">
        <v>27772</v>
      </c>
      <c r="D12001" s="29" t="s">
        <v>41262</v>
      </c>
      <c r="E12001" s="29" t="s">
        <v>52646</v>
      </c>
      <c r="F12001" s="36" t="s">
        <v>54401</v>
      </c>
      <c r="G12001" s="39">
        <v>404575.47</v>
      </c>
      <c r="H12001" s="42">
        <v>211</v>
      </c>
    </row>
    <row r="12002" spans="1:8" ht="15" customHeight="1">
      <c r="A12002" s="26">
        <v>1052396500</v>
      </c>
      <c r="B12002" s="29" t="s">
        <v>14213</v>
      </c>
      <c r="C12002" s="29" t="s">
        <v>27773</v>
      </c>
      <c r="D12002" s="29" t="s">
        <v>41263</v>
      </c>
      <c r="E12002" s="29" t="s">
        <v>52647</v>
      </c>
      <c r="F12002" s="36" t="s">
        <v>54401</v>
      </c>
      <c r="G12002" s="39">
        <v>534618.51</v>
      </c>
      <c r="H12002" s="42">
        <v>211</v>
      </c>
    </row>
    <row r="12003" spans="1:8" ht="15" customHeight="1">
      <c r="A12003" s="26">
        <v>1052396528</v>
      </c>
      <c r="B12003" s="29" t="s">
        <v>14214</v>
      </c>
      <c r="C12003" s="26" t="s">
        <v>27774</v>
      </c>
      <c r="D12003" s="26" t="s">
        <v>41264</v>
      </c>
      <c r="E12003" s="26" t="s">
        <v>52648</v>
      </c>
      <c r="F12003" s="37" t="s">
        <v>54401</v>
      </c>
      <c r="G12003" s="39">
        <v>1422573.96</v>
      </c>
      <c r="H12003" s="42">
        <v>211</v>
      </c>
    </row>
    <row r="12004" spans="1:8" ht="15" customHeight="1">
      <c r="A12004" s="26">
        <v>1052396534</v>
      </c>
      <c r="B12004" s="29" t="s">
        <v>14215</v>
      </c>
      <c r="C12004" s="29" t="s">
        <v>27775</v>
      </c>
      <c r="D12004" s="29" t="s">
        <v>41265</v>
      </c>
      <c r="E12004" s="29" t="s">
        <v>44802</v>
      </c>
      <c r="F12004" s="36" t="s">
        <v>54401</v>
      </c>
      <c r="G12004" s="39">
        <v>49143.21</v>
      </c>
      <c r="H12004" s="42">
        <v>211</v>
      </c>
    </row>
    <row r="12005" spans="1:8" ht="15" customHeight="1">
      <c r="A12005" s="26">
        <v>1052396536</v>
      </c>
      <c r="B12005" s="29" t="s">
        <v>14216</v>
      </c>
      <c r="C12005" s="29" t="s">
        <v>27776</v>
      </c>
      <c r="D12005" s="29" t="s">
        <v>41266</v>
      </c>
      <c r="E12005" s="29" t="s">
        <v>359</v>
      </c>
      <c r="F12005" s="36" t="s">
        <v>54401</v>
      </c>
      <c r="G12005" s="39">
        <v>106800.93</v>
      </c>
      <c r="H12005" s="42">
        <v>211</v>
      </c>
    </row>
    <row r="12006" spans="1:8" ht="15" customHeight="1">
      <c r="A12006" s="26">
        <v>1052396564</v>
      </c>
      <c r="B12006" s="29" t="s">
        <v>14217</v>
      </c>
      <c r="C12006" s="29" t="s">
        <v>27777</v>
      </c>
      <c r="D12006" s="29" t="s">
        <v>41267</v>
      </c>
      <c r="E12006" s="29" t="s">
        <v>52649</v>
      </c>
      <c r="F12006" s="36" t="s">
        <v>54401</v>
      </c>
      <c r="G12006" s="39">
        <v>2396984.27</v>
      </c>
      <c r="H12006" s="42">
        <v>211</v>
      </c>
    </row>
    <row r="12007" spans="1:8" ht="15" customHeight="1">
      <c r="A12007" s="26">
        <v>1052396585</v>
      </c>
      <c r="B12007" s="29" t="s">
        <v>14218</v>
      </c>
      <c r="C12007" s="29" t="s">
        <v>27778</v>
      </c>
      <c r="D12007" s="29" t="s">
        <v>41268</v>
      </c>
      <c r="E12007" s="29" t="s">
        <v>52650</v>
      </c>
      <c r="F12007" s="36" t="s">
        <v>54401</v>
      </c>
      <c r="G12007" s="39">
        <v>4697692</v>
      </c>
      <c r="H12007" s="42">
        <v>211</v>
      </c>
    </row>
    <row r="12008" spans="1:8" ht="15" customHeight="1">
      <c r="A12008" s="26">
        <v>1052396610</v>
      </c>
      <c r="B12008" s="29" t="s">
        <v>14219</v>
      </c>
      <c r="C12008" s="29" t="s">
        <v>27779</v>
      </c>
      <c r="D12008" s="29" t="s">
        <v>41269</v>
      </c>
      <c r="E12008" s="29" t="s">
        <v>44010</v>
      </c>
      <c r="F12008" s="36" t="s">
        <v>54401</v>
      </c>
      <c r="G12008" s="39">
        <v>689551.7</v>
      </c>
      <c r="H12008" s="42">
        <v>211</v>
      </c>
    </row>
    <row r="12009" spans="1:8" ht="15" customHeight="1">
      <c r="A12009" s="26">
        <v>1052396612</v>
      </c>
      <c r="B12009" s="29" t="s">
        <v>14220</v>
      </c>
      <c r="C12009" s="29" t="s">
        <v>27780</v>
      </c>
      <c r="D12009" s="29" t="s">
        <v>41270</v>
      </c>
      <c r="E12009" s="29" t="s">
        <v>44536</v>
      </c>
      <c r="F12009" s="36" t="s">
        <v>54401</v>
      </c>
      <c r="G12009" s="39">
        <v>429882.51</v>
      </c>
      <c r="H12009" s="42">
        <v>211</v>
      </c>
    </row>
    <row r="12010" spans="1:8" ht="15" customHeight="1">
      <c r="A12010" s="26">
        <v>1052396632</v>
      </c>
      <c r="B12010" s="29" t="s">
        <v>14221</v>
      </c>
      <c r="C12010" s="29" t="s">
        <v>27781</v>
      </c>
      <c r="D12010" s="29" t="s">
        <v>41271</v>
      </c>
      <c r="E12010" s="29" t="s">
        <v>52651</v>
      </c>
      <c r="F12010" s="36" t="s">
        <v>54401</v>
      </c>
      <c r="G12010" s="39">
        <v>24645.88</v>
      </c>
      <c r="H12010" s="42">
        <v>211</v>
      </c>
    </row>
    <row r="12011" spans="1:8" ht="15" customHeight="1">
      <c r="A12011" s="26">
        <v>1052396650</v>
      </c>
      <c r="B12011" s="29" t="s">
        <v>14222</v>
      </c>
      <c r="C12011" s="29" t="s">
        <v>27782</v>
      </c>
      <c r="D12011" s="29" t="s">
        <v>41272</v>
      </c>
      <c r="E12011" s="29" t="s">
        <v>43942</v>
      </c>
      <c r="F12011" s="36" t="s">
        <v>54401</v>
      </c>
      <c r="G12011" s="39">
        <v>2172333</v>
      </c>
      <c r="H12011" s="42">
        <v>211</v>
      </c>
    </row>
    <row r="12012" spans="1:8" ht="15" customHeight="1">
      <c r="A12012" s="26">
        <v>1052396668</v>
      </c>
      <c r="B12012" s="29" t="s">
        <v>14223</v>
      </c>
      <c r="C12012" s="29" t="s">
        <v>27783</v>
      </c>
      <c r="D12012" s="29" t="s">
        <v>41273</v>
      </c>
      <c r="E12012" s="29" t="s">
        <v>45987</v>
      </c>
      <c r="F12012" s="36" t="s">
        <v>54401</v>
      </c>
      <c r="G12012" s="39">
        <v>283481.43</v>
      </c>
      <c r="H12012" s="42">
        <v>211</v>
      </c>
    </row>
    <row r="12013" spans="1:8" ht="15" customHeight="1">
      <c r="A12013" s="26">
        <v>1052396686</v>
      </c>
      <c r="B12013" s="29" t="s">
        <v>14224</v>
      </c>
      <c r="C12013" s="29" t="s">
        <v>27784</v>
      </c>
      <c r="D12013" s="29" t="s">
        <v>41274</v>
      </c>
      <c r="E12013" s="29" t="s">
        <v>52652</v>
      </c>
      <c r="F12013" s="36" t="s">
        <v>54401</v>
      </c>
      <c r="G12013" s="39">
        <v>1388727.62</v>
      </c>
      <c r="H12013" s="42">
        <v>211</v>
      </c>
    </row>
    <row r="12014" spans="1:8" ht="15" customHeight="1">
      <c r="A12014" s="26">
        <v>1052396688</v>
      </c>
      <c r="B12014" s="29" t="s">
        <v>14225</v>
      </c>
      <c r="C12014" s="26" t="s">
        <v>27785</v>
      </c>
      <c r="D12014" s="26" t="s">
        <v>41275</v>
      </c>
      <c r="E12014" s="26" t="s">
        <v>52653</v>
      </c>
      <c r="F12014" s="37" t="s">
        <v>54401</v>
      </c>
      <c r="G12014" s="39">
        <v>20079.919999999998</v>
      </c>
      <c r="H12014" s="42">
        <v>211</v>
      </c>
    </row>
    <row r="12015" spans="1:8" ht="15" customHeight="1">
      <c r="A12015" s="26">
        <v>1052396692</v>
      </c>
      <c r="B12015" s="29" t="s">
        <v>14226</v>
      </c>
      <c r="C12015" s="29" t="s">
        <v>27786</v>
      </c>
      <c r="D12015" s="29" t="s">
        <v>41276</v>
      </c>
      <c r="E12015" s="29" t="s">
        <v>52654</v>
      </c>
      <c r="F12015" s="36" t="s">
        <v>54401</v>
      </c>
      <c r="G12015" s="39">
        <v>1636387.53</v>
      </c>
      <c r="H12015" s="42">
        <v>211</v>
      </c>
    </row>
    <row r="12016" spans="1:8" ht="15" customHeight="1">
      <c r="A12016" s="26">
        <v>1052396733</v>
      </c>
      <c r="B12016" s="29" t="s">
        <v>14227</v>
      </c>
      <c r="C12016" s="29" t="s">
        <v>27787</v>
      </c>
      <c r="D12016" s="29" t="s">
        <v>41277</v>
      </c>
      <c r="E12016" s="29" t="s">
        <v>44178</v>
      </c>
      <c r="F12016" s="36" t="s">
        <v>54409</v>
      </c>
      <c r="G12016" s="39">
        <v>2109472.13</v>
      </c>
      <c r="H12016" s="42">
        <v>211</v>
      </c>
    </row>
    <row r="12017" spans="1:8" ht="15" customHeight="1">
      <c r="A12017" s="26">
        <v>1052396759</v>
      </c>
      <c r="B12017" s="29" t="s">
        <v>14228</v>
      </c>
      <c r="C12017" s="29" t="s">
        <v>27788</v>
      </c>
      <c r="D12017" s="29" t="s">
        <v>41278</v>
      </c>
      <c r="E12017" s="29" t="s">
        <v>45430</v>
      </c>
      <c r="F12017" s="36" t="s">
        <v>54401</v>
      </c>
      <c r="G12017" s="39">
        <v>1792756.43</v>
      </c>
      <c r="H12017" s="42">
        <v>211</v>
      </c>
    </row>
    <row r="12018" spans="1:8" ht="15" customHeight="1">
      <c r="A12018" s="26">
        <v>1052396767</v>
      </c>
      <c r="B12018" s="29" t="s">
        <v>14229</v>
      </c>
      <c r="C12018" s="29" t="s">
        <v>27789</v>
      </c>
      <c r="D12018" s="29" t="s">
        <v>41279</v>
      </c>
      <c r="E12018" s="29" t="s">
        <v>52655</v>
      </c>
      <c r="F12018" s="36" t="s">
        <v>54401</v>
      </c>
      <c r="G12018" s="39">
        <v>644676.66</v>
      </c>
      <c r="H12018" s="42">
        <v>211</v>
      </c>
    </row>
    <row r="12019" spans="1:8" ht="15" customHeight="1">
      <c r="A12019" s="26">
        <v>1052396780</v>
      </c>
      <c r="B12019" s="29" t="s">
        <v>14230</v>
      </c>
      <c r="C12019" s="29" t="s">
        <v>27790</v>
      </c>
      <c r="D12019" s="29" t="s">
        <v>31206</v>
      </c>
      <c r="E12019" s="29" t="s">
        <v>51616</v>
      </c>
      <c r="F12019" s="36" t="s">
        <v>54401</v>
      </c>
      <c r="G12019" s="39">
        <v>347294.95</v>
      </c>
      <c r="H12019" s="42">
        <v>211</v>
      </c>
    </row>
    <row r="12020" spans="1:8" ht="15" customHeight="1">
      <c r="A12020" s="26">
        <v>1052396791</v>
      </c>
      <c r="B12020" s="29" t="s">
        <v>14231</v>
      </c>
      <c r="C12020" s="29" t="s">
        <v>27791</v>
      </c>
      <c r="D12020" s="29" t="s">
        <v>30349</v>
      </c>
      <c r="E12020" s="29" t="s">
        <v>52656</v>
      </c>
      <c r="F12020" s="36" t="s">
        <v>54401</v>
      </c>
      <c r="G12020" s="39">
        <v>425750.28</v>
      </c>
      <c r="H12020" s="42">
        <v>211</v>
      </c>
    </row>
    <row r="12021" spans="1:8" ht="15" customHeight="1">
      <c r="A12021" s="26">
        <v>1052396820</v>
      </c>
      <c r="B12021" s="29" t="s">
        <v>14232</v>
      </c>
      <c r="C12021" s="29" t="s">
        <v>25926</v>
      </c>
      <c r="D12021" s="29" t="s">
        <v>41280</v>
      </c>
      <c r="E12021" s="29" t="s">
        <v>52657</v>
      </c>
      <c r="F12021" s="36" t="s">
        <v>54401</v>
      </c>
      <c r="G12021" s="39">
        <v>116904.78</v>
      </c>
      <c r="H12021" s="42">
        <v>211</v>
      </c>
    </row>
    <row r="12022" spans="1:8" ht="15" customHeight="1">
      <c r="A12022" s="26">
        <v>1052396821</v>
      </c>
      <c r="B12022" s="29" t="s">
        <v>14233</v>
      </c>
      <c r="C12022" s="29" t="s">
        <v>27792</v>
      </c>
      <c r="D12022" s="29" t="s">
        <v>41281</v>
      </c>
      <c r="E12022" s="29" t="s">
        <v>52658</v>
      </c>
      <c r="F12022" s="36" t="s">
        <v>54401</v>
      </c>
      <c r="G12022" s="39">
        <v>452832.91</v>
      </c>
      <c r="H12022" s="42">
        <v>211</v>
      </c>
    </row>
    <row r="12023" spans="1:8" ht="15" customHeight="1">
      <c r="A12023" s="26">
        <v>1052396838</v>
      </c>
      <c r="B12023" s="29" t="s">
        <v>14234</v>
      </c>
      <c r="C12023" s="29" t="s">
        <v>17204</v>
      </c>
      <c r="D12023" s="29" t="s">
        <v>30349</v>
      </c>
      <c r="E12023" s="29" t="s">
        <v>43926</v>
      </c>
      <c r="F12023" s="36" t="s">
        <v>54401</v>
      </c>
      <c r="G12023" s="39">
        <v>2101305.21</v>
      </c>
      <c r="H12023" s="42">
        <v>211</v>
      </c>
    </row>
    <row r="12024" spans="1:8" ht="15" customHeight="1">
      <c r="A12024" s="26">
        <v>1052396847</v>
      </c>
      <c r="B12024" s="29" t="s">
        <v>14235</v>
      </c>
      <c r="C12024" s="29" t="s">
        <v>27793</v>
      </c>
      <c r="D12024" s="29" t="s">
        <v>41282</v>
      </c>
      <c r="E12024" s="29" t="s">
        <v>43926</v>
      </c>
      <c r="F12024" s="36" t="s">
        <v>54401</v>
      </c>
      <c r="G12024" s="39">
        <v>564002.06000000006</v>
      </c>
      <c r="H12024" s="42">
        <v>211</v>
      </c>
    </row>
    <row r="12025" spans="1:8" ht="15" customHeight="1">
      <c r="A12025" s="26">
        <v>1052396860</v>
      </c>
      <c r="B12025" s="29" t="s">
        <v>14236</v>
      </c>
      <c r="C12025" s="29" t="s">
        <v>27794</v>
      </c>
      <c r="D12025" s="29" t="s">
        <v>41283</v>
      </c>
      <c r="E12025" s="29" t="s">
        <v>52659</v>
      </c>
      <c r="F12025" s="36" t="s">
        <v>54401</v>
      </c>
      <c r="G12025" s="39">
        <v>905568.08</v>
      </c>
      <c r="H12025" s="42">
        <v>211</v>
      </c>
    </row>
    <row r="12026" spans="1:8" ht="15" customHeight="1">
      <c r="A12026" s="26">
        <v>1052396889</v>
      </c>
      <c r="B12026" s="29" t="s">
        <v>14237</v>
      </c>
      <c r="C12026" s="29" t="s">
        <v>27795</v>
      </c>
      <c r="D12026" s="29" t="s">
        <v>41284</v>
      </c>
      <c r="E12026" s="29" t="s">
        <v>44958</v>
      </c>
      <c r="F12026" s="36" t="s">
        <v>54401</v>
      </c>
      <c r="G12026" s="39">
        <v>446131.63</v>
      </c>
      <c r="H12026" s="42">
        <v>211</v>
      </c>
    </row>
    <row r="12027" spans="1:8" ht="15" customHeight="1">
      <c r="A12027" s="26">
        <v>1052396894</v>
      </c>
      <c r="B12027" s="29" t="s">
        <v>14238</v>
      </c>
      <c r="C12027" s="29" t="s">
        <v>17204</v>
      </c>
      <c r="D12027" s="29" t="s">
        <v>41285</v>
      </c>
      <c r="E12027" s="29" t="s">
        <v>43926</v>
      </c>
      <c r="F12027" s="36" t="s">
        <v>54401</v>
      </c>
      <c r="G12027" s="39">
        <v>308851.01</v>
      </c>
      <c r="H12027" s="42">
        <v>211</v>
      </c>
    </row>
    <row r="12028" spans="1:8" ht="15" customHeight="1">
      <c r="A12028" s="26">
        <v>1052396938</v>
      </c>
      <c r="B12028" s="29" t="s">
        <v>14239</v>
      </c>
      <c r="C12028" s="29" t="s">
        <v>27796</v>
      </c>
      <c r="D12028" s="29" t="s">
        <v>41286</v>
      </c>
      <c r="E12028" s="29" t="s">
        <v>52660</v>
      </c>
      <c r="F12028" s="36" t="s">
        <v>54401</v>
      </c>
      <c r="G12028" s="39">
        <v>2231663.64</v>
      </c>
      <c r="H12028" s="42">
        <v>211</v>
      </c>
    </row>
    <row r="12029" spans="1:8" ht="15" customHeight="1">
      <c r="A12029" s="26">
        <v>1052396939</v>
      </c>
      <c r="B12029" s="29" t="s">
        <v>14240</v>
      </c>
      <c r="C12029" s="29" t="s">
        <v>27797</v>
      </c>
      <c r="D12029" s="29" t="s">
        <v>41287</v>
      </c>
      <c r="E12029" s="29" t="s">
        <v>52661</v>
      </c>
      <c r="F12029" s="36" t="s">
        <v>54401</v>
      </c>
      <c r="G12029" s="39">
        <v>583755.57999999996</v>
      </c>
      <c r="H12029" s="42">
        <v>211</v>
      </c>
    </row>
    <row r="12030" spans="1:8" ht="15" customHeight="1">
      <c r="A12030" s="26">
        <v>1052396971</v>
      </c>
      <c r="B12030" s="29" t="s">
        <v>14241</v>
      </c>
      <c r="C12030" s="29" t="s">
        <v>27798</v>
      </c>
      <c r="D12030" s="29" t="s">
        <v>41288</v>
      </c>
      <c r="E12030" s="29" t="s">
        <v>52662</v>
      </c>
      <c r="F12030" s="36" t="s">
        <v>54401</v>
      </c>
      <c r="G12030" s="39">
        <v>4718364</v>
      </c>
      <c r="H12030" s="42">
        <v>211</v>
      </c>
    </row>
    <row r="12031" spans="1:8" ht="15" customHeight="1">
      <c r="A12031" s="26">
        <v>1052396979</v>
      </c>
      <c r="B12031" s="29" t="s">
        <v>14242</v>
      </c>
      <c r="C12031" s="29" t="s">
        <v>27799</v>
      </c>
      <c r="D12031" s="29" t="s">
        <v>41289</v>
      </c>
      <c r="E12031" s="29" t="s">
        <v>52663</v>
      </c>
      <c r="F12031" s="36" t="s">
        <v>54401</v>
      </c>
      <c r="G12031" s="39">
        <v>2703243</v>
      </c>
      <c r="H12031" s="42">
        <v>211</v>
      </c>
    </row>
    <row r="12032" spans="1:8" ht="15" customHeight="1">
      <c r="A12032" s="26">
        <v>1052396987</v>
      </c>
      <c r="B12032" s="29" t="s">
        <v>14243</v>
      </c>
      <c r="C12032" s="29" t="s">
        <v>27800</v>
      </c>
      <c r="D12032" s="29" t="s">
        <v>40484</v>
      </c>
      <c r="E12032" s="29" t="s">
        <v>52664</v>
      </c>
      <c r="F12032" s="36" t="s">
        <v>54401</v>
      </c>
      <c r="G12032" s="39">
        <v>137857.14000000001</v>
      </c>
      <c r="H12032" s="42">
        <v>211</v>
      </c>
    </row>
    <row r="12033" spans="1:8" ht="15" customHeight="1">
      <c r="A12033" s="26">
        <v>1052397000</v>
      </c>
      <c r="B12033" s="29" t="s">
        <v>14244</v>
      </c>
      <c r="C12033" s="29" t="s">
        <v>27801</v>
      </c>
      <c r="D12033" s="29" t="s">
        <v>41290</v>
      </c>
      <c r="E12033" s="29" t="s">
        <v>52665</v>
      </c>
      <c r="F12033" s="36" t="s">
        <v>54401</v>
      </c>
      <c r="G12033" s="39">
        <v>5460880.2999999998</v>
      </c>
      <c r="H12033" s="42">
        <v>211</v>
      </c>
    </row>
    <row r="12034" spans="1:8" ht="15" customHeight="1">
      <c r="A12034" s="26">
        <v>1052397017</v>
      </c>
      <c r="B12034" s="29" t="s">
        <v>14245</v>
      </c>
      <c r="C12034" s="29" t="s">
        <v>27802</v>
      </c>
      <c r="D12034" s="29" t="s">
        <v>41291</v>
      </c>
      <c r="E12034" s="29" t="s">
        <v>52666</v>
      </c>
      <c r="F12034" s="36" t="s">
        <v>54401</v>
      </c>
      <c r="G12034" s="39">
        <v>195565.74</v>
      </c>
      <c r="H12034" s="42">
        <v>211</v>
      </c>
    </row>
    <row r="12035" spans="1:8" ht="15" customHeight="1">
      <c r="A12035" s="26">
        <v>1052397019</v>
      </c>
      <c r="B12035" s="29" t="s">
        <v>14246</v>
      </c>
      <c r="C12035" s="26" t="s">
        <v>27803</v>
      </c>
      <c r="D12035" s="26" t="s">
        <v>41292</v>
      </c>
      <c r="E12035" s="26" t="s">
        <v>52667</v>
      </c>
      <c r="F12035" s="37" t="s">
        <v>54401</v>
      </c>
      <c r="G12035" s="39">
        <v>332061.56</v>
      </c>
      <c r="H12035" s="42">
        <v>211</v>
      </c>
    </row>
    <row r="12036" spans="1:8" ht="15" customHeight="1">
      <c r="A12036" s="26">
        <v>1052397061</v>
      </c>
      <c r="B12036" s="29" t="s">
        <v>14247</v>
      </c>
      <c r="C12036" s="29" t="s">
        <v>27804</v>
      </c>
      <c r="D12036" s="29" t="s">
        <v>41293</v>
      </c>
      <c r="E12036" s="29" t="s">
        <v>52668</v>
      </c>
      <c r="F12036" s="36" t="s">
        <v>54401</v>
      </c>
      <c r="G12036" s="39">
        <v>416186.54</v>
      </c>
      <c r="H12036" s="42">
        <v>211</v>
      </c>
    </row>
    <row r="12037" spans="1:8" ht="15" customHeight="1">
      <c r="A12037" s="26">
        <v>1052397066</v>
      </c>
      <c r="B12037" s="29" t="s">
        <v>14248</v>
      </c>
      <c r="C12037" s="29" t="s">
        <v>17204</v>
      </c>
      <c r="D12037" s="29" t="s">
        <v>41294</v>
      </c>
      <c r="E12037" s="29" t="s">
        <v>52669</v>
      </c>
      <c r="F12037" s="36" t="s">
        <v>54401</v>
      </c>
      <c r="G12037" s="39">
        <v>2883125.73</v>
      </c>
      <c r="H12037" s="42">
        <v>211</v>
      </c>
    </row>
    <row r="12038" spans="1:8" ht="15" customHeight="1">
      <c r="A12038" s="26">
        <v>1052397084</v>
      </c>
      <c r="B12038" s="29" t="s">
        <v>14249</v>
      </c>
      <c r="C12038" s="29" t="s">
        <v>27805</v>
      </c>
      <c r="D12038" s="29" t="s">
        <v>41295</v>
      </c>
      <c r="E12038" s="29" t="s">
        <v>45254</v>
      </c>
      <c r="F12038" s="36" t="s">
        <v>54401</v>
      </c>
      <c r="G12038" s="39">
        <v>32710.48</v>
      </c>
      <c r="H12038" s="42">
        <v>211</v>
      </c>
    </row>
    <row r="12039" spans="1:8" ht="15" customHeight="1">
      <c r="A12039" s="26">
        <v>1052397095</v>
      </c>
      <c r="B12039" s="29" t="s">
        <v>14250</v>
      </c>
      <c r="C12039" s="26" t="s">
        <v>27806</v>
      </c>
      <c r="D12039" s="26" t="s">
        <v>41296</v>
      </c>
      <c r="E12039" s="26" t="s">
        <v>43926</v>
      </c>
      <c r="F12039" s="37" t="s">
        <v>54401</v>
      </c>
      <c r="G12039" s="39">
        <v>45198.09</v>
      </c>
      <c r="H12039" s="42">
        <v>211</v>
      </c>
    </row>
    <row r="12040" spans="1:8" ht="15" customHeight="1">
      <c r="A12040" s="26">
        <v>1052397097</v>
      </c>
      <c r="B12040" s="29" t="s">
        <v>14251</v>
      </c>
      <c r="C12040" s="29" t="s">
        <v>27807</v>
      </c>
      <c r="D12040" s="29" t="s">
        <v>41297</v>
      </c>
      <c r="E12040" s="29" t="s">
        <v>52670</v>
      </c>
      <c r="F12040" s="36" t="s">
        <v>54401</v>
      </c>
      <c r="G12040" s="39">
        <v>2411681</v>
      </c>
      <c r="H12040" s="42">
        <v>211</v>
      </c>
    </row>
    <row r="12041" spans="1:8" ht="15" customHeight="1">
      <c r="A12041" s="26">
        <v>1052397102</v>
      </c>
      <c r="B12041" s="29" t="s">
        <v>14252</v>
      </c>
      <c r="C12041" s="26" t="s">
        <v>27808</v>
      </c>
      <c r="D12041" s="26" t="s">
        <v>41298</v>
      </c>
      <c r="E12041" s="26" t="s">
        <v>52671</v>
      </c>
      <c r="F12041" s="37" t="s">
        <v>54401</v>
      </c>
      <c r="G12041" s="39">
        <v>287705.59000000003</v>
      </c>
      <c r="H12041" s="42">
        <v>211</v>
      </c>
    </row>
    <row r="12042" spans="1:8" ht="15" customHeight="1">
      <c r="A12042" s="26">
        <v>1052397124</v>
      </c>
      <c r="B12042" s="29" t="s">
        <v>14253</v>
      </c>
      <c r="C12042" s="29" t="s">
        <v>27809</v>
      </c>
      <c r="D12042" s="29" t="s">
        <v>41299</v>
      </c>
      <c r="E12042" s="29" t="s">
        <v>52672</v>
      </c>
      <c r="F12042" s="36" t="s">
        <v>54401</v>
      </c>
      <c r="G12042" s="39">
        <v>2371154</v>
      </c>
      <c r="H12042" s="42">
        <v>211</v>
      </c>
    </row>
    <row r="12043" spans="1:8" ht="15" customHeight="1">
      <c r="A12043" s="26">
        <v>1052397147</v>
      </c>
      <c r="B12043" s="29" t="s">
        <v>14254</v>
      </c>
      <c r="C12043" s="26" t="s">
        <v>27810</v>
      </c>
      <c r="D12043" s="26" t="s">
        <v>41300</v>
      </c>
      <c r="E12043" s="26" t="s">
        <v>52673</v>
      </c>
      <c r="F12043" s="37" t="s">
        <v>54401</v>
      </c>
      <c r="G12043" s="39">
        <v>260984.47</v>
      </c>
      <c r="H12043" s="42">
        <v>211</v>
      </c>
    </row>
    <row r="12044" spans="1:8" ht="15" customHeight="1">
      <c r="A12044" s="26">
        <v>1052397149</v>
      </c>
      <c r="B12044" s="29" t="s">
        <v>14255</v>
      </c>
      <c r="C12044" s="29" t="s">
        <v>27811</v>
      </c>
      <c r="D12044" s="29" t="s">
        <v>41301</v>
      </c>
      <c r="E12044" s="29" t="s">
        <v>43926</v>
      </c>
      <c r="F12044" s="36" t="s">
        <v>54401</v>
      </c>
      <c r="G12044" s="39">
        <v>510389.53</v>
      </c>
      <c r="H12044" s="42">
        <v>211</v>
      </c>
    </row>
    <row r="12045" spans="1:8" ht="15" customHeight="1">
      <c r="A12045" s="26">
        <v>1052397191</v>
      </c>
      <c r="B12045" s="29" t="s">
        <v>14256</v>
      </c>
      <c r="C12045" s="29" t="s">
        <v>27812</v>
      </c>
      <c r="D12045" s="29" t="s">
        <v>41302</v>
      </c>
      <c r="E12045" s="29" t="s">
        <v>52674</v>
      </c>
      <c r="F12045" s="36" t="s">
        <v>54401</v>
      </c>
      <c r="G12045" s="39">
        <v>5229989</v>
      </c>
      <c r="H12045" s="42">
        <v>211</v>
      </c>
    </row>
    <row r="12046" spans="1:8" ht="15" customHeight="1">
      <c r="A12046" s="26">
        <v>1052397192</v>
      </c>
      <c r="B12046" s="29" t="s">
        <v>14257</v>
      </c>
      <c r="C12046" s="29" t="s">
        <v>27813</v>
      </c>
      <c r="D12046" s="29" t="s">
        <v>41303</v>
      </c>
      <c r="E12046" s="29" t="s">
        <v>52675</v>
      </c>
      <c r="F12046" s="36" t="s">
        <v>54401</v>
      </c>
      <c r="G12046" s="39">
        <v>165411.51999999999</v>
      </c>
      <c r="H12046" s="42">
        <v>211</v>
      </c>
    </row>
    <row r="12047" spans="1:8" ht="15" customHeight="1">
      <c r="A12047" s="26">
        <v>1052397193</v>
      </c>
      <c r="B12047" s="29" t="s">
        <v>14258</v>
      </c>
      <c r="C12047" s="29" t="s">
        <v>27814</v>
      </c>
      <c r="D12047" s="29" t="s">
        <v>41304</v>
      </c>
      <c r="E12047" s="29" t="s">
        <v>52676</v>
      </c>
      <c r="F12047" s="36" t="s">
        <v>54401</v>
      </c>
      <c r="G12047" s="39">
        <v>8293733.7400000002</v>
      </c>
      <c r="H12047" s="42">
        <v>211</v>
      </c>
    </row>
    <row r="12048" spans="1:8" ht="15" customHeight="1">
      <c r="A12048" s="26">
        <v>1052397207</v>
      </c>
      <c r="B12048" s="29" t="s">
        <v>14259</v>
      </c>
      <c r="C12048" s="29" t="s">
        <v>27815</v>
      </c>
      <c r="D12048" s="29" t="s">
        <v>41305</v>
      </c>
      <c r="E12048" s="29" t="s">
        <v>43926</v>
      </c>
      <c r="F12048" s="36" t="s">
        <v>54401</v>
      </c>
      <c r="G12048" s="39">
        <v>2549853</v>
      </c>
      <c r="H12048" s="42">
        <v>211</v>
      </c>
    </row>
    <row r="12049" spans="1:8" ht="15" customHeight="1">
      <c r="A12049" s="26">
        <v>1052397208</v>
      </c>
      <c r="B12049" s="29" t="s">
        <v>14260</v>
      </c>
      <c r="C12049" s="29" t="s">
        <v>17204</v>
      </c>
      <c r="D12049" s="29" t="s">
        <v>30349</v>
      </c>
      <c r="E12049" s="29" t="s">
        <v>43926</v>
      </c>
      <c r="F12049" s="36" t="s">
        <v>54401</v>
      </c>
      <c r="G12049" s="39">
        <v>587079.79</v>
      </c>
      <c r="H12049" s="42">
        <v>211</v>
      </c>
    </row>
    <row r="12050" spans="1:8" ht="15" customHeight="1">
      <c r="A12050" s="26">
        <v>1052397212</v>
      </c>
      <c r="B12050" s="29" t="s">
        <v>14261</v>
      </c>
      <c r="C12050" s="29" t="s">
        <v>26953</v>
      </c>
      <c r="D12050" s="29" t="s">
        <v>40422</v>
      </c>
      <c r="E12050" s="29" t="s">
        <v>52047</v>
      </c>
      <c r="F12050" s="36" t="s">
        <v>54401</v>
      </c>
      <c r="G12050" s="39">
        <v>239210.22</v>
      </c>
      <c r="H12050" s="42">
        <v>211</v>
      </c>
    </row>
    <row r="12051" spans="1:8" ht="15" customHeight="1">
      <c r="A12051" s="26">
        <v>1052397217</v>
      </c>
      <c r="B12051" s="29" t="s">
        <v>14262</v>
      </c>
      <c r="C12051" s="29" t="s">
        <v>27816</v>
      </c>
      <c r="D12051" s="29" t="s">
        <v>41306</v>
      </c>
      <c r="E12051" s="29" t="s">
        <v>46404</v>
      </c>
      <c r="F12051" s="36" t="s">
        <v>54401</v>
      </c>
      <c r="G12051" s="39">
        <v>6433459.3499999996</v>
      </c>
      <c r="H12051" s="42">
        <v>211</v>
      </c>
    </row>
    <row r="12052" spans="1:8" ht="15" customHeight="1">
      <c r="A12052" s="26">
        <v>1052397228</v>
      </c>
      <c r="B12052" s="29" t="s">
        <v>14263</v>
      </c>
      <c r="C12052" s="29" t="s">
        <v>27817</v>
      </c>
      <c r="D12052" s="29" t="s">
        <v>41307</v>
      </c>
      <c r="E12052" s="29" t="s">
        <v>52677</v>
      </c>
      <c r="F12052" s="36" t="s">
        <v>54401</v>
      </c>
      <c r="G12052" s="39">
        <v>551140.62</v>
      </c>
      <c r="H12052" s="42">
        <v>211</v>
      </c>
    </row>
    <row r="12053" spans="1:8" ht="15" customHeight="1">
      <c r="A12053" s="26">
        <v>1052397238</v>
      </c>
      <c r="B12053" s="29" t="s">
        <v>14264</v>
      </c>
      <c r="C12053" s="29" t="s">
        <v>27818</v>
      </c>
      <c r="D12053" s="29" t="s">
        <v>41308</v>
      </c>
      <c r="E12053" s="29" t="s">
        <v>52678</v>
      </c>
      <c r="F12053" s="36" t="s">
        <v>54401</v>
      </c>
      <c r="G12053" s="39">
        <v>18764.71</v>
      </c>
      <c r="H12053" s="42">
        <v>211</v>
      </c>
    </row>
    <row r="12054" spans="1:8" ht="15" customHeight="1">
      <c r="A12054" s="26">
        <v>1052397247</v>
      </c>
      <c r="B12054" s="29" t="s">
        <v>14265</v>
      </c>
      <c r="C12054" s="29" t="s">
        <v>27819</v>
      </c>
      <c r="D12054" s="29" t="s">
        <v>41309</v>
      </c>
      <c r="E12054" s="29" t="s">
        <v>52679</v>
      </c>
      <c r="F12054" s="36" t="s">
        <v>54401</v>
      </c>
      <c r="G12054" s="39">
        <v>762640.14</v>
      </c>
      <c r="H12054" s="42">
        <v>211</v>
      </c>
    </row>
    <row r="12055" spans="1:8" ht="15" customHeight="1">
      <c r="A12055" s="26">
        <v>1052397254</v>
      </c>
      <c r="B12055" s="29" t="s">
        <v>14266</v>
      </c>
      <c r="C12055" s="29" t="s">
        <v>27820</v>
      </c>
      <c r="D12055" s="29" t="s">
        <v>41310</v>
      </c>
      <c r="E12055" s="29" t="s">
        <v>52680</v>
      </c>
      <c r="F12055" s="36" t="s">
        <v>54401</v>
      </c>
      <c r="G12055" s="39">
        <v>508556.96</v>
      </c>
      <c r="H12055" s="42">
        <v>211</v>
      </c>
    </row>
    <row r="12056" spans="1:8" ht="15" customHeight="1">
      <c r="A12056" s="26">
        <v>1052397298</v>
      </c>
      <c r="B12056" s="29" t="s">
        <v>14267</v>
      </c>
      <c r="C12056" s="29" t="s">
        <v>27821</v>
      </c>
      <c r="D12056" s="29" t="s">
        <v>41311</v>
      </c>
      <c r="E12056" s="29" t="s">
        <v>52681</v>
      </c>
      <c r="F12056" s="36" t="s">
        <v>54401</v>
      </c>
      <c r="G12056" s="39">
        <v>7928134.4400000004</v>
      </c>
      <c r="H12056" s="42">
        <v>211</v>
      </c>
    </row>
    <row r="12057" spans="1:8" ht="15" customHeight="1">
      <c r="A12057" s="26">
        <v>1052397306</v>
      </c>
      <c r="B12057" s="29" t="s">
        <v>14268</v>
      </c>
      <c r="C12057" s="29" t="s">
        <v>27822</v>
      </c>
      <c r="D12057" s="29" t="s">
        <v>30349</v>
      </c>
      <c r="E12057" s="29" t="s">
        <v>52682</v>
      </c>
      <c r="F12057" s="36" t="s">
        <v>54401</v>
      </c>
      <c r="G12057" s="39">
        <v>209591.98</v>
      </c>
      <c r="H12057" s="42">
        <v>211</v>
      </c>
    </row>
    <row r="12058" spans="1:8" ht="15" customHeight="1">
      <c r="A12058" s="26">
        <v>1052397310</v>
      </c>
      <c r="B12058" s="29" t="s">
        <v>14269</v>
      </c>
      <c r="C12058" s="29" t="s">
        <v>27823</v>
      </c>
      <c r="D12058" s="29" t="s">
        <v>41312</v>
      </c>
      <c r="E12058" s="29" t="s">
        <v>44023</v>
      </c>
      <c r="F12058" s="36" t="s">
        <v>54401</v>
      </c>
      <c r="G12058" s="39">
        <v>167950.02</v>
      </c>
      <c r="H12058" s="42">
        <v>211</v>
      </c>
    </row>
    <row r="12059" spans="1:8" ht="15" customHeight="1">
      <c r="A12059" s="26">
        <v>1052397337</v>
      </c>
      <c r="B12059" s="29" t="s">
        <v>14270</v>
      </c>
      <c r="C12059" s="29" t="s">
        <v>27824</v>
      </c>
      <c r="D12059" s="29" t="s">
        <v>41313</v>
      </c>
      <c r="E12059" s="29" t="s">
        <v>43926</v>
      </c>
      <c r="F12059" s="36" t="s">
        <v>54420</v>
      </c>
      <c r="G12059" s="39">
        <v>569192.31999999995</v>
      </c>
      <c r="H12059" s="42">
        <v>211</v>
      </c>
    </row>
    <row r="12060" spans="1:8" ht="15" customHeight="1">
      <c r="A12060" s="26">
        <v>1052397339</v>
      </c>
      <c r="B12060" s="29" t="s">
        <v>14271</v>
      </c>
      <c r="C12060" s="29" t="s">
        <v>17204</v>
      </c>
      <c r="D12060" s="29" t="s">
        <v>30349</v>
      </c>
      <c r="E12060" s="29" t="s">
        <v>43926</v>
      </c>
      <c r="F12060" s="36" t="s">
        <v>54401</v>
      </c>
      <c r="G12060" s="39">
        <v>390070.5</v>
      </c>
      <c r="H12060" s="42">
        <v>211</v>
      </c>
    </row>
    <row r="12061" spans="1:8" ht="15" customHeight="1">
      <c r="A12061" s="26">
        <v>1052397349</v>
      </c>
      <c r="B12061" s="29" t="s">
        <v>14272</v>
      </c>
      <c r="C12061" s="29" t="s">
        <v>27825</v>
      </c>
      <c r="D12061" s="29" t="s">
        <v>41314</v>
      </c>
      <c r="E12061" s="29" t="s">
        <v>47772</v>
      </c>
      <c r="F12061" s="36" t="s">
        <v>54401</v>
      </c>
      <c r="G12061" s="39">
        <v>5238535</v>
      </c>
      <c r="H12061" s="42">
        <v>211</v>
      </c>
    </row>
    <row r="12062" spans="1:8" ht="15" customHeight="1">
      <c r="A12062" s="26">
        <v>1052397366</v>
      </c>
      <c r="B12062" s="29" t="s">
        <v>14273</v>
      </c>
      <c r="C12062" s="29" t="s">
        <v>27826</v>
      </c>
      <c r="D12062" s="29" t="s">
        <v>41315</v>
      </c>
      <c r="E12062" s="29" t="s">
        <v>43926</v>
      </c>
      <c r="F12062" s="36" t="s">
        <v>54401</v>
      </c>
      <c r="G12062" s="39">
        <v>2786576.22</v>
      </c>
      <c r="H12062" s="42">
        <v>211</v>
      </c>
    </row>
    <row r="12063" spans="1:8" ht="15" customHeight="1">
      <c r="A12063" s="26">
        <v>1052397370</v>
      </c>
      <c r="B12063" s="29" t="s">
        <v>14274</v>
      </c>
      <c r="C12063" s="29" t="s">
        <v>27827</v>
      </c>
      <c r="D12063" s="29" t="s">
        <v>41316</v>
      </c>
      <c r="E12063" s="29" t="s">
        <v>52683</v>
      </c>
      <c r="F12063" s="36" t="s">
        <v>54401</v>
      </c>
      <c r="G12063" s="39">
        <v>1552758.39</v>
      </c>
      <c r="H12063" s="42">
        <v>211</v>
      </c>
    </row>
    <row r="12064" spans="1:8" ht="15" customHeight="1">
      <c r="A12064" s="26">
        <v>1052397374</v>
      </c>
      <c r="B12064" s="29" t="s">
        <v>14275</v>
      </c>
      <c r="C12064" s="26" t="s">
        <v>27828</v>
      </c>
      <c r="D12064" s="26" t="s">
        <v>41317</v>
      </c>
      <c r="E12064" s="26" t="s">
        <v>52684</v>
      </c>
      <c r="F12064" s="37" t="s">
        <v>54401</v>
      </c>
      <c r="G12064" s="39">
        <v>418832.57</v>
      </c>
      <c r="H12064" s="42">
        <v>211</v>
      </c>
    </row>
    <row r="12065" spans="1:8" ht="15" customHeight="1">
      <c r="A12065" s="26">
        <v>1052397419</v>
      </c>
      <c r="B12065" s="29" t="s">
        <v>14276</v>
      </c>
      <c r="C12065" s="26" t="s">
        <v>27829</v>
      </c>
      <c r="D12065" s="26" t="s">
        <v>41318</v>
      </c>
      <c r="E12065" s="26" t="s">
        <v>43926</v>
      </c>
      <c r="F12065" s="37" t="s">
        <v>54401</v>
      </c>
      <c r="G12065" s="39">
        <v>417823.37</v>
      </c>
      <c r="H12065" s="42">
        <v>211</v>
      </c>
    </row>
    <row r="12066" spans="1:8" ht="15" customHeight="1">
      <c r="A12066" s="26">
        <v>1052397446</v>
      </c>
      <c r="B12066" s="29" t="s">
        <v>14277</v>
      </c>
      <c r="C12066" s="29" t="s">
        <v>27830</v>
      </c>
      <c r="D12066" s="29" t="s">
        <v>41319</v>
      </c>
      <c r="E12066" s="29" t="s">
        <v>52685</v>
      </c>
      <c r="F12066" s="36" t="s">
        <v>54401</v>
      </c>
      <c r="G12066" s="39">
        <v>563784.52</v>
      </c>
      <c r="H12066" s="42">
        <v>211</v>
      </c>
    </row>
    <row r="12067" spans="1:8" ht="15" customHeight="1">
      <c r="A12067" s="26">
        <v>1052397464</v>
      </c>
      <c r="B12067" s="29" t="s">
        <v>14278</v>
      </c>
      <c r="C12067" s="29" t="s">
        <v>27831</v>
      </c>
      <c r="D12067" s="29" t="s">
        <v>41320</v>
      </c>
      <c r="E12067" s="29" t="s">
        <v>52686</v>
      </c>
      <c r="F12067" s="36" t="s">
        <v>54401</v>
      </c>
      <c r="G12067" s="39">
        <v>204307.36</v>
      </c>
      <c r="H12067" s="42">
        <v>211</v>
      </c>
    </row>
    <row r="12068" spans="1:8" ht="15" customHeight="1">
      <c r="A12068" s="26">
        <v>1052397480</v>
      </c>
      <c r="B12068" s="29" t="s">
        <v>14279</v>
      </c>
      <c r="C12068" s="29" t="s">
        <v>27832</v>
      </c>
      <c r="D12068" s="29" t="s">
        <v>41321</v>
      </c>
      <c r="E12068" s="29" t="s">
        <v>52687</v>
      </c>
      <c r="F12068" s="36" t="s">
        <v>54401</v>
      </c>
      <c r="G12068" s="39">
        <v>72772.11</v>
      </c>
      <c r="H12068" s="42">
        <v>211</v>
      </c>
    </row>
    <row r="12069" spans="1:8" ht="15" customHeight="1">
      <c r="A12069" s="26">
        <v>1052397510</v>
      </c>
      <c r="B12069" s="29" t="s">
        <v>14280</v>
      </c>
      <c r="C12069" s="29" t="s">
        <v>27833</v>
      </c>
      <c r="D12069" s="29" t="s">
        <v>41322</v>
      </c>
      <c r="E12069" s="29" t="s">
        <v>52688</v>
      </c>
      <c r="F12069" s="36" t="s">
        <v>54401</v>
      </c>
      <c r="G12069" s="39">
        <v>545366.84</v>
      </c>
      <c r="H12069" s="42">
        <v>211</v>
      </c>
    </row>
    <row r="12070" spans="1:8" ht="15" customHeight="1">
      <c r="A12070" s="26">
        <v>1052397519</v>
      </c>
      <c r="B12070" s="29" t="s">
        <v>14281</v>
      </c>
      <c r="C12070" s="29" t="s">
        <v>27834</v>
      </c>
      <c r="D12070" s="29" t="s">
        <v>41323</v>
      </c>
      <c r="E12070" s="29" t="s">
        <v>52689</v>
      </c>
      <c r="F12070" s="36" t="s">
        <v>54401</v>
      </c>
      <c r="G12070" s="39">
        <v>3844951.31</v>
      </c>
      <c r="H12070" s="42">
        <v>211</v>
      </c>
    </row>
    <row r="12071" spans="1:8" ht="15" customHeight="1">
      <c r="A12071" s="26">
        <v>1052397552</v>
      </c>
      <c r="B12071" s="29" t="s">
        <v>14282</v>
      </c>
      <c r="C12071" s="29" t="s">
        <v>27835</v>
      </c>
      <c r="D12071" s="29" t="s">
        <v>41324</v>
      </c>
      <c r="E12071" s="29" t="s">
        <v>44313</v>
      </c>
      <c r="F12071" s="36" t="s">
        <v>54401</v>
      </c>
      <c r="G12071" s="39">
        <v>905971.48</v>
      </c>
      <c r="H12071" s="42">
        <v>211</v>
      </c>
    </row>
    <row r="12072" spans="1:8" ht="15" customHeight="1">
      <c r="A12072" s="26">
        <v>1052397562</v>
      </c>
      <c r="B12072" s="29" t="s">
        <v>14283</v>
      </c>
      <c r="C12072" s="29" t="s">
        <v>27836</v>
      </c>
      <c r="D12072" s="29" t="s">
        <v>41325</v>
      </c>
      <c r="E12072" s="29" t="s">
        <v>52690</v>
      </c>
      <c r="F12072" s="36" t="s">
        <v>54401</v>
      </c>
      <c r="G12072" s="39">
        <v>1132534.5900000001</v>
      </c>
      <c r="H12072" s="42">
        <v>211</v>
      </c>
    </row>
    <row r="12073" spans="1:8" ht="15" customHeight="1">
      <c r="A12073" s="26">
        <v>1052397571</v>
      </c>
      <c r="B12073" s="29" t="s">
        <v>14284</v>
      </c>
      <c r="C12073" s="29" t="s">
        <v>27837</v>
      </c>
      <c r="D12073" s="29" t="s">
        <v>41326</v>
      </c>
      <c r="E12073" s="29" t="s">
        <v>52691</v>
      </c>
      <c r="F12073" s="36" t="s">
        <v>54412</v>
      </c>
      <c r="G12073" s="39">
        <v>1549150.89</v>
      </c>
      <c r="H12073" s="42">
        <v>211</v>
      </c>
    </row>
    <row r="12074" spans="1:8" ht="15" customHeight="1">
      <c r="A12074" s="26">
        <v>1052397591</v>
      </c>
      <c r="B12074" s="29" t="s">
        <v>14285</v>
      </c>
      <c r="C12074" s="29" t="s">
        <v>27838</v>
      </c>
      <c r="D12074" s="29" t="s">
        <v>41327</v>
      </c>
      <c r="E12074" s="29" t="s">
        <v>52692</v>
      </c>
      <c r="F12074" s="36" t="s">
        <v>54401</v>
      </c>
      <c r="G12074" s="39">
        <v>4589565.99</v>
      </c>
      <c r="H12074" s="42">
        <v>211</v>
      </c>
    </row>
    <row r="12075" spans="1:8" ht="15" customHeight="1">
      <c r="A12075" s="26">
        <v>1052397605</v>
      </c>
      <c r="B12075" s="29" t="s">
        <v>14286</v>
      </c>
      <c r="C12075" s="29" t="s">
        <v>27839</v>
      </c>
      <c r="D12075" s="29" t="s">
        <v>41328</v>
      </c>
      <c r="E12075" s="29" t="s">
        <v>52693</v>
      </c>
      <c r="F12075" s="36" t="s">
        <v>54401</v>
      </c>
      <c r="G12075" s="39">
        <v>82543.44</v>
      </c>
      <c r="H12075" s="42">
        <v>211</v>
      </c>
    </row>
    <row r="12076" spans="1:8" ht="15" customHeight="1">
      <c r="A12076" s="26">
        <v>1052397608</v>
      </c>
      <c r="B12076" s="29" t="s">
        <v>14287</v>
      </c>
      <c r="C12076" s="26" t="s">
        <v>27840</v>
      </c>
      <c r="D12076" s="26" t="s">
        <v>41329</v>
      </c>
      <c r="E12076" s="26" t="s">
        <v>52694</v>
      </c>
      <c r="F12076" s="37" t="s">
        <v>54401</v>
      </c>
      <c r="G12076" s="39">
        <v>4656649</v>
      </c>
      <c r="H12076" s="42">
        <v>211</v>
      </c>
    </row>
    <row r="12077" spans="1:8" ht="15" customHeight="1">
      <c r="A12077" s="26">
        <v>1052397631</v>
      </c>
      <c r="B12077" s="29" t="s">
        <v>14288</v>
      </c>
      <c r="C12077" s="29" t="s">
        <v>27841</v>
      </c>
      <c r="D12077" s="29" t="s">
        <v>41330</v>
      </c>
      <c r="E12077" s="29" t="s">
        <v>52695</v>
      </c>
      <c r="F12077" s="36" t="s">
        <v>54401</v>
      </c>
      <c r="G12077" s="39">
        <v>730673.15</v>
      </c>
      <c r="H12077" s="42">
        <v>211</v>
      </c>
    </row>
    <row r="12078" spans="1:8" ht="15" customHeight="1">
      <c r="A12078" s="26">
        <v>1052397649</v>
      </c>
      <c r="B12078" s="29" t="s">
        <v>14289</v>
      </c>
      <c r="C12078" s="29" t="s">
        <v>17204</v>
      </c>
      <c r="D12078" s="29" t="s">
        <v>30349</v>
      </c>
      <c r="E12078" s="29" t="s">
        <v>43926</v>
      </c>
      <c r="F12078" s="36" t="s">
        <v>54401</v>
      </c>
      <c r="G12078" s="39">
        <v>5720</v>
      </c>
      <c r="H12078" s="42">
        <v>211</v>
      </c>
    </row>
    <row r="12079" spans="1:8" ht="15" customHeight="1">
      <c r="A12079" s="26">
        <v>1052397659</v>
      </c>
      <c r="B12079" s="29" t="s">
        <v>14290</v>
      </c>
      <c r="C12079" s="29" t="s">
        <v>27842</v>
      </c>
      <c r="D12079" s="29" t="s">
        <v>41331</v>
      </c>
      <c r="E12079" s="29" t="s">
        <v>52696</v>
      </c>
      <c r="F12079" s="36" t="s">
        <v>54401</v>
      </c>
      <c r="G12079" s="39">
        <v>1587599.95</v>
      </c>
      <c r="H12079" s="42">
        <v>211</v>
      </c>
    </row>
    <row r="12080" spans="1:8" ht="15" customHeight="1">
      <c r="A12080" s="26">
        <v>1052397674</v>
      </c>
      <c r="B12080" s="29" t="s">
        <v>14291</v>
      </c>
      <c r="C12080" s="29" t="s">
        <v>17204</v>
      </c>
      <c r="D12080" s="29" t="s">
        <v>41332</v>
      </c>
      <c r="E12080" s="29" t="s">
        <v>43926</v>
      </c>
      <c r="F12080" s="36" t="s">
        <v>54401</v>
      </c>
      <c r="G12080" s="39">
        <v>236224.55</v>
      </c>
      <c r="H12080" s="42">
        <v>211</v>
      </c>
    </row>
    <row r="12081" spans="1:8" ht="15" customHeight="1">
      <c r="A12081" s="26">
        <v>1052397676</v>
      </c>
      <c r="B12081" s="29" t="s">
        <v>14292</v>
      </c>
      <c r="C12081" s="29" t="s">
        <v>27843</v>
      </c>
      <c r="D12081" s="29" t="s">
        <v>41333</v>
      </c>
      <c r="E12081" s="29" t="s">
        <v>51437</v>
      </c>
      <c r="F12081" s="36" t="s">
        <v>54401</v>
      </c>
      <c r="G12081" s="39">
        <v>3116887.73</v>
      </c>
      <c r="H12081" s="42">
        <v>211</v>
      </c>
    </row>
    <row r="12082" spans="1:8" ht="15" customHeight="1">
      <c r="A12082" s="26">
        <v>1052397685</v>
      </c>
      <c r="B12082" s="29" t="s">
        <v>14293</v>
      </c>
      <c r="C12082" s="29" t="s">
        <v>27844</v>
      </c>
      <c r="D12082" s="29" t="s">
        <v>41334</v>
      </c>
      <c r="E12082" s="29" t="s">
        <v>52697</v>
      </c>
      <c r="F12082" s="36" t="s">
        <v>54401</v>
      </c>
      <c r="G12082" s="39">
        <v>171903.45</v>
      </c>
      <c r="H12082" s="42">
        <v>211</v>
      </c>
    </row>
    <row r="12083" spans="1:8" ht="15" customHeight="1">
      <c r="A12083" s="26">
        <v>1052397689</v>
      </c>
      <c r="B12083" s="29" t="s">
        <v>14294</v>
      </c>
      <c r="C12083" s="29" t="s">
        <v>17204</v>
      </c>
      <c r="D12083" s="29" t="s">
        <v>41335</v>
      </c>
      <c r="E12083" s="29" t="s">
        <v>43926</v>
      </c>
      <c r="F12083" s="36" t="s">
        <v>54401</v>
      </c>
      <c r="G12083" s="39">
        <v>1121601.32</v>
      </c>
      <c r="H12083" s="42">
        <v>211</v>
      </c>
    </row>
    <row r="12084" spans="1:8" ht="15" customHeight="1">
      <c r="A12084" s="26">
        <v>1052397751</v>
      </c>
      <c r="B12084" s="29" t="s">
        <v>14295</v>
      </c>
      <c r="C12084" s="26" t="s">
        <v>27845</v>
      </c>
      <c r="D12084" s="26" t="s">
        <v>41336</v>
      </c>
      <c r="E12084" s="26" t="s">
        <v>52698</v>
      </c>
      <c r="F12084" s="37" t="s">
        <v>54401</v>
      </c>
      <c r="G12084" s="39">
        <v>1563190.67</v>
      </c>
      <c r="H12084" s="42">
        <v>211</v>
      </c>
    </row>
    <row r="12085" spans="1:8" ht="15" customHeight="1">
      <c r="A12085" s="26">
        <v>1052397760</v>
      </c>
      <c r="B12085" s="29" t="s">
        <v>14296</v>
      </c>
      <c r="C12085" s="29" t="s">
        <v>27846</v>
      </c>
      <c r="D12085" s="29" t="s">
        <v>41337</v>
      </c>
      <c r="E12085" s="29" t="s">
        <v>47162</v>
      </c>
      <c r="F12085" s="36" t="s">
        <v>54401</v>
      </c>
      <c r="G12085" s="39">
        <v>549863.22</v>
      </c>
      <c r="H12085" s="42">
        <v>211</v>
      </c>
    </row>
    <row r="12086" spans="1:8" ht="15" customHeight="1">
      <c r="A12086" s="26">
        <v>1052397762</v>
      </c>
      <c r="B12086" s="29" t="s">
        <v>14297</v>
      </c>
      <c r="C12086" s="26" t="s">
        <v>27847</v>
      </c>
      <c r="D12086" s="26" t="s">
        <v>41338</v>
      </c>
      <c r="E12086" s="26" t="s">
        <v>52699</v>
      </c>
      <c r="F12086" s="37" t="s">
        <v>54470</v>
      </c>
      <c r="G12086" s="39">
        <v>40608.199999999997</v>
      </c>
      <c r="H12086" s="42">
        <v>211</v>
      </c>
    </row>
    <row r="12087" spans="1:8" ht="15" customHeight="1">
      <c r="A12087" s="26">
        <v>1052397767</v>
      </c>
      <c r="B12087" s="29" t="s">
        <v>14298</v>
      </c>
      <c r="C12087" s="29" t="s">
        <v>27848</v>
      </c>
      <c r="D12087" s="29" t="s">
        <v>41339</v>
      </c>
      <c r="E12087" s="29" t="s">
        <v>43926</v>
      </c>
      <c r="F12087" s="36" t="s">
        <v>54401</v>
      </c>
      <c r="G12087" s="39">
        <v>456092.08</v>
      </c>
      <c r="H12087" s="42">
        <v>211</v>
      </c>
    </row>
    <row r="12088" spans="1:8" ht="15" customHeight="1">
      <c r="A12088" s="26">
        <v>1052397774</v>
      </c>
      <c r="B12088" s="29" t="s">
        <v>14299</v>
      </c>
      <c r="C12088" s="29" t="s">
        <v>17204</v>
      </c>
      <c r="D12088" s="29" t="s">
        <v>30349</v>
      </c>
      <c r="E12088" s="29" t="s">
        <v>43926</v>
      </c>
      <c r="F12088" s="36" t="s">
        <v>54401</v>
      </c>
      <c r="G12088" s="39">
        <v>345647.98</v>
      </c>
      <c r="H12088" s="42">
        <v>211</v>
      </c>
    </row>
    <row r="12089" spans="1:8" ht="15" customHeight="1">
      <c r="A12089" s="26">
        <v>1052397785</v>
      </c>
      <c r="B12089" s="29" t="s">
        <v>14300</v>
      </c>
      <c r="C12089" s="29" t="s">
        <v>27849</v>
      </c>
      <c r="D12089" s="29" t="s">
        <v>41340</v>
      </c>
      <c r="E12089" s="29" t="s">
        <v>52700</v>
      </c>
      <c r="F12089" s="36" t="s">
        <v>54401</v>
      </c>
      <c r="G12089" s="39">
        <v>389039.98</v>
      </c>
      <c r="H12089" s="42">
        <v>211</v>
      </c>
    </row>
    <row r="12090" spans="1:8" ht="15" customHeight="1">
      <c r="A12090" s="26">
        <v>1052397806</v>
      </c>
      <c r="B12090" s="29" t="s">
        <v>14301</v>
      </c>
      <c r="C12090" s="29" t="s">
        <v>27850</v>
      </c>
      <c r="D12090" s="29" t="s">
        <v>41341</v>
      </c>
      <c r="E12090" s="29" t="s">
        <v>52701</v>
      </c>
      <c r="F12090" s="36" t="s">
        <v>54401</v>
      </c>
      <c r="G12090" s="39">
        <v>3317393</v>
      </c>
      <c r="H12090" s="42">
        <v>211</v>
      </c>
    </row>
    <row r="12091" spans="1:8" ht="15" customHeight="1">
      <c r="A12091" s="26">
        <v>1052397851</v>
      </c>
      <c r="B12091" s="29" t="s">
        <v>14302</v>
      </c>
      <c r="C12091" s="29" t="s">
        <v>27851</v>
      </c>
      <c r="D12091" s="29" t="s">
        <v>41342</v>
      </c>
      <c r="E12091" s="29" t="s">
        <v>52702</v>
      </c>
      <c r="F12091" s="36" t="s">
        <v>54401</v>
      </c>
      <c r="G12091" s="39">
        <v>648038.15</v>
      </c>
      <c r="H12091" s="42">
        <v>211</v>
      </c>
    </row>
    <row r="12092" spans="1:8" ht="15" customHeight="1">
      <c r="A12092" s="26">
        <v>1052397861</v>
      </c>
      <c r="B12092" s="29" t="s">
        <v>14303</v>
      </c>
      <c r="C12092" s="29" t="s">
        <v>27852</v>
      </c>
      <c r="D12092" s="29" t="s">
        <v>41343</v>
      </c>
      <c r="E12092" s="29" t="s">
        <v>51745</v>
      </c>
      <c r="F12092" s="36" t="s">
        <v>54401</v>
      </c>
      <c r="G12092" s="39">
        <v>2317666.5699999998</v>
      </c>
      <c r="H12092" s="42">
        <v>211</v>
      </c>
    </row>
    <row r="12093" spans="1:8" ht="15" customHeight="1">
      <c r="A12093" s="26">
        <v>1052397864</v>
      </c>
      <c r="B12093" s="29" t="s">
        <v>14304</v>
      </c>
      <c r="C12093" s="29" t="s">
        <v>27853</v>
      </c>
      <c r="D12093" s="29" t="s">
        <v>41344</v>
      </c>
      <c r="E12093" s="29" t="s">
        <v>52703</v>
      </c>
      <c r="F12093" s="36" t="s">
        <v>54401</v>
      </c>
      <c r="G12093" s="39">
        <v>593079.47</v>
      </c>
      <c r="H12093" s="42">
        <v>211</v>
      </c>
    </row>
    <row r="12094" spans="1:8" ht="15" customHeight="1">
      <c r="A12094" s="26">
        <v>1052397870</v>
      </c>
      <c r="B12094" s="29" t="s">
        <v>14305</v>
      </c>
      <c r="C12094" s="29" t="s">
        <v>27854</v>
      </c>
      <c r="D12094" s="29" t="s">
        <v>41345</v>
      </c>
      <c r="E12094" s="29" t="s">
        <v>52704</v>
      </c>
      <c r="F12094" s="36" t="s">
        <v>54401</v>
      </c>
      <c r="G12094" s="39">
        <v>1079081.93</v>
      </c>
      <c r="H12094" s="42">
        <v>211</v>
      </c>
    </row>
    <row r="12095" spans="1:8" ht="15" customHeight="1">
      <c r="A12095" s="26">
        <v>1052397871</v>
      </c>
      <c r="B12095" s="29" t="s">
        <v>14306</v>
      </c>
      <c r="C12095" s="29" t="s">
        <v>27855</v>
      </c>
      <c r="D12095" s="29" t="s">
        <v>41346</v>
      </c>
      <c r="E12095" s="29" t="s">
        <v>52705</v>
      </c>
      <c r="F12095" s="36" t="s">
        <v>54401</v>
      </c>
      <c r="G12095" s="39">
        <v>4503303.7699999996</v>
      </c>
      <c r="H12095" s="42">
        <v>211</v>
      </c>
    </row>
    <row r="12096" spans="1:8" ht="15" customHeight="1">
      <c r="A12096" s="26">
        <v>1052397873</v>
      </c>
      <c r="B12096" s="29" t="s">
        <v>14307</v>
      </c>
      <c r="C12096" s="29" t="s">
        <v>27856</v>
      </c>
      <c r="D12096" s="29" t="s">
        <v>41347</v>
      </c>
      <c r="E12096" s="29" t="s">
        <v>44439</v>
      </c>
      <c r="F12096" s="36" t="s">
        <v>54401</v>
      </c>
      <c r="G12096" s="39">
        <v>354834.68</v>
      </c>
      <c r="H12096" s="42">
        <v>211</v>
      </c>
    </row>
    <row r="12097" spans="1:8" ht="15" customHeight="1">
      <c r="A12097" s="26">
        <v>1052397884</v>
      </c>
      <c r="B12097" s="29" t="s">
        <v>14308</v>
      </c>
      <c r="C12097" s="29" t="s">
        <v>27857</v>
      </c>
      <c r="D12097" s="29" t="s">
        <v>41348</v>
      </c>
      <c r="E12097" s="29" t="s">
        <v>52706</v>
      </c>
      <c r="F12097" s="36" t="s">
        <v>54401</v>
      </c>
      <c r="G12097" s="39">
        <v>64947.14</v>
      </c>
      <c r="H12097" s="42">
        <v>211</v>
      </c>
    </row>
    <row r="12098" spans="1:8" ht="15" customHeight="1">
      <c r="A12098" s="26">
        <v>1052397894</v>
      </c>
      <c r="B12098" s="29" t="s">
        <v>14309</v>
      </c>
      <c r="C12098" s="29" t="s">
        <v>27858</v>
      </c>
      <c r="D12098" s="29" t="s">
        <v>41349</v>
      </c>
      <c r="E12098" s="29" t="s">
        <v>52707</v>
      </c>
      <c r="F12098" s="36" t="s">
        <v>54401</v>
      </c>
      <c r="G12098" s="39">
        <v>430236.44</v>
      </c>
      <c r="H12098" s="42">
        <v>211</v>
      </c>
    </row>
    <row r="12099" spans="1:8" ht="15" customHeight="1">
      <c r="A12099" s="26">
        <v>1052397899</v>
      </c>
      <c r="B12099" s="29" t="s">
        <v>14310</v>
      </c>
      <c r="C12099" s="29" t="s">
        <v>27859</v>
      </c>
      <c r="D12099" s="29" t="s">
        <v>41350</v>
      </c>
      <c r="E12099" s="29" t="s">
        <v>52708</v>
      </c>
      <c r="F12099" s="36" t="s">
        <v>54401</v>
      </c>
      <c r="G12099" s="39">
        <v>475266.54</v>
      </c>
      <c r="H12099" s="42">
        <v>211</v>
      </c>
    </row>
    <row r="12100" spans="1:8" ht="15" customHeight="1">
      <c r="A12100" s="26">
        <v>1052397901</v>
      </c>
      <c r="B12100" s="29" t="s">
        <v>14311</v>
      </c>
      <c r="C12100" s="29" t="s">
        <v>17204</v>
      </c>
      <c r="D12100" s="29" t="s">
        <v>41351</v>
      </c>
      <c r="E12100" s="29" t="s">
        <v>43926</v>
      </c>
      <c r="F12100" s="36" t="s">
        <v>54401</v>
      </c>
      <c r="G12100" s="39">
        <v>1777966.88</v>
      </c>
      <c r="H12100" s="42">
        <v>211</v>
      </c>
    </row>
    <row r="12101" spans="1:8" ht="15" customHeight="1">
      <c r="A12101" s="26">
        <v>1052397904</v>
      </c>
      <c r="B12101" s="29" t="s">
        <v>14312</v>
      </c>
      <c r="C12101" s="29" t="s">
        <v>27860</v>
      </c>
      <c r="D12101" s="29" t="s">
        <v>41352</v>
      </c>
      <c r="E12101" s="29" t="s">
        <v>44983</v>
      </c>
      <c r="F12101" s="36" t="s">
        <v>54401</v>
      </c>
      <c r="G12101" s="39">
        <v>868061.57</v>
      </c>
      <c r="H12101" s="42">
        <v>211</v>
      </c>
    </row>
    <row r="12102" spans="1:8" ht="15" customHeight="1">
      <c r="A12102" s="26">
        <v>1052397918</v>
      </c>
      <c r="B12102" s="29" t="s">
        <v>14313</v>
      </c>
      <c r="C12102" s="29" t="s">
        <v>27861</v>
      </c>
      <c r="D12102" s="29" t="s">
        <v>41353</v>
      </c>
      <c r="E12102" s="29" t="s">
        <v>45929</v>
      </c>
      <c r="F12102" s="36" t="s">
        <v>54414</v>
      </c>
      <c r="G12102" s="39">
        <v>762271.87</v>
      </c>
      <c r="H12102" s="42">
        <v>211</v>
      </c>
    </row>
    <row r="12103" spans="1:8" ht="15" customHeight="1">
      <c r="A12103" s="26">
        <v>1052397929</v>
      </c>
      <c r="B12103" s="29" t="s">
        <v>14314</v>
      </c>
      <c r="C12103" s="29" t="s">
        <v>27862</v>
      </c>
      <c r="D12103" s="29" t="s">
        <v>41354</v>
      </c>
      <c r="E12103" s="29" t="s">
        <v>52709</v>
      </c>
      <c r="F12103" s="36" t="s">
        <v>54401</v>
      </c>
      <c r="G12103" s="39">
        <v>68654.320000000007</v>
      </c>
      <c r="H12103" s="42">
        <v>211</v>
      </c>
    </row>
    <row r="12104" spans="1:8" ht="15" customHeight="1">
      <c r="A12104" s="26">
        <v>1052397935</v>
      </c>
      <c r="B12104" s="29" t="s">
        <v>14315</v>
      </c>
      <c r="C12104" s="29" t="s">
        <v>27863</v>
      </c>
      <c r="D12104" s="29" t="s">
        <v>41355</v>
      </c>
      <c r="E12104" s="29" t="s">
        <v>52710</v>
      </c>
      <c r="F12104" s="36" t="s">
        <v>54401</v>
      </c>
      <c r="G12104" s="39">
        <v>232669.35</v>
      </c>
      <c r="H12104" s="42">
        <v>211</v>
      </c>
    </row>
    <row r="12105" spans="1:8" ht="15" customHeight="1">
      <c r="A12105" s="26">
        <v>1052397944</v>
      </c>
      <c r="B12105" s="29" t="s">
        <v>14316</v>
      </c>
      <c r="C12105" s="26" t="s">
        <v>27864</v>
      </c>
      <c r="D12105" s="26" t="s">
        <v>41356</v>
      </c>
      <c r="E12105" s="26" t="s">
        <v>52711</v>
      </c>
      <c r="F12105" s="37" t="s">
        <v>54401</v>
      </c>
      <c r="G12105" s="39">
        <v>3343587</v>
      </c>
      <c r="H12105" s="42">
        <v>211</v>
      </c>
    </row>
    <row r="12106" spans="1:8" ht="15" customHeight="1">
      <c r="A12106" s="26">
        <v>1052397950</v>
      </c>
      <c r="B12106" s="29" t="s">
        <v>14317</v>
      </c>
      <c r="C12106" s="29" t="s">
        <v>27865</v>
      </c>
      <c r="D12106" s="29" t="s">
        <v>41357</v>
      </c>
      <c r="E12106" s="29" t="s">
        <v>52712</v>
      </c>
      <c r="F12106" s="36" t="s">
        <v>54401</v>
      </c>
      <c r="G12106" s="39">
        <v>484629.11</v>
      </c>
      <c r="H12106" s="42">
        <v>211</v>
      </c>
    </row>
    <row r="12107" spans="1:8" ht="15" customHeight="1">
      <c r="A12107" s="26">
        <v>1052397965</v>
      </c>
      <c r="B12107" s="29" t="s">
        <v>14318</v>
      </c>
      <c r="C12107" s="29" t="s">
        <v>27866</v>
      </c>
      <c r="D12107" s="29" t="s">
        <v>41358</v>
      </c>
      <c r="E12107" s="29" t="s">
        <v>52713</v>
      </c>
      <c r="F12107" s="36" t="s">
        <v>54401</v>
      </c>
      <c r="G12107" s="39">
        <v>163629.13</v>
      </c>
      <c r="H12107" s="42">
        <v>211</v>
      </c>
    </row>
    <row r="12108" spans="1:8" ht="15" customHeight="1">
      <c r="A12108" s="26">
        <v>1052397985</v>
      </c>
      <c r="B12108" s="29" t="s">
        <v>14319</v>
      </c>
      <c r="C12108" s="29" t="s">
        <v>27867</v>
      </c>
      <c r="D12108" s="29" t="s">
        <v>41359</v>
      </c>
      <c r="E12108" s="29" t="s">
        <v>43926</v>
      </c>
      <c r="F12108" s="36" t="s">
        <v>54401</v>
      </c>
      <c r="G12108" s="39">
        <v>675168.75</v>
      </c>
      <c r="H12108" s="42">
        <v>211</v>
      </c>
    </row>
    <row r="12109" spans="1:8" ht="15" customHeight="1">
      <c r="A12109" s="26">
        <v>1052398003</v>
      </c>
      <c r="B12109" s="29" t="s">
        <v>14320</v>
      </c>
      <c r="C12109" s="29" t="s">
        <v>27868</v>
      </c>
      <c r="D12109" s="29" t="s">
        <v>41360</v>
      </c>
      <c r="E12109" s="29" t="s">
        <v>52714</v>
      </c>
      <c r="F12109" s="36" t="s">
        <v>54401</v>
      </c>
      <c r="G12109" s="39">
        <v>217531.9</v>
      </c>
      <c r="H12109" s="42">
        <v>211</v>
      </c>
    </row>
    <row r="12110" spans="1:8" ht="15" customHeight="1">
      <c r="A12110" s="26">
        <v>1052398005</v>
      </c>
      <c r="B12110" s="29" t="s">
        <v>14321</v>
      </c>
      <c r="C12110" s="29" t="s">
        <v>27869</v>
      </c>
      <c r="D12110" s="29" t="s">
        <v>41361</v>
      </c>
      <c r="E12110" s="29" t="s">
        <v>43926</v>
      </c>
      <c r="F12110" s="36" t="s">
        <v>54401</v>
      </c>
      <c r="G12110" s="39">
        <v>501376.68</v>
      </c>
      <c r="H12110" s="42">
        <v>211</v>
      </c>
    </row>
    <row r="12111" spans="1:8" ht="15" customHeight="1">
      <c r="A12111" s="26">
        <v>1052398025</v>
      </c>
      <c r="B12111" s="29" t="s">
        <v>14322</v>
      </c>
      <c r="C12111" s="29" t="s">
        <v>27870</v>
      </c>
      <c r="D12111" s="29" t="s">
        <v>41362</v>
      </c>
      <c r="E12111" s="29" t="s">
        <v>44023</v>
      </c>
      <c r="F12111" s="36" t="s">
        <v>54401</v>
      </c>
      <c r="G12111" s="39">
        <v>760846.68</v>
      </c>
      <c r="H12111" s="42">
        <v>211</v>
      </c>
    </row>
    <row r="12112" spans="1:8" ht="15" customHeight="1">
      <c r="A12112" s="26">
        <v>1052398046</v>
      </c>
      <c r="B12112" s="29" t="s">
        <v>14323</v>
      </c>
      <c r="C12112" s="29" t="s">
        <v>27871</v>
      </c>
      <c r="D12112" s="29" t="s">
        <v>41363</v>
      </c>
      <c r="E12112" s="29" t="s">
        <v>52715</v>
      </c>
      <c r="F12112" s="36" t="s">
        <v>54401</v>
      </c>
      <c r="G12112" s="39">
        <v>239963.91</v>
      </c>
      <c r="H12112" s="42">
        <v>211</v>
      </c>
    </row>
    <row r="12113" spans="1:8" ht="15" customHeight="1">
      <c r="A12113" s="26">
        <v>1052398088</v>
      </c>
      <c r="B12113" s="29" t="s">
        <v>14324</v>
      </c>
      <c r="C12113" s="29" t="s">
        <v>27872</v>
      </c>
      <c r="D12113" s="29" t="s">
        <v>41364</v>
      </c>
      <c r="E12113" s="29" t="s">
        <v>52716</v>
      </c>
      <c r="F12113" s="36" t="s">
        <v>54401</v>
      </c>
      <c r="G12113" s="39">
        <v>1673731.4</v>
      </c>
      <c r="H12113" s="42">
        <v>211</v>
      </c>
    </row>
    <row r="12114" spans="1:8" ht="15" customHeight="1">
      <c r="A12114" s="26">
        <v>1052398112</v>
      </c>
      <c r="B12114" s="29" t="s">
        <v>14325</v>
      </c>
      <c r="C12114" s="29" t="s">
        <v>27873</v>
      </c>
      <c r="D12114" s="29" t="s">
        <v>41365</v>
      </c>
      <c r="E12114" s="29" t="s">
        <v>43926</v>
      </c>
      <c r="F12114" s="36" t="s">
        <v>54401</v>
      </c>
      <c r="G12114" s="39">
        <v>1631597.2</v>
      </c>
      <c r="H12114" s="42">
        <v>211</v>
      </c>
    </row>
    <row r="12115" spans="1:8" ht="15" customHeight="1">
      <c r="A12115" s="26">
        <v>1052398117</v>
      </c>
      <c r="B12115" s="29" t="s">
        <v>14326</v>
      </c>
      <c r="C12115" s="29" t="s">
        <v>27874</v>
      </c>
      <c r="D12115" s="29" t="s">
        <v>41366</v>
      </c>
      <c r="E12115" s="29" t="s">
        <v>52717</v>
      </c>
      <c r="F12115" s="36" t="s">
        <v>54401</v>
      </c>
      <c r="G12115" s="39">
        <v>39456.31</v>
      </c>
      <c r="H12115" s="42">
        <v>211</v>
      </c>
    </row>
    <row r="12116" spans="1:8" ht="15" customHeight="1">
      <c r="A12116" s="26">
        <v>1052398132</v>
      </c>
      <c r="B12116" s="29" t="s">
        <v>14327</v>
      </c>
      <c r="C12116" s="29" t="s">
        <v>27875</v>
      </c>
      <c r="D12116" s="29" t="s">
        <v>41367</v>
      </c>
      <c r="E12116" s="29" t="s">
        <v>52718</v>
      </c>
      <c r="F12116" s="36" t="s">
        <v>54401</v>
      </c>
      <c r="G12116" s="39">
        <v>54358.9</v>
      </c>
      <c r="H12116" s="42">
        <v>211</v>
      </c>
    </row>
    <row r="12117" spans="1:8" ht="15" customHeight="1">
      <c r="A12117" s="26">
        <v>1052398137</v>
      </c>
      <c r="B12117" s="29" t="s">
        <v>14328</v>
      </c>
      <c r="C12117" s="29" t="s">
        <v>27876</v>
      </c>
      <c r="D12117" s="29" t="s">
        <v>41368</v>
      </c>
      <c r="E12117" s="29" t="s">
        <v>44023</v>
      </c>
      <c r="F12117" s="36" t="s">
        <v>54401</v>
      </c>
      <c r="G12117" s="39">
        <v>555719.63</v>
      </c>
      <c r="H12117" s="42">
        <v>211</v>
      </c>
    </row>
    <row r="12118" spans="1:8" ht="15" customHeight="1">
      <c r="A12118" s="26">
        <v>1052398162</v>
      </c>
      <c r="B12118" s="29" t="s">
        <v>14329</v>
      </c>
      <c r="C12118" s="29" t="s">
        <v>27877</v>
      </c>
      <c r="D12118" s="29" t="s">
        <v>41369</v>
      </c>
      <c r="E12118" s="29" t="s">
        <v>52719</v>
      </c>
      <c r="F12118" s="36" t="s">
        <v>54401</v>
      </c>
      <c r="G12118" s="39">
        <v>43747.9</v>
      </c>
      <c r="H12118" s="42">
        <v>211</v>
      </c>
    </row>
    <row r="12119" spans="1:8" ht="15" customHeight="1">
      <c r="A12119" s="26">
        <v>1052398179</v>
      </c>
      <c r="B12119" s="29" t="s">
        <v>14330</v>
      </c>
      <c r="C12119" s="29" t="s">
        <v>27878</v>
      </c>
      <c r="D12119" s="29" t="s">
        <v>41370</v>
      </c>
      <c r="E12119" s="29" t="s">
        <v>52720</v>
      </c>
      <c r="F12119" s="36" t="s">
        <v>54401</v>
      </c>
      <c r="G12119" s="39">
        <v>1702190.91</v>
      </c>
      <c r="H12119" s="42">
        <v>211</v>
      </c>
    </row>
    <row r="12120" spans="1:8" ht="15" customHeight="1">
      <c r="A12120" s="26">
        <v>1052398204</v>
      </c>
      <c r="B12120" s="29" t="s">
        <v>14331</v>
      </c>
      <c r="C12120" s="29" t="s">
        <v>17204</v>
      </c>
      <c r="D12120" s="29" t="s">
        <v>30349</v>
      </c>
      <c r="E12120" s="29" t="s">
        <v>43926</v>
      </c>
      <c r="F12120" s="36" t="s">
        <v>54401</v>
      </c>
      <c r="G12120" s="39">
        <v>207374.79</v>
      </c>
      <c r="H12120" s="42">
        <v>211</v>
      </c>
    </row>
    <row r="12121" spans="1:8" ht="15" customHeight="1">
      <c r="A12121" s="26">
        <v>1052398211</v>
      </c>
      <c r="B12121" s="29" t="s">
        <v>14332</v>
      </c>
      <c r="C12121" s="29" t="s">
        <v>17204</v>
      </c>
      <c r="D12121" s="29" t="s">
        <v>41371</v>
      </c>
      <c r="E12121" s="29" t="s">
        <v>43926</v>
      </c>
      <c r="F12121" s="36" t="s">
        <v>54401</v>
      </c>
      <c r="G12121" s="39">
        <v>2727042.49</v>
      </c>
      <c r="H12121" s="42">
        <v>211</v>
      </c>
    </row>
    <row r="12122" spans="1:8" ht="15" customHeight="1">
      <c r="A12122" s="26">
        <v>1052398216</v>
      </c>
      <c r="B12122" s="29" t="s">
        <v>14333</v>
      </c>
      <c r="C12122" s="29" t="s">
        <v>27879</v>
      </c>
      <c r="D12122" s="29" t="s">
        <v>41372</v>
      </c>
      <c r="E12122" s="29" t="s">
        <v>52721</v>
      </c>
      <c r="F12122" s="36" t="s">
        <v>54401</v>
      </c>
      <c r="G12122" s="39">
        <v>3071953.94</v>
      </c>
      <c r="H12122" s="42">
        <v>211</v>
      </c>
    </row>
    <row r="12123" spans="1:8" ht="15" customHeight="1">
      <c r="A12123" s="26">
        <v>1052398223</v>
      </c>
      <c r="B12123" s="29" t="s">
        <v>14334</v>
      </c>
      <c r="C12123" s="29" t="s">
        <v>27880</v>
      </c>
      <c r="D12123" s="29" t="s">
        <v>41373</v>
      </c>
      <c r="E12123" s="29" t="s">
        <v>52722</v>
      </c>
      <c r="F12123" s="36" t="s">
        <v>54401</v>
      </c>
      <c r="G12123" s="39">
        <v>23268.92</v>
      </c>
      <c r="H12123" s="42">
        <v>211</v>
      </c>
    </row>
    <row r="12124" spans="1:8" ht="15" customHeight="1">
      <c r="A12124" s="26">
        <v>1052398238</v>
      </c>
      <c r="B12124" s="29" t="s">
        <v>14335</v>
      </c>
      <c r="C12124" s="29" t="s">
        <v>27881</v>
      </c>
      <c r="D12124" s="29" t="s">
        <v>41374</v>
      </c>
      <c r="E12124" s="29" t="s">
        <v>43926</v>
      </c>
      <c r="F12124" s="36" t="s">
        <v>54401</v>
      </c>
      <c r="G12124" s="39">
        <v>1030671.01</v>
      </c>
      <c r="H12124" s="42">
        <v>211</v>
      </c>
    </row>
    <row r="12125" spans="1:8" ht="15" customHeight="1">
      <c r="A12125" s="26">
        <v>1052398240</v>
      </c>
      <c r="B12125" s="29" t="s">
        <v>14336</v>
      </c>
      <c r="C12125" s="29" t="s">
        <v>27882</v>
      </c>
      <c r="D12125" s="29" t="s">
        <v>41375</v>
      </c>
      <c r="E12125" s="29" t="s">
        <v>52723</v>
      </c>
      <c r="F12125" s="36" t="s">
        <v>54401</v>
      </c>
      <c r="G12125" s="39">
        <v>1752419.91</v>
      </c>
      <c r="H12125" s="42">
        <v>211</v>
      </c>
    </row>
    <row r="12126" spans="1:8" ht="15" customHeight="1">
      <c r="A12126" s="26">
        <v>1052398256</v>
      </c>
      <c r="B12126" s="29" t="s">
        <v>14337</v>
      </c>
      <c r="C12126" s="29" t="s">
        <v>27883</v>
      </c>
      <c r="D12126" s="29" t="s">
        <v>41376</v>
      </c>
      <c r="E12126" s="29" t="s">
        <v>43926</v>
      </c>
      <c r="F12126" s="36" t="s">
        <v>54401</v>
      </c>
      <c r="G12126" s="39">
        <v>535288.28</v>
      </c>
      <c r="H12126" s="42">
        <v>211</v>
      </c>
    </row>
    <row r="12127" spans="1:8" ht="15" customHeight="1">
      <c r="A12127" s="26">
        <v>1052398285</v>
      </c>
      <c r="B12127" s="29" t="s">
        <v>14338</v>
      </c>
      <c r="C12127" s="29" t="s">
        <v>27884</v>
      </c>
      <c r="D12127" s="29" t="s">
        <v>41377</v>
      </c>
      <c r="E12127" s="29" t="s">
        <v>52724</v>
      </c>
      <c r="F12127" s="36" t="s">
        <v>54401</v>
      </c>
      <c r="G12127" s="39">
        <v>606038.88</v>
      </c>
      <c r="H12127" s="42">
        <v>211</v>
      </c>
    </row>
    <row r="12128" spans="1:8" ht="15" customHeight="1">
      <c r="A12128" s="26">
        <v>1052398316</v>
      </c>
      <c r="B12128" s="29" t="s">
        <v>14339</v>
      </c>
      <c r="C12128" s="29" t="s">
        <v>27885</v>
      </c>
      <c r="D12128" s="29" t="s">
        <v>41378</v>
      </c>
      <c r="E12128" s="29" t="s">
        <v>52725</v>
      </c>
      <c r="F12128" s="36" t="s">
        <v>54401</v>
      </c>
      <c r="G12128" s="39">
        <v>1731643.58</v>
      </c>
      <c r="H12128" s="42">
        <v>211</v>
      </c>
    </row>
    <row r="12129" spans="1:8" ht="15" customHeight="1">
      <c r="A12129" s="26">
        <v>1052398359</v>
      </c>
      <c r="B12129" s="29" t="s">
        <v>14340</v>
      </c>
      <c r="C12129" s="29" t="s">
        <v>27886</v>
      </c>
      <c r="D12129" s="29" t="s">
        <v>41379</v>
      </c>
      <c r="E12129" s="29" t="s">
        <v>52726</v>
      </c>
      <c r="F12129" s="36" t="s">
        <v>54401</v>
      </c>
      <c r="G12129" s="39">
        <v>226164.98</v>
      </c>
      <c r="H12129" s="42">
        <v>211</v>
      </c>
    </row>
    <row r="12130" spans="1:8" ht="15" customHeight="1">
      <c r="A12130" s="26">
        <v>1052398362</v>
      </c>
      <c r="B12130" s="29" t="s">
        <v>14341</v>
      </c>
      <c r="C12130" s="29" t="s">
        <v>27887</v>
      </c>
      <c r="D12130" s="29" t="s">
        <v>41380</v>
      </c>
      <c r="E12130" s="29" t="s">
        <v>52727</v>
      </c>
      <c r="F12130" s="36" t="s">
        <v>54401</v>
      </c>
      <c r="G12130" s="39">
        <v>5510767</v>
      </c>
      <c r="H12130" s="42">
        <v>211</v>
      </c>
    </row>
    <row r="12131" spans="1:8" ht="15" customHeight="1">
      <c r="A12131" s="26">
        <v>1052398374</v>
      </c>
      <c r="B12131" s="29" t="s">
        <v>14342</v>
      </c>
      <c r="C12131" s="29" t="s">
        <v>27888</v>
      </c>
      <c r="D12131" s="29" t="s">
        <v>41381</v>
      </c>
      <c r="E12131" s="29" t="s">
        <v>43926</v>
      </c>
      <c r="F12131" s="36" t="s">
        <v>54401</v>
      </c>
      <c r="G12131" s="39">
        <v>1490227.77</v>
      </c>
      <c r="H12131" s="42">
        <v>211</v>
      </c>
    </row>
    <row r="12132" spans="1:8" ht="15" customHeight="1">
      <c r="A12132" s="26">
        <v>1052398386</v>
      </c>
      <c r="B12132" s="29" t="s">
        <v>14343</v>
      </c>
      <c r="C12132" s="29" t="s">
        <v>27889</v>
      </c>
      <c r="D12132" s="29" t="s">
        <v>41382</v>
      </c>
      <c r="E12132" s="29" t="s">
        <v>52728</v>
      </c>
      <c r="F12132" s="36" t="s">
        <v>54401</v>
      </c>
      <c r="G12132" s="39">
        <v>455869.43</v>
      </c>
      <c r="H12132" s="42">
        <v>211</v>
      </c>
    </row>
    <row r="12133" spans="1:8" ht="15" customHeight="1">
      <c r="A12133" s="26">
        <v>1052398430</v>
      </c>
      <c r="B12133" s="29" t="s">
        <v>14344</v>
      </c>
      <c r="C12133" s="29" t="s">
        <v>27890</v>
      </c>
      <c r="D12133" s="29" t="s">
        <v>41383</v>
      </c>
      <c r="E12133" s="29" t="s">
        <v>52729</v>
      </c>
      <c r="F12133" s="36" t="s">
        <v>54401</v>
      </c>
      <c r="G12133" s="39">
        <v>740423.69</v>
      </c>
      <c r="H12133" s="42">
        <v>211</v>
      </c>
    </row>
    <row r="12134" spans="1:8" ht="15" customHeight="1">
      <c r="A12134" s="26">
        <v>1052398431</v>
      </c>
      <c r="B12134" s="29" t="s">
        <v>14345</v>
      </c>
      <c r="C12134" s="29" t="s">
        <v>27891</v>
      </c>
      <c r="D12134" s="29" t="s">
        <v>41384</v>
      </c>
      <c r="E12134" s="29" t="s">
        <v>52730</v>
      </c>
      <c r="F12134" s="36" t="s">
        <v>54401</v>
      </c>
      <c r="G12134" s="39">
        <v>309398.55</v>
      </c>
      <c r="H12134" s="42">
        <v>211</v>
      </c>
    </row>
    <row r="12135" spans="1:8" ht="15" customHeight="1">
      <c r="A12135" s="26">
        <v>1052398432</v>
      </c>
      <c r="B12135" s="29" t="s">
        <v>14346</v>
      </c>
      <c r="C12135" s="29" t="s">
        <v>27892</v>
      </c>
      <c r="D12135" s="29" t="s">
        <v>41385</v>
      </c>
      <c r="E12135" s="29" t="s">
        <v>52731</v>
      </c>
      <c r="F12135" s="36" t="s">
        <v>54401</v>
      </c>
      <c r="G12135" s="39">
        <v>941353.02</v>
      </c>
      <c r="H12135" s="42">
        <v>211</v>
      </c>
    </row>
    <row r="12136" spans="1:8" ht="15" customHeight="1">
      <c r="A12136" s="26">
        <v>1052398440</v>
      </c>
      <c r="B12136" s="29" t="s">
        <v>14347</v>
      </c>
      <c r="C12136" s="29" t="s">
        <v>27893</v>
      </c>
      <c r="D12136" s="29" t="s">
        <v>41386</v>
      </c>
      <c r="E12136" s="29" t="s">
        <v>52732</v>
      </c>
      <c r="F12136" s="36" t="s">
        <v>54401</v>
      </c>
      <c r="G12136" s="39">
        <v>140890.99</v>
      </c>
      <c r="H12136" s="42">
        <v>211</v>
      </c>
    </row>
    <row r="12137" spans="1:8" ht="15" customHeight="1">
      <c r="A12137" s="26">
        <v>1052398474</v>
      </c>
      <c r="B12137" s="29" t="s">
        <v>14348</v>
      </c>
      <c r="C12137" s="29" t="s">
        <v>27894</v>
      </c>
      <c r="D12137" s="29" t="s">
        <v>41387</v>
      </c>
      <c r="E12137" s="29" t="s">
        <v>52733</v>
      </c>
      <c r="F12137" s="36" t="s">
        <v>54401</v>
      </c>
      <c r="G12137" s="39">
        <v>153706.38</v>
      </c>
      <c r="H12137" s="42">
        <v>211</v>
      </c>
    </row>
    <row r="12138" spans="1:8" ht="15" customHeight="1">
      <c r="A12138" s="26">
        <v>1052398503</v>
      </c>
      <c r="B12138" s="29" t="s">
        <v>14349</v>
      </c>
      <c r="C12138" s="29" t="s">
        <v>27895</v>
      </c>
      <c r="D12138" s="29" t="s">
        <v>41388</v>
      </c>
      <c r="E12138" s="29" t="s">
        <v>51890</v>
      </c>
      <c r="F12138" s="36" t="s">
        <v>54401</v>
      </c>
      <c r="G12138" s="39">
        <v>1940249.47</v>
      </c>
      <c r="H12138" s="42">
        <v>211</v>
      </c>
    </row>
    <row r="12139" spans="1:8" ht="15" customHeight="1">
      <c r="A12139" s="26">
        <v>1052398511</v>
      </c>
      <c r="B12139" s="29" t="s">
        <v>14350</v>
      </c>
      <c r="C12139" s="29" t="s">
        <v>27896</v>
      </c>
      <c r="D12139" s="29" t="s">
        <v>41389</v>
      </c>
      <c r="E12139" s="29" t="s">
        <v>45516</v>
      </c>
      <c r="F12139" s="36" t="s">
        <v>54401</v>
      </c>
      <c r="G12139" s="39">
        <v>1458355.8</v>
      </c>
      <c r="H12139" s="42">
        <v>211</v>
      </c>
    </row>
    <row r="12140" spans="1:8" ht="15" customHeight="1">
      <c r="A12140" s="26">
        <v>1052398515</v>
      </c>
      <c r="B12140" s="29" t="s">
        <v>14351</v>
      </c>
      <c r="C12140" s="29" t="s">
        <v>27897</v>
      </c>
      <c r="D12140" s="29" t="s">
        <v>41390</v>
      </c>
      <c r="E12140" s="29" t="s">
        <v>52734</v>
      </c>
      <c r="F12140" s="36" t="s">
        <v>54401</v>
      </c>
      <c r="G12140" s="39">
        <v>1449787.97</v>
      </c>
      <c r="H12140" s="42">
        <v>211</v>
      </c>
    </row>
    <row r="12141" spans="1:8" ht="15" customHeight="1">
      <c r="A12141" s="26">
        <v>1052398516</v>
      </c>
      <c r="B12141" s="29" t="s">
        <v>14352</v>
      </c>
      <c r="C12141" s="29" t="s">
        <v>27898</v>
      </c>
      <c r="D12141" s="29" t="s">
        <v>41391</v>
      </c>
      <c r="E12141" s="29" t="s">
        <v>52735</v>
      </c>
      <c r="F12141" s="36" t="s">
        <v>54401</v>
      </c>
      <c r="G12141" s="39">
        <v>25803.62</v>
      </c>
      <c r="H12141" s="42">
        <v>211</v>
      </c>
    </row>
    <row r="12142" spans="1:8" ht="15" customHeight="1">
      <c r="A12142" s="26">
        <v>1052398547</v>
      </c>
      <c r="B12142" s="29" t="s">
        <v>14353</v>
      </c>
      <c r="C12142" s="29" t="s">
        <v>27899</v>
      </c>
      <c r="D12142" s="29" t="s">
        <v>41392</v>
      </c>
      <c r="E12142" s="29" t="s">
        <v>52736</v>
      </c>
      <c r="F12142" s="36" t="s">
        <v>54401</v>
      </c>
      <c r="G12142" s="39">
        <v>2713367.57</v>
      </c>
      <c r="H12142" s="42">
        <v>211</v>
      </c>
    </row>
    <row r="12143" spans="1:8" ht="15" customHeight="1">
      <c r="A12143" s="26">
        <v>1052398556</v>
      </c>
      <c r="B12143" s="29" t="s">
        <v>14354</v>
      </c>
      <c r="C12143" s="29" t="s">
        <v>27900</v>
      </c>
      <c r="D12143" s="29" t="s">
        <v>41393</v>
      </c>
      <c r="E12143" s="29" t="s">
        <v>44600</v>
      </c>
      <c r="F12143" s="36" t="s">
        <v>54401</v>
      </c>
      <c r="G12143" s="39">
        <v>277907.88</v>
      </c>
      <c r="H12143" s="42">
        <v>211</v>
      </c>
    </row>
    <row r="12144" spans="1:8" ht="15" customHeight="1">
      <c r="A12144" s="26">
        <v>1052398592</v>
      </c>
      <c r="B12144" s="29" t="s">
        <v>14355</v>
      </c>
      <c r="C12144" s="29" t="s">
        <v>27901</v>
      </c>
      <c r="D12144" s="29" t="s">
        <v>41394</v>
      </c>
      <c r="E12144" s="29" t="s">
        <v>52737</v>
      </c>
      <c r="F12144" s="36" t="s">
        <v>54401</v>
      </c>
      <c r="G12144" s="39">
        <v>2615041</v>
      </c>
      <c r="H12144" s="42">
        <v>211</v>
      </c>
    </row>
    <row r="12145" spans="1:8" ht="15" customHeight="1">
      <c r="A12145" s="26">
        <v>1052398610</v>
      </c>
      <c r="B12145" s="29" t="s">
        <v>14356</v>
      </c>
      <c r="C12145" s="29" t="s">
        <v>27902</v>
      </c>
      <c r="D12145" s="29" t="s">
        <v>41395</v>
      </c>
      <c r="E12145" s="29" t="s">
        <v>52738</v>
      </c>
      <c r="F12145" s="36" t="s">
        <v>54401</v>
      </c>
      <c r="G12145" s="39">
        <v>2051991</v>
      </c>
      <c r="H12145" s="42">
        <v>211</v>
      </c>
    </row>
    <row r="12146" spans="1:8" ht="15" customHeight="1">
      <c r="A12146" s="26">
        <v>1052398617</v>
      </c>
      <c r="B12146" s="29" t="s">
        <v>14357</v>
      </c>
      <c r="C12146" s="26" t="s">
        <v>27903</v>
      </c>
      <c r="D12146" s="26" t="s">
        <v>41396</v>
      </c>
      <c r="E12146" s="26" t="s">
        <v>52739</v>
      </c>
      <c r="F12146" s="37" t="s">
        <v>54401</v>
      </c>
      <c r="G12146" s="39">
        <v>913051.12</v>
      </c>
      <c r="H12146" s="42">
        <v>211</v>
      </c>
    </row>
    <row r="12147" spans="1:8" ht="15" customHeight="1">
      <c r="A12147" s="26">
        <v>1052398625</v>
      </c>
      <c r="B12147" s="29" t="s">
        <v>14358</v>
      </c>
      <c r="C12147" s="29" t="s">
        <v>27904</v>
      </c>
      <c r="D12147" s="29" t="s">
        <v>41397</v>
      </c>
      <c r="E12147" s="29" t="s">
        <v>44264</v>
      </c>
      <c r="F12147" s="36" t="s">
        <v>54409</v>
      </c>
      <c r="G12147" s="39">
        <v>4859031.9400000004</v>
      </c>
      <c r="H12147" s="42">
        <v>211</v>
      </c>
    </row>
    <row r="12148" spans="1:8" ht="15" customHeight="1">
      <c r="A12148" s="26">
        <v>1052398627</v>
      </c>
      <c r="B12148" s="29" t="s">
        <v>14359</v>
      </c>
      <c r="C12148" s="29" t="s">
        <v>27905</v>
      </c>
      <c r="D12148" s="29" t="s">
        <v>41398</v>
      </c>
      <c r="E12148" s="29" t="s">
        <v>52740</v>
      </c>
      <c r="F12148" s="36" t="s">
        <v>54401</v>
      </c>
      <c r="G12148" s="39">
        <v>1674154.16</v>
      </c>
      <c r="H12148" s="42">
        <v>211</v>
      </c>
    </row>
    <row r="12149" spans="1:8" ht="15" customHeight="1">
      <c r="A12149" s="26">
        <v>1052398656</v>
      </c>
      <c r="B12149" s="29" t="s">
        <v>14360</v>
      </c>
      <c r="C12149" s="29" t="s">
        <v>27906</v>
      </c>
      <c r="D12149" s="29" t="s">
        <v>41399</v>
      </c>
      <c r="E12149" s="29" t="s">
        <v>43926</v>
      </c>
      <c r="F12149" s="36" t="s">
        <v>54401</v>
      </c>
      <c r="G12149" s="39">
        <v>63867.64</v>
      </c>
      <c r="H12149" s="42">
        <v>211</v>
      </c>
    </row>
    <row r="12150" spans="1:8" ht="15" customHeight="1">
      <c r="A12150" s="26">
        <v>1052398676</v>
      </c>
      <c r="B12150" s="29" t="s">
        <v>14361</v>
      </c>
      <c r="C12150" s="29" t="s">
        <v>27907</v>
      </c>
      <c r="D12150" s="29" t="s">
        <v>41400</v>
      </c>
      <c r="E12150" s="29" t="s">
        <v>52741</v>
      </c>
      <c r="F12150" s="36" t="s">
        <v>54401</v>
      </c>
      <c r="G12150" s="39">
        <v>2141377.9900000002</v>
      </c>
      <c r="H12150" s="42">
        <v>211</v>
      </c>
    </row>
    <row r="12151" spans="1:8" ht="15" customHeight="1">
      <c r="A12151" s="26">
        <v>1052398689</v>
      </c>
      <c r="B12151" s="29" t="s">
        <v>14362</v>
      </c>
      <c r="C12151" s="29" t="s">
        <v>27908</v>
      </c>
      <c r="D12151" s="29" t="s">
        <v>41401</v>
      </c>
      <c r="E12151" s="29" t="s">
        <v>45285</v>
      </c>
      <c r="F12151" s="36" t="s">
        <v>54401</v>
      </c>
      <c r="G12151" s="39">
        <v>199402.84</v>
      </c>
      <c r="H12151" s="42">
        <v>211</v>
      </c>
    </row>
    <row r="12152" spans="1:8" ht="15" customHeight="1">
      <c r="A12152" s="26">
        <v>1052398701</v>
      </c>
      <c r="B12152" s="29" t="s">
        <v>14363</v>
      </c>
      <c r="C12152" s="29" t="s">
        <v>27909</v>
      </c>
      <c r="D12152" s="29" t="s">
        <v>41402</v>
      </c>
      <c r="E12152" s="29" t="s">
        <v>52742</v>
      </c>
      <c r="F12152" s="36" t="s">
        <v>54423</v>
      </c>
      <c r="G12152" s="39">
        <v>3210667.35</v>
      </c>
      <c r="H12152" s="42">
        <v>211</v>
      </c>
    </row>
    <row r="12153" spans="1:8" ht="15" customHeight="1">
      <c r="A12153" s="26">
        <v>1052398722</v>
      </c>
      <c r="B12153" s="29" t="s">
        <v>14364</v>
      </c>
      <c r="C12153" s="29" t="s">
        <v>27910</v>
      </c>
      <c r="D12153" s="29" t="s">
        <v>41403</v>
      </c>
      <c r="E12153" s="29" t="s">
        <v>44439</v>
      </c>
      <c r="F12153" s="36" t="s">
        <v>54401</v>
      </c>
      <c r="G12153" s="39">
        <v>4440243</v>
      </c>
      <c r="H12153" s="42">
        <v>211</v>
      </c>
    </row>
    <row r="12154" spans="1:8" ht="15" customHeight="1">
      <c r="A12154" s="26">
        <v>1052398793</v>
      </c>
      <c r="B12154" s="29" t="s">
        <v>14365</v>
      </c>
      <c r="C12154" s="29" t="s">
        <v>27911</v>
      </c>
      <c r="D12154" s="29" t="s">
        <v>41404</v>
      </c>
      <c r="E12154" s="29" t="s">
        <v>44093</v>
      </c>
      <c r="F12154" s="36" t="s">
        <v>54401</v>
      </c>
      <c r="G12154" s="39">
        <v>2830683.42</v>
      </c>
      <c r="H12154" s="42">
        <v>211</v>
      </c>
    </row>
    <row r="12155" spans="1:8" ht="15" customHeight="1">
      <c r="A12155" s="26">
        <v>1052398814</v>
      </c>
      <c r="B12155" s="29" t="s">
        <v>14366</v>
      </c>
      <c r="C12155" s="29" t="s">
        <v>27912</v>
      </c>
      <c r="D12155" s="29" t="s">
        <v>41405</v>
      </c>
      <c r="E12155" s="29" t="s">
        <v>50077</v>
      </c>
      <c r="F12155" s="36" t="s">
        <v>54401</v>
      </c>
      <c r="G12155" s="39">
        <v>180400.26</v>
      </c>
      <c r="H12155" s="42">
        <v>211</v>
      </c>
    </row>
    <row r="12156" spans="1:8" ht="15" customHeight="1">
      <c r="A12156" s="26">
        <v>1052398816</v>
      </c>
      <c r="B12156" s="29" t="s">
        <v>14367</v>
      </c>
      <c r="C12156" s="29" t="s">
        <v>27913</v>
      </c>
      <c r="D12156" s="29" t="s">
        <v>41406</v>
      </c>
      <c r="E12156" s="29" t="s">
        <v>52743</v>
      </c>
      <c r="F12156" s="36" t="s">
        <v>54401</v>
      </c>
      <c r="G12156" s="39">
        <v>147250</v>
      </c>
      <c r="H12156" s="42">
        <v>211</v>
      </c>
    </row>
    <row r="12157" spans="1:8" ht="15" customHeight="1">
      <c r="A12157" s="26">
        <v>1052398836</v>
      </c>
      <c r="B12157" s="29" t="s">
        <v>14368</v>
      </c>
      <c r="C12157" s="29" t="s">
        <v>27914</v>
      </c>
      <c r="D12157" s="29" t="s">
        <v>41407</v>
      </c>
      <c r="E12157" s="29" t="s">
        <v>52744</v>
      </c>
      <c r="F12157" s="36" t="s">
        <v>54401</v>
      </c>
      <c r="G12157" s="39">
        <v>5500674</v>
      </c>
      <c r="H12157" s="42">
        <v>211</v>
      </c>
    </row>
    <row r="12158" spans="1:8" ht="15" customHeight="1">
      <c r="A12158" s="26">
        <v>1052398844</v>
      </c>
      <c r="B12158" s="29" t="s">
        <v>14369</v>
      </c>
      <c r="C12158" s="29" t="s">
        <v>18576</v>
      </c>
      <c r="D12158" s="29" t="s">
        <v>41408</v>
      </c>
      <c r="E12158" s="29" t="s">
        <v>52745</v>
      </c>
      <c r="F12158" s="36" t="s">
        <v>54401</v>
      </c>
      <c r="G12158" s="39">
        <v>2178417</v>
      </c>
      <c r="H12158" s="42">
        <v>211</v>
      </c>
    </row>
    <row r="12159" spans="1:8" ht="15" customHeight="1">
      <c r="A12159" s="26">
        <v>1052398861</v>
      </c>
      <c r="B12159" s="29" t="s">
        <v>14370</v>
      </c>
      <c r="C12159" s="29" t="s">
        <v>27915</v>
      </c>
      <c r="D12159" s="29" t="s">
        <v>41409</v>
      </c>
      <c r="E12159" s="29" t="s">
        <v>52746</v>
      </c>
      <c r="F12159" s="36" t="s">
        <v>54401</v>
      </c>
      <c r="G12159" s="39">
        <v>910757.24</v>
      </c>
      <c r="H12159" s="42">
        <v>211</v>
      </c>
    </row>
    <row r="12160" spans="1:8" ht="15" customHeight="1">
      <c r="A12160" s="26">
        <v>1052398889</v>
      </c>
      <c r="B12160" s="29" t="s">
        <v>14371</v>
      </c>
      <c r="C12160" s="29" t="s">
        <v>27916</v>
      </c>
      <c r="D12160" s="29" t="s">
        <v>41410</v>
      </c>
      <c r="E12160" s="29" t="s">
        <v>52747</v>
      </c>
      <c r="F12160" s="36" t="s">
        <v>54401</v>
      </c>
      <c r="G12160" s="39">
        <v>2689286.71</v>
      </c>
      <c r="H12160" s="42">
        <v>211</v>
      </c>
    </row>
    <row r="12161" spans="1:8" ht="15" customHeight="1">
      <c r="A12161" s="26">
        <v>1052398907</v>
      </c>
      <c r="B12161" s="29" t="s">
        <v>14372</v>
      </c>
      <c r="C12161" s="29" t="s">
        <v>27917</v>
      </c>
      <c r="D12161" s="29" t="s">
        <v>41411</v>
      </c>
      <c r="E12161" s="29" t="s">
        <v>52748</v>
      </c>
      <c r="F12161" s="36" t="s">
        <v>54401</v>
      </c>
      <c r="G12161" s="39">
        <v>354460.6</v>
      </c>
      <c r="H12161" s="42">
        <v>211</v>
      </c>
    </row>
    <row r="12162" spans="1:8" ht="15" customHeight="1">
      <c r="A12162" s="26">
        <v>1052398914</v>
      </c>
      <c r="B12162" s="29" t="s">
        <v>14373</v>
      </c>
      <c r="C12162" s="29" t="s">
        <v>27918</v>
      </c>
      <c r="D12162" s="29" t="s">
        <v>41412</v>
      </c>
      <c r="E12162" s="29" t="s">
        <v>52749</v>
      </c>
      <c r="F12162" s="36" t="s">
        <v>54401</v>
      </c>
      <c r="G12162" s="39">
        <v>2868170.08</v>
      </c>
      <c r="H12162" s="42">
        <v>211</v>
      </c>
    </row>
    <row r="12163" spans="1:8" ht="15" customHeight="1">
      <c r="A12163" s="26">
        <v>1052398915</v>
      </c>
      <c r="B12163" s="29" t="s">
        <v>14374</v>
      </c>
      <c r="C12163" s="26" t="s">
        <v>27919</v>
      </c>
      <c r="D12163" s="26" t="s">
        <v>41413</v>
      </c>
      <c r="E12163" s="26" t="s">
        <v>52750</v>
      </c>
      <c r="F12163" s="37" t="s">
        <v>54401</v>
      </c>
      <c r="G12163" s="39">
        <v>817277.67</v>
      </c>
      <c r="H12163" s="42">
        <v>211</v>
      </c>
    </row>
    <row r="12164" spans="1:8" ht="15" customHeight="1">
      <c r="A12164" s="26">
        <v>1052398925</v>
      </c>
      <c r="B12164" s="29" t="s">
        <v>14375</v>
      </c>
      <c r="C12164" s="29" t="s">
        <v>27920</v>
      </c>
      <c r="D12164" s="29" t="s">
        <v>41414</v>
      </c>
      <c r="E12164" s="29" t="s">
        <v>45314</v>
      </c>
      <c r="F12164" s="36" t="s">
        <v>54401</v>
      </c>
      <c r="G12164" s="39">
        <v>149903.85999999999</v>
      </c>
      <c r="H12164" s="42">
        <v>211</v>
      </c>
    </row>
    <row r="12165" spans="1:8" ht="15" customHeight="1">
      <c r="A12165" s="26">
        <v>1052398928</v>
      </c>
      <c r="B12165" s="29" t="s">
        <v>14376</v>
      </c>
      <c r="C12165" s="29" t="s">
        <v>27921</v>
      </c>
      <c r="D12165" s="29" t="s">
        <v>41415</v>
      </c>
      <c r="E12165" s="29" t="s">
        <v>43926</v>
      </c>
      <c r="F12165" s="36" t="s">
        <v>54401</v>
      </c>
      <c r="G12165" s="39">
        <v>5340877.6399999997</v>
      </c>
      <c r="H12165" s="42">
        <v>211</v>
      </c>
    </row>
    <row r="12166" spans="1:8" ht="15" customHeight="1">
      <c r="A12166" s="26">
        <v>1052398939</v>
      </c>
      <c r="B12166" s="29" t="s">
        <v>14377</v>
      </c>
      <c r="C12166" s="29" t="s">
        <v>17204</v>
      </c>
      <c r="D12166" s="29" t="s">
        <v>30349</v>
      </c>
      <c r="E12166" s="29" t="s">
        <v>43926</v>
      </c>
      <c r="F12166" s="36" t="s">
        <v>54401</v>
      </c>
      <c r="G12166" s="39">
        <v>228557.52</v>
      </c>
      <c r="H12166" s="42">
        <v>211</v>
      </c>
    </row>
    <row r="12167" spans="1:8" ht="15" customHeight="1">
      <c r="A12167" s="26">
        <v>1052398940</v>
      </c>
      <c r="B12167" s="29" t="s">
        <v>14378</v>
      </c>
      <c r="C12167" s="29" t="s">
        <v>27922</v>
      </c>
      <c r="D12167" s="29" t="s">
        <v>41416</v>
      </c>
      <c r="E12167" s="29" t="s">
        <v>52751</v>
      </c>
      <c r="F12167" s="36" t="s">
        <v>54401</v>
      </c>
      <c r="G12167" s="39">
        <v>4617172.91</v>
      </c>
      <c r="H12167" s="42">
        <v>211</v>
      </c>
    </row>
    <row r="12168" spans="1:8" ht="15" customHeight="1">
      <c r="A12168" s="26">
        <v>1052398955</v>
      </c>
      <c r="B12168" s="29" t="s">
        <v>14379</v>
      </c>
      <c r="C12168" s="29" t="s">
        <v>27923</v>
      </c>
      <c r="D12168" s="29" t="s">
        <v>41417</v>
      </c>
      <c r="E12168" s="29" t="s">
        <v>52752</v>
      </c>
      <c r="F12168" s="36" t="s">
        <v>54401</v>
      </c>
      <c r="G12168" s="39">
        <v>5679093</v>
      </c>
      <c r="H12168" s="42">
        <v>211</v>
      </c>
    </row>
    <row r="12169" spans="1:8" ht="15" customHeight="1">
      <c r="A12169" s="26">
        <v>1052398965</v>
      </c>
      <c r="B12169" s="29" t="s">
        <v>14380</v>
      </c>
      <c r="C12169" s="29" t="s">
        <v>27924</v>
      </c>
      <c r="D12169" s="29" t="s">
        <v>41418</v>
      </c>
      <c r="E12169" s="29" t="s">
        <v>44084</v>
      </c>
      <c r="F12169" s="36" t="s">
        <v>54401</v>
      </c>
      <c r="G12169" s="39">
        <v>281795.27</v>
      </c>
      <c r="H12169" s="42">
        <v>211</v>
      </c>
    </row>
    <row r="12170" spans="1:8" ht="15" customHeight="1">
      <c r="A12170" s="26">
        <v>1052398991</v>
      </c>
      <c r="B12170" s="29" t="s">
        <v>14381</v>
      </c>
      <c r="C12170" s="29" t="s">
        <v>27925</v>
      </c>
      <c r="D12170" s="29" t="s">
        <v>41419</v>
      </c>
      <c r="E12170" s="29" t="s">
        <v>43926</v>
      </c>
      <c r="F12170" s="36" t="s">
        <v>54401</v>
      </c>
      <c r="G12170" s="39">
        <v>310586.36</v>
      </c>
      <c r="H12170" s="42">
        <v>211</v>
      </c>
    </row>
    <row r="12171" spans="1:8" ht="15" customHeight="1">
      <c r="A12171" s="26">
        <v>1052399002</v>
      </c>
      <c r="B12171" s="29" t="s">
        <v>14382</v>
      </c>
      <c r="C12171" s="29" t="s">
        <v>17204</v>
      </c>
      <c r="D12171" s="29" t="s">
        <v>30349</v>
      </c>
      <c r="E12171" s="29" t="s">
        <v>43926</v>
      </c>
      <c r="F12171" s="36" t="s">
        <v>54401</v>
      </c>
      <c r="G12171" s="39">
        <v>47899.16</v>
      </c>
      <c r="H12171" s="42">
        <v>211</v>
      </c>
    </row>
    <row r="12172" spans="1:8" ht="15" customHeight="1">
      <c r="A12172" s="26">
        <v>1052399021</v>
      </c>
      <c r="B12172" s="29" t="s">
        <v>14383</v>
      </c>
      <c r="C12172" s="29" t="s">
        <v>27926</v>
      </c>
      <c r="D12172" s="29" t="s">
        <v>41420</v>
      </c>
      <c r="E12172" s="29" t="s">
        <v>52753</v>
      </c>
      <c r="F12172" s="36" t="s">
        <v>54401</v>
      </c>
      <c r="G12172" s="39">
        <v>3754333</v>
      </c>
      <c r="H12172" s="42">
        <v>211</v>
      </c>
    </row>
    <row r="12173" spans="1:8" ht="15" customHeight="1">
      <c r="A12173" s="26">
        <v>1052399034</v>
      </c>
      <c r="B12173" s="29" t="s">
        <v>14384</v>
      </c>
      <c r="C12173" s="26" t="s">
        <v>27927</v>
      </c>
      <c r="D12173" s="26" t="s">
        <v>41421</v>
      </c>
      <c r="E12173" s="26" t="s">
        <v>52754</v>
      </c>
      <c r="F12173" s="37" t="s">
        <v>54401</v>
      </c>
      <c r="G12173" s="39">
        <v>263685.56</v>
      </c>
      <c r="H12173" s="42">
        <v>211</v>
      </c>
    </row>
    <row r="12174" spans="1:8" ht="15" customHeight="1">
      <c r="A12174" s="26">
        <v>1052399048</v>
      </c>
      <c r="B12174" s="29" t="s">
        <v>14385</v>
      </c>
      <c r="C12174" s="29" t="s">
        <v>27928</v>
      </c>
      <c r="D12174" s="29" t="s">
        <v>41422</v>
      </c>
      <c r="E12174" s="29" t="s">
        <v>52755</v>
      </c>
      <c r="F12174" s="36" t="s">
        <v>54401</v>
      </c>
      <c r="G12174" s="39">
        <v>150061.51999999999</v>
      </c>
      <c r="H12174" s="42">
        <v>211</v>
      </c>
    </row>
    <row r="12175" spans="1:8" ht="15" customHeight="1">
      <c r="A12175" s="26">
        <v>1052399064</v>
      </c>
      <c r="B12175" s="29" t="s">
        <v>14386</v>
      </c>
      <c r="C12175" s="29" t="s">
        <v>27929</v>
      </c>
      <c r="D12175" s="29" t="s">
        <v>41423</v>
      </c>
      <c r="E12175" s="29" t="s">
        <v>52756</v>
      </c>
      <c r="F12175" s="36" t="s">
        <v>54401</v>
      </c>
      <c r="G12175" s="39">
        <v>424354.44</v>
      </c>
      <c r="H12175" s="42">
        <v>211</v>
      </c>
    </row>
    <row r="12176" spans="1:8" ht="15" customHeight="1">
      <c r="A12176" s="26">
        <v>1052399081</v>
      </c>
      <c r="B12176" s="29" t="s">
        <v>14387</v>
      </c>
      <c r="C12176" s="26" t="s">
        <v>27930</v>
      </c>
      <c r="D12176" s="26" t="s">
        <v>41424</v>
      </c>
      <c r="E12176" s="26" t="s">
        <v>52757</v>
      </c>
      <c r="F12176" s="37" t="s">
        <v>54401</v>
      </c>
      <c r="G12176" s="39">
        <v>1350450.47</v>
      </c>
      <c r="H12176" s="42">
        <v>211</v>
      </c>
    </row>
    <row r="12177" spans="1:8" ht="15" customHeight="1">
      <c r="A12177" s="26">
        <v>1052399085</v>
      </c>
      <c r="B12177" s="29" t="s">
        <v>14388</v>
      </c>
      <c r="C12177" s="26" t="s">
        <v>27931</v>
      </c>
      <c r="D12177" s="26" t="s">
        <v>40509</v>
      </c>
      <c r="E12177" s="26" t="s">
        <v>52758</v>
      </c>
      <c r="F12177" s="37" t="s">
        <v>54401</v>
      </c>
      <c r="G12177" s="39">
        <v>2922095</v>
      </c>
      <c r="H12177" s="42">
        <v>211</v>
      </c>
    </row>
    <row r="12178" spans="1:8" ht="15" customHeight="1">
      <c r="A12178" s="26">
        <v>1052399091</v>
      </c>
      <c r="B12178" s="29" t="s">
        <v>14389</v>
      </c>
      <c r="C12178" s="29" t="s">
        <v>27932</v>
      </c>
      <c r="D12178" s="29" t="s">
        <v>41425</v>
      </c>
      <c r="E12178" s="29" t="s">
        <v>52759</v>
      </c>
      <c r="F12178" s="36" t="s">
        <v>54401</v>
      </c>
      <c r="G12178" s="39">
        <v>4199877</v>
      </c>
      <c r="H12178" s="42">
        <v>211</v>
      </c>
    </row>
    <row r="12179" spans="1:8" ht="15" customHeight="1">
      <c r="A12179" s="26">
        <v>1052399098</v>
      </c>
      <c r="B12179" s="29" t="s">
        <v>14390</v>
      </c>
      <c r="C12179" s="29" t="s">
        <v>27933</v>
      </c>
      <c r="D12179" s="29" t="s">
        <v>41426</v>
      </c>
      <c r="E12179" s="29" t="s">
        <v>52760</v>
      </c>
      <c r="F12179" s="36" t="s">
        <v>54401</v>
      </c>
      <c r="G12179" s="39">
        <v>6405842.0800000001</v>
      </c>
      <c r="H12179" s="42">
        <v>211</v>
      </c>
    </row>
    <row r="12180" spans="1:8" ht="15" customHeight="1">
      <c r="A12180" s="26">
        <v>1052399116</v>
      </c>
      <c r="B12180" s="29" t="s">
        <v>14391</v>
      </c>
      <c r="C12180" s="29" t="s">
        <v>27934</v>
      </c>
      <c r="D12180" s="29" t="s">
        <v>41427</v>
      </c>
      <c r="E12180" s="29" t="s">
        <v>52761</v>
      </c>
      <c r="F12180" s="36" t="s">
        <v>54401</v>
      </c>
      <c r="G12180" s="39">
        <v>92354.19</v>
      </c>
      <c r="H12180" s="42">
        <v>211</v>
      </c>
    </row>
    <row r="12181" spans="1:8" ht="15" customHeight="1">
      <c r="A12181" s="26">
        <v>1052399118</v>
      </c>
      <c r="B12181" s="29" t="s">
        <v>14392</v>
      </c>
      <c r="C12181" s="29" t="s">
        <v>27935</v>
      </c>
      <c r="D12181" s="29" t="s">
        <v>39148</v>
      </c>
      <c r="E12181" s="29" t="s">
        <v>52762</v>
      </c>
      <c r="F12181" s="36" t="s">
        <v>54401</v>
      </c>
      <c r="G12181" s="39">
        <v>3133237</v>
      </c>
      <c r="H12181" s="42">
        <v>211</v>
      </c>
    </row>
    <row r="12182" spans="1:8" ht="15" customHeight="1">
      <c r="A12182" s="26">
        <v>1052399128</v>
      </c>
      <c r="B12182" s="29" t="s">
        <v>14393</v>
      </c>
      <c r="C12182" s="29" t="s">
        <v>27936</v>
      </c>
      <c r="D12182" s="29" t="s">
        <v>41428</v>
      </c>
      <c r="E12182" s="29" t="s">
        <v>43926</v>
      </c>
      <c r="F12182" s="36" t="s">
        <v>54401</v>
      </c>
      <c r="G12182" s="39">
        <v>3446323</v>
      </c>
      <c r="H12182" s="42">
        <v>211</v>
      </c>
    </row>
    <row r="12183" spans="1:8" ht="15" customHeight="1">
      <c r="A12183" s="26">
        <v>1052399155</v>
      </c>
      <c r="B12183" s="29" t="s">
        <v>14394</v>
      </c>
      <c r="C12183" s="29" t="s">
        <v>27937</v>
      </c>
      <c r="D12183" s="29" t="s">
        <v>41429</v>
      </c>
      <c r="E12183" s="29" t="s">
        <v>52763</v>
      </c>
      <c r="F12183" s="36" t="s">
        <v>54401</v>
      </c>
      <c r="G12183" s="39">
        <v>3685173.6</v>
      </c>
      <c r="H12183" s="42">
        <v>211</v>
      </c>
    </row>
    <row r="12184" spans="1:8" ht="15" customHeight="1">
      <c r="A12184" s="26">
        <v>1052399158</v>
      </c>
      <c r="B12184" s="29" t="s">
        <v>14395</v>
      </c>
      <c r="C12184" s="29" t="s">
        <v>27938</v>
      </c>
      <c r="D12184" s="29" t="s">
        <v>41430</v>
      </c>
      <c r="E12184" s="29" t="s">
        <v>52764</v>
      </c>
      <c r="F12184" s="36" t="s">
        <v>54401</v>
      </c>
      <c r="G12184" s="39">
        <v>781233.21</v>
      </c>
      <c r="H12184" s="42">
        <v>211</v>
      </c>
    </row>
    <row r="12185" spans="1:8" ht="15" customHeight="1">
      <c r="A12185" s="26">
        <v>1052399166</v>
      </c>
      <c r="B12185" s="29" t="s">
        <v>14396</v>
      </c>
      <c r="C12185" s="26" t="s">
        <v>27939</v>
      </c>
      <c r="D12185" s="26" t="s">
        <v>41431</v>
      </c>
      <c r="E12185" s="26" t="s">
        <v>43926</v>
      </c>
      <c r="F12185" s="37" t="s">
        <v>54401</v>
      </c>
      <c r="G12185" s="39">
        <v>3693005.16</v>
      </c>
      <c r="H12185" s="42">
        <v>211</v>
      </c>
    </row>
    <row r="12186" spans="1:8" ht="15" customHeight="1">
      <c r="A12186" s="26">
        <v>1052399169</v>
      </c>
      <c r="B12186" s="29" t="s">
        <v>14397</v>
      </c>
      <c r="C12186" s="29" t="s">
        <v>17204</v>
      </c>
      <c r="D12186" s="29" t="s">
        <v>34232</v>
      </c>
      <c r="E12186" s="29" t="s">
        <v>43926</v>
      </c>
      <c r="F12186" s="36" t="s">
        <v>54401</v>
      </c>
      <c r="G12186" s="39">
        <v>4785379</v>
      </c>
      <c r="H12186" s="42">
        <v>211</v>
      </c>
    </row>
    <row r="12187" spans="1:8" ht="15" customHeight="1">
      <c r="A12187" s="26">
        <v>1052399221</v>
      </c>
      <c r="B12187" s="29" t="s">
        <v>14398</v>
      </c>
      <c r="C12187" s="29" t="s">
        <v>27940</v>
      </c>
      <c r="D12187" s="29" t="s">
        <v>41432</v>
      </c>
      <c r="E12187" s="29" t="s">
        <v>52765</v>
      </c>
      <c r="F12187" s="36" t="s">
        <v>54401</v>
      </c>
      <c r="G12187" s="39">
        <v>841926.47</v>
      </c>
      <c r="H12187" s="42">
        <v>211</v>
      </c>
    </row>
    <row r="12188" spans="1:8" ht="15" customHeight="1">
      <c r="A12188" s="26">
        <v>1052399236</v>
      </c>
      <c r="B12188" s="29" t="s">
        <v>14399</v>
      </c>
      <c r="C12188" s="29" t="s">
        <v>27941</v>
      </c>
      <c r="D12188" s="29" t="s">
        <v>41433</v>
      </c>
      <c r="E12188" s="29" t="s">
        <v>47612</v>
      </c>
      <c r="F12188" s="36" t="s">
        <v>54401</v>
      </c>
      <c r="G12188" s="39">
        <v>539097.51</v>
      </c>
      <c r="H12188" s="42">
        <v>211</v>
      </c>
    </row>
    <row r="12189" spans="1:8" ht="15" customHeight="1">
      <c r="A12189" s="26">
        <v>1052399254</v>
      </c>
      <c r="B12189" s="29" t="s">
        <v>14400</v>
      </c>
      <c r="C12189" s="29"/>
      <c r="D12189" s="29"/>
      <c r="E12189" s="29"/>
      <c r="F12189" s="36" t="s">
        <v>54410</v>
      </c>
      <c r="G12189" s="39">
        <v>18567.740000000002</v>
      </c>
      <c r="H12189" s="42">
        <v>211</v>
      </c>
    </row>
    <row r="12190" spans="1:8" ht="15" customHeight="1">
      <c r="A12190" s="26">
        <v>1052399268</v>
      </c>
      <c r="B12190" s="29" t="s">
        <v>14401</v>
      </c>
      <c r="C12190" s="29" t="s">
        <v>27942</v>
      </c>
      <c r="D12190" s="29" t="s">
        <v>41434</v>
      </c>
      <c r="E12190" s="29" t="s">
        <v>52766</v>
      </c>
      <c r="F12190" s="36" t="s">
        <v>54401</v>
      </c>
      <c r="G12190" s="39">
        <v>1094628.6100000001</v>
      </c>
      <c r="H12190" s="42">
        <v>211</v>
      </c>
    </row>
    <row r="12191" spans="1:8" ht="15" customHeight="1">
      <c r="A12191" s="26">
        <v>1052399284</v>
      </c>
      <c r="B12191" s="29" t="s">
        <v>14402</v>
      </c>
      <c r="C12191" s="29" t="s">
        <v>27943</v>
      </c>
      <c r="D12191" s="29" t="s">
        <v>41435</v>
      </c>
      <c r="E12191" s="29" t="s">
        <v>52767</v>
      </c>
      <c r="F12191" s="36" t="s">
        <v>54401</v>
      </c>
      <c r="G12191" s="39">
        <v>242271.76</v>
      </c>
      <c r="H12191" s="42">
        <v>211</v>
      </c>
    </row>
    <row r="12192" spans="1:8" ht="15" customHeight="1">
      <c r="A12192" s="26">
        <v>1052399297</v>
      </c>
      <c r="B12192" s="29" t="s">
        <v>14403</v>
      </c>
      <c r="C12192" s="29" t="s">
        <v>27944</v>
      </c>
      <c r="D12192" s="29" t="s">
        <v>41436</v>
      </c>
      <c r="E12192" s="29" t="s">
        <v>52768</v>
      </c>
      <c r="F12192" s="36" t="s">
        <v>54401</v>
      </c>
      <c r="G12192" s="39">
        <v>2957621</v>
      </c>
      <c r="H12192" s="42">
        <v>211</v>
      </c>
    </row>
    <row r="12193" spans="1:8" ht="15" customHeight="1">
      <c r="A12193" s="26">
        <v>1052399301</v>
      </c>
      <c r="B12193" s="29" t="s">
        <v>14404</v>
      </c>
      <c r="C12193" s="29" t="s">
        <v>27945</v>
      </c>
      <c r="D12193" s="29" t="s">
        <v>41437</v>
      </c>
      <c r="E12193" s="29" t="s">
        <v>52769</v>
      </c>
      <c r="F12193" s="36" t="s">
        <v>54401</v>
      </c>
      <c r="G12193" s="39">
        <v>178301.71</v>
      </c>
      <c r="H12193" s="42">
        <v>211</v>
      </c>
    </row>
    <row r="12194" spans="1:8" ht="15" customHeight="1">
      <c r="A12194" s="26">
        <v>1052399306</v>
      </c>
      <c r="B12194" s="29" t="s">
        <v>14405</v>
      </c>
      <c r="C12194" s="29" t="s">
        <v>27946</v>
      </c>
      <c r="D12194" s="29" t="s">
        <v>41438</v>
      </c>
      <c r="E12194" s="29" t="s">
        <v>46047</v>
      </c>
      <c r="F12194" s="36" t="s">
        <v>54401</v>
      </c>
      <c r="G12194" s="39">
        <v>236939.59</v>
      </c>
      <c r="H12194" s="42">
        <v>211</v>
      </c>
    </row>
    <row r="12195" spans="1:8" ht="15" customHeight="1">
      <c r="A12195" s="26">
        <v>1052399307</v>
      </c>
      <c r="B12195" s="29" t="s">
        <v>14406</v>
      </c>
      <c r="C12195" s="29" t="s">
        <v>27947</v>
      </c>
      <c r="D12195" s="29" t="s">
        <v>41439</v>
      </c>
      <c r="E12195" s="29" t="s">
        <v>52770</v>
      </c>
      <c r="F12195" s="36" t="s">
        <v>54401</v>
      </c>
      <c r="G12195" s="39">
        <v>102824.7</v>
      </c>
      <c r="H12195" s="42">
        <v>211</v>
      </c>
    </row>
    <row r="12196" spans="1:8" ht="15" customHeight="1">
      <c r="A12196" s="26">
        <v>1052399312</v>
      </c>
      <c r="B12196" s="29" t="s">
        <v>14407</v>
      </c>
      <c r="C12196" s="29" t="s">
        <v>27948</v>
      </c>
      <c r="D12196" s="29" t="s">
        <v>41440</v>
      </c>
      <c r="E12196" s="29" t="s">
        <v>52771</v>
      </c>
      <c r="F12196" s="36" t="s">
        <v>54401</v>
      </c>
      <c r="G12196" s="39">
        <v>3561250</v>
      </c>
      <c r="H12196" s="42">
        <v>211</v>
      </c>
    </row>
    <row r="12197" spans="1:8" ht="15" customHeight="1">
      <c r="A12197" s="26">
        <v>1052399313</v>
      </c>
      <c r="B12197" s="29" t="s">
        <v>14408</v>
      </c>
      <c r="C12197" s="29" t="s">
        <v>27949</v>
      </c>
      <c r="D12197" s="29" t="s">
        <v>41441</v>
      </c>
      <c r="E12197" s="29" t="s">
        <v>52772</v>
      </c>
      <c r="F12197" s="36" t="s">
        <v>54401</v>
      </c>
      <c r="G12197" s="39">
        <v>103480.35</v>
      </c>
      <c r="H12197" s="42">
        <v>211</v>
      </c>
    </row>
    <row r="12198" spans="1:8" ht="15" customHeight="1">
      <c r="A12198" s="26">
        <v>1052399318</v>
      </c>
      <c r="B12198" s="29" t="s">
        <v>14409</v>
      </c>
      <c r="C12198" s="29" t="s">
        <v>27950</v>
      </c>
      <c r="D12198" s="29" t="s">
        <v>41442</v>
      </c>
      <c r="E12198" s="29" t="s">
        <v>43926</v>
      </c>
      <c r="F12198" s="36" t="s">
        <v>54401</v>
      </c>
      <c r="G12198" s="39">
        <v>3060672.7</v>
      </c>
      <c r="H12198" s="42">
        <v>211</v>
      </c>
    </row>
    <row r="12199" spans="1:8" ht="15" customHeight="1">
      <c r="A12199" s="26">
        <v>1052399329</v>
      </c>
      <c r="B12199" s="29" t="s">
        <v>14410</v>
      </c>
      <c r="C12199" s="29" t="s">
        <v>27951</v>
      </c>
      <c r="D12199" s="29" t="s">
        <v>41443</v>
      </c>
      <c r="E12199" s="29" t="s">
        <v>175</v>
      </c>
      <c r="F12199" s="36" t="s">
        <v>54401</v>
      </c>
      <c r="G12199" s="39">
        <v>4605528.26</v>
      </c>
      <c r="H12199" s="42">
        <v>211</v>
      </c>
    </row>
    <row r="12200" spans="1:8" ht="15" customHeight="1">
      <c r="A12200" s="26">
        <v>1052399331</v>
      </c>
      <c r="B12200" s="29" t="s">
        <v>14411</v>
      </c>
      <c r="C12200" s="29" t="s">
        <v>27952</v>
      </c>
      <c r="D12200" s="29" t="s">
        <v>41444</v>
      </c>
      <c r="E12200" s="29" t="s">
        <v>52773</v>
      </c>
      <c r="F12200" s="36" t="s">
        <v>54412</v>
      </c>
      <c r="G12200" s="39">
        <v>22350.01</v>
      </c>
      <c r="H12200" s="42">
        <v>211</v>
      </c>
    </row>
    <row r="12201" spans="1:8" ht="15" customHeight="1">
      <c r="A12201" s="26">
        <v>1052399367</v>
      </c>
      <c r="B12201" s="29" t="s">
        <v>14412</v>
      </c>
      <c r="C12201" s="29" t="s">
        <v>17204</v>
      </c>
      <c r="D12201" s="29" t="s">
        <v>30349</v>
      </c>
      <c r="E12201" s="29" t="s">
        <v>43926</v>
      </c>
      <c r="F12201" s="36" t="s">
        <v>54401</v>
      </c>
      <c r="G12201" s="39">
        <v>418652.86</v>
      </c>
      <c r="H12201" s="42">
        <v>211</v>
      </c>
    </row>
    <row r="12202" spans="1:8" ht="15" customHeight="1">
      <c r="A12202" s="26">
        <v>1052399371</v>
      </c>
      <c r="B12202" s="29" t="s">
        <v>14413</v>
      </c>
      <c r="C12202" s="29" t="s">
        <v>27953</v>
      </c>
      <c r="D12202" s="29" t="s">
        <v>41445</v>
      </c>
      <c r="E12202" s="29" t="s">
        <v>52774</v>
      </c>
      <c r="F12202" s="36" t="s">
        <v>54401</v>
      </c>
      <c r="G12202" s="39">
        <v>1879758.01</v>
      </c>
      <c r="H12202" s="42">
        <v>211</v>
      </c>
    </row>
    <row r="12203" spans="1:8" ht="15" customHeight="1">
      <c r="A12203" s="26">
        <v>1052399391</v>
      </c>
      <c r="B12203" s="29" t="s">
        <v>14414</v>
      </c>
      <c r="C12203" s="29" t="s">
        <v>27954</v>
      </c>
      <c r="D12203" s="29" t="s">
        <v>41446</v>
      </c>
      <c r="E12203" s="29" t="s">
        <v>52469</v>
      </c>
      <c r="F12203" s="36" t="s">
        <v>54401</v>
      </c>
      <c r="G12203" s="39">
        <v>3379229.7</v>
      </c>
      <c r="H12203" s="42">
        <v>211</v>
      </c>
    </row>
    <row r="12204" spans="1:8" ht="15" customHeight="1">
      <c r="A12204" s="26">
        <v>1052399401</v>
      </c>
      <c r="B12204" s="29" t="s">
        <v>14415</v>
      </c>
      <c r="C12204" s="29" t="s">
        <v>27955</v>
      </c>
      <c r="D12204" s="29" t="s">
        <v>41447</v>
      </c>
      <c r="E12204" s="29" t="s">
        <v>43926</v>
      </c>
      <c r="F12204" s="36" t="s">
        <v>54401</v>
      </c>
      <c r="G12204" s="39">
        <v>58099.24</v>
      </c>
      <c r="H12204" s="42">
        <v>211</v>
      </c>
    </row>
    <row r="12205" spans="1:8" ht="15" customHeight="1">
      <c r="A12205" s="26">
        <v>1052399403</v>
      </c>
      <c r="B12205" s="29" t="s">
        <v>14416</v>
      </c>
      <c r="C12205" s="29" t="s">
        <v>27956</v>
      </c>
      <c r="D12205" s="29" t="s">
        <v>41448</v>
      </c>
      <c r="E12205" s="29" t="s">
        <v>52775</v>
      </c>
      <c r="F12205" s="36" t="s">
        <v>54401</v>
      </c>
      <c r="G12205" s="39">
        <v>196835.09</v>
      </c>
      <c r="H12205" s="42">
        <v>211</v>
      </c>
    </row>
    <row r="12206" spans="1:8" ht="15" customHeight="1">
      <c r="A12206" s="26">
        <v>1052399404</v>
      </c>
      <c r="B12206" s="29" t="s">
        <v>14417</v>
      </c>
      <c r="C12206" s="29" t="s">
        <v>27957</v>
      </c>
      <c r="D12206" s="29" t="s">
        <v>41449</v>
      </c>
      <c r="E12206" s="29" t="s">
        <v>43926</v>
      </c>
      <c r="F12206" s="36" t="s">
        <v>54401</v>
      </c>
      <c r="G12206" s="39">
        <v>957947.9</v>
      </c>
      <c r="H12206" s="42">
        <v>211</v>
      </c>
    </row>
    <row r="12207" spans="1:8" ht="15" customHeight="1">
      <c r="A12207" s="26">
        <v>1052399419</v>
      </c>
      <c r="B12207" s="29" t="s">
        <v>14418</v>
      </c>
      <c r="C12207" s="29" t="s">
        <v>27958</v>
      </c>
      <c r="D12207" s="29" t="s">
        <v>41450</v>
      </c>
      <c r="E12207" s="29" t="s">
        <v>52776</v>
      </c>
      <c r="F12207" s="36" t="s">
        <v>54401</v>
      </c>
      <c r="G12207" s="39">
        <v>579967.18999999994</v>
      </c>
      <c r="H12207" s="42">
        <v>211</v>
      </c>
    </row>
    <row r="12208" spans="1:8" ht="15" customHeight="1">
      <c r="A12208" s="26">
        <v>1052399446</v>
      </c>
      <c r="B12208" s="29" t="s">
        <v>14419</v>
      </c>
      <c r="C12208" s="26" t="s">
        <v>27959</v>
      </c>
      <c r="D12208" s="26" t="s">
        <v>41451</v>
      </c>
      <c r="E12208" s="26" t="s">
        <v>52777</v>
      </c>
      <c r="F12208" s="37" t="s">
        <v>54409</v>
      </c>
      <c r="G12208" s="39">
        <v>210379.56</v>
      </c>
      <c r="H12208" s="42">
        <v>211</v>
      </c>
    </row>
    <row r="12209" spans="1:8" ht="15" customHeight="1">
      <c r="A12209" s="26">
        <v>1052399465</v>
      </c>
      <c r="B12209" s="29" t="s">
        <v>14420</v>
      </c>
      <c r="C12209" s="29" t="s">
        <v>27960</v>
      </c>
      <c r="D12209" s="29" t="s">
        <v>41452</v>
      </c>
      <c r="E12209" s="29" t="s">
        <v>52610</v>
      </c>
      <c r="F12209" s="36" t="s">
        <v>54401</v>
      </c>
      <c r="G12209" s="39">
        <v>23237.65</v>
      </c>
      <c r="H12209" s="42">
        <v>211</v>
      </c>
    </row>
    <row r="12210" spans="1:8" ht="15" customHeight="1">
      <c r="A12210" s="26">
        <v>1052399491</v>
      </c>
      <c r="B12210" s="29" t="s">
        <v>14421</v>
      </c>
      <c r="C12210" s="29" t="s">
        <v>27961</v>
      </c>
      <c r="D12210" s="29" t="s">
        <v>41453</v>
      </c>
      <c r="E12210" s="29" t="s">
        <v>52778</v>
      </c>
      <c r="F12210" s="36" t="s">
        <v>54401</v>
      </c>
      <c r="G12210" s="39">
        <v>1722133.13</v>
      </c>
      <c r="H12210" s="42">
        <v>211</v>
      </c>
    </row>
    <row r="12211" spans="1:8" ht="15" customHeight="1">
      <c r="A12211" s="26">
        <v>1052399537</v>
      </c>
      <c r="B12211" s="29" t="s">
        <v>14422</v>
      </c>
      <c r="C12211" s="29" t="s">
        <v>27962</v>
      </c>
      <c r="D12211" s="29" t="s">
        <v>41454</v>
      </c>
      <c r="E12211" s="29" t="s">
        <v>44174</v>
      </c>
      <c r="F12211" s="36" t="s">
        <v>54401</v>
      </c>
      <c r="G12211" s="39">
        <v>203978.2</v>
      </c>
      <c r="H12211" s="42">
        <v>211</v>
      </c>
    </row>
    <row r="12212" spans="1:8" ht="15" customHeight="1">
      <c r="A12212" s="26">
        <v>1052399541</v>
      </c>
      <c r="B12212" s="29" t="s">
        <v>14423</v>
      </c>
      <c r="C12212" s="29" t="s">
        <v>27963</v>
      </c>
      <c r="D12212" s="29" t="s">
        <v>41455</v>
      </c>
      <c r="E12212" s="29" t="s">
        <v>52779</v>
      </c>
      <c r="F12212" s="36" t="s">
        <v>54401</v>
      </c>
      <c r="G12212" s="39">
        <v>1506293.85</v>
      </c>
      <c r="H12212" s="42">
        <v>211</v>
      </c>
    </row>
    <row r="12213" spans="1:8" ht="15" customHeight="1">
      <c r="A12213" s="26">
        <v>1052399549</v>
      </c>
      <c r="B12213" s="29" t="s">
        <v>14424</v>
      </c>
      <c r="C12213" s="29" t="s">
        <v>27964</v>
      </c>
      <c r="D12213" s="29" t="s">
        <v>41456</v>
      </c>
      <c r="E12213" s="29" t="s">
        <v>44023</v>
      </c>
      <c r="F12213" s="36" t="s">
        <v>54401</v>
      </c>
      <c r="G12213" s="39">
        <v>437121.14</v>
      </c>
      <c r="H12213" s="42">
        <v>211</v>
      </c>
    </row>
    <row r="12214" spans="1:8" ht="15" customHeight="1">
      <c r="A12214" s="26">
        <v>1052399596</v>
      </c>
      <c r="B12214" s="29" t="s">
        <v>14425</v>
      </c>
      <c r="C12214" s="29" t="s">
        <v>27965</v>
      </c>
      <c r="D12214" s="29" t="s">
        <v>41457</v>
      </c>
      <c r="E12214" s="29" t="s">
        <v>44324</v>
      </c>
      <c r="F12214" s="36" t="s">
        <v>54401</v>
      </c>
      <c r="G12214" s="39">
        <v>327413.03000000003</v>
      </c>
      <c r="H12214" s="42">
        <v>211</v>
      </c>
    </row>
    <row r="12215" spans="1:8" ht="15" customHeight="1">
      <c r="A12215" s="26">
        <v>1052399627</v>
      </c>
      <c r="B12215" s="29" t="s">
        <v>14426</v>
      </c>
      <c r="C12215" s="29" t="s">
        <v>27966</v>
      </c>
      <c r="D12215" s="29" t="s">
        <v>41458</v>
      </c>
      <c r="E12215" s="29" t="s">
        <v>52780</v>
      </c>
      <c r="F12215" s="36" t="s">
        <v>54401</v>
      </c>
      <c r="G12215" s="39">
        <v>404750.66</v>
      </c>
      <c r="H12215" s="42">
        <v>211</v>
      </c>
    </row>
    <row r="12216" spans="1:8" ht="15" customHeight="1">
      <c r="A12216" s="26">
        <v>1052399643</v>
      </c>
      <c r="B12216" s="29" t="s">
        <v>14427</v>
      </c>
      <c r="C12216" s="29" t="s">
        <v>27967</v>
      </c>
      <c r="D12216" s="29" t="s">
        <v>41459</v>
      </c>
      <c r="E12216" s="29" t="s">
        <v>50425</v>
      </c>
      <c r="F12216" s="36" t="s">
        <v>54401</v>
      </c>
      <c r="G12216" s="39">
        <v>104829.69</v>
      </c>
      <c r="H12216" s="42">
        <v>211</v>
      </c>
    </row>
    <row r="12217" spans="1:8" ht="15" customHeight="1">
      <c r="A12217" s="26">
        <v>1052399706</v>
      </c>
      <c r="B12217" s="29" t="s">
        <v>14428</v>
      </c>
      <c r="C12217" s="26" t="s">
        <v>17204</v>
      </c>
      <c r="D12217" s="26" t="s">
        <v>30349</v>
      </c>
      <c r="E12217" s="26" t="s">
        <v>43926</v>
      </c>
      <c r="F12217" s="37" t="s">
        <v>54401</v>
      </c>
      <c r="G12217" s="39">
        <v>261776.86</v>
      </c>
      <c r="H12217" s="42">
        <v>211</v>
      </c>
    </row>
    <row r="12218" spans="1:8" ht="15" customHeight="1">
      <c r="A12218" s="26">
        <v>1052399714</v>
      </c>
      <c r="B12218" s="29" t="s">
        <v>14429</v>
      </c>
      <c r="C12218" s="29" t="s">
        <v>17204</v>
      </c>
      <c r="D12218" s="29" t="s">
        <v>41460</v>
      </c>
      <c r="E12218" s="29" t="s">
        <v>43926</v>
      </c>
      <c r="F12218" s="36" t="s">
        <v>54401</v>
      </c>
      <c r="G12218" s="39">
        <v>423864.42</v>
      </c>
      <c r="H12218" s="42">
        <v>211</v>
      </c>
    </row>
    <row r="12219" spans="1:8" ht="15" customHeight="1">
      <c r="A12219" s="26">
        <v>1052399745</v>
      </c>
      <c r="B12219" s="29" t="s">
        <v>14430</v>
      </c>
      <c r="C12219" s="26" t="s">
        <v>27968</v>
      </c>
      <c r="D12219" s="26" t="s">
        <v>41461</v>
      </c>
      <c r="E12219" s="26" t="s">
        <v>52781</v>
      </c>
      <c r="F12219" s="37" t="s">
        <v>54401</v>
      </c>
      <c r="G12219" s="39">
        <v>1044478.22</v>
      </c>
      <c r="H12219" s="42">
        <v>211</v>
      </c>
    </row>
    <row r="12220" spans="1:8" ht="15" customHeight="1">
      <c r="A12220" s="26">
        <v>1052399758</v>
      </c>
      <c r="B12220" s="29" t="s">
        <v>14431</v>
      </c>
      <c r="C12220" s="29" t="s">
        <v>27969</v>
      </c>
      <c r="D12220" s="29" t="s">
        <v>41462</v>
      </c>
      <c r="E12220" s="29" t="s">
        <v>52782</v>
      </c>
      <c r="F12220" s="36" t="s">
        <v>54401</v>
      </c>
      <c r="G12220" s="39">
        <v>928262.06</v>
      </c>
      <c r="H12220" s="42">
        <v>211</v>
      </c>
    </row>
    <row r="12221" spans="1:8" ht="15" customHeight="1">
      <c r="A12221" s="26">
        <v>1052399774</v>
      </c>
      <c r="B12221" s="29" t="s">
        <v>14432</v>
      </c>
      <c r="C12221" s="29" t="s">
        <v>17204</v>
      </c>
      <c r="D12221" s="29" t="s">
        <v>30349</v>
      </c>
      <c r="E12221" s="29" t="s">
        <v>43926</v>
      </c>
      <c r="F12221" s="36" t="s">
        <v>54401</v>
      </c>
      <c r="G12221" s="39">
        <v>126712.66</v>
      </c>
      <c r="H12221" s="42">
        <v>211</v>
      </c>
    </row>
    <row r="12222" spans="1:8" ht="15" customHeight="1">
      <c r="A12222" s="26">
        <v>1052399821</v>
      </c>
      <c r="B12222" s="29" t="s">
        <v>14433</v>
      </c>
      <c r="C12222" s="29" t="s">
        <v>27970</v>
      </c>
      <c r="D12222" s="29" t="s">
        <v>41463</v>
      </c>
      <c r="E12222" s="29" t="s">
        <v>52783</v>
      </c>
      <c r="F12222" s="36" t="s">
        <v>54429</v>
      </c>
      <c r="G12222" s="39">
        <v>1884976.01</v>
      </c>
      <c r="H12222" s="42">
        <v>211</v>
      </c>
    </row>
    <row r="12223" spans="1:8" ht="15" customHeight="1">
      <c r="A12223" s="26">
        <v>1052399823</v>
      </c>
      <c r="B12223" s="29" t="s">
        <v>14434</v>
      </c>
      <c r="C12223" s="26" t="s">
        <v>17204</v>
      </c>
      <c r="D12223" s="26" t="s">
        <v>30349</v>
      </c>
      <c r="E12223" s="26" t="s">
        <v>43926</v>
      </c>
      <c r="F12223" s="37" t="s">
        <v>54401</v>
      </c>
      <c r="G12223" s="39">
        <v>84194.54</v>
      </c>
      <c r="H12223" s="42">
        <v>211</v>
      </c>
    </row>
    <row r="12224" spans="1:8" ht="15" customHeight="1">
      <c r="A12224" s="26">
        <v>1052399829</v>
      </c>
      <c r="B12224" s="29" t="s">
        <v>14435</v>
      </c>
      <c r="C12224" s="29" t="s">
        <v>27971</v>
      </c>
      <c r="D12224" s="29" t="s">
        <v>41464</v>
      </c>
      <c r="E12224" s="29" t="s">
        <v>52784</v>
      </c>
      <c r="F12224" s="36" t="s">
        <v>54401</v>
      </c>
      <c r="G12224" s="39">
        <v>2840870.55</v>
      </c>
      <c r="H12224" s="42">
        <v>211</v>
      </c>
    </row>
    <row r="12225" spans="1:8" ht="15" customHeight="1">
      <c r="A12225" s="26">
        <v>1052399852</v>
      </c>
      <c r="B12225" s="29" t="s">
        <v>14436</v>
      </c>
      <c r="C12225" s="29" t="s">
        <v>17204</v>
      </c>
      <c r="D12225" s="29" t="s">
        <v>41465</v>
      </c>
      <c r="E12225" s="29" t="s">
        <v>43926</v>
      </c>
      <c r="F12225" s="36" t="s">
        <v>54401</v>
      </c>
      <c r="G12225" s="39">
        <v>1190742.58</v>
      </c>
      <c r="H12225" s="42">
        <v>211</v>
      </c>
    </row>
    <row r="12226" spans="1:8" ht="15" customHeight="1">
      <c r="A12226" s="26">
        <v>1052399856</v>
      </c>
      <c r="B12226" s="29" t="s">
        <v>14437</v>
      </c>
      <c r="C12226" s="29" t="s">
        <v>27972</v>
      </c>
      <c r="D12226" s="29" t="s">
        <v>41466</v>
      </c>
      <c r="E12226" s="29" t="s">
        <v>52785</v>
      </c>
      <c r="F12226" s="36" t="s">
        <v>54401</v>
      </c>
      <c r="G12226" s="39">
        <v>889727.81</v>
      </c>
      <c r="H12226" s="42">
        <v>211</v>
      </c>
    </row>
    <row r="12227" spans="1:8" ht="15" customHeight="1">
      <c r="A12227" s="26">
        <v>1052399871</v>
      </c>
      <c r="B12227" s="29" t="s">
        <v>14438</v>
      </c>
      <c r="C12227" s="29" t="s">
        <v>27973</v>
      </c>
      <c r="D12227" s="29" t="s">
        <v>41467</v>
      </c>
      <c r="E12227" s="29" t="s">
        <v>52786</v>
      </c>
      <c r="F12227" s="36" t="s">
        <v>54401</v>
      </c>
      <c r="G12227" s="39">
        <v>303623.24</v>
      </c>
      <c r="H12227" s="42">
        <v>211</v>
      </c>
    </row>
    <row r="12228" spans="1:8" ht="15" customHeight="1">
      <c r="A12228" s="26">
        <v>1052399883</v>
      </c>
      <c r="B12228" s="29" t="s">
        <v>14439</v>
      </c>
      <c r="C12228" s="29" t="s">
        <v>17204</v>
      </c>
      <c r="D12228" s="29" t="s">
        <v>41468</v>
      </c>
      <c r="E12228" s="29" t="s">
        <v>52787</v>
      </c>
      <c r="F12228" s="36" t="s">
        <v>54401</v>
      </c>
      <c r="G12228" s="39">
        <v>6238409</v>
      </c>
      <c r="H12228" s="42">
        <v>211</v>
      </c>
    </row>
    <row r="12229" spans="1:8" ht="15" customHeight="1">
      <c r="A12229" s="26">
        <v>1052399900</v>
      </c>
      <c r="B12229" s="29" t="s">
        <v>14440</v>
      </c>
      <c r="C12229" s="29" t="s">
        <v>27974</v>
      </c>
      <c r="D12229" s="29" t="s">
        <v>41469</v>
      </c>
      <c r="E12229" s="29" t="s">
        <v>43926</v>
      </c>
      <c r="F12229" s="36" t="s">
        <v>54401</v>
      </c>
      <c r="G12229" s="39">
        <v>366559.44</v>
      </c>
      <c r="H12229" s="42">
        <v>211</v>
      </c>
    </row>
    <row r="12230" spans="1:8" ht="15" customHeight="1">
      <c r="A12230" s="26">
        <v>1052399910</v>
      </c>
      <c r="B12230" s="29" t="s">
        <v>14441</v>
      </c>
      <c r="C12230" s="26" t="s">
        <v>27975</v>
      </c>
      <c r="D12230" s="26" t="s">
        <v>41470</v>
      </c>
      <c r="E12230" s="26" t="s">
        <v>49647</v>
      </c>
      <c r="F12230" s="37" t="s">
        <v>54401</v>
      </c>
      <c r="G12230" s="39">
        <v>476906.88</v>
      </c>
      <c r="H12230" s="42">
        <v>211</v>
      </c>
    </row>
    <row r="12231" spans="1:8" ht="15" customHeight="1">
      <c r="A12231" s="26">
        <v>1052399914</v>
      </c>
      <c r="B12231" s="29" t="s">
        <v>14442</v>
      </c>
      <c r="C12231" s="29" t="s">
        <v>17204</v>
      </c>
      <c r="D12231" s="29" t="s">
        <v>41471</v>
      </c>
      <c r="E12231" s="29" t="s">
        <v>43926</v>
      </c>
      <c r="F12231" s="36" t="s">
        <v>54401</v>
      </c>
      <c r="G12231" s="39">
        <v>577065.31000000006</v>
      </c>
      <c r="H12231" s="42">
        <v>211</v>
      </c>
    </row>
    <row r="12232" spans="1:8" ht="15" customHeight="1">
      <c r="A12232" s="26">
        <v>1052399915</v>
      </c>
      <c r="B12232" s="29" t="s">
        <v>14443</v>
      </c>
      <c r="C12232" s="29" t="s">
        <v>27976</v>
      </c>
      <c r="D12232" s="29" t="s">
        <v>41472</v>
      </c>
      <c r="E12232" s="29" t="s">
        <v>45704</v>
      </c>
      <c r="F12232" s="36" t="s">
        <v>54401</v>
      </c>
      <c r="G12232" s="39">
        <v>6840044.8399999999</v>
      </c>
      <c r="H12232" s="42">
        <v>211</v>
      </c>
    </row>
    <row r="12233" spans="1:8" ht="15" customHeight="1">
      <c r="A12233" s="26">
        <v>1052399962</v>
      </c>
      <c r="B12233" s="29" t="s">
        <v>14444</v>
      </c>
      <c r="C12233" s="29" t="s">
        <v>27977</v>
      </c>
      <c r="D12233" s="29" t="s">
        <v>41473</v>
      </c>
      <c r="E12233" s="29" t="s">
        <v>52788</v>
      </c>
      <c r="F12233" s="36" t="s">
        <v>54401</v>
      </c>
      <c r="G12233" s="39">
        <v>113478.98</v>
      </c>
      <c r="H12233" s="42">
        <v>211</v>
      </c>
    </row>
    <row r="12234" spans="1:8" ht="15" customHeight="1">
      <c r="A12234" s="26">
        <v>1052399963</v>
      </c>
      <c r="B12234" s="29" t="s">
        <v>14445</v>
      </c>
      <c r="C12234" s="29" t="s">
        <v>17204</v>
      </c>
      <c r="D12234" s="29" t="s">
        <v>30349</v>
      </c>
      <c r="E12234" s="29" t="s">
        <v>43926</v>
      </c>
      <c r="F12234" s="36" t="s">
        <v>54401</v>
      </c>
      <c r="G12234" s="39">
        <v>399215.35999999999</v>
      </c>
      <c r="H12234" s="42">
        <v>211</v>
      </c>
    </row>
    <row r="12235" spans="1:8" ht="15" customHeight="1">
      <c r="A12235" s="26">
        <v>1052399988</v>
      </c>
      <c r="B12235" s="29" t="s">
        <v>14446</v>
      </c>
      <c r="C12235" s="29" t="s">
        <v>27978</v>
      </c>
      <c r="D12235" s="29" t="s">
        <v>41474</v>
      </c>
      <c r="E12235" s="29" t="s">
        <v>50205</v>
      </c>
      <c r="F12235" s="36" t="s">
        <v>54401</v>
      </c>
      <c r="G12235" s="39">
        <v>245031.03</v>
      </c>
      <c r="H12235" s="42">
        <v>211</v>
      </c>
    </row>
    <row r="12236" spans="1:8" ht="15" customHeight="1">
      <c r="A12236" s="26">
        <v>1052400002</v>
      </c>
      <c r="B12236" s="29" t="s">
        <v>14447</v>
      </c>
      <c r="C12236" s="29" t="s">
        <v>27979</v>
      </c>
      <c r="D12236" s="29" t="s">
        <v>41475</v>
      </c>
      <c r="E12236" s="29" t="s">
        <v>52789</v>
      </c>
      <c r="F12236" s="36" t="s">
        <v>54401</v>
      </c>
      <c r="G12236" s="39">
        <v>1720199.43</v>
      </c>
      <c r="H12236" s="42">
        <v>211</v>
      </c>
    </row>
    <row r="12237" spans="1:8" ht="15" customHeight="1">
      <c r="A12237" s="26">
        <v>1052400010</v>
      </c>
      <c r="B12237" s="29" t="s">
        <v>14448</v>
      </c>
      <c r="C12237" s="29" t="s">
        <v>27980</v>
      </c>
      <c r="D12237" s="29" t="s">
        <v>41476</v>
      </c>
      <c r="E12237" s="29" t="s">
        <v>52790</v>
      </c>
      <c r="F12237" s="36" t="s">
        <v>54407</v>
      </c>
      <c r="G12237" s="39">
        <v>6904223</v>
      </c>
      <c r="H12237" s="42">
        <v>211</v>
      </c>
    </row>
    <row r="12238" spans="1:8" ht="15" customHeight="1">
      <c r="A12238" s="26">
        <v>1052400013</v>
      </c>
      <c r="B12238" s="29" t="s">
        <v>14449</v>
      </c>
      <c r="C12238" s="29" t="s">
        <v>27981</v>
      </c>
      <c r="D12238" s="29" t="s">
        <v>41477</v>
      </c>
      <c r="E12238" s="29" t="s">
        <v>52791</v>
      </c>
      <c r="F12238" s="36" t="s">
        <v>54401</v>
      </c>
      <c r="G12238" s="39">
        <v>2755385.4</v>
      </c>
      <c r="H12238" s="42">
        <v>211</v>
      </c>
    </row>
    <row r="12239" spans="1:8" ht="15" customHeight="1">
      <c r="A12239" s="26">
        <v>1052400019</v>
      </c>
      <c r="B12239" s="29" t="s">
        <v>14450</v>
      </c>
      <c r="C12239" s="29" t="s">
        <v>27982</v>
      </c>
      <c r="D12239" s="29" t="s">
        <v>41478</v>
      </c>
      <c r="E12239" s="29" t="s">
        <v>52792</v>
      </c>
      <c r="F12239" s="36" t="s">
        <v>54401</v>
      </c>
      <c r="G12239" s="39">
        <v>5950678</v>
      </c>
      <c r="H12239" s="42">
        <v>211</v>
      </c>
    </row>
    <row r="12240" spans="1:8" ht="15" customHeight="1">
      <c r="A12240" s="26">
        <v>1052400021</v>
      </c>
      <c r="B12240" s="29" t="s">
        <v>14451</v>
      </c>
      <c r="C12240" s="26" t="s">
        <v>27983</v>
      </c>
      <c r="D12240" s="26" t="s">
        <v>41479</v>
      </c>
      <c r="E12240" s="26" t="s">
        <v>52793</v>
      </c>
      <c r="F12240" s="37" t="s">
        <v>54401</v>
      </c>
      <c r="G12240" s="39">
        <v>3576556.87</v>
      </c>
      <c r="H12240" s="42">
        <v>211</v>
      </c>
    </row>
    <row r="12241" spans="1:8" ht="15" customHeight="1">
      <c r="A12241" s="26">
        <v>1052400030</v>
      </c>
      <c r="B12241" s="29" t="s">
        <v>14452</v>
      </c>
      <c r="C12241" s="29" t="s">
        <v>27984</v>
      </c>
      <c r="D12241" s="29" t="s">
        <v>41480</v>
      </c>
      <c r="E12241" s="29" t="s">
        <v>52794</v>
      </c>
      <c r="F12241" s="36" t="s">
        <v>54401</v>
      </c>
      <c r="G12241" s="39">
        <v>3089186</v>
      </c>
      <c r="H12241" s="42">
        <v>211</v>
      </c>
    </row>
    <row r="12242" spans="1:8" ht="15" customHeight="1">
      <c r="A12242" s="26">
        <v>1052400033</v>
      </c>
      <c r="B12242" s="29" t="s">
        <v>14453</v>
      </c>
      <c r="C12242" s="29" t="s">
        <v>27985</v>
      </c>
      <c r="D12242" s="29" t="s">
        <v>41481</v>
      </c>
      <c r="E12242" s="29" t="s">
        <v>52795</v>
      </c>
      <c r="F12242" s="36" t="s">
        <v>54401</v>
      </c>
      <c r="G12242" s="39">
        <v>4958752.4000000004</v>
      </c>
      <c r="H12242" s="42">
        <v>211</v>
      </c>
    </row>
    <row r="12243" spans="1:8" ht="15" customHeight="1">
      <c r="A12243" s="26">
        <v>1052400044</v>
      </c>
      <c r="B12243" s="29" t="s">
        <v>14454</v>
      </c>
      <c r="C12243" s="29" t="s">
        <v>27986</v>
      </c>
      <c r="D12243" s="29" t="s">
        <v>41482</v>
      </c>
      <c r="E12243" s="29" t="s">
        <v>52796</v>
      </c>
      <c r="F12243" s="36" t="s">
        <v>54401</v>
      </c>
      <c r="G12243" s="39">
        <v>230544.5</v>
      </c>
      <c r="H12243" s="42">
        <v>211</v>
      </c>
    </row>
    <row r="12244" spans="1:8" ht="15" customHeight="1">
      <c r="A12244" s="26">
        <v>1052400064</v>
      </c>
      <c r="B12244" s="29" t="s">
        <v>14455</v>
      </c>
      <c r="C12244" s="26" t="s">
        <v>27987</v>
      </c>
      <c r="D12244" s="26" t="s">
        <v>41483</v>
      </c>
      <c r="E12244" s="26" t="s">
        <v>43926</v>
      </c>
      <c r="F12244" s="37" t="s">
        <v>54401</v>
      </c>
      <c r="G12244" s="39">
        <v>402916.44</v>
      </c>
      <c r="H12244" s="42">
        <v>211</v>
      </c>
    </row>
    <row r="12245" spans="1:8" ht="15" customHeight="1">
      <c r="A12245" s="26">
        <v>1052400096</v>
      </c>
      <c r="B12245" s="29" t="s">
        <v>14456</v>
      </c>
      <c r="C12245" s="29" t="s">
        <v>27988</v>
      </c>
      <c r="D12245" s="29" t="s">
        <v>41484</v>
      </c>
      <c r="E12245" s="29" t="s">
        <v>717</v>
      </c>
      <c r="F12245" s="36" t="s">
        <v>54401</v>
      </c>
      <c r="G12245" s="39">
        <v>174098.48</v>
      </c>
      <c r="H12245" s="42">
        <v>211</v>
      </c>
    </row>
    <row r="12246" spans="1:8" ht="15" customHeight="1">
      <c r="A12246" s="26">
        <v>1052400099</v>
      </c>
      <c r="B12246" s="29" t="s">
        <v>14457</v>
      </c>
      <c r="C12246" s="29" t="s">
        <v>27989</v>
      </c>
      <c r="D12246" s="29" t="s">
        <v>41485</v>
      </c>
      <c r="E12246" s="29" t="s">
        <v>52797</v>
      </c>
      <c r="F12246" s="36" t="s">
        <v>54401</v>
      </c>
      <c r="G12246" s="39">
        <v>4590710</v>
      </c>
      <c r="H12246" s="42">
        <v>211</v>
      </c>
    </row>
    <row r="12247" spans="1:8" ht="15" customHeight="1">
      <c r="A12247" s="26">
        <v>1052400105</v>
      </c>
      <c r="B12247" s="29" t="s">
        <v>14458</v>
      </c>
      <c r="C12247" s="26" t="s">
        <v>27990</v>
      </c>
      <c r="D12247" s="26" t="s">
        <v>41486</v>
      </c>
      <c r="E12247" s="26" t="s">
        <v>52625</v>
      </c>
      <c r="F12247" s="37" t="s">
        <v>54401</v>
      </c>
      <c r="G12247" s="39">
        <v>821928.63</v>
      </c>
      <c r="H12247" s="42">
        <v>211</v>
      </c>
    </row>
    <row r="12248" spans="1:8" ht="15" customHeight="1">
      <c r="A12248" s="26">
        <v>1052400119</v>
      </c>
      <c r="B12248" s="29" t="s">
        <v>14459</v>
      </c>
      <c r="C12248" s="29" t="s">
        <v>27991</v>
      </c>
      <c r="D12248" s="29" t="s">
        <v>41487</v>
      </c>
      <c r="E12248" s="29" t="s">
        <v>52798</v>
      </c>
      <c r="F12248" s="36" t="s">
        <v>54401</v>
      </c>
      <c r="G12248" s="39">
        <v>352818.04</v>
      </c>
      <c r="H12248" s="42">
        <v>211</v>
      </c>
    </row>
    <row r="12249" spans="1:8" ht="15" customHeight="1">
      <c r="A12249" s="26">
        <v>1052400136</v>
      </c>
      <c r="B12249" s="29" t="s">
        <v>14460</v>
      </c>
      <c r="C12249" s="29" t="s">
        <v>27992</v>
      </c>
      <c r="D12249" s="29" t="s">
        <v>41488</v>
      </c>
      <c r="E12249" s="29" t="s">
        <v>52799</v>
      </c>
      <c r="F12249" s="36" t="s">
        <v>54401</v>
      </c>
      <c r="G12249" s="39">
        <v>118808.58</v>
      </c>
      <c r="H12249" s="42">
        <v>211</v>
      </c>
    </row>
    <row r="12250" spans="1:8" ht="15" customHeight="1">
      <c r="A12250" s="26">
        <v>1052400138</v>
      </c>
      <c r="B12250" s="29" t="s">
        <v>14461</v>
      </c>
      <c r="C12250" s="29" t="s">
        <v>27993</v>
      </c>
      <c r="D12250" s="29" t="s">
        <v>41489</v>
      </c>
      <c r="E12250" s="29" t="s">
        <v>52800</v>
      </c>
      <c r="F12250" s="36" t="s">
        <v>54401</v>
      </c>
      <c r="G12250" s="39">
        <v>802980.87</v>
      </c>
      <c r="H12250" s="42">
        <v>211</v>
      </c>
    </row>
    <row r="12251" spans="1:8" ht="15" customHeight="1">
      <c r="A12251" s="26">
        <v>1052400152</v>
      </c>
      <c r="B12251" s="29" t="s">
        <v>14462</v>
      </c>
      <c r="C12251" s="29" t="s">
        <v>27994</v>
      </c>
      <c r="D12251" s="29" t="s">
        <v>41490</v>
      </c>
      <c r="E12251" s="29" t="s">
        <v>52801</v>
      </c>
      <c r="F12251" s="36" t="s">
        <v>54401</v>
      </c>
      <c r="G12251" s="39">
        <v>2749511.6800000002</v>
      </c>
      <c r="H12251" s="42">
        <v>211</v>
      </c>
    </row>
    <row r="12252" spans="1:8" ht="15" customHeight="1">
      <c r="A12252" s="26">
        <v>1052400175</v>
      </c>
      <c r="B12252" s="29" t="s">
        <v>14463</v>
      </c>
      <c r="C12252" s="29" t="s">
        <v>27995</v>
      </c>
      <c r="D12252" s="29" t="s">
        <v>41491</v>
      </c>
      <c r="E12252" s="29" t="s">
        <v>45640</v>
      </c>
      <c r="F12252" s="36" t="s">
        <v>54401</v>
      </c>
      <c r="G12252" s="39">
        <v>529401.97</v>
      </c>
      <c r="H12252" s="42">
        <v>211</v>
      </c>
    </row>
    <row r="12253" spans="1:8" ht="15" customHeight="1">
      <c r="A12253" s="26">
        <v>1052400190</v>
      </c>
      <c r="B12253" s="29" t="s">
        <v>14464</v>
      </c>
      <c r="C12253" s="26" t="s">
        <v>27996</v>
      </c>
      <c r="D12253" s="26" t="s">
        <v>41492</v>
      </c>
      <c r="E12253" s="26" t="s">
        <v>52802</v>
      </c>
      <c r="F12253" s="37" t="s">
        <v>54401</v>
      </c>
      <c r="G12253" s="39">
        <v>135645.79999999999</v>
      </c>
      <c r="H12253" s="42">
        <v>211</v>
      </c>
    </row>
    <row r="12254" spans="1:8" ht="15" customHeight="1">
      <c r="A12254" s="26">
        <v>1052400235</v>
      </c>
      <c r="B12254" s="29" t="s">
        <v>14465</v>
      </c>
      <c r="C12254" s="29" t="s">
        <v>27997</v>
      </c>
      <c r="D12254" s="29" t="s">
        <v>41493</v>
      </c>
      <c r="E12254" s="29" t="s">
        <v>51927</v>
      </c>
      <c r="F12254" s="36" t="s">
        <v>54401</v>
      </c>
      <c r="G12254" s="39">
        <v>7126137.2800000003</v>
      </c>
      <c r="H12254" s="42">
        <v>211</v>
      </c>
    </row>
    <row r="12255" spans="1:8" ht="15" customHeight="1">
      <c r="A12255" s="26">
        <v>1052400238</v>
      </c>
      <c r="B12255" s="29" t="s">
        <v>14466</v>
      </c>
      <c r="C12255" s="26" t="s">
        <v>17204</v>
      </c>
      <c r="D12255" s="26" t="s">
        <v>30349</v>
      </c>
      <c r="E12255" s="26" t="s">
        <v>43926</v>
      </c>
      <c r="F12255" s="37" t="s">
        <v>54401</v>
      </c>
      <c r="G12255" s="39">
        <v>82815.17</v>
      </c>
      <c r="H12255" s="42">
        <v>211</v>
      </c>
    </row>
    <row r="12256" spans="1:8" ht="15" customHeight="1">
      <c r="A12256" s="26">
        <v>1052400246</v>
      </c>
      <c r="B12256" s="29" t="s">
        <v>14467</v>
      </c>
      <c r="C12256" s="29" t="s">
        <v>27998</v>
      </c>
      <c r="D12256" s="29" t="s">
        <v>41494</v>
      </c>
      <c r="E12256" s="29" t="s">
        <v>43926</v>
      </c>
      <c r="F12256" s="36" t="s">
        <v>54401</v>
      </c>
      <c r="G12256" s="39">
        <v>32686.080000000002</v>
      </c>
      <c r="H12256" s="42">
        <v>211</v>
      </c>
    </row>
    <row r="12257" spans="1:8" ht="15" customHeight="1">
      <c r="A12257" s="26">
        <v>1052400256</v>
      </c>
      <c r="B12257" s="29" t="s">
        <v>14468</v>
      </c>
      <c r="C12257" s="29" t="s">
        <v>27999</v>
      </c>
      <c r="D12257" s="29" t="s">
        <v>41495</v>
      </c>
      <c r="E12257" s="29" t="s">
        <v>52803</v>
      </c>
      <c r="F12257" s="36" t="s">
        <v>54401</v>
      </c>
      <c r="G12257" s="39">
        <v>37135</v>
      </c>
      <c r="H12257" s="42">
        <v>211</v>
      </c>
    </row>
    <row r="12258" spans="1:8" ht="15" customHeight="1">
      <c r="A12258" s="26">
        <v>1052400262</v>
      </c>
      <c r="B12258" s="29" t="s">
        <v>14469</v>
      </c>
      <c r="C12258" s="29" t="s">
        <v>28000</v>
      </c>
      <c r="D12258" s="29" t="s">
        <v>41496</v>
      </c>
      <c r="E12258" s="29" t="s">
        <v>43926</v>
      </c>
      <c r="F12258" s="36" t="s">
        <v>54401</v>
      </c>
      <c r="G12258" s="39">
        <v>760744.67</v>
      </c>
      <c r="H12258" s="42">
        <v>211</v>
      </c>
    </row>
    <row r="12259" spans="1:8" ht="15" customHeight="1">
      <c r="A12259" s="26">
        <v>1052400267</v>
      </c>
      <c r="B12259" s="29" t="s">
        <v>14470</v>
      </c>
      <c r="C12259" s="29" t="s">
        <v>25380</v>
      </c>
      <c r="D12259" s="29" t="s">
        <v>41497</v>
      </c>
      <c r="E12259" s="29" t="s">
        <v>45285</v>
      </c>
      <c r="F12259" s="36" t="s">
        <v>54401</v>
      </c>
      <c r="G12259" s="39">
        <v>5669732</v>
      </c>
      <c r="H12259" s="42">
        <v>211</v>
      </c>
    </row>
    <row r="12260" spans="1:8" ht="15" customHeight="1">
      <c r="A12260" s="26">
        <v>1052400270</v>
      </c>
      <c r="B12260" s="29" t="s">
        <v>14471</v>
      </c>
      <c r="C12260" s="29" t="s">
        <v>28001</v>
      </c>
      <c r="D12260" s="29" t="s">
        <v>41498</v>
      </c>
      <c r="E12260" s="29" t="s">
        <v>52236</v>
      </c>
      <c r="F12260" s="36" t="s">
        <v>54401</v>
      </c>
      <c r="G12260" s="39">
        <v>597287.62</v>
      </c>
      <c r="H12260" s="42">
        <v>211</v>
      </c>
    </row>
    <row r="12261" spans="1:8" ht="15" customHeight="1">
      <c r="A12261" s="26">
        <v>1052400271</v>
      </c>
      <c r="B12261" s="29" t="s">
        <v>14472</v>
      </c>
      <c r="C12261" s="29" t="s">
        <v>28002</v>
      </c>
      <c r="D12261" s="29" t="s">
        <v>41499</v>
      </c>
      <c r="E12261" s="29" t="s">
        <v>52804</v>
      </c>
      <c r="F12261" s="36" t="s">
        <v>54401</v>
      </c>
      <c r="G12261" s="39">
        <v>282738.86</v>
      </c>
      <c r="H12261" s="42">
        <v>211</v>
      </c>
    </row>
    <row r="12262" spans="1:8" ht="15" customHeight="1">
      <c r="A12262" s="26">
        <v>1052400276</v>
      </c>
      <c r="B12262" s="29" t="s">
        <v>14473</v>
      </c>
      <c r="C12262" s="29" t="s">
        <v>28003</v>
      </c>
      <c r="D12262" s="29" t="s">
        <v>41500</v>
      </c>
      <c r="E12262" s="29" t="s">
        <v>52805</v>
      </c>
      <c r="F12262" s="36" t="s">
        <v>54401</v>
      </c>
      <c r="G12262" s="39">
        <v>22621.85</v>
      </c>
      <c r="H12262" s="42">
        <v>211</v>
      </c>
    </row>
    <row r="12263" spans="1:8" ht="15" customHeight="1">
      <c r="A12263" s="26">
        <v>1052400304</v>
      </c>
      <c r="B12263" s="29" t="s">
        <v>14474</v>
      </c>
      <c r="C12263" s="29" t="s">
        <v>17204</v>
      </c>
      <c r="D12263" s="29" t="s">
        <v>30349</v>
      </c>
      <c r="E12263" s="29" t="s">
        <v>43926</v>
      </c>
      <c r="F12263" s="36" t="s">
        <v>54401</v>
      </c>
      <c r="G12263" s="39">
        <v>316872.14</v>
      </c>
      <c r="H12263" s="42">
        <v>211</v>
      </c>
    </row>
    <row r="12264" spans="1:8" ht="15" customHeight="1">
      <c r="A12264" s="26">
        <v>1052400307</v>
      </c>
      <c r="B12264" s="29" t="s">
        <v>14475</v>
      </c>
      <c r="C12264" s="29" t="s">
        <v>28004</v>
      </c>
      <c r="D12264" s="29" t="s">
        <v>41501</v>
      </c>
      <c r="E12264" s="29" t="s">
        <v>52806</v>
      </c>
      <c r="F12264" s="36" t="s">
        <v>54401</v>
      </c>
      <c r="G12264" s="39">
        <v>740646.62</v>
      </c>
      <c r="H12264" s="42">
        <v>211</v>
      </c>
    </row>
    <row r="12265" spans="1:8" ht="15" customHeight="1">
      <c r="A12265" s="26">
        <v>1052400314</v>
      </c>
      <c r="B12265" s="29" t="s">
        <v>14476</v>
      </c>
      <c r="C12265" s="26" t="s">
        <v>28005</v>
      </c>
      <c r="D12265" s="26" t="s">
        <v>41502</v>
      </c>
      <c r="E12265" s="26" t="s">
        <v>52807</v>
      </c>
      <c r="F12265" s="37" t="s">
        <v>54401</v>
      </c>
      <c r="G12265" s="39">
        <v>1867305.08</v>
      </c>
      <c r="H12265" s="42">
        <v>211</v>
      </c>
    </row>
    <row r="12266" spans="1:8" ht="15" customHeight="1">
      <c r="A12266" s="26">
        <v>1052400339</v>
      </c>
      <c r="B12266" s="29" t="s">
        <v>14477</v>
      </c>
      <c r="C12266" s="29" t="s">
        <v>28006</v>
      </c>
      <c r="D12266" s="29" t="s">
        <v>41503</v>
      </c>
      <c r="E12266" s="29" t="s">
        <v>52808</v>
      </c>
      <c r="F12266" s="36" t="s">
        <v>54401</v>
      </c>
      <c r="G12266" s="39">
        <v>7353898.8899999997</v>
      </c>
      <c r="H12266" s="42">
        <v>211</v>
      </c>
    </row>
    <row r="12267" spans="1:8" ht="15" customHeight="1">
      <c r="A12267" s="26">
        <v>1052400347</v>
      </c>
      <c r="B12267" s="29" t="s">
        <v>14478</v>
      </c>
      <c r="C12267" s="29" t="s">
        <v>28007</v>
      </c>
      <c r="D12267" s="29" t="s">
        <v>41504</v>
      </c>
      <c r="E12267" s="29" t="s">
        <v>52809</v>
      </c>
      <c r="F12267" s="36" t="s">
        <v>54401</v>
      </c>
      <c r="G12267" s="39">
        <v>1775733.18</v>
      </c>
      <c r="H12267" s="42">
        <v>211</v>
      </c>
    </row>
    <row r="12268" spans="1:8" ht="15" customHeight="1">
      <c r="A12268" s="26">
        <v>1052400368</v>
      </c>
      <c r="B12268" s="29" t="s">
        <v>14479</v>
      </c>
      <c r="C12268" s="29" t="s">
        <v>28008</v>
      </c>
      <c r="D12268" s="29" t="s">
        <v>41505</v>
      </c>
      <c r="E12268" s="29" t="s">
        <v>52810</v>
      </c>
      <c r="F12268" s="36" t="s">
        <v>54401</v>
      </c>
      <c r="G12268" s="39">
        <v>78783.53</v>
      </c>
      <c r="H12268" s="42">
        <v>211</v>
      </c>
    </row>
    <row r="12269" spans="1:8" ht="15" customHeight="1">
      <c r="A12269" s="26">
        <v>1052400395</v>
      </c>
      <c r="B12269" s="29" t="s">
        <v>14480</v>
      </c>
      <c r="C12269" s="29" t="s">
        <v>28009</v>
      </c>
      <c r="D12269" s="29" t="s">
        <v>41506</v>
      </c>
      <c r="E12269" s="29" t="s">
        <v>45254</v>
      </c>
      <c r="F12269" s="36" t="s">
        <v>54401</v>
      </c>
      <c r="G12269" s="39">
        <v>1723135.71</v>
      </c>
      <c r="H12269" s="42">
        <v>211</v>
      </c>
    </row>
    <row r="12270" spans="1:8" ht="15" customHeight="1">
      <c r="A12270" s="26">
        <v>1052400404</v>
      </c>
      <c r="B12270" s="29" t="s">
        <v>14481</v>
      </c>
      <c r="C12270" s="29" t="s">
        <v>28010</v>
      </c>
      <c r="D12270" s="29" t="s">
        <v>41507</v>
      </c>
      <c r="E12270" s="29" t="s">
        <v>52811</v>
      </c>
      <c r="F12270" s="36" t="s">
        <v>54401</v>
      </c>
      <c r="G12270" s="39">
        <v>304688.59999999998</v>
      </c>
      <c r="H12270" s="42">
        <v>211</v>
      </c>
    </row>
    <row r="12271" spans="1:8" ht="15" customHeight="1">
      <c r="A12271" s="26">
        <v>1052400407</v>
      </c>
      <c r="B12271" s="29" t="s">
        <v>14482</v>
      </c>
      <c r="C12271" s="29" t="s">
        <v>28011</v>
      </c>
      <c r="D12271" s="29" t="s">
        <v>41508</v>
      </c>
      <c r="E12271" s="29" t="s">
        <v>52812</v>
      </c>
      <c r="F12271" s="36" t="s">
        <v>54401</v>
      </c>
      <c r="G12271" s="39">
        <v>2080245.75</v>
      </c>
      <c r="H12271" s="42">
        <v>211</v>
      </c>
    </row>
    <row r="12272" spans="1:8" ht="15" customHeight="1">
      <c r="A12272" s="26">
        <v>1052400427</v>
      </c>
      <c r="B12272" s="29" t="s">
        <v>14483</v>
      </c>
      <c r="C12272" s="29" t="s">
        <v>28012</v>
      </c>
      <c r="D12272" s="29" t="s">
        <v>41509</v>
      </c>
      <c r="E12272" s="29" t="s">
        <v>52813</v>
      </c>
      <c r="F12272" s="36" t="s">
        <v>54401</v>
      </c>
      <c r="G12272" s="39">
        <v>2569641.25</v>
      </c>
      <c r="H12272" s="42">
        <v>211</v>
      </c>
    </row>
    <row r="12273" spans="1:8" ht="15" customHeight="1">
      <c r="A12273" s="26">
        <v>1052400432</v>
      </c>
      <c r="B12273" s="29" t="s">
        <v>14484</v>
      </c>
      <c r="C12273" s="29" t="s">
        <v>28013</v>
      </c>
      <c r="D12273" s="29" t="s">
        <v>41510</v>
      </c>
      <c r="E12273" s="29" t="s">
        <v>52814</v>
      </c>
      <c r="F12273" s="36" t="s">
        <v>54401</v>
      </c>
      <c r="G12273" s="39">
        <v>1032307.33</v>
      </c>
      <c r="H12273" s="42">
        <v>211</v>
      </c>
    </row>
    <row r="12274" spans="1:8" ht="15" customHeight="1">
      <c r="A12274" s="26">
        <v>1052400464</v>
      </c>
      <c r="B12274" s="29" t="s">
        <v>14485</v>
      </c>
      <c r="C12274" s="29" t="s">
        <v>28014</v>
      </c>
      <c r="D12274" s="29" t="s">
        <v>41511</v>
      </c>
      <c r="E12274" s="29" t="s">
        <v>47671</v>
      </c>
      <c r="F12274" s="36" t="s">
        <v>54401</v>
      </c>
      <c r="G12274" s="39">
        <v>2894385.95</v>
      </c>
      <c r="H12274" s="42">
        <v>211</v>
      </c>
    </row>
    <row r="12275" spans="1:8" ht="15" customHeight="1">
      <c r="A12275" s="26">
        <v>1052400475</v>
      </c>
      <c r="B12275" s="29" t="s">
        <v>14486</v>
      </c>
      <c r="C12275" s="29" t="s">
        <v>28015</v>
      </c>
      <c r="D12275" s="29" t="s">
        <v>41512</v>
      </c>
      <c r="E12275" s="29" t="s">
        <v>52815</v>
      </c>
      <c r="F12275" s="36" t="s">
        <v>54401</v>
      </c>
      <c r="G12275" s="39">
        <v>739833.87</v>
      </c>
      <c r="H12275" s="42">
        <v>211</v>
      </c>
    </row>
    <row r="12276" spans="1:8" ht="15" customHeight="1">
      <c r="A12276" s="26">
        <v>1052400513</v>
      </c>
      <c r="B12276" s="29" t="s">
        <v>14487</v>
      </c>
      <c r="C12276" s="29" t="s">
        <v>28016</v>
      </c>
      <c r="D12276" s="29" t="s">
        <v>41513</v>
      </c>
      <c r="E12276" s="29" t="s">
        <v>52816</v>
      </c>
      <c r="F12276" s="36" t="s">
        <v>54401</v>
      </c>
      <c r="G12276" s="39">
        <v>32558.1</v>
      </c>
      <c r="H12276" s="42">
        <v>211</v>
      </c>
    </row>
    <row r="12277" spans="1:8" ht="15" customHeight="1">
      <c r="A12277" s="26">
        <v>1052400520</v>
      </c>
      <c r="B12277" s="29" t="s">
        <v>14488</v>
      </c>
      <c r="C12277" s="29" t="s">
        <v>28017</v>
      </c>
      <c r="D12277" s="29" t="s">
        <v>41514</v>
      </c>
      <c r="E12277" s="29" t="s">
        <v>52817</v>
      </c>
      <c r="F12277" s="36" t="s">
        <v>54401</v>
      </c>
      <c r="G12277" s="39">
        <v>3601455</v>
      </c>
      <c r="H12277" s="42">
        <v>211</v>
      </c>
    </row>
    <row r="12278" spans="1:8" ht="15" customHeight="1">
      <c r="A12278" s="26">
        <v>1052400563</v>
      </c>
      <c r="B12278" s="29" t="s">
        <v>14489</v>
      </c>
      <c r="C12278" s="26" t="s">
        <v>28018</v>
      </c>
      <c r="D12278" s="26" t="s">
        <v>41515</v>
      </c>
      <c r="E12278" s="26" t="s">
        <v>51739</v>
      </c>
      <c r="F12278" s="37" t="s">
        <v>54401</v>
      </c>
      <c r="G12278" s="39">
        <v>1956243.24</v>
      </c>
      <c r="H12278" s="42">
        <v>211</v>
      </c>
    </row>
    <row r="12279" spans="1:8" ht="15" customHeight="1">
      <c r="A12279" s="26">
        <v>1052400584</v>
      </c>
      <c r="B12279" s="29" t="s">
        <v>14490</v>
      </c>
      <c r="C12279" s="29" t="s">
        <v>28019</v>
      </c>
      <c r="D12279" s="29" t="s">
        <v>41516</v>
      </c>
      <c r="E12279" s="29" t="s">
        <v>52818</v>
      </c>
      <c r="F12279" s="36" t="s">
        <v>54401</v>
      </c>
      <c r="G12279" s="39">
        <v>1939930</v>
      </c>
      <c r="H12279" s="42">
        <v>211</v>
      </c>
    </row>
    <row r="12280" spans="1:8" ht="15" customHeight="1">
      <c r="A12280" s="26">
        <v>1052400585</v>
      </c>
      <c r="B12280" s="29" t="s">
        <v>14491</v>
      </c>
      <c r="C12280" s="29" t="s">
        <v>28020</v>
      </c>
      <c r="D12280" s="29" t="s">
        <v>41517</v>
      </c>
      <c r="E12280" s="29" t="s">
        <v>52819</v>
      </c>
      <c r="F12280" s="36" t="s">
        <v>54401</v>
      </c>
      <c r="G12280" s="39">
        <v>1428760.82</v>
      </c>
      <c r="H12280" s="42">
        <v>211</v>
      </c>
    </row>
    <row r="12281" spans="1:8" ht="15" customHeight="1">
      <c r="A12281" s="26">
        <v>1052400592</v>
      </c>
      <c r="B12281" s="29" t="s">
        <v>14492</v>
      </c>
      <c r="C12281" s="29" t="s">
        <v>28021</v>
      </c>
      <c r="D12281" s="29" t="s">
        <v>41518</v>
      </c>
      <c r="E12281" s="29" t="s">
        <v>52820</v>
      </c>
      <c r="F12281" s="36" t="s">
        <v>54401</v>
      </c>
      <c r="G12281" s="39">
        <v>2767624.26</v>
      </c>
      <c r="H12281" s="42">
        <v>211</v>
      </c>
    </row>
    <row r="12282" spans="1:8" ht="15" customHeight="1">
      <c r="A12282" s="26">
        <v>1052400594</v>
      </c>
      <c r="B12282" s="29" t="s">
        <v>14493</v>
      </c>
      <c r="C12282" s="26" t="s">
        <v>28022</v>
      </c>
      <c r="D12282" s="26" t="s">
        <v>41519</v>
      </c>
      <c r="E12282" s="26" t="s">
        <v>45314</v>
      </c>
      <c r="F12282" s="37" t="s">
        <v>54401</v>
      </c>
      <c r="G12282" s="39">
        <v>322089.90999999997</v>
      </c>
      <c r="H12282" s="42">
        <v>211</v>
      </c>
    </row>
    <row r="12283" spans="1:8" ht="15" customHeight="1">
      <c r="A12283" s="26">
        <v>1052400597</v>
      </c>
      <c r="B12283" s="29" t="s">
        <v>14494</v>
      </c>
      <c r="C12283" s="29" t="s">
        <v>18460</v>
      </c>
      <c r="D12283" s="29" t="s">
        <v>31612</v>
      </c>
      <c r="E12283" s="29" t="s">
        <v>48333</v>
      </c>
      <c r="F12283" s="36" t="s">
        <v>54401</v>
      </c>
      <c r="G12283" s="39">
        <v>18974.79</v>
      </c>
      <c r="H12283" s="42">
        <v>211</v>
      </c>
    </row>
    <row r="12284" spans="1:8" ht="15" customHeight="1">
      <c r="A12284" s="26">
        <v>1052400598</v>
      </c>
      <c r="B12284" s="29" t="s">
        <v>14495</v>
      </c>
      <c r="C12284" s="29" t="s">
        <v>17204</v>
      </c>
      <c r="D12284" s="29" t="s">
        <v>41520</v>
      </c>
      <c r="E12284" s="29" t="s">
        <v>43926</v>
      </c>
      <c r="F12284" s="36" t="s">
        <v>54401</v>
      </c>
      <c r="G12284" s="39">
        <v>356790.18</v>
      </c>
      <c r="H12284" s="42">
        <v>211</v>
      </c>
    </row>
    <row r="12285" spans="1:8" ht="15" customHeight="1">
      <c r="A12285" s="26">
        <v>1052400605</v>
      </c>
      <c r="B12285" s="29" t="s">
        <v>14496</v>
      </c>
      <c r="C12285" s="29" t="s">
        <v>28023</v>
      </c>
      <c r="D12285" s="29" t="s">
        <v>37615</v>
      </c>
      <c r="E12285" s="29" t="s">
        <v>52821</v>
      </c>
      <c r="F12285" s="36" t="s">
        <v>54401</v>
      </c>
      <c r="G12285" s="39">
        <v>427536.39</v>
      </c>
      <c r="H12285" s="42">
        <v>211</v>
      </c>
    </row>
    <row r="12286" spans="1:8" ht="15" customHeight="1">
      <c r="A12286" s="26">
        <v>1052400607</v>
      </c>
      <c r="B12286" s="29" t="s">
        <v>14497</v>
      </c>
      <c r="C12286" s="29" t="s">
        <v>28024</v>
      </c>
      <c r="D12286" s="29" t="s">
        <v>41521</v>
      </c>
      <c r="E12286" s="29" t="s">
        <v>52364</v>
      </c>
      <c r="F12286" s="36" t="s">
        <v>54401</v>
      </c>
      <c r="G12286" s="39">
        <v>2220252.92</v>
      </c>
      <c r="H12286" s="42">
        <v>211</v>
      </c>
    </row>
    <row r="12287" spans="1:8" ht="15" customHeight="1">
      <c r="A12287" s="26">
        <v>1052400642</v>
      </c>
      <c r="B12287" s="29" t="s">
        <v>14498</v>
      </c>
      <c r="C12287" s="29" t="s">
        <v>28025</v>
      </c>
      <c r="D12287" s="29" t="s">
        <v>41522</v>
      </c>
      <c r="E12287" s="29" t="s">
        <v>52822</v>
      </c>
      <c r="F12287" s="36" t="s">
        <v>54401</v>
      </c>
      <c r="G12287" s="39">
        <v>315243.96000000002</v>
      </c>
      <c r="H12287" s="42">
        <v>211</v>
      </c>
    </row>
    <row r="12288" spans="1:8" ht="15" customHeight="1">
      <c r="A12288" s="26">
        <v>1052400644</v>
      </c>
      <c r="B12288" s="29" t="s">
        <v>14499</v>
      </c>
      <c r="C12288" s="29" t="s">
        <v>28026</v>
      </c>
      <c r="D12288" s="29" t="s">
        <v>41523</v>
      </c>
      <c r="E12288" s="29" t="s">
        <v>52823</v>
      </c>
      <c r="F12288" s="36" t="s">
        <v>54401</v>
      </c>
      <c r="G12288" s="39">
        <v>1204843.2</v>
      </c>
      <c r="H12288" s="42">
        <v>211</v>
      </c>
    </row>
    <row r="12289" spans="1:8" ht="15" customHeight="1">
      <c r="A12289" s="26">
        <v>1052400654</v>
      </c>
      <c r="B12289" s="29" t="s">
        <v>14500</v>
      </c>
      <c r="C12289" s="29" t="s">
        <v>28027</v>
      </c>
      <c r="D12289" s="29" t="s">
        <v>41524</v>
      </c>
      <c r="E12289" s="29" t="s">
        <v>52824</v>
      </c>
      <c r="F12289" s="36" t="s">
        <v>54401</v>
      </c>
      <c r="G12289" s="39">
        <v>2668180.71</v>
      </c>
      <c r="H12289" s="42">
        <v>211</v>
      </c>
    </row>
    <row r="12290" spans="1:8" ht="15" customHeight="1">
      <c r="A12290" s="26">
        <v>1052400660</v>
      </c>
      <c r="B12290" s="29" t="s">
        <v>14501</v>
      </c>
      <c r="C12290" s="29" t="s">
        <v>28028</v>
      </c>
      <c r="D12290" s="29" t="s">
        <v>41525</v>
      </c>
      <c r="E12290" s="29" t="s">
        <v>52825</v>
      </c>
      <c r="F12290" s="36" t="s">
        <v>54401</v>
      </c>
      <c r="G12290" s="39">
        <v>2495502.98</v>
      </c>
      <c r="H12290" s="42">
        <v>211</v>
      </c>
    </row>
    <row r="12291" spans="1:8" ht="15" customHeight="1">
      <c r="A12291" s="26">
        <v>1052400710</v>
      </c>
      <c r="B12291" s="29" t="s">
        <v>14502</v>
      </c>
      <c r="C12291" s="29" t="s">
        <v>28029</v>
      </c>
      <c r="D12291" s="29" t="s">
        <v>41526</v>
      </c>
      <c r="E12291" s="29" t="s">
        <v>52826</v>
      </c>
      <c r="F12291" s="36" t="s">
        <v>54401</v>
      </c>
      <c r="G12291" s="39">
        <v>5926453.2699999996</v>
      </c>
      <c r="H12291" s="42">
        <v>211</v>
      </c>
    </row>
    <row r="12292" spans="1:8" ht="15" customHeight="1">
      <c r="A12292" s="26">
        <v>1052400719</v>
      </c>
      <c r="B12292" s="29" t="s">
        <v>14503</v>
      </c>
      <c r="C12292" s="29" t="s">
        <v>28030</v>
      </c>
      <c r="D12292" s="29" t="s">
        <v>41154</v>
      </c>
      <c r="E12292" s="29" t="s">
        <v>52827</v>
      </c>
      <c r="F12292" s="36" t="s">
        <v>54401</v>
      </c>
      <c r="G12292" s="39">
        <v>970649.56</v>
      </c>
      <c r="H12292" s="42">
        <v>211</v>
      </c>
    </row>
    <row r="12293" spans="1:8" ht="15" customHeight="1">
      <c r="A12293" s="26">
        <v>1052400727</v>
      </c>
      <c r="B12293" s="29" t="s">
        <v>14504</v>
      </c>
      <c r="C12293" s="29" t="s">
        <v>28031</v>
      </c>
      <c r="D12293" s="29" t="s">
        <v>41527</v>
      </c>
      <c r="E12293" s="29" t="s">
        <v>52828</v>
      </c>
      <c r="F12293" s="36" t="s">
        <v>54401</v>
      </c>
      <c r="G12293" s="39">
        <v>397474.47</v>
      </c>
      <c r="H12293" s="42">
        <v>211</v>
      </c>
    </row>
    <row r="12294" spans="1:8" ht="15" customHeight="1">
      <c r="A12294" s="26">
        <v>1052400743</v>
      </c>
      <c r="B12294" s="29" t="s">
        <v>14505</v>
      </c>
      <c r="C12294" s="29" t="s">
        <v>28032</v>
      </c>
      <c r="D12294" s="29" t="s">
        <v>41528</v>
      </c>
      <c r="E12294" s="29" t="s">
        <v>52829</v>
      </c>
      <c r="F12294" s="36" t="s">
        <v>54401</v>
      </c>
      <c r="G12294" s="39">
        <v>1794762.59</v>
      </c>
      <c r="H12294" s="42">
        <v>211</v>
      </c>
    </row>
    <row r="12295" spans="1:8" ht="15" customHeight="1">
      <c r="A12295" s="26">
        <v>1052400752</v>
      </c>
      <c r="B12295" s="29" t="s">
        <v>14506</v>
      </c>
      <c r="C12295" s="29" t="s">
        <v>28033</v>
      </c>
      <c r="D12295" s="29" t="s">
        <v>41529</v>
      </c>
      <c r="E12295" s="29" t="s">
        <v>52830</v>
      </c>
      <c r="F12295" s="36" t="s">
        <v>54409</v>
      </c>
      <c r="G12295" s="39">
        <v>951405.54</v>
      </c>
      <c r="H12295" s="42">
        <v>211</v>
      </c>
    </row>
    <row r="12296" spans="1:8" ht="15" customHeight="1">
      <c r="A12296" s="26">
        <v>1052400754</v>
      </c>
      <c r="B12296" s="29" t="s">
        <v>14507</v>
      </c>
      <c r="C12296" s="29" t="s">
        <v>28034</v>
      </c>
      <c r="D12296" s="29" t="s">
        <v>41530</v>
      </c>
      <c r="E12296" s="29" t="s">
        <v>52831</v>
      </c>
      <c r="F12296" s="36" t="s">
        <v>54401</v>
      </c>
      <c r="G12296" s="39">
        <v>2906692.21</v>
      </c>
      <c r="H12296" s="42">
        <v>211</v>
      </c>
    </row>
    <row r="12297" spans="1:8" ht="15" customHeight="1">
      <c r="A12297" s="26">
        <v>1052400759</v>
      </c>
      <c r="B12297" s="29" t="s">
        <v>14508</v>
      </c>
      <c r="C12297" s="26" t="s">
        <v>17204</v>
      </c>
      <c r="D12297" s="26" t="s">
        <v>30349</v>
      </c>
      <c r="E12297" s="26" t="s">
        <v>43926</v>
      </c>
      <c r="F12297" s="37" t="s">
        <v>54401</v>
      </c>
      <c r="G12297" s="39">
        <v>296714.13</v>
      </c>
      <c r="H12297" s="42">
        <v>211</v>
      </c>
    </row>
    <row r="12298" spans="1:8" ht="15" customHeight="1">
      <c r="A12298" s="26">
        <v>1052400802</v>
      </c>
      <c r="B12298" s="29" t="s">
        <v>14509</v>
      </c>
      <c r="C12298" s="26" t="s">
        <v>28035</v>
      </c>
      <c r="D12298" s="26" t="s">
        <v>41531</v>
      </c>
      <c r="E12298" s="26" t="s">
        <v>45336</v>
      </c>
      <c r="F12298" s="37" t="s">
        <v>54401</v>
      </c>
      <c r="G12298" s="39">
        <v>1604059.04</v>
      </c>
      <c r="H12298" s="42">
        <v>211</v>
      </c>
    </row>
    <row r="12299" spans="1:8" ht="15" customHeight="1">
      <c r="A12299" s="26">
        <v>1052400817</v>
      </c>
      <c r="B12299" s="29" t="s">
        <v>14510</v>
      </c>
      <c r="C12299" s="29" t="s">
        <v>28036</v>
      </c>
      <c r="D12299" s="29" t="s">
        <v>41532</v>
      </c>
      <c r="E12299" s="29" t="s">
        <v>43926</v>
      </c>
      <c r="F12299" s="36" t="s">
        <v>54401</v>
      </c>
      <c r="G12299" s="39">
        <v>1149083.82</v>
      </c>
      <c r="H12299" s="42">
        <v>211</v>
      </c>
    </row>
    <row r="12300" spans="1:8" ht="15" customHeight="1">
      <c r="A12300" s="26">
        <v>1052400821</v>
      </c>
      <c r="B12300" s="29" t="s">
        <v>14511</v>
      </c>
      <c r="C12300" s="29" t="s">
        <v>28037</v>
      </c>
      <c r="D12300" s="29" t="s">
        <v>41533</v>
      </c>
      <c r="E12300" s="29" t="s">
        <v>50836</v>
      </c>
      <c r="F12300" s="36" t="s">
        <v>54401</v>
      </c>
      <c r="G12300" s="39">
        <v>1056439.1399999999</v>
      </c>
      <c r="H12300" s="42">
        <v>211</v>
      </c>
    </row>
    <row r="12301" spans="1:8" ht="15" customHeight="1">
      <c r="A12301" s="26">
        <v>1052400824</v>
      </c>
      <c r="B12301" s="29" t="s">
        <v>14512</v>
      </c>
      <c r="C12301" s="29" t="s">
        <v>28038</v>
      </c>
      <c r="D12301" s="29" t="s">
        <v>41534</v>
      </c>
      <c r="E12301" s="29" t="s">
        <v>52832</v>
      </c>
      <c r="F12301" s="36" t="s">
        <v>54401</v>
      </c>
      <c r="G12301" s="39">
        <v>283017.38</v>
      </c>
      <c r="H12301" s="42">
        <v>211</v>
      </c>
    </row>
    <row r="12302" spans="1:8" ht="15" customHeight="1">
      <c r="A12302" s="26">
        <v>1052400832</v>
      </c>
      <c r="B12302" s="29" t="s">
        <v>14513</v>
      </c>
      <c r="C12302" s="29" t="s">
        <v>28039</v>
      </c>
      <c r="D12302" s="29" t="s">
        <v>30376</v>
      </c>
      <c r="E12302" s="29" t="s">
        <v>52833</v>
      </c>
      <c r="F12302" s="36" t="s">
        <v>54401</v>
      </c>
      <c r="G12302" s="39">
        <v>1636566.14</v>
      </c>
      <c r="H12302" s="42">
        <v>211</v>
      </c>
    </row>
    <row r="12303" spans="1:8" ht="15" customHeight="1">
      <c r="A12303" s="26">
        <v>1052400836</v>
      </c>
      <c r="B12303" s="29" t="s">
        <v>14514</v>
      </c>
      <c r="C12303" s="29" t="s">
        <v>28040</v>
      </c>
      <c r="D12303" s="29" t="s">
        <v>34924</v>
      </c>
      <c r="E12303" s="29" t="s">
        <v>43926</v>
      </c>
      <c r="F12303" s="36" t="s">
        <v>54401</v>
      </c>
      <c r="G12303" s="39">
        <v>829815.25</v>
      </c>
      <c r="H12303" s="42">
        <v>211</v>
      </c>
    </row>
    <row r="12304" spans="1:8" ht="15" customHeight="1">
      <c r="A12304" s="26">
        <v>1052400841</v>
      </c>
      <c r="B12304" s="29" t="s">
        <v>14515</v>
      </c>
      <c r="C12304" s="26" t="s">
        <v>28041</v>
      </c>
      <c r="D12304" s="26" t="s">
        <v>41535</v>
      </c>
      <c r="E12304" s="26" t="s">
        <v>52834</v>
      </c>
      <c r="F12304" s="37" t="s">
        <v>54401</v>
      </c>
      <c r="G12304" s="39">
        <v>727263.99</v>
      </c>
      <c r="H12304" s="42">
        <v>211</v>
      </c>
    </row>
    <row r="12305" spans="1:8" ht="15" customHeight="1">
      <c r="A12305" s="26">
        <v>1052400858</v>
      </c>
      <c r="B12305" s="29" t="s">
        <v>14516</v>
      </c>
      <c r="C12305" s="29" t="s">
        <v>28042</v>
      </c>
      <c r="D12305" s="29" t="s">
        <v>41536</v>
      </c>
      <c r="E12305" s="29" t="s">
        <v>49809</v>
      </c>
      <c r="F12305" s="36" t="s">
        <v>54401</v>
      </c>
      <c r="G12305" s="39">
        <v>5652644.29</v>
      </c>
      <c r="H12305" s="42">
        <v>211</v>
      </c>
    </row>
    <row r="12306" spans="1:8" ht="15" customHeight="1">
      <c r="A12306" s="26">
        <v>1052400866</v>
      </c>
      <c r="B12306" s="29" t="s">
        <v>14517</v>
      </c>
      <c r="C12306" s="29" t="s">
        <v>28043</v>
      </c>
      <c r="D12306" s="29" t="s">
        <v>41537</v>
      </c>
      <c r="E12306" s="29" t="s">
        <v>52835</v>
      </c>
      <c r="F12306" s="36" t="s">
        <v>54401</v>
      </c>
      <c r="G12306" s="39">
        <v>322968.58</v>
      </c>
      <c r="H12306" s="42">
        <v>211</v>
      </c>
    </row>
    <row r="12307" spans="1:8" ht="15" customHeight="1">
      <c r="A12307" s="26">
        <v>1052400869</v>
      </c>
      <c r="B12307" s="29" t="s">
        <v>14518</v>
      </c>
      <c r="C12307" s="26" t="s">
        <v>28044</v>
      </c>
      <c r="D12307" s="26" t="s">
        <v>30376</v>
      </c>
      <c r="E12307" s="26" t="s">
        <v>44178</v>
      </c>
      <c r="F12307" s="37" t="s">
        <v>54401</v>
      </c>
      <c r="G12307" s="39">
        <v>453929.48</v>
      </c>
      <c r="H12307" s="42">
        <v>211</v>
      </c>
    </row>
    <row r="12308" spans="1:8" ht="15" customHeight="1">
      <c r="A12308" s="26">
        <v>1052400870</v>
      </c>
      <c r="B12308" s="29" t="s">
        <v>14519</v>
      </c>
      <c r="C12308" s="29" t="s">
        <v>28045</v>
      </c>
      <c r="D12308" s="29" t="s">
        <v>41538</v>
      </c>
      <c r="E12308" s="29" t="s">
        <v>43926</v>
      </c>
      <c r="F12308" s="36" t="s">
        <v>54401</v>
      </c>
      <c r="G12308" s="39">
        <v>1442673.13</v>
      </c>
      <c r="H12308" s="42">
        <v>211</v>
      </c>
    </row>
    <row r="12309" spans="1:8" ht="15" customHeight="1">
      <c r="A12309" s="26">
        <v>1052400874</v>
      </c>
      <c r="B12309" s="29" t="s">
        <v>14520</v>
      </c>
      <c r="C12309" s="29" t="s">
        <v>28046</v>
      </c>
      <c r="D12309" s="29" t="s">
        <v>41539</v>
      </c>
      <c r="E12309" s="29" t="s">
        <v>52836</v>
      </c>
      <c r="F12309" s="36" t="s">
        <v>54401</v>
      </c>
      <c r="G12309" s="39">
        <v>706522.5</v>
      </c>
      <c r="H12309" s="42">
        <v>211</v>
      </c>
    </row>
    <row r="12310" spans="1:8" ht="15" customHeight="1">
      <c r="A12310" s="26">
        <v>1052400886</v>
      </c>
      <c r="B12310" s="29" t="s">
        <v>14521</v>
      </c>
      <c r="C12310" s="29" t="s">
        <v>28047</v>
      </c>
      <c r="D12310" s="29" t="s">
        <v>41540</v>
      </c>
      <c r="E12310" s="29" t="s">
        <v>52837</v>
      </c>
      <c r="F12310" s="36" t="s">
        <v>54401</v>
      </c>
      <c r="G12310" s="39">
        <v>75984.02</v>
      </c>
      <c r="H12310" s="42">
        <v>211</v>
      </c>
    </row>
    <row r="12311" spans="1:8" ht="15" customHeight="1">
      <c r="A12311" s="26">
        <v>1052400893</v>
      </c>
      <c r="B12311" s="29" t="s">
        <v>14522</v>
      </c>
      <c r="C12311" s="29" t="s">
        <v>28048</v>
      </c>
      <c r="D12311" s="29" t="s">
        <v>41541</v>
      </c>
      <c r="E12311" s="29" t="s">
        <v>52838</v>
      </c>
      <c r="F12311" s="36" t="s">
        <v>54401</v>
      </c>
      <c r="G12311" s="39">
        <v>342027.18</v>
      </c>
      <c r="H12311" s="42">
        <v>211</v>
      </c>
    </row>
    <row r="12312" spans="1:8" ht="15" customHeight="1">
      <c r="A12312" s="26">
        <v>1052400896</v>
      </c>
      <c r="B12312" s="29" t="s">
        <v>14523</v>
      </c>
      <c r="C12312" s="29" t="s">
        <v>28049</v>
      </c>
      <c r="D12312" s="29" t="s">
        <v>41542</v>
      </c>
      <c r="E12312" s="29" t="s">
        <v>52839</v>
      </c>
      <c r="F12312" s="36" t="s">
        <v>54401</v>
      </c>
      <c r="G12312" s="39">
        <v>2108078.16</v>
      </c>
      <c r="H12312" s="42">
        <v>211</v>
      </c>
    </row>
    <row r="12313" spans="1:8" ht="15" customHeight="1">
      <c r="A12313" s="26">
        <v>1052400910</v>
      </c>
      <c r="B12313" s="29" t="s">
        <v>14524</v>
      </c>
      <c r="C12313" s="29" t="s">
        <v>28050</v>
      </c>
      <c r="D12313" s="29" t="s">
        <v>41543</v>
      </c>
      <c r="E12313" s="29" t="s">
        <v>52840</v>
      </c>
      <c r="F12313" s="36" t="s">
        <v>54401</v>
      </c>
      <c r="G12313" s="39">
        <v>2466350</v>
      </c>
      <c r="H12313" s="42">
        <v>211</v>
      </c>
    </row>
    <row r="12314" spans="1:8" ht="15" customHeight="1">
      <c r="A12314" s="26">
        <v>1052400979</v>
      </c>
      <c r="B12314" s="29" t="s">
        <v>14525</v>
      </c>
      <c r="C12314" s="29" t="s">
        <v>28051</v>
      </c>
      <c r="D12314" s="29" t="s">
        <v>41544</v>
      </c>
      <c r="E12314" s="29" t="s">
        <v>52841</v>
      </c>
      <c r="F12314" s="36" t="s">
        <v>54401</v>
      </c>
      <c r="G12314" s="39">
        <v>1341944.18</v>
      </c>
      <c r="H12314" s="42">
        <v>211</v>
      </c>
    </row>
    <row r="12315" spans="1:8" ht="15" customHeight="1">
      <c r="A12315" s="26">
        <v>1052400988</v>
      </c>
      <c r="B12315" s="29" t="s">
        <v>14526</v>
      </c>
      <c r="C12315" s="29" t="s">
        <v>28052</v>
      </c>
      <c r="D12315" s="29" t="s">
        <v>41545</v>
      </c>
      <c r="E12315" s="29" t="s">
        <v>52842</v>
      </c>
      <c r="F12315" s="36" t="s">
        <v>54401</v>
      </c>
      <c r="G12315" s="39">
        <v>1032146.33</v>
      </c>
      <c r="H12315" s="42">
        <v>211</v>
      </c>
    </row>
    <row r="12316" spans="1:8" ht="15" customHeight="1">
      <c r="A12316" s="26">
        <v>1052400996</v>
      </c>
      <c r="B12316" s="29" t="s">
        <v>14527</v>
      </c>
      <c r="C12316" s="29" t="s">
        <v>28053</v>
      </c>
      <c r="D12316" s="29" t="s">
        <v>41546</v>
      </c>
      <c r="E12316" s="29" t="s">
        <v>52843</v>
      </c>
      <c r="F12316" s="36" t="s">
        <v>54401</v>
      </c>
      <c r="G12316" s="39">
        <v>503267.99</v>
      </c>
      <c r="H12316" s="42">
        <v>211</v>
      </c>
    </row>
    <row r="12317" spans="1:8" ht="15" customHeight="1">
      <c r="A12317" s="26">
        <v>1052401000</v>
      </c>
      <c r="B12317" s="29" t="s">
        <v>14528</v>
      </c>
      <c r="C12317" s="29" t="s">
        <v>28054</v>
      </c>
      <c r="D12317" s="29" t="s">
        <v>41547</v>
      </c>
      <c r="E12317" s="29" t="s">
        <v>52844</v>
      </c>
      <c r="F12317" s="36" t="s">
        <v>54401</v>
      </c>
      <c r="G12317" s="39">
        <v>785375.94</v>
      </c>
      <c r="H12317" s="42">
        <v>211</v>
      </c>
    </row>
    <row r="12318" spans="1:8" ht="15" customHeight="1">
      <c r="A12318" s="26">
        <v>1052401018</v>
      </c>
      <c r="B12318" s="29" t="s">
        <v>14529</v>
      </c>
      <c r="C12318" s="29" t="s">
        <v>28055</v>
      </c>
      <c r="D12318" s="29" t="s">
        <v>41548</v>
      </c>
      <c r="E12318" s="29" t="s">
        <v>52845</v>
      </c>
      <c r="F12318" s="36" t="s">
        <v>54401</v>
      </c>
      <c r="G12318" s="39">
        <v>154703.43</v>
      </c>
      <c r="H12318" s="42">
        <v>211</v>
      </c>
    </row>
    <row r="12319" spans="1:8" ht="15" customHeight="1">
      <c r="A12319" s="26">
        <v>1052401042</v>
      </c>
      <c r="B12319" s="29" t="s">
        <v>14530</v>
      </c>
      <c r="C12319" s="29" t="s">
        <v>28056</v>
      </c>
      <c r="D12319" s="29" t="s">
        <v>41549</v>
      </c>
      <c r="E12319" s="29" t="s">
        <v>52846</v>
      </c>
      <c r="F12319" s="36" t="s">
        <v>54401</v>
      </c>
      <c r="G12319" s="39">
        <v>2115228.33</v>
      </c>
      <c r="H12319" s="42">
        <v>211</v>
      </c>
    </row>
    <row r="12320" spans="1:8" ht="15" customHeight="1">
      <c r="A12320" s="26">
        <v>1052401047</v>
      </c>
      <c r="B12320" s="29" t="s">
        <v>14531</v>
      </c>
      <c r="C12320" s="29" t="s">
        <v>28057</v>
      </c>
      <c r="D12320" s="29" t="s">
        <v>41550</v>
      </c>
      <c r="E12320" s="29" t="s">
        <v>52847</v>
      </c>
      <c r="F12320" s="36" t="s">
        <v>54401</v>
      </c>
      <c r="G12320" s="39">
        <v>839556.81</v>
      </c>
      <c r="H12320" s="42">
        <v>211</v>
      </c>
    </row>
    <row r="12321" spans="1:8" ht="15" customHeight="1">
      <c r="A12321" s="26">
        <v>1052401077</v>
      </c>
      <c r="B12321" s="29" t="s">
        <v>14532</v>
      </c>
      <c r="C12321" s="26" t="s">
        <v>28058</v>
      </c>
      <c r="D12321" s="26" t="s">
        <v>41551</v>
      </c>
      <c r="E12321" s="26" t="s">
        <v>52848</v>
      </c>
      <c r="F12321" s="37" t="s">
        <v>54401</v>
      </c>
      <c r="G12321" s="39">
        <v>503280.08</v>
      </c>
      <c r="H12321" s="42">
        <v>211</v>
      </c>
    </row>
    <row r="12322" spans="1:8" ht="15" customHeight="1">
      <c r="A12322" s="26">
        <v>1052401078</v>
      </c>
      <c r="B12322" s="29" t="s">
        <v>14533</v>
      </c>
      <c r="C12322" s="29" t="s">
        <v>28059</v>
      </c>
      <c r="D12322" s="29" t="s">
        <v>41552</v>
      </c>
      <c r="E12322" s="29" t="s">
        <v>49101</v>
      </c>
      <c r="F12322" s="36" t="s">
        <v>54401</v>
      </c>
      <c r="G12322" s="39">
        <v>1902751.78</v>
      </c>
      <c r="H12322" s="42">
        <v>211</v>
      </c>
    </row>
    <row r="12323" spans="1:8" ht="15" customHeight="1">
      <c r="A12323" s="26">
        <v>1052401109</v>
      </c>
      <c r="B12323" s="29" t="s">
        <v>14534</v>
      </c>
      <c r="C12323" s="29" t="s">
        <v>28060</v>
      </c>
      <c r="D12323" s="29" t="s">
        <v>41553</v>
      </c>
      <c r="E12323" s="29" t="s">
        <v>52849</v>
      </c>
      <c r="F12323" s="36" t="s">
        <v>54401</v>
      </c>
      <c r="G12323" s="39">
        <v>5412631.7199999997</v>
      </c>
      <c r="H12323" s="42">
        <v>211</v>
      </c>
    </row>
    <row r="12324" spans="1:8" ht="15" customHeight="1">
      <c r="A12324" s="26">
        <v>1052401116</v>
      </c>
      <c r="B12324" s="29" t="s">
        <v>14535</v>
      </c>
      <c r="C12324" s="29" t="s">
        <v>28061</v>
      </c>
      <c r="D12324" s="29" t="s">
        <v>41554</v>
      </c>
      <c r="E12324" s="29" t="s">
        <v>52850</v>
      </c>
      <c r="F12324" s="36" t="s">
        <v>54401</v>
      </c>
      <c r="G12324" s="39">
        <v>3981449</v>
      </c>
      <c r="H12324" s="42">
        <v>211</v>
      </c>
    </row>
    <row r="12325" spans="1:8" ht="15" customHeight="1">
      <c r="A12325" s="26">
        <v>1052401130</v>
      </c>
      <c r="B12325" s="29" t="s">
        <v>14536</v>
      </c>
      <c r="C12325" s="26" t="s">
        <v>28062</v>
      </c>
      <c r="D12325" s="26" t="s">
        <v>41555</v>
      </c>
      <c r="E12325" s="26" t="s">
        <v>52851</v>
      </c>
      <c r="F12325" s="37" t="s">
        <v>54401</v>
      </c>
      <c r="G12325" s="39">
        <v>196637.97</v>
      </c>
      <c r="H12325" s="42">
        <v>211</v>
      </c>
    </row>
    <row r="12326" spans="1:8" ht="15" customHeight="1">
      <c r="A12326" s="26">
        <v>1052401141</v>
      </c>
      <c r="B12326" s="29" t="s">
        <v>14537</v>
      </c>
      <c r="C12326" s="29" t="s">
        <v>28063</v>
      </c>
      <c r="D12326" s="29" t="s">
        <v>41556</v>
      </c>
      <c r="E12326" s="29" t="s">
        <v>52852</v>
      </c>
      <c r="F12326" s="36" t="s">
        <v>54401</v>
      </c>
      <c r="G12326" s="39">
        <v>41823.53</v>
      </c>
      <c r="H12326" s="42">
        <v>211</v>
      </c>
    </row>
    <row r="12327" spans="1:8" ht="15" customHeight="1">
      <c r="A12327" s="26">
        <v>1052401177</v>
      </c>
      <c r="B12327" s="29" t="s">
        <v>14538</v>
      </c>
      <c r="C12327" s="29" t="s">
        <v>28064</v>
      </c>
      <c r="D12327" s="29" t="s">
        <v>41557</v>
      </c>
      <c r="E12327" s="29" t="s">
        <v>43926</v>
      </c>
      <c r="F12327" s="36" t="s">
        <v>54401</v>
      </c>
      <c r="G12327" s="39">
        <v>162098.56</v>
      </c>
      <c r="H12327" s="42">
        <v>211</v>
      </c>
    </row>
    <row r="12328" spans="1:8" ht="15" customHeight="1">
      <c r="A12328" s="26">
        <v>1052401195</v>
      </c>
      <c r="B12328" s="29" t="s">
        <v>14539</v>
      </c>
      <c r="C12328" s="29" t="s">
        <v>28065</v>
      </c>
      <c r="D12328" s="29" t="s">
        <v>41558</v>
      </c>
      <c r="E12328" s="29" t="s">
        <v>52853</v>
      </c>
      <c r="F12328" s="36" t="s">
        <v>54419</v>
      </c>
      <c r="G12328" s="39">
        <v>8989879</v>
      </c>
      <c r="H12328" s="42">
        <v>211</v>
      </c>
    </row>
    <row r="12329" spans="1:8" ht="15" customHeight="1">
      <c r="A12329" s="26">
        <v>1052401200</v>
      </c>
      <c r="B12329" s="29" t="s">
        <v>14540</v>
      </c>
      <c r="C12329" s="29" t="s">
        <v>28066</v>
      </c>
      <c r="D12329" s="29" t="s">
        <v>41559</v>
      </c>
      <c r="E12329" s="29" t="s">
        <v>46258</v>
      </c>
      <c r="F12329" s="36" t="s">
        <v>54401</v>
      </c>
      <c r="G12329" s="39">
        <v>802237.32</v>
      </c>
      <c r="H12329" s="42">
        <v>211</v>
      </c>
    </row>
    <row r="12330" spans="1:8" ht="15" customHeight="1">
      <c r="A12330" s="26">
        <v>1052401235</v>
      </c>
      <c r="B12330" s="29" t="s">
        <v>14541</v>
      </c>
      <c r="C12330" s="29" t="s">
        <v>28067</v>
      </c>
      <c r="D12330" s="29" t="s">
        <v>41560</v>
      </c>
      <c r="E12330" s="29" t="s">
        <v>52854</v>
      </c>
      <c r="F12330" s="36" t="s">
        <v>54401</v>
      </c>
      <c r="G12330" s="39">
        <v>1349176.57</v>
      </c>
      <c r="H12330" s="42">
        <v>211</v>
      </c>
    </row>
    <row r="12331" spans="1:8" ht="15" customHeight="1">
      <c r="A12331" s="26">
        <v>1052401245</v>
      </c>
      <c r="B12331" s="29" t="s">
        <v>14542</v>
      </c>
      <c r="C12331" s="29" t="s">
        <v>28068</v>
      </c>
      <c r="D12331" s="29" t="s">
        <v>41561</v>
      </c>
      <c r="E12331" s="29" t="s">
        <v>52855</v>
      </c>
      <c r="F12331" s="36" t="s">
        <v>54401</v>
      </c>
      <c r="G12331" s="39">
        <v>21082.13</v>
      </c>
      <c r="H12331" s="42">
        <v>211</v>
      </c>
    </row>
    <row r="12332" spans="1:8" ht="15" customHeight="1">
      <c r="A12332" s="26">
        <v>1052401253</v>
      </c>
      <c r="B12332" s="29" t="s">
        <v>14543</v>
      </c>
      <c r="C12332" s="29" t="s">
        <v>28069</v>
      </c>
      <c r="D12332" s="29" t="s">
        <v>41562</v>
      </c>
      <c r="E12332" s="29" t="s">
        <v>44250</v>
      </c>
      <c r="F12332" s="36" t="s">
        <v>54401</v>
      </c>
      <c r="G12332" s="39">
        <v>593349.89</v>
      </c>
      <c r="H12332" s="42">
        <v>211</v>
      </c>
    </row>
    <row r="12333" spans="1:8" ht="15" customHeight="1">
      <c r="A12333" s="26">
        <v>1052401259</v>
      </c>
      <c r="B12333" s="29" t="s">
        <v>14544</v>
      </c>
      <c r="C12333" s="29" t="s">
        <v>28070</v>
      </c>
      <c r="D12333" s="29" t="s">
        <v>41563</v>
      </c>
      <c r="E12333" s="29" t="s">
        <v>44036</v>
      </c>
      <c r="F12333" s="36" t="s">
        <v>54401</v>
      </c>
      <c r="G12333" s="39">
        <v>1801659.66</v>
      </c>
      <c r="H12333" s="42">
        <v>211</v>
      </c>
    </row>
    <row r="12334" spans="1:8" ht="15" customHeight="1">
      <c r="A12334" s="26">
        <v>1052401264</v>
      </c>
      <c r="B12334" s="29" t="s">
        <v>14545</v>
      </c>
      <c r="C12334" s="29" t="s">
        <v>28071</v>
      </c>
      <c r="D12334" s="29" t="s">
        <v>41564</v>
      </c>
      <c r="E12334" s="29" t="s">
        <v>52856</v>
      </c>
      <c r="F12334" s="36" t="s">
        <v>54401</v>
      </c>
      <c r="G12334" s="39">
        <v>714062.15</v>
      </c>
      <c r="H12334" s="42">
        <v>211</v>
      </c>
    </row>
    <row r="12335" spans="1:8" ht="15" customHeight="1">
      <c r="A12335" s="26">
        <v>1052401276</v>
      </c>
      <c r="B12335" s="29" t="s">
        <v>14546</v>
      </c>
      <c r="C12335" s="26" t="s">
        <v>28072</v>
      </c>
      <c r="D12335" s="26" t="s">
        <v>41565</v>
      </c>
      <c r="E12335" s="26" t="s">
        <v>52857</v>
      </c>
      <c r="F12335" s="37" t="s">
        <v>54401</v>
      </c>
      <c r="G12335" s="39">
        <v>271356.36</v>
      </c>
      <c r="H12335" s="42">
        <v>211</v>
      </c>
    </row>
    <row r="12336" spans="1:8" ht="15" customHeight="1">
      <c r="A12336" s="26">
        <v>1052401278</v>
      </c>
      <c r="B12336" s="29" t="s">
        <v>14547</v>
      </c>
      <c r="C12336" s="29" t="s">
        <v>28073</v>
      </c>
      <c r="D12336" s="29" t="s">
        <v>41566</v>
      </c>
      <c r="E12336" s="29" t="s">
        <v>52174</v>
      </c>
      <c r="F12336" s="36" t="s">
        <v>54401</v>
      </c>
      <c r="G12336" s="39">
        <v>2074395.08</v>
      </c>
      <c r="H12336" s="42">
        <v>211</v>
      </c>
    </row>
    <row r="12337" spans="1:8" ht="15" customHeight="1">
      <c r="A12337" s="26">
        <v>1052401287</v>
      </c>
      <c r="B12337" s="29" t="s">
        <v>14548</v>
      </c>
      <c r="C12337" s="29" t="s">
        <v>28074</v>
      </c>
      <c r="D12337" s="29" t="s">
        <v>41567</v>
      </c>
      <c r="E12337" s="29" t="s">
        <v>43926</v>
      </c>
      <c r="F12337" s="36" t="s">
        <v>54401</v>
      </c>
      <c r="G12337" s="39">
        <v>2907286.7</v>
      </c>
      <c r="H12337" s="42">
        <v>211</v>
      </c>
    </row>
    <row r="12338" spans="1:8" ht="15" customHeight="1">
      <c r="A12338" s="26">
        <v>1052401307</v>
      </c>
      <c r="B12338" s="29" t="s">
        <v>14549</v>
      </c>
      <c r="C12338" s="29" t="s">
        <v>28075</v>
      </c>
      <c r="D12338" s="29" t="s">
        <v>41568</v>
      </c>
      <c r="E12338" s="29" t="s">
        <v>52858</v>
      </c>
      <c r="F12338" s="36" t="s">
        <v>54401</v>
      </c>
      <c r="G12338" s="39">
        <v>5187845</v>
      </c>
      <c r="H12338" s="42">
        <v>211</v>
      </c>
    </row>
    <row r="12339" spans="1:8" ht="15" customHeight="1">
      <c r="A12339" s="26">
        <v>1052401308</v>
      </c>
      <c r="B12339" s="29" t="s">
        <v>14550</v>
      </c>
      <c r="C12339" s="29" t="s">
        <v>28076</v>
      </c>
      <c r="D12339" s="29" t="s">
        <v>41569</v>
      </c>
      <c r="E12339" s="29" t="s">
        <v>52859</v>
      </c>
      <c r="F12339" s="36" t="s">
        <v>54401</v>
      </c>
      <c r="G12339" s="39">
        <v>186315.11</v>
      </c>
      <c r="H12339" s="42">
        <v>211</v>
      </c>
    </row>
    <row r="12340" spans="1:8" ht="15" customHeight="1">
      <c r="A12340" s="26">
        <v>1052401311</v>
      </c>
      <c r="B12340" s="29" t="s">
        <v>14551</v>
      </c>
      <c r="C12340" s="26" t="s">
        <v>28077</v>
      </c>
      <c r="D12340" s="26" t="s">
        <v>41570</v>
      </c>
      <c r="E12340" s="26" t="s">
        <v>52860</v>
      </c>
      <c r="F12340" s="37" t="s">
        <v>54401</v>
      </c>
      <c r="G12340" s="39">
        <v>1090346.44</v>
      </c>
      <c r="H12340" s="42">
        <v>211</v>
      </c>
    </row>
    <row r="12341" spans="1:8" ht="15" customHeight="1">
      <c r="A12341" s="26">
        <v>1052401312</v>
      </c>
      <c r="B12341" s="29" t="s">
        <v>14552</v>
      </c>
      <c r="C12341" s="26" t="s">
        <v>28078</v>
      </c>
      <c r="D12341" s="26" t="s">
        <v>41571</v>
      </c>
      <c r="E12341" s="26" t="s">
        <v>49710</v>
      </c>
      <c r="F12341" s="37" t="s">
        <v>54401</v>
      </c>
      <c r="G12341" s="39">
        <v>2016361.51</v>
      </c>
      <c r="H12341" s="42">
        <v>211</v>
      </c>
    </row>
    <row r="12342" spans="1:8" ht="15" customHeight="1">
      <c r="A12342" s="26">
        <v>1052401341</v>
      </c>
      <c r="B12342" s="29" t="s">
        <v>14553</v>
      </c>
      <c r="C12342" s="29" t="s">
        <v>28079</v>
      </c>
      <c r="D12342" s="29" t="s">
        <v>41572</v>
      </c>
      <c r="E12342" s="29" t="s">
        <v>52861</v>
      </c>
      <c r="F12342" s="36" t="s">
        <v>54401</v>
      </c>
      <c r="G12342" s="39">
        <v>186816.23</v>
      </c>
      <c r="H12342" s="42">
        <v>211</v>
      </c>
    </row>
    <row r="12343" spans="1:8" ht="15" customHeight="1">
      <c r="A12343" s="26">
        <v>1052401376</v>
      </c>
      <c r="B12343" s="29" t="s">
        <v>14554</v>
      </c>
      <c r="C12343" s="29" t="s">
        <v>28080</v>
      </c>
      <c r="D12343" s="29" t="s">
        <v>41573</v>
      </c>
      <c r="E12343" s="29" t="s">
        <v>52862</v>
      </c>
      <c r="F12343" s="36" t="s">
        <v>54401</v>
      </c>
      <c r="G12343" s="39">
        <v>2955459.07</v>
      </c>
      <c r="H12343" s="42">
        <v>211</v>
      </c>
    </row>
    <row r="12344" spans="1:8" ht="15" customHeight="1">
      <c r="A12344" s="26">
        <v>1052401381</v>
      </c>
      <c r="B12344" s="29" t="s">
        <v>14555</v>
      </c>
      <c r="C12344" s="26" t="s">
        <v>17204</v>
      </c>
      <c r="D12344" s="26" t="s">
        <v>30349</v>
      </c>
      <c r="E12344" s="26" t="s">
        <v>43926</v>
      </c>
      <c r="F12344" s="37" t="s">
        <v>54401</v>
      </c>
      <c r="G12344" s="39">
        <v>107679.55</v>
      </c>
      <c r="H12344" s="42">
        <v>211</v>
      </c>
    </row>
    <row r="12345" spans="1:8" ht="15" customHeight="1">
      <c r="A12345" s="26">
        <v>1052401387</v>
      </c>
      <c r="B12345" s="29" t="s">
        <v>14556</v>
      </c>
      <c r="C12345" s="29" t="s">
        <v>28081</v>
      </c>
      <c r="D12345" s="29" t="s">
        <v>41574</v>
      </c>
      <c r="E12345" s="29" t="s">
        <v>52863</v>
      </c>
      <c r="F12345" s="36" t="s">
        <v>54401</v>
      </c>
      <c r="G12345" s="39">
        <v>550628.43999999994</v>
      </c>
      <c r="H12345" s="42">
        <v>211</v>
      </c>
    </row>
    <row r="12346" spans="1:8" ht="15" customHeight="1">
      <c r="A12346" s="26">
        <v>1052401389</v>
      </c>
      <c r="B12346" s="29" t="s">
        <v>14557</v>
      </c>
      <c r="C12346" s="29" t="s">
        <v>28082</v>
      </c>
      <c r="D12346" s="29" t="s">
        <v>41575</v>
      </c>
      <c r="E12346" s="29" t="s">
        <v>52864</v>
      </c>
      <c r="F12346" s="36" t="s">
        <v>54401</v>
      </c>
      <c r="G12346" s="39">
        <v>619165.56999999995</v>
      </c>
      <c r="H12346" s="42">
        <v>211</v>
      </c>
    </row>
    <row r="12347" spans="1:8" ht="15" customHeight="1">
      <c r="A12347" s="26">
        <v>1052401425</v>
      </c>
      <c r="B12347" s="29" t="s">
        <v>14558</v>
      </c>
      <c r="C12347" s="29" t="s">
        <v>28083</v>
      </c>
      <c r="D12347" s="29" t="s">
        <v>41576</v>
      </c>
      <c r="E12347" s="29" t="s">
        <v>43926</v>
      </c>
      <c r="F12347" s="36" t="s">
        <v>54401</v>
      </c>
      <c r="G12347" s="39">
        <v>182692.61</v>
      </c>
      <c r="H12347" s="42">
        <v>211</v>
      </c>
    </row>
    <row r="12348" spans="1:8" ht="15" customHeight="1">
      <c r="A12348" s="26">
        <v>1052401436</v>
      </c>
      <c r="B12348" s="29" t="s">
        <v>14559</v>
      </c>
      <c r="C12348" s="29" t="s">
        <v>28084</v>
      </c>
      <c r="D12348" s="29" t="s">
        <v>41577</v>
      </c>
      <c r="E12348" s="29" t="s">
        <v>43926</v>
      </c>
      <c r="F12348" s="36" t="s">
        <v>54401</v>
      </c>
      <c r="G12348" s="39">
        <v>292949.37</v>
      </c>
      <c r="H12348" s="42">
        <v>211</v>
      </c>
    </row>
    <row r="12349" spans="1:8" ht="15" customHeight="1">
      <c r="A12349" s="26">
        <v>1052401442</v>
      </c>
      <c r="B12349" s="29" t="s">
        <v>14560</v>
      </c>
      <c r="C12349" s="29" t="s">
        <v>17204</v>
      </c>
      <c r="D12349" s="29" t="s">
        <v>30349</v>
      </c>
      <c r="E12349" s="29" t="s">
        <v>43926</v>
      </c>
      <c r="F12349" s="36" t="s">
        <v>54401</v>
      </c>
      <c r="G12349" s="39">
        <v>58967.23</v>
      </c>
      <c r="H12349" s="42">
        <v>211</v>
      </c>
    </row>
    <row r="12350" spans="1:8" ht="15" customHeight="1">
      <c r="A12350" s="26">
        <v>1052401463</v>
      </c>
      <c r="B12350" s="29" t="s">
        <v>14561</v>
      </c>
      <c r="C12350" s="26" t="s">
        <v>28085</v>
      </c>
      <c r="D12350" s="26" t="s">
        <v>41578</v>
      </c>
      <c r="E12350" s="26" t="s">
        <v>52865</v>
      </c>
      <c r="F12350" s="37" t="s">
        <v>54401</v>
      </c>
      <c r="G12350" s="39">
        <v>272265.2</v>
      </c>
      <c r="H12350" s="42">
        <v>211</v>
      </c>
    </row>
    <row r="12351" spans="1:8" ht="15" customHeight="1">
      <c r="A12351" s="26">
        <v>1052401542</v>
      </c>
      <c r="B12351" s="29" t="s">
        <v>14562</v>
      </c>
      <c r="C12351" s="29" t="s">
        <v>28086</v>
      </c>
      <c r="D12351" s="29" t="s">
        <v>41579</v>
      </c>
      <c r="E12351" s="29" t="s">
        <v>52866</v>
      </c>
      <c r="F12351" s="36" t="s">
        <v>54401</v>
      </c>
      <c r="G12351" s="39">
        <v>329225.96000000002</v>
      </c>
      <c r="H12351" s="42">
        <v>211</v>
      </c>
    </row>
    <row r="12352" spans="1:8" ht="15" customHeight="1">
      <c r="A12352" s="26">
        <v>1052401555</v>
      </c>
      <c r="B12352" s="29" t="s">
        <v>14563</v>
      </c>
      <c r="C12352" s="29" t="s">
        <v>28087</v>
      </c>
      <c r="D12352" s="29" t="s">
        <v>41580</v>
      </c>
      <c r="E12352" s="29" t="s">
        <v>52077</v>
      </c>
      <c r="F12352" s="36" t="s">
        <v>54401</v>
      </c>
      <c r="G12352" s="39">
        <v>79247.960000000006</v>
      </c>
      <c r="H12352" s="42">
        <v>211</v>
      </c>
    </row>
    <row r="12353" spans="1:8" ht="15" customHeight="1">
      <c r="A12353" s="26">
        <v>1052401580</v>
      </c>
      <c r="B12353" s="29" t="s">
        <v>14564</v>
      </c>
      <c r="C12353" s="29" t="s">
        <v>28088</v>
      </c>
      <c r="D12353" s="29" t="s">
        <v>41581</v>
      </c>
      <c r="E12353" s="29" t="s">
        <v>52867</v>
      </c>
      <c r="F12353" s="36" t="s">
        <v>54401</v>
      </c>
      <c r="G12353" s="39">
        <v>4370690.8099999996</v>
      </c>
      <c r="H12353" s="42">
        <v>211</v>
      </c>
    </row>
    <row r="12354" spans="1:8" ht="15" customHeight="1">
      <c r="A12354" s="26">
        <v>1052401592</v>
      </c>
      <c r="B12354" s="29" t="s">
        <v>14565</v>
      </c>
      <c r="C12354" s="29" t="s">
        <v>28089</v>
      </c>
      <c r="D12354" s="29" t="s">
        <v>41582</v>
      </c>
      <c r="E12354" s="29" t="s">
        <v>43926</v>
      </c>
      <c r="F12354" s="36" t="s">
        <v>54401</v>
      </c>
      <c r="G12354" s="39">
        <v>2152989.5699999998</v>
      </c>
      <c r="H12354" s="42">
        <v>211</v>
      </c>
    </row>
    <row r="12355" spans="1:8" ht="15" customHeight="1">
      <c r="A12355" s="26">
        <v>1052401609</v>
      </c>
      <c r="B12355" s="29" t="s">
        <v>14566</v>
      </c>
      <c r="C12355" s="29" t="s">
        <v>28090</v>
      </c>
      <c r="D12355" s="29" t="s">
        <v>41583</v>
      </c>
      <c r="E12355" s="29" t="s">
        <v>52868</v>
      </c>
      <c r="F12355" s="36" t="s">
        <v>54401</v>
      </c>
      <c r="G12355" s="39">
        <v>1098907.1100000001</v>
      </c>
      <c r="H12355" s="42">
        <v>211</v>
      </c>
    </row>
    <row r="12356" spans="1:8" ht="15" customHeight="1">
      <c r="A12356" s="26">
        <v>1052401611</v>
      </c>
      <c r="B12356" s="29" t="s">
        <v>14567</v>
      </c>
      <c r="C12356" s="29" t="s">
        <v>28091</v>
      </c>
      <c r="D12356" s="29" t="s">
        <v>41584</v>
      </c>
      <c r="E12356" s="29" t="s">
        <v>52869</v>
      </c>
      <c r="F12356" s="36" t="s">
        <v>54401</v>
      </c>
      <c r="G12356" s="39">
        <v>1832224.66</v>
      </c>
      <c r="H12356" s="42">
        <v>211</v>
      </c>
    </row>
    <row r="12357" spans="1:8" ht="15" customHeight="1">
      <c r="A12357" s="26">
        <v>1052401642</v>
      </c>
      <c r="B12357" s="29" t="s">
        <v>14568</v>
      </c>
      <c r="C12357" s="29" t="s">
        <v>28092</v>
      </c>
      <c r="D12357" s="29" t="s">
        <v>41585</v>
      </c>
      <c r="E12357" s="29" t="s">
        <v>43926</v>
      </c>
      <c r="F12357" s="36" t="s">
        <v>54401</v>
      </c>
      <c r="G12357" s="39">
        <v>2054236.24</v>
      </c>
      <c r="H12357" s="42">
        <v>211</v>
      </c>
    </row>
    <row r="12358" spans="1:8" ht="15" customHeight="1">
      <c r="A12358" s="26">
        <v>1052401649</v>
      </c>
      <c r="B12358" s="29" t="s">
        <v>14569</v>
      </c>
      <c r="C12358" s="29" t="s">
        <v>28093</v>
      </c>
      <c r="D12358" s="29" t="s">
        <v>41586</v>
      </c>
      <c r="E12358" s="29" t="s">
        <v>52870</v>
      </c>
      <c r="F12358" s="36" t="s">
        <v>54401</v>
      </c>
      <c r="G12358" s="39">
        <v>404929.4</v>
      </c>
      <c r="H12358" s="42">
        <v>211</v>
      </c>
    </row>
    <row r="12359" spans="1:8" ht="15" customHeight="1">
      <c r="A12359" s="26">
        <v>1052401653</v>
      </c>
      <c r="B12359" s="29" t="s">
        <v>14570</v>
      </c>
      <c r="C12359" s="29" t="s">
        <v>28094</v>
      </c>
      <c r="D12359" s="29" t="s">
        <v>41587</v>
      </c>
      <c r="E12359" s="29" t="s">
        <v>43926</v>
      </c>
      <c r="F12359" s="36" t="s">
        <v>54401</v>
      </c>
      <c r="G12359" s="39">
        <v>1481530.74</v>
      </c>
      <c r="H12359" s="42">
        <v>211</v>
      </c>
    </row>
    <row r="12360" spans="1:8" ht="15" customHeight="1">
      <c r="A12360" s="26">
        <v>1052401658</v>
      </c>
      <c r="B12360" s="29" t="s">
        <v>14571</v>
      </c>
      <c r="C12360" s="29" t="s">
        <v>17204</v>
      </c>
      <c r="D12360" s="29" t="s">
        <v>30349</v>
      </c>
      <c r="E12360" s="29" t="s">
        <v>43926</v>
      </c>
      <c r="F12360" s="36" t="s">
        <v>54401</v>
      </c>
      <c r="G12360" s="39">
        <v>390700.64</v>
      </c>
      <c r="H12360" s="42">
        <v>211</v>
      </c>
    </row>
    <row r="12361" spans="1:8" ht="15" customHeight="1">
      <c r="A12361" s="26">
        <v>1052401671</v>
      </c>
      <c r="B12361" s="29" t="s">
        <v>14572</v>
      </c>
      <c r="C12361" s="29" t="s">
        <v>28095</v>
      </c>
      <c r="D12361" s="29" t="s">
        <v>41588</v>
      </c>
      <c r="E12361" s="29" t="s">
        <v>44973</v>
      </c>
      <c r="F12361" s="36" t="s">
        <v>54401</v>
      </c>
      <c r="G12361" s="39">
        <v>574705.38</v>
      </c>
      <c r="H12361" s="42">
        <v>211</v>
      </c>
    </row>
    <row r="12362" spans="1:8" ht="15" customHeight="1">
      <c r="A12362" s="26">
        <v>1052401694</v>
      </c>
      <c r="B12362" s="29" t="s">
        <v>14573</v>
      </c>
      <c r="C12362" s="29" t="s">
        <v>28096</v>
      </c>
      <c r="D12362" s="29" t="s">
        <v>30376</v>
      </c>
      <c r="E12362" s="29" t="s">
        <v>52871</v>
      </c>
      <c r="F12362" s="36" t="s">
        <v>54401</v>
      </c>
      <c r="G12362" s="39">
        <v>670567.55000000005</v>
      </c>
      <c r="H12362" s="42">
        <v>211</v>
      </c>
    </row>
    <row r="12363" spans="1:8" ht="15" customHeight="1">
      <c r="A12363" s="26">
        <v>1052401698</v>
      </c>
      <c r="B12363" s="29" t="s">
        <v>14574</v>
      </c>
      <c r="C12363" s="29" t="s">
        <v>17204</v>
      </c>
      <c r="D12363" s="29" t="s">
        <v>30349</v>
      </c>
      <c r="E12363" s="29" t="s">
        <v>43926</v>
      </c>
      <c r="F12363" s="36" t="s">
        <v>54401</v>
      </c>
      <c r="G12363" s="39">
        <v>69491.56</v>
      </c>
      <c r="H12363" s="42">
        <v>211</v>
      </c>
    </row>
    <row r="12364" spans="1:8" ht="15" customHeight="1">
      <c r="A12364" s="26">
        <v>1052401700</v>
      </c>
      <c r="B12364" s="29" t="s">
        <v>14575</v>
      </c>
      <c r="C12364" s="29" t="s">
        <v>28097</v>
      </c>
      <c r="D12364" s="29" t="s">
        <v>41589</v>
      </c>
      <c r="E12364" s="29" t="s">
        <v>45033</v>
      </c>
      <c r="F12364" s="36" t="s">
        <v>54401</v>
      </c>
      <c r="G12364" s="39">
        <v>1977685.62</v>
      </c>
      <c r="H12364" s="42">
        <v>211</v>
      </c>
    </row>
    <row r="12365" spans="1:8" ht="15" customHeight="1">
      <c r="A12365" s="26">
        <v>1052401712</v>
      </c>
      <c r="B12365" s="29" t="s">
        <v>14576</v>
      </c>
      <c r="C12365" s="29" t="s">
        <v>28098</v>
      </c>
      <c r="D12365" s="29" t="s">
        <v>41590</v>
      </c>
      <c r="E12365" s="29" t="s">
        <v>43926</v>
      </c>
      <c r="F12365" s="36" t="s">
        <v>54401</v>
      </c>
      <c r="G12365" s="39">
        <v>367730.27</v>
      </c>
      <c r="H12365" s="42">
        <v>211</v>
      </c>
    </row>
    <row r="12366" spans="1:8" ht="15" customHeight="1">
      <c r="A12366" s="26">
        <v>1052401756</v>
      </c>
      <c r="B12366" s="29" t="s">
        <v>14577</v>
      </c>
      <c r="C12366" s="29" t="s">
        <v>28099</v>
      </c>
      <c r="D12366" s="29" t="s">
        <v>41591</v>
      </c>
      <c r="E12366" s="29" t="s">
        <v>52872</v>
      </c>
      <c r="F12366" s="36" t="s">
        <v>54401</v>
      </c>
      <c r="G12366" s="39">
        <v>291172.75</v>
      </c>
      <c r="H12366" s="42">
        <v>211</v>
      </c>
    </row>
    <row r="12367" spans="1:8" ht="15" customHeight="1">
      <c r="A12367" s="26">
        <v>1052401777</v>
      </c>
      <c r="B12367" s="29" t="s">
        <v>14578</v>
      </c>
      <c r="C12367" s="26" t="s">
        <v>28100</v>
      </c>
      <c r="D12367" s="26" t="s">
        <v>41592</v>
      </c>
      <c r="E12367" s="26" t="s">
        <v>48961</v>
      </c>
      <c r="F12367" s="37" t="s">
        <v>54401</v>
      </c>
      <c r="G12367" s="39">
        <v>6783232.1299999999</v>
      </c>
      <c r="H12367" s="42">
        <v>211</v>
      </c>
    </row>
    <row r="12368" spans="1:8" ht="15" customHeight="1">
      <c r="A12368" s="26">
        <v>1052401780</v>
      </c>
      <c r="B12368" s="29" t="s">
        <v>14579</v>
      </c>
      <c r="C12368" s="29" t="s">
        <v>28101</v>
      </c>
      <c r="D12368" s="29" t="s">
        <v>41593</v>
      </c>
      <c r="E12368" s="29" t="s">
        <v>52873</v>
      </c>
      <c r="F12368" s="36" t="s">
        <v>54401</v>
      </c>
      <c r="G12368" s="39">
        <v>571303.57999999996</v>
      </c>
      <c r="H12368" s="42">
        <v>211</v>
      </c>
    </row>
    <row r="12369" spans="1:8" ht="15" customHeight="1">
      <c r="A12369" s="26">
        <v>1052401794</v>
      </c>
      <c r="B12369" s="29" t="s">
        <v>14580</v>
      </c>
      <c r="C12369" s="29" t="s">
        <v>28102</v>
      </c>
      <c r="D12369" s="29" t="s">
        <v>41594</v>
      </c>
      <c r="E12369" s="29" t="s">
        <v>43926</v>
      </c>
      <c r="F12369" s="36" t="s">
        <v>54401</v>
      </c>
      <c r="G12369" s="39">
        <v>2343645.0499999998</v>
      </c>
      <c r="H12369" s="42">
        <v>211</v>
      </c>
    </row>
    <row r="12370" spans="1:8" ht="15" customHeight="1">
      <c r="A12370" s="26">
        <v>1052401795</v>
      </c>
      <c r="B12370" s="29" t="s">
        <v>14581</v>
      </c>
      <c r="C12370" s="29" t="s">
        <v>28103</v>
      </c>
      <c r="D12370" s="29" t="s">
        <v>41595</v>
      </c>
      <c r="E12370" s="29" t="s">
        <v>52874</v>
      </c>
      <c r="F12370" s="36" t="s">
        <v>54401</v>
      </c>
      <c r="G12370" s="39">
        <v>182259.68</v>
      </c>
      <c r="H12370" s="42">
        <v>211</v>
      </c>
    </row>
    <row r="12371" spans="1:8" ht="15" customHeight="1">
      <c r="A12371" s="26">
        <v>1052401799</v>
      </c>
      <c r="B12371" s="29" t="s">
        <v>14582</v>
      </c>
      <c r="C12371" s="29" t="s">
        <v>28104</v>
      </c>
      <c r="D12371" s="29" t="s">
        <v>41596</v>
      </c>
      <c r="E12371" s="29" t="s">
        <v>52875</v>
      </c>
      <c r="F12371" s="36" t="s">
        <v>54401</v>
      </c>
      <c r="G12371" s="39">
        <v>11203904.869999999</v>
      </c>
      <c r="H12371" s="42">
        <v>211</v>
      </c>
    </row>
    <row r="12372" spans="1:8" ht="15" customHeight="1">
      <c r="A12372" s="26">
        <v>1052401801</v>
      </c>
      <c r="B12372" s="29" t="s">
        <v>14583</v>
      </c>
      <c r="C12372" s="29" t="s">
        <v>28105</v>
      </c>
      <c r="D12372" s="29" t="s">
        <v>41597</v>
      </c>
      <c r="E12372" s="29" t="s">
        <v>52876</v>
      </c>
      <c r="F12372" s="36" t="s">
        <v>54401</v>
      </c>
      <c r="G12372" s="39">
        <v>875448.69</v>
      </c>
      <c r="H12372" s="42">
        <v>211</v>
      </c>
    </row>
    <row r="12373" spans="1:8" ht="15" customHeight="1">
      <c r="A12373" s="26">
        <v>1052401810</v>
      </c>
      <c r="B12373" s="29" t="s">
        <v>14584</v>
      </c>
      <c r="C12373" s="29" t="s">
        <v>17204</v>
      </c>
      <c r="D12373" s="29" t="s">
        <v>41598</v>
      </c>
      <c r="E12373" s="29" t="s">
        <v>52877</v>
      </c>
      <c r="F12373" s="36" t="s">
        <v>54401</v>
      </c>
      <c r="G12373" s="39">
        <v>110886.47</v>
      </c>
      <c r="H12373" s="42">
        <v>211</v>
      </c>
    </row>
    <row r="12374" spans="1:8" ht="15" customHeight="1">
      <c r="A12374" s="26">
        <v>1052401822</v>
      </c>
      <c r="B12374" s="29" t="s">
        <v>14585</v>
      </c>
      <c r="C12374" s="29" t="s">
        <v>28106</v>
      </c>
      <c r="D12374" s="29" t="s">
        <v>41599</v>
      </c>
      <c r="E12374" s="29" t="s">
        <v>52878</v>
      </c>
      <c r="F12374" s="36" t="s">
        <v>54401</v>
      </c>
      <c r="G12374" s="39">
        <v>337781.48</v>
      </c>
      <c r="H12374" s="42">
        <v>211</v>
      </c>
    </row>
    <row r="12375" spans="1:8" ht="15" customHeight="1">
      <c r="A12375" s="26">
        <v>1052401836</v>
      </c>
      <c r="B12375" s="29" t="s">
        <v>14586</v>
      </c>
      <c r="C12375" s="26" t="s">
        <v>17204</v>
      </c>
      <c r="D12375" s="26" t="s">
        <v>30349</v>
      </c>
      <c r="E12375" s="26" t="s">
        <v>43926</v>
      </c>
      <c r="F12375" s="37" t="s">
        <v>54401</v>
      </c>
      <c r="G12375" s="39">
        <v>504854.76</v>
      </c>
      <c r="H12375" s="42">
        <v>211</v>
      </c>
    </row>
    <row r="12376" spans="1:8" ht="15" customHeight="1">
      <c r="A12376" s="26">
        <v>1052401840</v>
      </c>
      <c r="B12376" s="29" t="s">
        <v>14587</v>
      </c>
      <c r="C12376" s="29" t="s">
        <v>28107</v>
      </c>
      <c r="D12376" s="29" t="s">
        <v>41600</v>
      </c>
      <c r="E12376" s="29" t="s">
        <v>43926</v>
      </c>
      <c r="F12376" s="36" t="s">
        <v>54401</v>
      </c>
      <c r="G12376" s="39">
        <v>123529.84</v>
      </c>
      <c r="H12376" s="42">
        <v>211</v>
      </c>
    </row>
    <row r="12377" spans="1:8" ht="15" customHeight="1">
      <c r="A12377" s="26">
        <v>1052401846</v>
      </c>
      <c r="B12377" s="29" t="s">
        <v>14588</v>
      </c>
      <c r="C12377" s="26" t="s">
        <v>28108</v>
      </c>
      <c r="D12377" s="26" t="s">
        <v>41601</v>
      </c>
      <c r="E12377" s="26" t="s">
        <v>52879</v>
      </c>
      <c r="F12377" s="37" t="s">
        <v>54401</v>
      </c>
      <c r="G12377" s="39">
        <v>401568.19</v>
      </c>
      <c r="H12377" s="42">
        <v>211</v>
      </c>
    </row>
    <row r="12378" spans="1:8" ht="15" customHeight="1">
      <c r="A12378" s="26">
        <v>1052401853</v>
      </c>
      <c r="B12378" s="29" t="s">
        <v>14589</v>
      </c>
      <c r="C12378" s="29" t="s">
        <v>28109</v>
      </c>
      <c r="D12378" s="29" t="s">
        <v>41602</v>
      </c>
      <c r="E12378" s="29" t="s">
        <v>52880</v>
      </c>
      <c r="F12378" s="36" t="s">
        <v>54401</v>
      </c>
      <c r="G12378" s="39">
        <v>581270.59</v>
      </c>
      <c r="H12378" s="42">
        <v>211</v>
      </c>
    </row>
    <row r="12379" spans="1:8" ht="15" customHeight="1">
      <c r="A12379" s="26">
        <v>1052401866</v>
      </c>
      <c r="B12379" s="29" t="s">
        <v>14590</v>
      </c>
      <c r="C12379" s="29" t="s">
        <v>28110</v>
      </c>
      <c r="D12379" s="29" t="s">
        <v>41603</v>
      </c>
      <c r="E12379" s="29" t="s">
        <v>52881</v>
      </c>
      <c r="F12379" s="36" t="s">
        <v>54401</v>
      </c>
      <c r="G12379" s="39">
        <v>2344803</v>
      </c>
      <c r="H12379" s="42">
        <v>211</v>
      </c>
    </row>
    <row r="12380" spans="1:8" ht="15" customHeight="1">
      <c r="A12380" s="26">
        <v>1052401868</v>
      </c>
      <c r="B12380" s="29" t="s">
        <v>14591</v>
      </c>
      <c r="C12380" s="29" t="s">
        <v>28111</v>
      </c>
      <c r="D12380" s="29" t="s">
        <v>41604</v>
      </c>
      <c r="E12380" s="29" t="s">
        <v>52882</v>
      </c>
      <c r="F12380" s="36" t="s">
        <v>54401</v>
      </c>
      <c r="G12380" s="39">
        <v>354289.71</v>
      </c>
      <c r="H12380" s="42">
        <v>211</v>
      </c>
    </row>
    <row r="12381" spans="1:8" ht="15" customHeight="1">
      <c r="A12381" s="26">
        <v>1052401888</v>
      </c>
      <c r="B12381" s="29" t="s">
        <v>14592</v>
      </c>
      <c r="C12381" s="29" t="s">
        <v>28112</v>
      </c>
      <c r="D12381" s="29" t="s">
        <v>41605</v>
      </c>
      <c r="E12381" s="29" t="s">
        <v>43926</v>
      </c>
      <c r="F12381" s="36" t="s">
        <v>54401</v>
      </c>
      <c r="G12381" s="39">
        <v>170625.97</v>
      </c>
      <c r="H12381" s="42">
        <v>211</v>
      </c>
    </row>
    <row r="12382" spans="1:8" ht="15" customHeight="1">
      <c r="A12382" s="26">
        <v>1052401901</v>
      </c>
      <c r="B12382" s="29" t="s">
        <v>14593</v>
      </c>
      <c r="C12382" s="29" t="s">
        <v>28113</v>
      </c>
      <c r="D12382" s="29" t="s">
        <v>41606</v>
      </c>
      <c r="E12382" s="29" t="s">
        <v>51589</v>
      </c>
      <c r="F12382" s="36" t="s">
        <v>54401</v>
      </c>
      <c r="G12382" s="39">
        <v>626762.31999999995</v>
      </c>
      <c r="H12382" s="42">
        <v>211</v>
      </c>
    </row>
    <row r="12383" spans="1:8" ht="15" customHeight="1">
      <c r="A12383" s="26">
        <v>1052401914</v>
      </c>
      <c r="B12383" s="29" t="s">
        <v>14594</v>
      </c>
      <c r="C12383" s="29" t="s">
        <v>28114</v>
      </c>
      <c r="D12383" s="29" t="s">
        <v>41607</v>
      </c>
      <c r="E12383" s="29" t="s">
        <v>52883</v>
      </c>
      <c r="F12383" s="36" t="s">
        <v>54401</v>
      </c>
      <c r="G12383" s="39">
        <v>142934.25</v>
      </c>
      <c r="H12383" s="42">
        <v>211</v>
      </c>
    </row>
    <row r="12384" spans="1:8" ht="15" customHeight="1">
      <c r="A12384" s="26">
        <v>1052401920</v>
      </c>
      <c r="B12384" s="29" t="s">
        <v>14595</v>
      </c>
      <c r="C12384" s="29" t="s">
        <v>28115</v>
      </c>
      <c r="D12384" s="29" t="s">
        <v>41608</v>
      </c>
      <c r="E12384" s="29" t="s">
        <v>43926</v>
      </c>
      <c r="F12384" s="36" t="s">
        <v>54401</v>
      </c>
      <c r="G12384" s="39">
        <v>1206216.6499999999</v>
      </c>
      <c r="H12384" s="42">
        <v>211</v>
      </c>
    </row>
    <row r="12385" spans="1:8" ht="15" customHeight="1">
      <c r="A12385" s="26">
        <v>1052401923</v>
      </c>
      <c r="B12385" s="29" t="s">
        <v>14596</v>
      </c>
      <c r="C12385" s="29" t="s">
        <v>28116</v>
      </c>
      <c r="D12385" s="29" t="s">
        <v>41609</v>
      </c>
      <c r="E12385" s="29" t="s">
        <v>43926</v>
      </c>
      <c r="F12385" s="36" t="s">
        <v>54401</v>
      </c>
      <c r="G12385" s="39">
        <v>114865.16</v>
      </c>
      <c r="H12385" s="42">
        <v>211</v>
      </c>
    </row>
    <row r="12386" spans="1:8" ht="15" customHeight="1">
      <c r="A12386" s="26">
        <v>1052401940</v>
      </c>
      <c r="B12386" s="29" t="s">
        <v>14597</v>
      </c>
      <c r="C12386" s="29" t="s">
        <v>28117</v>
      </c>
      <c r="D12386" s="29" t="s">
        <v>41610</v>
      </c>
      <c r="E12386" s="29" t="s">
        <v>52884</v>
      </c>
      <c r="F12386" s="36" t="s">
        <v>54409</v>
      </c>
      <c r="G12386" s="39">
        <v>379975.18</v>
      </c>
      <c r="H12386" s="42">
        <v>211</v>
      </c>
    </row>
    <row r="12387" spans="1:8" ht="15" customHeight="1">
      <c r="A12387" s="26">
        <v>1052401963</v>
      </c>
      <c r="B12387" s="29" t="s">
        <v>14598</v>
      </c>
      <c r="C12387" s="29" t="s">
        <v>28118</v>
      </c>
      <c r="D12387" s="29" t="s">
        <v>41611</v>
      </c>
      <c r="E12387" s="29" t="s">
        <v>52885</v>
      </c>
      <c r="F12387" s="36" t="s">
        <v>54401</v>
      </c>
      <c r="G12387" s="39">
        <v>417539.08</v>
      </c>
      <c r="H12387" s="42">
        <v>211</v>
      </c>
    </row>
    <row r="12388" spans="1:8" ht="15" customHeight="1">
      <c r="A12388" s="26">
        <v>1052401968</v>
      </c>
      <c r="B12388" s="29" t="s">
        <v>14599</v>
      </c>
      <c r="C12388" s="29" t="s">
        <v>28119</v>
      </c>
      <c r="D12388" s="29" t="s">
        <v>30376</v>
      </c>
      <c r="E12388" s="29" t="s">
        <v>52886</v>
      </c>
      <c r="F12388" s="36" t="s">
        <v>54401</v>
      </c>
      <c r="G12388" s="39">
        <v>317972.34999999998</v>
      </c>
      <c r="H12388" s="42">
        <v>211</v>
      </c>
    </row>
    <row r="12389" spans="1:8" ht="15" customHeight="1">
      <c r="A12389" s="26">
        <v>1052401973</v>
      </c>
      <c r="B12389" s="29" t="s">
        <v>14600</v>
      </c>
      <c r="C12389" s="29" t="s">
        <v>28120</v>
      </c>
      <c r="D12389" s="29" t="s">
        <v>41612</v>
      </c>
      <c r="E12389" s="29" t="s">
        <v>47856</v>
      </c>
      <c r="F12389" s="36" t="s">
        <v>54401</v>
      </c>
      <c r="G12389" s="39">
        <v>99608.66</v>
      </c>
      <c r="H12389" s="42">
        <v>211</v>
      </c>
    </row>
    <row r="12390" spans="1:8" ht="15" customHeight="1">
      <c r="A12390" s="26">
        <v>1052402007</v>
      </c>
      <c r="B12390" s="29" t="s">
        <v>14601</v>
      </c>
      <c r="C12390" s="29" t="s">
        <v>28121</v>
      </c>
      <c r="D12390" s="29" t="s">
        <v>41613</v>
      </c>
      <c r="E12390" s="29" t="s">
        <v>52887</v>
      </c>
      <c r="F12390" s="36" t="s">
        <v>54401</v>
      </c>
      <c r="G12390" s="39">
        <v>128255.43</v>
      </c>
      <c r="H12390" s="42">
        <v>211</v>
      </c>
    </row>
    <row r="12391" spans="1:8" ht="15" customHeight="1">
      <c r="A12391" s="26">
        <v>1052402023</v>
      </c>
      <c r="B12391" s="29" t="s">
        <v>14602</v>
      </c>
      <c r="C12391" s="29" t="s">
        <v>28122</v>
      </c>
      <c r="D12391" s="29" t="s">
        <v>41614</v>
      </c>
      <c r="E12391" s="29" t="s">
        <v>52888</v>
      </c>
      <c r="F12391" s="36" t="s">
        <v>54401</v>
      </c>
      <c r="G12391" s="39">
        <v>159771.9</v>
      </c>
      <c r="H12391" s="42">
        <v>211</v>
      </c>
    </row>
    <row r="12392" spans="1:8" ht="15" customHeight="1">
      <c r="A12392" s="26">
        <v>1052402049</v>
      </c>
      <c r="B12392" s="29" t="s">
        <v>14603</v>
      </c>
      <c r="C12392" s="29" t="s">
        <v>25249</v>
      </c>
      <c r="D12392" s="29" t="s">
        <v>41615</v>
      </c>
      <c r="E12392" s="29" t="s">
        <v>47141</v>
      </c>
      <c r="F12392" s="36" t="s">
        <v>54401</v>
      </c>
      <c r="G12392" s="39">
        <v>4447285.37</v>
      </c>
      <c r="H12392" s="42">
        <v>211</v>
      </c>
    </row>
    <row r="12393" spans="1:8" ht="15" customHeight="1">
      <c r="A12393" s="26">
        <v>1052402064</v>
      </c>
      <c r="B12393" s="29" t="s">
        <v>14604</v>
      </c>
      <c r="C12393" s="29" t="s">
        <v>28123</v>
      </c>
      <c r="D12393" s="29" t="s">
        <v>41616</v>
      </c>
      <c r="E12393" s="29" t="s">
        <v>52889</v>
      </c>
      <c r="F12393" s="36" t="s">
        <v>54401</v>
      </c>
      <c r="G12393" s="39">
        <v>2685761.99</v>
      </c>
      <c r="H12393" s="42">
        <v>211</v>
      </c>
    </row>
    <row r="12394" spans="1:8" ht="15" customHeight="1">
      <c r="A12394" s="26">
        <v>1052402096</v>
      </c>
      <c r="B12394" s="29" t="s">
        <v>14605</v>
      </c>
      <c r="C12394" s="29" t="s">
        <v>28124</v>
      </c>
      <c r="D12394" s="29" t="s">
        <v>35580</v>
      </c>
      <c r="E12394" s="29" t="s">
        <v>44084</v>
      </c>
      <c r="F12394" s="36" t="s">
        <v>54401</v>
      </c>
      <c r="G12394" s="39">
        <v>3607106.92</v>
      </c>
      <c r="H12394" s="42">
        <v>211</v>
      </c>
    </row>
    <row r="12395" spans="1:8" ht="15" customHeight="1">
      <c r="A12395" s="26">
        <v>1052402105</v>
      </c>
      <c r="B12395" s="29" t="s">
        <v>14606</v>
      </c>
      <c r="C12395" s="29" t="s">
        <v>28125</v>
      </c>
      <c r="D12395" s="29" t="s">
        <v>41617</v>
      </c>
      <c r="E12395" s="29" t="s">
        <v>52890</v>
      </c>
      <c r="F12395" s="36" t="s">
        <v>54401</v>
      </c>
      <c r="G12395" s="39">
        <v>907242.58</v>
      </c>
      <c r="H12395" s="42">
        <v>211</v>
      </c>
    </row>
    <row r="12396" spans="1:8" ht="15" customHeight="1">
      <c r="A12396" s="26">
        <v>1052402115</v>
      </c>
      <c r="B12396" s="29" t="s">
        <v>14607</v>
      </c>
      <c r="C12396" s="29" t="s">
        <v>28126</v>
      </c>
      <c r="D12396" s="29" t="s">
        <v>41618</v>
      </c>
      <c r="E12396" s="29" t="s">
        <v>52891</v>
      </c>
      <c r="F12396" s="36" t="s">
        <v>54401</v>
      </c>
      <c r="G12396" s="39">
        <v>180351.78</v>
      </c>
      <c r="H12396" s="42">
        <v>211</v>
      </c>
    </row>
    <row r="12397" spans="1:8" ht="15" customHeight="1">
      <c r="A12397" s="26">
        <v>1052402123</v>
      </c>
      <c r="B12397" s="29" t="s">
        <v>14608</v>
      </c>
      <c r="C12397" s="29" t="s">
        <v>28127</v>
      </c>
      <c r="D12397" s="29" t="s">
        <v>41619</v>
      </c>
      <c r="E12397" s="29" t="s">
        <v>52892</v>
      </c>
      <c r="F12397" s="36" t="s">
        <v>54401</v>
      </c>
      <c r="G12397" s="39">
        <v>583639.01</v>
      </c>
      <c r="H12397" s="42">
        <v>211</v>
      </c>
    </row>
    <row r="12398" spans="1:8" ht="15" customHeight="1">
      <c r="A12398" s="26">
        <v>1052402127</v>
      </c>
      <c r="B12398" s="29" t="s">
        <v>14609</v>
      </c>
      <c r="C12398" s="29" t="s">
        <v>17204</v>
      </c>
      <c r="D12398" s="29" t="s">
        <v>41620</v>
      </c>
      <c r="E12398" s="29" t="s">
        <v>43926</v>
      </c>
      <c r="F12398" s="36" t="s">
        <v>54401</v>
      </c>
      <c r="G12398" s="39">
        <v>472711.09</v>
      </c>
      <c r="H12398" s="42">
        <v>211</v>
      </c>
    </row>
    <row r="12399" spans="1:8" ht="15" customHeight="1">
      <c r="A12399" s="26">
        <v>1052402153</v>
      </c>
      <c r="B12399" s="29" t="s">
        <v>14610</v>
      </c>
      <c r="C12399" s="26" t="s">
        <v>28128</v>
      </c>
      <c r="D12399" s="26" t="s">
        <v>41621</v>
      </c>
      <c r="E12399" s="26" t="s">
        <v>52893</v>
      </c>
      <c r="F12399" s="37" t="s">
        <v>54401</v>
      </c>
      <c r="G12399" s="39">
        <v>314378.64</v>
      </c>
      <c r="H12399" s="42">
        <v>211</v>
      </c>
    </row>
    <row r="12400" spans="1:8" ht="15" customHeight="1">
      <c r="A12400" s="26">
        <v>1052402158</v>
      </c>
      <c r="B12400" s="29" t="s">
        <v>14611</v>
      </c>
      <c r="C12400" s="29" t="s">
        <v>17204</v>
      </c>
      <c r="D12400" s="29" t="s">
        <v>30349</v>
      </c>
      <c r="E12400" s="29" t="s">
        <v>43926</v>
      </c>
      <c r="F12400" s="36" t="s">
        <v>54401</v>
      </c>
      <c r="G12400" s="39">
        <v>33201.68</v>
      </c>
      <c r="H12400" s="42">
        <v>211</v>
      </c>
    </row>
    <row r="12401" spans="1:8" ht="15" customHeight="1">
      <c r="A12401" s="26">
        <v>1052402167</v>
      </c>
      <c r="B12401" s="29" t="s">
        <v>14612</v>
      </c>
      <c r="C12401" s="29" t="s">
        <v>17204</v>
      </c>
      <c r="D12401" s="29" t="s">
        <v>41622</v>
      </c>
      <c r="E12401" s="29" t="s">
        <v>43926</v>
      </c>
      <c r="F12401" s="36" t="s">
        <v>54401</v>
      </c>
      <c r="G12401" s="39">
        <v>187567.52</v>
      </c>
      <c r="H12401" s="42">
        <v>211</v>
      </c>
    </row>
    <row r="12402" spans="1:8" ht="15" customHeight="1">
      <c r="A12402" s="26">
        <v>1052402186</v>
      </c>
      <c r="B12402" s="29" t="s">
        <v>14613</v>
      </c>
      <c r="C12402" s="29" t="s">
        <v>28129</v>
      </c>
      <c r="D12402" s="29" t="s">
        <v>41623</v>
      </c>
      <c r="E12402" s="29" t="s">
        <v>52894</v>
      </c>
      <c r="F12402" s="36" t="s">
        <v>54401</v>
      </c>
      <c r="G12402" s="39">
        <v>2388239.48</v>
      </c>
      <c r="H12402" s="42">
        <v>211</v>
      </c>
    </row>
    <row r="12403" spans="1:8" ht="15" customHeight="1">
      <c r="A12403" s="26">
        <v>1052402189</v>
      </c>
      <c r="B12403" s="29" t="s">
        <v>14614</v>
      </c>
      <c r="C12403" s="29" t="s">
        <v>28130</v>
      </c>
      <c r="D12403" s="29" t="s">
        <v>41624</v>
      </c>
      <c r="E12403" s="29" t="s">
        <v>52895</v>
      </c>
      <c r="F12403" s="36" t="s">
        <v>54401</v>
      </c>
      <c r="G12403" s="39">
        <v>993818.28</v>
      </c>
      <c r="H12403" s="42">
        <v>211</v>
      </c>
    </row>
    <row r="12404" spans="1:8" ht="15" customHeight="1">
      <c r="A12404" s="26">
        <v>1052402195</v>
      </c>
      <c r="B12404" s="29" t="s">
        <v>14615</v>
      </c>
      <c r="C12404" s="29" t="s">
        <v>17204</v>
      </c>
      <c r="D12404" s="29" t="s">
        <v>41625</v>
      </c>
      <c r="E12404" s="29" t="s">
        <v>43926</v>
      </c>
      <c r="F12404" s="36" t="s">
        <v>54401</v>
      </c>
      <c r="G12404" s="39">
        <v>530662.59</v>
      </c>
      <c r="H12404" s="42">
        <v>211</v>
      </c>
    </row>
    <row r="12405" spans="1:8" ht="15" customHeight="1">
      <c r="A12405" s="26">
        <v>1052402199</v>
      </c>
      <c r="B12405" s="29" t="s">
        <v>14616</v>
      </c>
      <c r="C12405" s="29" t="s">
        <v>28131</v>
      </c>
      <c r="D12405" s="29" t="s">
        <v>41626</v>
      </c>
      <c r="E12405" s="29" t="s">
        <v>52896</v>
      </c>
      <c r="F12405" s="36" t="s">
        <v>54401</v>
      </c>
      <c r="G12405" s="39">
        <v>3188279.18</v>
      </c>
      <c r="H12405" s="42">
        <v>211</v>
      </c>
    </row>
    <row r="12406" spans="1:8" ht="15" customHeight="1">
      <c r="A12406" s="26">
        <v>1052402207</v>
      </c>
      <c r="B12406" s="29" t="s">
        <v>14617</v>
      </c>
      <c r="C12406" s="26" t="s">
        <v>28132</v>
      </c>
      <c r="D12406" s="26" t="s">
        <v>41627</v>
      </c>
      <c r="E12406" s="26" t="s">
        <v>52897</v>
      </c>
      <c r="F12406" s="37" t="s">
        <v>54401</v>
      </c>
      <c r="G12406" s="39">
        <v>2577884.0299999998</v>
      </c>
      <c r="H12406" s="42">
        <v>211</v>
      </c>
    </row>
    <row r="12407" spans="1:8" ht="15" customHeight="1">
      <c r="A12407" s="26">
        <v>1052402241</v>
      </c>
      <c r="B12407" s="29" t="s">
        <v>14618</v>
      </c>
      <c r="C12407" s="29" t="s">
        <v>28133</v>
      </c>
      <c r="D12407" s="29" t="s">
        <v>41628</v>
      </c>
      <c r="E12407" s="29" t="s">
        <v>52898</v>
      </c>
      <c r="F12407" s="36" t="s">
        <v>54401</v>
      </c>
      <c r="G12407" s="39">
        <v>651469.47</v>
      </c>
      <c r="H12407" s="42">
        <v>211</v>
      </c>
    </row>
    <row r="12408" spans="1:8" ht="15" customHeight="1">
      <c r="A12408" s="26">
        <v>1052402247</v>
      </c>
      <c r="B12408" s="29" t="s">
        <v>14619</v>
      </c>
      <c r="C12408" s="29" t="s">
        <v>28134</v>
      </c>
      <c r="D12408" s="29" t="s">
        <v>41629</v>
      </c>
      <c r="E12408" s="29" t="s">
        <v>731</v>
      </c>
      <c r="F12408" s="36" t="s">
        <v>54401</v>
      </c>
      <c r="G12408" s="39">
        <v>2640949.29</v>
      </c>
      <c r="H12408" s="42">
        <v>211</v>
      </c>
    </row>
    <row r="12409" spans="1:8" ht="15" customHeight="1">
      <c r="A12409" s="26">
        <v>1052402259</v>
      </c>
      <c r="B12409" s="29" t="s">
        <v>14620</v>
      </c>
      <c r="C12409" s="29" t="s">
        <v>28135</v>
      </c>
      <c r="D12409" s="29" t="s">
        <v>30387</v>
      </c>
      <c r="E12409" s="29" t="s">
        <v>45029</v>
      </c>
      <c r="F12409" s="36" t="s">
        <v>54401</v>
      </c>
      <c r="G12409" s="39">
        <v>806413.51</v>
      </c>
      <c r="H12409" s="42">
        <v>211</v>
      </c>
    </row>
    <row r="12410" spans="1:8" ht="15" customHeight="1">
      <c r="A12410" s="26">
        <v>1052402271</v>
      </c>
      <c r="B12410" s="29" t="s">
        <v>14621</v>
      </c>
      <c r="C12410" s="29" t="s">
        <v>28136</v>
      </c>
      <c r="D12410" s="29" t="s">
        <v>41630</v>
      </c>
      <c r="E12410" s="29" t="s">
        <v>43926</v>
      </c>
      <c r="F12410" s="36" t="s">
        <v>54401</v>
      </c>
      <c r="G12410" s="39">
        <v>436146.75</v>
      </c>
      <c r="H12410" s="42">
        <v>211</v>
      </c>
    </row>
    <row r="12411" spans="1:8" ht="15" customHeight="1">
      <c r="A12411" s="26">
        <v>1052402273</v>
      </c>
      <c r="B12411" s="29" t="s">
        <v>14622</v>
      </c>
      <c r="C12411" s="29" t="s">
        <v>28137</v>
      </c>
      <c r="D12411" s="29" t="s">
        <v>41631</v>
      </c>
      <c r="E12411" s="29" t="s">
        <v>52899</v>
      </c>
      <c r="F12411" s="36" t="s">
        <v>54401</v>
      </c>
      <c r="G12411" s="39">
        <v>4653114</v>
      </c>
      <c r="H12411" s="42">
        <v>211</v>
      </c>
    </row>
    <row r="12412" spans="1:8" ht="15" customHeight="1">
      <c r="A12412" s="26">
        <v>1052402295</v>
      </c>
      <c r="B12412" s="29" t="s">
        <v>14623</v>
      </c>
      <c r="C12412" s="26" t="s">
        <v>28138</v>
      </c>
      <c r="D12412" s="26" t="s">
        <v>41632</v>
      </c>
      <c r="E12412" s="26" t="s">
        <v>43926</v>
      </c>
      <c r="F12412" s="37" t="s">
        <v>54401</v>
      </c>
      <c r="G12412" s="39">
        <v>248670.79</v>
      </c>
      <c r="H12412" s="42">
        <v>211</v>
      </c>
    </row>
    <row r="12413" spans="1:8" ht="15" customHeight="1">
      <c r="A12413" s="26">
        <v>1052402305</v>
      </c>
      <c r="B12413" s="29" t="s">
        <v>14624</v>
      </c>
      <c r="C12413" s="29" t="s">
        <v>28139</v>
      </c>
      <c r="D12413" s="29" t="s">
        <v>41633</v>
      </c>
      <c r="E12413" s="29" t="s">
        <v>52900</v>
      </c>
      <c r="F12413" s="36" t="s">
        <v>54401</v>
      </c>
      <c r="G12413" s="39">
        <v>631294.5</v>
      </c>
      <c r="H12413" s="42">
        <v>211</v>
      </c>
    </row>
    <row r="12414" spans="1:8" ht="15" customHeight="1">
      <c r="A12414" s="26">
        <v>1052402310</v>
      </c>
      <c r="B12414" s="29" t="s">
        <v>14625</v>
      </c>
      <c r="C12414" s="29" t="s">
        <v>28140</v>
      </c>
      <c r="D12414" s="29" t="s">
        <v>41634</v>
      </c>
      <c r="E12414" s="29" t="s">
        <v>52901</v>
      </c>
      <c r="F12414" s="36" t="s">
        <v>54401</v>
      </c>
      <c r="G12414" s="39">
        <v>517564.9</v>
      </c>
      <c r="H12414" s="42">
        <v>211</v>
      </c>
    </row>
    <row r="12415" spans="1:8" ht="15" customHeight="1">
      <c r="A12415" s="26">
        <v>1052402326</v>
      </c>
      <c r="B12415" s="29" t="s">
        <v>14626</v>
      </c>
      <c r="C12415" s="26" t="s">
        <v>28141</v>
      </c>
      <c r="D12415" s="26" t="s">
        <v>41635</v>
      </c>
      <c r="E12415" s="26" t="s">
        <v>52902</v>
      </c>
      <c r="F12415" s="37" t="s">
        <v>54401</v>
      </c>
      <c r="G12415" s="39">
        <v>103703.14</v>
      </c>
      <c r="H12415" s="42">
        <v>211</v>
      </c>
    </row>
    <row r="12416" spans="1:8" ht="15" customHeight="1">
      <c r="A12416" s="26">
        <v>1052402334</v>
      </c>
      <c r="B12416" s="29" t="s">
        <v>14627</v>
      </c>
      <c r="C12416" s="29" t="s">
        <v>28142</v>
      </c>
      <c r="D12416" s="29" t="s">
        <v>41636</v>
      </c>
      <c r="E12416" s="29" t="s">
        <v>52903</v>
      </c>
      <c r="F12416" s="36" t="s">
        <v>54401</v>
      </c>
      <c r="G12416" s="39">
        <v>3467141.25</v>
      </c>
      <c r="H12416" s="42">
        <v>211</v>
      </c>
    </row>
    <row r="12417" spans="1:8" ht="15" customHeight="1">
      <c r="A12417" s="26">
        <v>1052402348</v>
      </c>
      <c r="B12417" s="29" t="s">
        <v>14628</v>
      </c>
      <c r="C12417" s="29" t="s">
        <v>17204</v>
      </c>
      <c r="D12417" s="29" t="s">
        <v>41637</v>
      </c>
      <c r="E12417" s="29" t="s">
        <v>43926</v>
      </c>
      <c r="F12417" s="36" t="s">
        <v>54401</v>
      </c>
      <c r="G12417" s="39">
        <v>530493.88</v>
      </c>
      <c r="H12417" s="42">
        <v>211</v>
      </c>
    </row>
    <row r="12418" spans="1:8" ht="15" customHeight="1">
      <c r="A12418" s="26">
        <v>1052402350</v>
      </c>
      <c r="B12418" s="29" t="s">
        <v>14629</v>
      </c>
      <c r="C12418" s="29" t="s">
        <v>28143</v>
      </c>
      <c r="D12418" s="29" t="s">
        <v>41638</v>
      </c>
      <c r="E12418" s="29" t="s">
        <v>52904</v>
      </c>
      <c r="F12418" s="36" t="s">
        <v>54401</v>
      </c>
      <c r="G12418" s="39">
        <v>398477.69</v>
      </c>
      <c r="H12418" s="42">
        <v>211</v>
      </c>
    </row>
    <row r="12419" spans="1:8" ht="15" customHeight="1">
      <c r="A12419" s="26">
        <v>1052402380</v>
      </c>
      <c r="B12419" s="29" t="s">
        <v>14630</v>
      </c>
      <c r="C12419" s="29" t="s">
        <v>28144</v>
      </c>
      <c r="D12419" s="29" t="s">
        <v>41639</v>
      </c>
      <c r="E12419" s="29" t="s">
        <v>52905</v>
      </c>
      <c r="F12419" s="36" t="s">
        <v>54401</v>
      </c>
      <c r="G12419" s="39">
        <v>1404684.3</v>
      </c>
      <c r="H12419" s="42">
        <v>211</v>
      </c>
    </row>
    <row r="12420" spans="1:8" ht="15" customHeight="1">
      <c r="A12420" s="26">
        <v>1052402396</v>
      </c>
      <c r="B12420" s="29" t="s">
        <v>14631</v>
      </c>
      <c r="C12420" s="26" t="s">
        <v>28145</v>
      </c>
      <c r="D12420" s="26" t="s">
        <v>41640</v>
      </c>
      <c r="E12420" s="26" t="s">
        <v>52906</v>
      </c>
      <c r="F12420" s="37" t="s">
        <v>54401</v>
      </c>
      <c r="G12420" s="39">
        <v>3981422.87</v>
      </c>
      <c r="H12420" s="42">
        <v>211</v>
      </c>
    </row>
    <row r="12421" spans="1:8" ht="15" customHeight="1">
      <c r="A12421" s="26">
        <v>1052402407</v>
      </c>
      <c r="B12421" s="29" t="s">
        <v>14632</v>
      </c>
      <c r="C12421" s="29" t="s">
        <v>28146</v>
      </c>
      <c r="D12421" s="29" t="s">
        <v>41641</v>
      </c>
      <c r="E12421" s="29" t="s">
        <v>52907</v>
      </c>
      <c r="F12421" s="36" t="s">
        <v>54401</v>
      </c>
      <c r="G12421" s="39">
        <v>2095620</v>
      </c>
      <c r="H12421" s="42">
        <v>211</v>
      </c>
    </row>
    <row r="12422" spans="1:8" ht="15" customHeight="1">
      <c r="A12422" s="26">
        <v>1052402421</v>
      </c>
      <c r="B12422" s="29" t="s">
        <v>14633</v>
      </c>
      <c r="C12422" s="29" t="s">
        <v>28147</v>
      </c>
      <c r="D12422" s="29" t="s">
        <v>41642</v>
      </c>
      <c r="E12422" s="29" t="s">
        <v>43926</v>
      </c>
      <c r="F12422" s="36" t="s">
        <v>54401</v>
      </c>
      <c r="G12422" s="39">
        <v>114857.14</v>
      </c>
      <c r="H12422" s="42">
        <v>211</v>
      </c>
    </row>
    <row r="12423" spans="1:8" ht="15" customHeight="1">
      <c r="A12423" s="26">
        <v>1052402438</v>
      </c>
      <c r="B12423" s="29" t="s">
        <v>14634</v>
      </c>
      <c r="C12423" s="29" t="s">
        <v>28148</v>
      </c>
      <c r="D12423" s="29" t="s">
        <v>41643</v>
      </c>
      <c r="E12423" s="29" t="s">
        <v>52908</v>
      </c>
      <c r="F12423" s="36" t="s">
        <v>54401</v>
      </c>
      <c r="G12423" s="39">
        <v>1362468.82</v>
      </c>
      <c r="H12423" s="42">
        <v>211</v>
      </c>
    </row>
    <row r="12424" spans="1:8" ht="15" customHeight="1">
      <c r="A12424" s="26">
        <v>1052402443</v>
      </c>
      <c r="B12424" s="29" t="s">
        <v>14635</v>
      </c>
      <c r="C12424" s="29" t="s">
        <v>28149</v>
      </c>
      <c r="D12424" s="29" t="s">
        <v>41644</v>
      </c>
      <c r="E12424" s="29" t="s">
        <v>52909</v>
      </c>
      <c r="F12424" s="36" t="s">
        <v>54401</v>
      </c>
      <c r="G12424" s="39">
        <v>1038426.78</v>
      </c>
      <c r="H12424" s="42">
        <v>211</v>
      </c>
    </row>
    <row r="12425" spans="1:8" ht="15" customHeight="1">
      <c r="A12425" s="26">
        <v>1052402464</v>
      </c>
      <c r="B12425" s="29" t="s">
        <v>14636</v>
      </c>
      <c r="C12425" s="26" t="s">
        <v>28150</v>
      </c>
      <c r="D12425" s="26" t="s">
        <v>41645</v>
      </c>
      <c r="E12425" s="26" t="s">
        <v>52910</v>
      </c>
      <c r="F12425" s="37" t="s">
        <v>54401</v>
      </c>
      <c r="G12425" s="39">
        <v>90746.46</v>
      </c>
      <c r="H12425" s="42">
        <v>211</v>
      </c>
    </row>
    <row r="12426" spans="1:8" ht="15" customHeight="1">
      <c r="A12426" s="26">
        <v>1052402478</v>
      </c>
      <c r="B12426" s="29" t="s">
        <v>14637</v>
      </c>
      <c r="C12426" s="29" t="s">
        <v>28151</v>
      </c>
      <c r="D12426" s="29" t="s">
        <v>41646</v>
      </c>
      <c r="E12426" s="29" t="s">
        <v>52911</v>
      </c>
      <c r="F12426" s="36" t="s">
        <v>54401</v>
      </c>
      <c r="G12426" s="39">
        <v>5027246</v>
      </c>
      <c r="H12426" s="42">
        <v>211</v>
      </c>
    </row>
    <row r="12427" spans="1:8" ht="15" customHeight="1">
      <c r="A12427" s="26">
        <v>1052402480</v>
      </c>
      <c r="B12427" s="29" t="s">
        <v>14638</v>
      </c>
      <c r="C12427" s="29" t="s">
        <v>28152</v>
      </c>
      <c r="D12427" s="29" t="s">
        <v>41647</v>
      </c>
      <c r="E12427" s="29" t="s">
        <v>52912</v>
      </c>
      <c r="F12427" s="36" t="s">
        <v>54401</v>
      </c>
      <c r="G12427" s="39">
        <v>4440924.67</v>
      </c>
      <c r="H12427" s="42">
        <v>211</v>
      </c>
    </row>
    <row r="12428" spans="1:8" ht="15" customHeight="1">
      <c r="A12428" s="26">
        <v>1052402495</v>
      </c>
      <c r="B12428" s="29" t="s">
        <v>14639</v>
      </c>
      <c r="C12428" s="29" t="s">
        <v>28153</v>
      </c>
      <c r="D12428" s="29" t="s">
        <v>41648</v>
      </c>
      <c r="E12428" s="29" t="s">
        <v>52913</v>
      </c>
      <c r="F12428" s="36" t="s">
        <v>54401</v>
      </c>
      <c r="G12428" s="39">
        <v>1304255.6200000001</v>
      </c>
      <c r="H12428" s="42">
        <v>211</v>
      </c>
    </row>
    <row r="12429" spans="1:8" ht="15" customHeight="1">
      <c r="A12429" s="26">
        <v>1052402497</v>
      </c>
      <c r="B12429" s="29" t="s">
        <v>14640</v>
      </c>
      <c r="C12429" s="29" t="s">
        <v>28154</v>
      </c>
      <c r="D12429" s="29" t="s">
        <v>31791</v>
      </c>
      <c r="E12429" s="29" t="s">
        <v>45218</v>
      </c>
      <c r="F12429" s="36" t="s">
        <v>54401</v>
      </c>
      <c r="G12429" s="39">
        <v>112801.28</v>
      </c>
      <c r="H12429" s="42">
        <v>211</v>
      </c>
    </row>
    <row r="12430" spans="1:8" ht="15" customHeight="1">
      <c r="A12430" s="26">
        <v>1052402505</v>
      </c>
      <c r="B12430" s="29" t="s">
        <v>14641</v>
      </c>
      <c r="C12430" s="29" t="s">
        <v>28155</v>
      </c>
      <c r="D12430" s="29" t="s">
        <v>41649</v>
      </c>
      <c r="E12430" s="29" t="s">
        <v>52914</v>
      </c>
      <c r="F12430" s="36" t="s">
        <v>54401</v>
      </c>
      <c r="G12430" s="39">
        <v>2975399.12</v>
      </c>
      <c r="H12430" s="42">
        <v>211</v>
      </c>
    </row>
    <row r="12431" spans="1:8" ht="15" customHeight="1">
      <c r="A12431" s="26">
        <v>1052402506</v>
      </c>
      <c r="B12431" s="29" t="s">
        <v>14642</v>
      </c>
      <c r="C12431" s="29" t="s">
        <v>28156</v>
      </c>
      <c r="D12431" s="29" t="s">
        <v>41650</v>
      </c>
      <c r="E12431" s="29" t="s">
        <v>52915</v>
      </c>
      <c r="F12431" s="36" t="s">
        <v>54401</v>
      </c>
      <c r="G12431" s="39">
        <v>4683764</v>
      </c>
      <c r="H12431" s="42">
        <v>211</v>
      </c>
    </row>
    <row r="12432" spans="1:8" ht="15" customHeight="1">
      <c r="A12432" s="26">
        <v>1052402516</v>
      </c>
      <c r="B12432" s="29" t="s">
        <v>14643</v>
      </c>
      <c r="C12432" s="26" t="s">
        <v>28157</v>
      </c>
      <c r="D12432" s="26" t="s">
        <v>41651</v>
      </c>
      <c r="E12432" s="26" t="s">
        <v>43926</v>
      </c>
      <c r="F12432" s="37" t="s">
        <v>54401</v>
      </c>
      <c r="G12432" s="39">
        <v>86672.35</v>
      </c>
      <c r="H12432" s="42">
        <v>211</v>
      </c>
    </row>
    <row r="12433" spans="1:8" ht="15" customHeight="1">
      <c r="A12433" s="26">
        <v>1052402520</v>
      </c>
      <c r="B12433" s="29" t="s">
        <v>14644</v>
      </c>
      <c r="C12433" s="29" t="s">
        <v>28158</v>
      </c>
      <c r="D12433" s="29" t="s">
        <v>41652</v>
      </c>
      <c r="E12433" s="29" t="s">
        <v>52916</v>
      </c>
      <c r="F12433" s="36" t="s">
        <v>54401</v>
      </c>
      <c r="G12433" s="39">
        <v>218553.67</v>
      </c>
      <c r="H12433" s="42">
        <v>211</v>
      </c>
    </row>
    <row r="12434" spans="1:8" ht="15" customHeight="1">
      <c r="A12434" s="26">
        <v>1052402525</v>
      </c>
      <c r="B12434" s="29" t="s">
        <v>14645</v>
      </c>
      <c r="C12434" s="29" t="s">
        <v>28159</v>
      </c>
      <c r="D12434" s="29" t="s">
        <v>41653</v>
      </c>
      <c r="E12434" s="29" t="s">
        <v>49360</v>
      </c>
      <c r="F12434" s="36" t="s">
        <v>54401</v>
      </c>
      <c r="G12434" s="39">
        <v>3668711</v>
      </c>
      <c r="H12434" s="42">
        <v>211</v>
      </c>
    </row>
    <row r="12435" spans="1:8" ht="15" customHeight="1">
      <c r="A12435" s="26">
        <v>1052402539</v>
      </c>
      <c r="B12435" s="29" t="s">
        <v>14646</v>
      </c>
      <c r="C12435" s="29" t="s">
        <v>18996</v>
      </c>
      <c r="D12435" s="29" t="s">
        <v>41654</v>
      </c>
      <c r="E12435" s="29" t="s">
        <v>52917</v>
      </c>
      <c r="F12435" s="36" t="s">
        <v>54401</v>
      </c>
      <c r="G12435" s="39">
        <v>437148.58</v>
      </c>
      <c r="H12435" s="42">
        <v>211</v>
      </c>
    </row>
    <row r="12436" spans="1:8" ht="15" customHeight="1">
      <c r="A12436" s="26">
        <v>1052402544</v>
      </c>
      <c r="B12436" s="29" t="s">
        <v>14647</v>
      </c>
      <c r="C12436" s="29" t="s">
        <v>28160</v>
      </c>
      <c r="D12436" s="29" t="s">
        <v>41655</v>
      </c>
      <c r="E12436" s="29" t="s">
        <v>52918</v>
      </c>
      <c r="F12436" s="36" t="s">
        <v>54401</v>
      </c>
      <c r="G12436" s="39">
        <v>4202803</v>
      </c>
      <c r="H12436" s="42">
        <v>211</v>
      </c>
    </row>
    <row r="12437" spans="1:8" ht="15" customHeight="1">
      <c r="A12437" s="26">
        <v>1052402550</v>
      </c>
      <c r="B12437" s="29" t="s">
        <v>14648</v>
      </c>
      <c r="C12437" s="26" t="s">
        <v>28161</v>
      </c>
      <c r="D12437" s="26" t="s">
        <v>41656</v>
      </c>
      <c r="E12437" s="26" t="s">
        <v>52919</v>
      </c>
      <c r="F12437" s="37" t="s">
        <v>54401</v>
      </c>
      <c r="G12437" s="39">
        <v>282220.40000000002</v>
      </c>
      <c r="H12437" s="42">
        <v>211</v>
      </c>
    </row>
    <row r="12438" spans="1:8" ht="15" customHeight="1">
      <c r="A12438" s="26">
        <v>1052402553</v>
      </c>
      <c r="B12438" s="29" t="s">
        <v>14649</v>
      </c>
      <c r="C12438" s="29" t="s">
        <v>17204</v>
      </c>
      <c r="D12438" s="29" t="s">
        <v>30349</v>
      </c>
      <c r="E12438" s="29" t="s">
        <v>43926</v>
      </c>
      <c r="F12438" s="36" t="s">
        <v>54401</v>
      </c>
      <c r="G12438" s="39">
        <v>574270.28</v>
      </c>
      <c r="H12438" s="42">
        <v>211</v>
      </c>
    </row>
    <row r="12439" spans="1:8" ht="15" customHeight="1">
      <c r="A12439" s="26">
        <v>1052402605</v>
      </c>
      <c r="B12439" s="29" t="s">
        <v>14650</v>
      </c>
      <c r="C12439" s="29" t="s">
        <v>28162</v>
      </c>
      <c r="D12439" s="29" t="s">
        <v>41657</v>
      </c>
      <c r="E12439" s="29" t="s">
        <v>52920</v>
      </c>
      <c r="F12439" s="36" t="s">
        <v>54401</v>
      </c>
      <c r="G12439" s="39">
        <v>838479.71</v>
      </c>
      <c r="H12439" s="42">
        <v>211</v>
      </c>
    </row>
    <row r="12440" spans="1:8" ht="15" customHeight="1">
      <c r="A12440" s="26">
        <v>1052402606</v>
      </c>
      <c r="B12440" s="29" t="s">
        <v>14651</v>
      </c>
      <c r="C12440" s="26" t="s">
        <v>28163</v>
      </c>
      <c r="D12440" s="26" t="s">
        <v>41658</v>
      </c>
      <c r="E12440" s="26" t="s">
        <v>52921</v>
      </c>
      <c r="F12440" s="37" t="s">
        <v>54401</v>
      </c>
      <c r="G12440" s="39">
        <v>5252402.4400000004</v>
      </c>
      <c r="H12440" s="42">
        <v>211</v>
      </c>
    </row>
    <row r="12441" spans="1:8" ht="15" customHeight="1">
      <c r="A12441" s="26">
        <v>1052402657</v>
      </c>
      <c r="B12441" s="29" t="s">
        <v>14652</v>
      </c>
      <c r="C12441" s="26" t="s">
        <v>28164</v>
      </c>
      <c r="D12441" s="26" t="s">
        <v>41659</v>
      </c>
      <c r="E12441" s="26" t="s">
        <v>52922</v>
      </c>
      <c r="F12441" s="37" t="s">
        <v>54401</v>
      </c>
      <c r="G12441" s="39">
        <v>357292.02</v>
      </c>
      <c r="H12441" s="42">
        <v>211</v>
      </c>
    </row>
    <row r="12442" spans="1:8" ht="15" customHeight="1">
      <c r="A12442" s="26">
        <v>1052402666</v>
      </c>
      <c r="B12442" s="29" t="s">
        <v>14653</v>
      </c>
      <c r="C12442" s="29" t="s">
        <v>28165</v>
      </c>
      <c r="D12442" s="29" t="s">
        <v>41660</v>
      </c>
      <c r="E12442" s="29" t="s">
        <v>52923</v>
      </c>
      <c r="F12442" s="36" t="s">
        <v>54420</v>
      </c>
      <c r="G12442" s="39">
        <v>3002158.32</v>
      </c>
      <c r="H12442" s="42">
        <v>211</v>
      </c>
    </row>
    <row r="12443" spans="1:8" ht="15" customHeight="1">
      <c r="A12443" s="26">
        <v>1052402671</v>
      </c>
      <c r="B12443" s="29" t="s">
        <v>14654</v>
      </c>
      <c r="C12443" s="29" t="s">
        <v>28166</v>
      </c>
      <c r="D12443" s="29" t="s">
        <v>41661</v>
      </c>
      <c r="E12443" s="29" t="s">
        <v>52924</v>
      </c>
      <c r="F12443" s="36" t="s">
        <v>54401</v>
      </c>
      <c r="G12443" s="39">
        <v>490363.13</v>
      </c>
      <c r="H12443" s="42">
        <v>211</v>
      </c>
    </row>
    <row r="12444" spans="1:8" ht="15" customHeight="1">
      <c r="A12444" s="26">
        <v>1052402687</v>
      </c>
      <c r="B12444" s="29" t="s">
        <v>14655</v>
      </c>
      <c r="C12444" s="29" t="s">
        <v>28167</v>
      </c>
      <c r="D12444" s="29" t="s">
        <v>41662</v>
      </c>
      <c r="E12444" s="29" t="s">
        <v>52925</v>
      </c>
      <c r="F12444" s="36" t="s">
        <v>54402</v>
      </c>
      <c r="G12444" s="39">
        <v>5571395</v>
      </c>
      <c r="H12444" s="42">
        <v>211</v>
      </c>
    </row>
    <row r="12445" spans="1:8" ht="15" customHeight="1">
      <c r="A12445" s="26">
        <v>1052402689</v>
      </c>
      <c r="B12445" s="29" t="s">
        <v>14656</v>
      </c>
      <c r="C12445" s="29" t="s">
        <v>28168</v>
      </c>
      <c r="D12445" s="29" t="s">
        <v>34180</v>
      </c>
      <c r="E12445" s="29" t="s">
        <v>52926</v>
      </c>
      <c r="F12445" s="36" t="s">
        <v>54401</v>
      </c>
      <c r="G12445" s="39">
        <v>54236.41</v>
      </c>
      <c r="H12445" s="42">
        <v>211</v>
      </c>
    </row>
    <row r="12446" spans="1:8" ht="15" customHeight="1">
      <c r="A12446" s="26">
        <v>1052402695</v>
      </c>
      <c r="B12446" s="29" t="s">
        <v>14657</v>
      </c>
      <c r="C12446" s="29" t="s">
        <v>28169</v>
      </c>
      <c r="D12446" s="29" t="s">
        <v>41663</v>
      </c>
      <c r="E12446" s="29" t="s">
        <v>43926</v>
      </c>
      <c r="F12446" s="36" t="s">
        <v>54401</v>
      </c>
      <c r="G12446" s="39">
        <v>588369.71</v>
      </c>
      <c r="H12446" s="42">
        <v>211</v>
      </c>
    </row>
    <row r="12447" spans="1:8" ht="15" customHeight="1">
      <c r="A12447" s="26">
        <v>1052402696</v>
      </c>
      <c r="B12447" s="29" t="s">
        <v>14658</v>
      </c>
      <c r="C12447" s="29" t="s">
        <v>28170</v>
      </c>
      <c r="D12447" s="29" t="s">
        <v>41664</v>
      </c>
      <c r="E12447" s="29" t="s">
        <v>52927</v>
      </c>
      <c r="F12447" s="36" t="s">
        <v>54401</v>
      </c>
      <c r="G12447" s="39">
        <v>22953.22</v>
      </c>
      <c r="H12447" s="42">
        <v>211</v>
      </c>
    </row>
    <row r="12448" spans="1:8" ht="15" customHeight="1">
      <c r="A12448" s="26">
        <v>1052402706</v>
      </c>
      <c r="B12448" s="29" t="s">
        <v>14659</v>
      </c>
      <c r="C12448" s="29" t="s">
        <v>28171</v>
      </c>
      <c r="D12448" s="29" t="s">
        <v>41665</v>
      </c>
      <c r="E12448" s="29" t="s">
        <v>44019</v>
      </c>
      <c r="F12448" s="36" t="s">
        <v>54401</v>
      </c>
      <c r="G12448" s="39">
        <v>140691.72</v>
      </c>
      <c r="H12448" s="42">
        <v>211</v>
      </c>
    </row>
    <row r="12449" spans="1:8" ht="15" customHeight="1">
      <c r="A12449" s="26">
        <v>1052402733</v>
      </c>
      <c r="B12449" s="29" t="s">
        <v>14660</v>
      </c>
      <c r="C12449" s="29" t="s">
        <v>28172</v>
      </c>
      <c r="D12449" s="29" t="s">
        <v>41666</v>
      </c>
      <c r="E12449" s="29" t="s">
        <v>52928</v>
      </c>
      <c r="F12449" s="36" t="s">
        <v>54401</v>
      </c>
      <c r="G12449" s="39">
        <v>2147469.63</v>
      </c>
      <c r="H12449" s="42">
        <v>211</v>
      </c>
    </row>
    <row r="12450" spans="1:8" ht="15" customHeight="1">
      <c r="A12450" s="26">
        <v>1052402797</v>
      </c>
      <c r="B12450" s="29" t="s">
        <v>14661</v>
      </c>
      <c r="C12450" s="29" t="s">
        <v>28173</v>
      </c>
      <c r="D12450" s="29" t="s">
        <v>41667</v>
      </c>
      <c r="E12450" s="29" t="s">
        <v>52929</v>
      </c>
      <c r="F12450" s="36" t="s">
        <v>54401</v>
      </c>
      <c r="G12450" s="39">
        <v>1082910.6200000001</v>
      </c>
      <c r="H12450" s="42">
        <v>211</v>
      </c>
    </row>
    <row r="12451" spans="1:8" ht="15" customHeight="1">
      <c r="A12451" s="26">
        <v>1052402886</v>
      </c>
      <c r="B12451" s="29" t="s">
        <v>14662</v>
      </c>
      <c r="C12451" s="29" t="s">
        <v>28174</v>
      </c>
      <c r="D12451" s="29" t="s">
        <v>41668</v>
      </c>
      <c r="E12451" s="29" t="s">
        <v>51616</v>
      </c>
      <c r="F12451" s="36" t="s">
        <v>54401</v>
      </c>
      <c r="G12451" s="39">
        <v>2210599.21</v>
      </c>
      <c r="H12451" s="42">
        <v>211</v>
      </c>
    </row>
    <row r="12452" spans="1:8" ht="15" customHeight="1">
      <c r="A12452" s="26">
        <v>1052402906</v>
      </c>
      <c r="B12452" s="29" t="s">
        <v>14663</v>
      </c>
      <c r="C12452" s="29" t="s">
        <v>28175</v>
      </c>
      <c r="D12452" s="29" t="s">
        <v>41669</v>
      </c>
      <c r="E12452" s="29" t="s">
        <v>52930</v>
      </c>
      <c r="F12452" s="36" t="s">
        <v>54401</v>
      </c>
      <c r="G12452" s="39">
        <v>1599479.79</v>
      </c>
      <c r="H12452" s="42">
        <v>211</v>
      </c>
    </row>
    <row r="12453" spans="1:8" ht="15" customHeight="1">
      <c r="A12453" s="26">
        <v>1052402922</v>
      </c>
      <c r="B12453" s="29" t="s">
        <v>14664</v>
      </c>
      <c r="C12453" s="29" t="s">
        <v>28176</v>
      </c>
      <c r="D12453" s="29" t="s">
        <v>41670</v>
      </c>
      <c r="E12453" s="29" t="s">
        <v>52931</v>
      </c>
      <c r="F12453" s="36" t="s">
        <v>54401</v>
      </c>
      <c r="G12453" s="39">
        <v>932074.77</v>
      </c>
      <c r="H12453" s="42">
        <v>211</v>
      </c>
    </row>
    <row r="12454" spans="1:8" ht="15" customHeight="1">
      <c r="A12454" s="26">
        <v>1052402926</v>
      </c>
      <c r="B12454" s="29" t="s">
        <v>14665</v>
      </c>
      <c r="C12454" s="29" t="s">
        <v>28177</v>
      </c>
      <c r="D12454" s="29" t="s">
        <v>41671</v>
      </c>
      <c r="E12454" s="29" t="s">
        <v>52932</v>
      </c>
      <c r="F12454" s="36" t="s">
        <v>54401</v>
      </c>
      <c r="G12454" s="39">
        <v>393270.38</v>
      </c>
      <c r="H12454" s="42">
        <v>211</v>
      </c>
    </row>
    <row r="12455" spans="1:8" ht="15" customHeight="1">
      <c r="A12455" s="26">
        <v>1052402940</v>
      </c>
      <c r="B12455" s="29" t="s">
        <v>14666</v>
      </c>
      <c r="C12455" s="29" t="s">
        <v>28178</v>
      </c>
      <c r="D12455" s="29" t="s">
        <v>41672</v>
      </c>
      <c r="E12455" s="29" t="s">
        <v>52933</v>
      </c>
      <c r="F12455" s="36" t="s">
        <v>54401</v>
      </c>
      <c r="G12455" s="39">
        <v>4342999</v>
      </c>
      <c r="H12455" s="42">
        <v>211</v>
      </c>
    </row>
    <row r="12456" spans="1:8" ht="15" customHeight="1">
      <c r="A12456" s="26">
        <v>1052402944</v>
      </c>
      <c r="B12456" s="29" t="s">
        <v>14667</v>
      </c>
      <c r="C12456" s="29" t="s">
        <v>28179</v>
      </c>
      <c r="D12456" s="29" t="s">
        <v>41673</v>
      </c>
      <c r="E12456" s="29" t="s">
        <v>52934</v>
      </c>
      <c r="F12456" s="36" t="s">
        <v>54401</v>
      </c>
      <c r="G12456" s="39">
        <v>992392.38</v>
      </c>
      <c r="H12456" s="42">
        <v>211</v>
      </c>
    </row>
    <row r="12457" spans="1:8" ht="15" customHeight="1">
      <c r="A12457" s="26">
        <v>1052402946</v>
      </c>
      <c r="B12457" s="29" t="s">
        <v>14668</v>
      </c>
      <c r="C12457" s="29" t="s">
        <v>28180</v>
      </c>
      <c r="D12457" s="29" t="s">
        <v>41674</v>
      </c>
      <c r="E12457" s="29" t="s">
        <v>52935</v>
      </c>
      <c r="F12457" s="36" t="s">
        <v>54401</v>
      </c>
      <c r="G12457" s="39">
        <v>1482855.9</v>
      </c>
      <c r="H12457" s="42">
        <v>211</v>
      </c>
    </row>
    <row r="12458" spans="1:8" ht="15" customHeight="1">
      <c r="A12458" s="26">
        <v>1052402960</v>
      </c>
      <c r="B12458" s="29" t="s">
        <v>14669</v>
      </c>
      <c r="C12458" s="26" t="s">
        <v>28181</v>
      </c>
      <c r="D12458" s="26" t="s">
        <v>41675</v>
      </c>
      <c r="E12458" s="26" t="s">
        <v>52936</v>
      </c>
      <c r="F12458" s="37" t="s">
        <v>54401</v>
      </c>
      <c r="G12458" s="39">
        <v>160084.47</v>
      </c>
      <c r="H12458" s="42">
        <v>211</v>
      </c>
    </row>
    <row r="12459" spans="1:8" ht="15" customHeight="1">
      <c r="A12459" s="26">
        <v>1052402963</v>
      </c>
      <c r="B12459" s="29" t="s">
        <v>14670</v>
      </c>
      <c r="C12459" s="29" t="s">
        <v>28182</v>
      </c>
      <c r="D12459" s="29" t="s">
        <v>41676</v>
      </c>
      <c r="E12459" s="29" t="s">
        <v>52937</v>
      </c>
      <c r="F12459" s="36" t="s">
        <v>54401</v>
      </c>
      <c r="G12459" s="39">
        <v>114211.76</v>
      </c>
      <c r="H12459" s="42">
        <v>211</v>
      </c>
    </row>
    <row r="12460" spans="1:8" ht="15" customHeight="1">
      <c r="A12460" s="26">
        <v>1052402966</v>
      </c>
      <c r="B12460" s="29" t="s">
        <v>14671</v>
      </c>
      <c r="C12460" s="29" t="s">
        <v>28183</v>
      </c>
      <c r="D12460" s="29" t="s">
        <v>41677</v>
      </c>
      <c r="E12460" s="29" t="s">
        <v>52938</v>
      </c>
      <c r="F12460" s="36" t="s">
        <v>54401</v>
      </c>
      <c r="G12460" s="39">
        <v>128488.44</v>
      </c>
      <c r="H12460" s="42">
        <v>211</v>
      </c>
    </row>
    <row r="12461" spans="1:8" ht="15" customHeight="1">
      <c r="A12461" s="26">
        <v>1052402979</v>
      </c>
      <c r="B12461" s="29" t="s">
        <v>14672</v>
      </c>
      <c r="C12461" s="29" t="s">
        <v>28184</v>
      </c>
      <c r="D12461" s="29" t="s">
        <v>41678</v>
      </c>
      <c r="E12461" s="29" t="s">
        <v>52939</v>
      </c>
      <c r="F12461" s="36" t="s">
        <v>54401</v>
      </c>
      <c r="G12461" s="39">
        <v>16282.35</v>
      </c>
      <c r="H12461" s="42">
        <v>211</v>
      </c>
    </row>
    <row r="12462" spans="1:8" ht="15" customHeight="1">
      <c r="A12462" s="26">
        <v>1052402985</v>
      </c>
      <c r="B12462" s="29" t="s">
        <v>14673</v>
      </c>
      <c r="C12462" s="29" t="s">
        <v>28185</v>
      </c>
      <c r="D12462" s="29" t="s">
        <v>41679</v>
      </c>
      <c r="E12462" s="29" t="s">
        <v>52940</v>
      </c>
      <c r="F12462" s="36" t="s">
        <v>54401</v>
      </c>
      <c r="G12462" s="39">
        <v>527931.18000000005</v>
      </c>
      <c r="H12462" s="42">
        <v>211</v>
      </c>
    </row>
    <row r="12463" spans="1:8" ht="15" customHeight="1">
      <c r="A12463" s="26">
        <v>1052402988</v>
      </c>
      <c r="B12463" s="29" t="s">
        <v>14674</v>
      </c>
      <c r="C12463" s="26" t="s">
        <v>17204</v>
      </c>
      <c r="D12463" s="26" t="s">
        <v>33699</v>
      </c>
      <c r="E12463" s="26" t="s">
        <v>43926</v>
      </c>
      <c r="F12463" s="37" t="s">
        <v>54401</v>
      </c>
      <c r="G12463" s="39">
        <v>645987.52</v>
      </c>
      <c r="H12463" s="42">
        <v>211</v>
      </c>
    </row>
    <row r="12464" spans="1:8" ht="15" customHeight="1">
      <c r="A12464" s="26">
        <v>1052403013</v>
      </c>
      <c r="B12464" s="29" t="s">
        <v>14675</v>
      </c>
      <c r="C12464" s="29" t="s">
        <v>28186</v>
      </c>
      <c r="D12464" s="29" t="s">
        <v>41680</v>
      </c>
      <c r="E12464" s="29" t="s">
        <v>52941</v>
      </c>
      <c r="F12464" s="36" t="s">
        <v>54401</v>
      </c>
      <c r="G12464" s="39">
        <v>330017.81</v>
      </c>
      <c r="H12464" s="42">
        <v>211</v>
      </c>
    </row>
    <row r="12465" spans="1:8" ht="15" customHeight="1">
      <c r="A12465" s="26">
        <v>1052403040</v>
      </c>
      <c r="B12465" s="29" t="s">
        <v>14676</v>
      </c>
      <c r="C12465" s="29" t="s">
        <v>28187</v>
      </c>
      <c r="D12465" s="29" t="s">
        <v>30714</v>
      </c>
      <c r="E12465" s="29" t="s">
        <v>52942</v>
      </c>
      <c r="F12465" s="36" t="s">
        <v>54401</v>
      </c>
      <c r="G12465" s="39">
        <v>529013.1</v>
      </c>
      <c r="H12465" s="42">
        <v>211</v>
      </c>
    </row>
    <row r="12466" spans="1:8" ht="15" customHeight="1">
      <c r="A12466" s="26">
        <v>1052403041</v>
      </c>
      <c r="B12466" s="29" t="s">
        <v>14677</v>
      </c>
      <c r="C12466" s="29" t="s">
        <v>17204</v>
      </c>
      <c r="D12466" s="29" t="s">
        <v>30349</v>
      </c>
      <c r="E12466" s="29" t="s">
        <v>43926</v>
      </c>
      <c r="F12466" s="36" t="s">
        <v>54401</v>
      </c>
      <c r="G12466" s="39">
        <v>497114.8</v>
      </c>
      <c r="H12466" s="42">
        <v>211</v>
      </c>
    </row>
    <row r="12467" spans="1:8" ht="15" customHeight="1">
      <c r="A12467" s="26">
        <v>1052403042</v>
      </c>
      <c r="B12467" s="29" t="s">
        <v>14678</v>
      </c>
      <c r="C12467" s="26" t="s">
        <v>28188</v>
      </c>
      <c r="D12467" s="26" t="s">
        <v>41681</v>
      </c>
      <c r="E12467" s="26" t="s">
        <v>47582</v>
      </c>
      <c r="F12467" s="37" t="s">
        <v>54401</v>
      </c>
      <c r="G12467" s="39">
        <v>6269200.9900000002</v>
      </c>
      <c r="H12467" s="42">
        <v>211</v>
      </c>
    </row>
    <row r="12468" spans="1:8" ht="15" customHeight="1">
      <c r="A12468" s="26">
        <v>1052403049</v>
      </c>
      <c r="B12468" s="29" t="s">
        <v>14679</v>
      </c>
      <c r="C12468" s="29" t="s">
        <v>17204</v>
      </c>
      <c r="D12468" s="29" t="s">
        <v>41682</v>
      </c>
      <c r="E12468" s="29" t="s">
        <v>52943</v>
      </c>
      <c r="F12468" s="36" t="s">
        <v>54401</v>
      </c>
      <c r="G12468" s="39">
        <v>145273.15</v>
      </c>
      <c r="H12468" s="42">
        <v>211</v>
      </c>
    </row>
    <row r="12469" spans="1:8" ht="15" customHeight="1">
      <c r="A12469" s="26">
        <v>1052403054</v>
      </c>
      <c r="B12469" s="29" t="s">
        <v>14680</v>
      </c>
      <c r="C12469" s="29" t="s">
        <v>28189</v>
      </c>
      <c r="D12469" s="29" t="s">
        <v>41683</v>
      </c>
      <c r="E12469" s="29" t="s">
        <v>51669</v>
      </c>
      <c r="F12469" s="36" t="s">
        <v>54401</v>
      </c>
      <c r="G12469" s="39">
        <v>378237.66</v>
      </c>
      <c r="H12469" s="42">
        <v>211</v>
      </c>
    </row>
    <row r="12470" spans="1:8" ht="15" customHeight="1">
      <c r="A12470" s="26">
        <v>1052403058</v>
      </c>
      <c r="B12470" s="29" t="s">
        <v>14681</v>
      </c>
      <c r="C12470" s="29" t="s">
        <v>28190</v>
      </c>
      <c r="D12470" s="29" t="s">
        <v>41684</v>
      </c>
      <c r="E12470" s="29" t="s">
        <v>52944</v>
      </c>
      <c r="F12470" s="36" t="s">
        <v>54401</v>
      </c>
      <c r="G12470" s="39">
        <v>85007.57</v>
      </c>
      <c r="H12470" s="42">
        <v>211</v>
      </c>
    </row>
    <row r="12471" spans="1:8" ht="15" customHeight="1">
      <c r="A12471" s="26">
        <v>1052403075</v>
      </c>
      <c r="B12471" s="29" t="s">
        <v>14682</v>
      </c>
      <c r="C12471" s="29" t="s">
        <v>28191</v>
      </c>
      <c r="D12471" s="29" t="s">
        <v>41685</v>
      </c>
      <c r="E12471" s="29" t="s">
        <v>52945</v>
      </c>
      <c r="F12471" s="36" t="s">
        <v>54401</v>
      </c>
      <c r="G12471" s="39">
        <v>1683958.99</v>
      </c>
      <c r="H12471" s="42">
        <v>211</v>
      </c>
    </row>
    <row r="12472" spans="1:8" ht="15" customHeight="1">
      <c r="A12472" s="26">
        <v>1052403092</v>
      </c>
      <c r="B12472" s="29" t="s">
        <v>14683</v>
      </c>
      <c r="C12472" s="29" t="s">
        <v>17204</v>
      </c>
      <c r="D12472" s="29" t="s">
        <v>41686</v>
      </c>
      <c r="E12472" s="29" t="s">
        <v>52946</v>
      </c>
      <c r="F12472" s="36" t="s">
        <v>54401</v>
      </c>
      <c r="G12472" s="39">
        <v>407456.27</v>
      </c>
      <c r="H12472" s="42">
        <v>211</v>
      </c>
    </row>
    <row r="12473" spans="1:8" ht="15" customHeight="1">
      <c r="A12473" s="26">
        <v>1052403119</v>
      </c>
      <c r="B12473" s="29" t="s">
        <v>14684</v>
      </c>
      <c r="C12473" s="29" t="s">
        <v>17204</v>
      </c>
      <c r="D12473" s="29" t="s">
        <v>30349</v>
      </c>
      <c r="E12473" s="29" t="s">
        <v>43926</v>
      </c>
      <c r="F12473" s="36" t="s">
        <v>54401</v>
      </c>
      <c r="G12473" s="39">
        <v>314623.31</v>
      </c>
      <c r="H12473" s="42">
        <v>211</v>
      </c>
    </row>
    <row r="12474" spans="1:8" ht="15" customHeight="1">
      <c r="A12474" s="26">
        <v>1052403174</v>
      </c>
      <c r="B12474" s="29" t="s">
        <v>14685</v>
      </c>
      <c r="C12474" s="29" t="s">
        <v>28192</v>
      </c>
      <c r="D12474" s="29" t="s">
        <v>41687</v>
      </c>
      <c r="E12474" s="29" t="s">
        <v>44462</v>
      </c>
      <c r="F12474" s="36" t="s">
        <v>54401</v>
      </c>
      <c r="G12474" s="39">
        <v>6463694.3099999996</v>
      </c>
      <c r="H12474" s="42">
        <v>211</v>
      </c>
    </row>
    <row r="12475" spans="1:8" ht="15" customHeight="1">
      <c r="A12475" s="26">
        <v>1052403179</v>
      </c>
      <c r="B12475" s="29" t="s">
        <v>14686</v>
      </c>
      <c r="C12475" s="29" t="s">
        <v>17204</v>
      </c>
      <c r="D12475" s="29" t="s">
        <v>30349</v>
      </c>
      <c r="E12475" s="29" t="s">
        <v>43926</v>
      </c>
      <c r="F12475" s="36" t="s">
        <v>54401</v>
      </c>
      <c r="G12475" s="39">
        <v>301729.59000000003</v>
      </c>
      <c r="H12475" s="42">
        <v>211</v>
      </c>
    </row>
    <row r="12476" spans="1:8" ht="15" customHeight="1">
      <c r="A12476" s="26">
        <v>1052403211</v>
      </c>
      <c r="B12476" s="29" t="s">
        <v>14687</v>
      </c>
      <c r="C12476" s="29" t="s">
        <v>28193</v>
      </c>
      <c r="D12476" s="29" t="s">
        <v>41688</v>
      </c>
      <c r="E12476" s="29" t="s">
        <v>52947</v>
      </c>
      <c r="F12476" s="36" t="s">
        <v>54401</v>
      </c>
      <c r="G12476" s="39">
        <v>3231696.08</v>
      </c>
      <c r="H12476" s="42">
        <v>211</v>
      </c>
    </row>
    <row r="12477" spans="1:8" ht="15" customHeight="1">
      <c r="A12477" s="26">
        <v>1052403212</v>
      </c>
      <c r="B12477" s="29" t="s">
        <v>14688</v>
      </c>
      <c r="C12477" s="29" t="s">
        <v>28194</v>
      </c>
      <c r="D12477" s="29" t="s">
        <v>41689</v>
      </c>
      <c r="E12477" s="29" t="s">
        <v>52948</v>
      </c>
      <c r="F12477" s="36" t="s">
        <v>54401</v>
      </c>
      <c r="G12477" s="39">
        <v>229324.72</v>
      </c>
      <c r="H12477" s="42">
        <v>211</v>
      </c>
    </row>
    <row r="12478" spans="1:8" ht="15" customHeight="1">
      <c r="A12478" s="26">
        <v>1052403260</v>
      </c>
      <c r="B12478" s="29" t="s">
        <v>14689</v>
      </c>
      <c r="C12478" s="29" t="s">
        <v>28195</v>
      </c>
      <c r="D12478" s="29" t="s">
        <v>41690</v>
      </c>
      <c r="E12478" s="29" t="s">
        <v>52949</v>
      </c>
      <c r="F12478" s="36" t="s">
        <v>54401</v>
      </c>
      <c r="G12478" s="39">
        <v>154661.49</v>
      </c>
      <c r="H12478" s="42">
        <v>211</v>
      </c>
    </row>
    <row r="12479" spans="1:8" ht="15" customHeight="1">
      <c r="A12479" s="26">
        <v>1052403264</v>
      </c>
      <c r="B12479" s="29" t="s">
        <v>14690</v>
      </c>
      <c r="C12479" s="29" t="s">
        <v>28196</v>
      </c>
      <c r="D12479" s="29" t="s">
        <v>41691</v>
      </c>
      <c r="E12479" s="29" t="s">
        <v>52950</v>
      </c>
      <c r="F12479" s="36" t="s">
        <v>54401</v>
      </c>
      <c r="G12479" s="39">
        <v>579411.1</v>
      </c>
      <c r="H12479" s="42">
        <v>211</v>
      </c>
    </row>
    <row r="12480" spans="1:8" ht="15" customHeight="1">
      <c r="A12480" s="26">
        <v>1052403287</v>
      </c>
      <c r="B12480" s="29" t="s">
        <v>14691</v>
      </c>
      <c r="C12480" s="29" t="s">
        <v>28197</v>
      </c>
      <c r="D12480" s="29" t="s">
        <v>41692</v>
      </c>
      <c r="E12480" s="29" t="s">
        <v>52951</v>
      </c>
      <c r="F12480" s="36" t="s">
        <v>54412</v>
      </c>
      <c r="G12480" s="39">
        <v>3536430.51</v>
      </c>
      <c r="H12480" s="42">
        <v>211</v>
      </c>
    </row>
    <row r="12481" spans="1:8" ht="15" customHeight="1">
      <c r="A12481" s="26">
        <v>1052403304</v>
      </c>
      <c r="B12481" s="29" t="s">
        <v>14692</v>
      </c>
      <c r="C12481" s="29" t="s">
        <v>28198</v>
      </c>
      <c r="D12481" s="29" t="s">
        <v>41693</v>
      </c>
      <c r="E12481" s="29" t="s">
        <v>43926</v>
      </c>
      <c r="F12481" s="36" t="s">
        <v>54401</v>
      </c>
      <c r="G12481" s="39">
        <v>320009.19</v>
      </c>
      <c r="H12481" s="42">
        <v>211</v>
      </c>
    </row>
    <row r="12482" spans="1:8" ht="15" customHeight="1">
      <c r="A12482" s="26">
        <v>1052403327</v>
      </c>
      <c r="B12482" s="29" t="s">
        <v>14693</v>
      </c>
      <c r="C12482" s="29" t="s">
        <v>17204</v>
      </c>
      <c r="D12482" s="29" t="s">
        <v>30349</v>
      </c>
      <c r="E12482" s="29" t="s">
        <v>43926</v>
      </c>
      <c r="F12482" s="36" t="s">
        <v>54401</v>
      </c>
      <c r="G12482" s="39">
        <v>31040.25</v>
      </c>
      <c r="H12482" s="42">
        <v>211</v>
      </c>
    </row>
    <row r="12483" spans="1:8" ht="15" customHeight="1">
      <c r="A12483" s="26">
        <v>1052403335</v>
      </c>
      <c r="B12483" s="29" t="s">
        <v>14694</v>
      </c>
      <c r="C12483" s="29" t="s">
        <v>28199</v>
      </c>
      <c r="D12483" s="29" t="s">
        <v>41694</v>
      </c>
      <c r="E12483" s="29" t="s">
        <v>43949</v>
      </c>
      <c r="F12483" s="36" t="s">
        <v>54401</v>
      </c>
      <c r="G12483" s="39">
        <v>191365.59</v>
      </c>
      <c r="H12483" s="42">
        <v>211</v>
      </c>
    </row>
    <row r="12484" spans="1:8" ht="15" customHeight="1">
      <c r="A12484" s="26">
        <v>1052403359</v>
      </c>
      <c r="B12484" s="29" t="s">
        <v>14695</v>
      </c>
      <c r="C12484" s="29" t="s">
        <v>28200</v>
      </c>
      <c r="D12484" s="29" t="s">
        <v>41695</v>
      </c>
      <c r="E12484" s="29" t="s">
        <v>52952</v>
      </c>
      <c r="F12484" s="36" t="s">
        <v>54408</v>
      </c>
      <c r="G12484" s="39">
        <v>305706.87</v>
      </c>
      <c r="H12484" s="42">
        <v>211</v>
      </c>
    </row>
    <row r="12485" spans="1:8" ht="15" customHeight="1">
      <c r="A12485" s="26">
        <v>1052403368</v>
      </c>
      <c r="B12485" s="29" t="s">
        <v>14696</v>
      </c>
      <c r="C12485" s="29" t="s">
        <v>28201</v>
      </c>
      <c r="D12485" s="29" t="s">
        <v>41696</v>
      </c>
      <c r="E12485" s="29" t="s">
        <v>43928</v>
      </c>
      <c r="F12485" s="36" t="s">
        <v>54401</v>
      </c>
      <c r="G12485" s="39">
        <v>5629169.5199999996</v>
      </c>
      <c r="H12485" s="42">
        <v>211</v>
      </c>
    </row>
    <row r="12486" spans="1:8" ht="15" customHeight="1">
      <c r="A12486" s="26">
        <v>1052403386</v>
      </c>
      <c r="B12486" s="29" t="s">
        <v>14697</v>
      </c>
      <c r="C12486" s="29" t="s">
        <v>17204</v>
      </c>
      <c r="D12486" s="29" t="s">
        <v>30349</v>
      </c>
      <c r="E12486" s="29" t="s">
        <v>43926</v>
      </c>
      <c r="F12486" s="36" t="s">
        <v>54401</v>
      </c>
      <c r="G12486" s="39">
        <v>252333.46</v>
      </c>
      <c r="H12486" s="42">
        <v>211</v>
      </c>
    </row>
    <row r="12487" spans="1:8" ht="15" customHeight="1">
      <c r="A12487" s="26">
        <v>1052403425</v>
      </c>
      <c r="B12487" s="29" t="s">
        <v>14698</v>
      </c>
      <c r="C12487" s="29" t="s">
        <v>28202</v>
      </c>
      <c r="D12487" s="29" t="s">
        <v>41697</v>
      </c>
      <c r="E12487" s="29" t="s">
        <v>52953</v>
      </c>
      <c r="F12487" s="36" t="s">
        <v>54401</v>
      </c>
      <c r="G12487" s="39">
        <v>466105.15</v>
      </c>
      <c r="H12487" s="42">
        <v>211</v>
      </c>
    </row>
    <row r="12488" spans="1:8" ht="15" customHeight="1">
      <c r="A12488" s="26">
        <v>1052403443</v>
      </c>
      <c r="B12488" s="29" t="s">
        <v>14699</v>
      </c>
      <c r="C12488" s="29" t="s">
        <v>28203</v>
      </c>
      <c r="D12488" s="29" t="s">
        <v>41698</v>
      </c>
      <c r="E12488" s="29" t="s">
        <v>52954</v>
      </c>
      <c r="F12488" s="36" t="s">
        <v>54401</v>
      </c>
      <c r="G12488" s="39">
        <v>172488.17</v>
      </c>
      <c r="H12488" s="42">
        <v>211</v>
      </c>
    </row>
    <row r="12489" spans="1:8" ht="15" customHeight="1">
      <c r="A12489" s="26">
        <v>1052403447</v>
      </c>
      <c r="B12489" s="29" t="s">
        <v>14700</v>
      </c>
      <c r="C12489" s="29" t="s">
        <v>28204</v>
      </c>
      <c r="D12489" s="29" t="s">
        <v>41699</v>
      </c>
      <c r="E12489" s="29" t="s">
        <v>52955</v>
      </c>
      <c r="F12489" s="36" t="s">
        <v>54401</v>
      </c>
      <c r="G12489" s="39">
        <v>2668714</v>
      </c>
      <c r="H12489" s="42">
        <v>211</v>
      </c>
    </row>
    <row r="12490" spans="1:8" ht="15" customHeight="1">
      <c r="A12490" s="26">
        <v>1052403461</v>
      </c>
      <c r="B12490" s="29" t="s">
        <v>14701</v>
      </c>
      <c r="C12490" s="29" t="s">
        <v>28205</v>
      </c>
      <c r="D12490" s="29" t="s">
        <v>41700</v>
      </c>
      <c r="E12490" s="29" t="s">
        <v>43926</v>
      </c>
      <c r="F12490" s="36" t="s">
        <v>54401</v>
      </c>
      <c r="G12490" s="39">
        <v>188758.7</v>
      </c>
      <c r="H12490" s="42">
        <v>211</v>
      </c>
    </row>
    <row r="12491" spans="1:8" ht="15" customHeight="1">
      <c r="A12491" s="26">
        <v>1052403476</v>
      </c>
      <c r="B12491" s="29" t="s">
        <v>14702</v>
      </c>
      <c r="C12491" s="29" t="s">
        <v>28206</v>
      </c>
      <c r="D12491" s="29" t="s">
        <v>41701</v>
      </c>
      <c r="E12491" s="29" t="s">
        <v>52956</v>
      </c>
      <c r="F12491" s="36" t="s">
        <v>54401</v>
      </c>
      <c r="G12491" s="39">
        <v>7989725</v>
      </c>
      <c r="H12491" s="42">
        <v>211</v>
      </c>
    </row>
    <row r="12492" spans="1:8" ht="15" customHeight="1">
      <c r="A12492" s="26">
        <v>1052403497</v>
      </c>
      <c r="B12492" s="29" t="s">
        <v>14703</v>
      </c>
      <c r="C12492" s="29" t="s">
        <v>28207</v>
      </c>
      <c r="D12492" s="29" t="s">
        <v>41702</v>
      </c>
      <c r="E12492" s="29" t="s">
        <v>52957</v>
      </c>
      <c r="F12492" s="36" t="s">
        <v>54401</v>
      </c>
      <c r="G12492" s="39">
        <v>48780</v>
      </c>
      <c r="H12492" s="42">
        <v>211</v>
      </c>
    </row>
    <row r="12493" spans="1:8" ht="15" customHeight="1">
      <c r="A12493" s="26">
        <v>1052403517</v>
      </c>
      <c r="B12493" s="29" t="s">
        <v>14704</v>
      </c>
      <c r="C12493" s="29" t="s">
        <v>28208</v>
      </c>
      <c r="D12493" s="29" t="s">
        <v>41703</v>
      </c>
      <c r="E12493" s="29" t="s">
        <v>52958</v>
      </c>
      <c r="F12493" s="36" t="s">
        <v>54401</v>
      </c>
      <c r="G12493" s="39">
        <v>498056.79</v>
      </c>
      <c r="H12493" s="42">
        <v>211</v>
      </c>
    </row>
    <row r="12494" spans="1:8" ht="15" customHeight="1">
      <c r="A12494" s="26">
        <v>1052403536</v>
      </c>
      <c r="B12494" s="29" t="s">
        <v>14705</v>
      </c>
      <c r="C12494" s="29" t="s">
        <v>28209</v>
      </c>
      <c r="D12494" s="29" t="s">
        <v>41704</v>
      </c>
      <c r="E12494" s="29" t="s">
        <v>43926</v>
      </c>
      <c r="F12494" s="36" t="s">
        <v>54401</v>
      </c>
      <c r="G12494" s="39">
        <v>360384.8</v>
      </c>
      <c r="H12494" s="42">
        <v>211</v>
      </c>
    </row>
    <row r="12495" spans="1:8" ht="15" customHeight="1">
      <c r="A12495" s="26">
        <v>1052403565</v>
      </c>
      <c r="B12495" s="29" t="s">
        <v>14706</v>
      </c>
      <c r="C12495" s="29" t="s">
        <v>28210</v>
      </c>
      <c r="D12495" s="29" t="s">
        <v>41705</v>
      </c>
      <c r="E12495" s="29" t="s">
        <v>52959</v>
      </c>
      <c r="F12495" s="36" t="s">
        <v>54401</v>
      </c>
      <c r="G12495" s="39">
        <v>886993.36</v>
      </c>
      <c r="H12495" s="42">
        <v>211</v>
      </c>
    </row>
    <row r="12496" spans="1:8" ht="15" customHeight="1">
      <c r="A12496" s="26">
        <v>1052403575</v>
      </c>
      <c r="B12496" s="29" t="s">
        <v>14707</v>
      </c>
      <c r="C12496" s="29" t="s">
        <v>28211</v>
      </c>
      <c r="D12496" s="29" t="s">
        <v>41706</v>
      </c>
      <c r="E12496" s="29" t="s">
        <v>47124</v>
      </c>
      <c r="F12496" s="36" t="s">
        <v>54401</v>
      </c>
      <c r="G12496" s="39">
        <v>6678849</v>
      </c>
      <c r="H12496" s="42">
        <v>211</v>
      </c>
    </row>
    <row r="12497" spans="1:8" ht="15" customHeight="1">
      <c r="A12497" s="26">
        <v>1052403582</v>
      </c>
      <c r="B12497" s="29" t="s">
        <v>14708</v>
      </c>
      <c r="C12497" s="29" t="s">
        <v>28212</v>
      </c>
      <c r="D12497" s="29" t="s">
        <v>41707</v>
      </c>
      <c r="E12497" s="29" t="s">
        <v>52960</v>
      </c>
      <c r="F12497" s="36" t="s">
        <v>54401</v>
      </c>
      <c r="G12497" s="39">
        <v>216589.54</v>
      </c>
      <c r="H12497" s="42">
        <v>211</v>
      </c>
    </row>
    <row r="12498" spans="1:8" ht="15" customHeight="1">
      <c r="A12498" s="26">
        <v>1052403586</v>
      </c>
      <c r="B12498" s="29" t="s">
        <v>14709</v>
      </c>
      <c r="C12498" s="29" t="s">
        <v>28213</v>
      </c>
      <c r="D12498" s="29" t="s">
        <v>41708</v>
      </c>
      <c r="E12498" s="29" t="s">
        <v>52961</v>
      </c>
      <c r="F12498" s="36" t="s">
        <v>54401</v>
      </c>
      <c r="G12498" s="39">
        <v>1281998.07</v>
      </c>
      <c r="H12498" s="42">
        <v>211</v>
      </c>
    </row>
    <row r="12499" spans="1:8" ht="15" customHeight="1">
      <c r="A12499" s="26">
        <v>1052403587</v>
      </c>
      <c r="B12499" s="29" t="s">
        <v>14710</v>
      </c>
      <c r="C12499" s="26" t="s">
        <v>28214</v>
      </c>
      <c r="D12499" s="26" t="s">
        <v>41709</v>
      </c>
      <c r="E12499" s="26" t="s">
        <v>43926</v>
      </c>
      <c r="F12499" s="37" t="s">
        <v>54401</v>
      </c>
      <c r="G12499" s="39">
        <v>841434.57</v>
      </c>
      <c r="H12499" s="42">
        <v>211</v>
      </c>
    </row>
    <row r="12500" spans="1:8" ht="15" customHeight="1">
      <c r="A12500" s="26">
        <v>1052403589</v>
      </c>
      <c r="B12500" s="29" t="s">
        <v>14711</v>
      </c>
      <c r="C12500" s="29" t="s">
        <v>28215</v>
      </c>
      <c r="D12500" s="29" t="s">
        <v>41710</v>
      </c>
      <c r="E12500" s="29" t="s">
        <v>52962</v>
      </c>
      <c r="F12500" s="36" t="s">
        <v>54401</v>
      </c>
      <c r="G12500" s="39">
        <v>76092.67</v>
      </c>
      <c r="H12500" s="42">
        <v>211</v>
      </c>
    </row>
    <row r="12501" spans="1:8" ht="15" customHeight="1">
      <c r="A12501" s="26">
        <v>1052403612</v>
      </c>
      <c r="B12501" s="29" t="s">
        <v>14712</v>
      </c>
      <c r="C12501" s="29" t="s">
        <v>28216</v>
      </c>
      <c r="D12501" s="29" t="s">
        <v>41711</v>
      </c>
      <c r="E12501" s="29" t="s">
        <v>52963</v>
      </c>
      <c r="F12501" s="36" t="s">
        <v>54401</v>
      </c>
      <c r="G12501" s="39">
        <v>3795771</v>
      </c>
      <c r="H12501" s="42">
        <v>211</v>
      </c>
    </row>
    <row r="12502" spans="1:8" ht="15" customHeight="1">
      <c r="A12502" s="26">
        <v>1052403613</v>
      </c>
      <c r="B12502" s="29" t="s">
        <v>14713</v>
      </c>
      <c r="C12502" s="29" t="s">
        <v>17204</v>
      </c>
      <c r="D12502" s="29" t="s">
        <v>30349</v>
      </c>
      <c r="E12502" s="29" t="s">
        <v>43926</v>
      </c>
      <c r="F12502" s="36" t="s">
        <v>54401</v>
      </c>
      <c r="G12502" s="39">
        <v>421567.73</v>
      </c>
      <c r="H12502" s="42">
        <v>211</v>
      </c>
    </row>
    <row r="12503" spans="1:8" ht="15" customHeight="1">
      <c r="A12503" s="26">
        <v>1052403625</v>
      </c>
      <c r="B12503" s="29" t="s">
        <v>14714</v>
      </c>
      <c r="C12503" s="29" t="s">
        <v>28217</v>
      </c>
      <c r="D12503" s="29" t="s">
        <v>41712</v>
      </c>
      <c r="E12503" s="29" t="s">
        <v>52964</v>
      </c>
      <c r="F12503" s="36" t="s">
        <v>54401</v>
      </c>
      <c r="G12503" s="39">
        <v>152205.85999999999</v>
      </c>
      <c r="H12503" s="42">
        <v>211</v>
      </c>
    </row>
    <row r="12504" spans="1:8" ht="15" customHeight="1">
      <c r="A12504" s="26">
        <v>1052403626</v>
      </c>
      <c r="B12504" s="29" t="s">
        <v>14715</v>
      </c>
      <c r="C12504" s="26" t="s">
        <v>28218</v>
      </c>
      <c r="D12504" s="26" t="s">
        <v>41713</v>
      </c>
      <c r="E12504" s="26" t="s">
        <v>52965</v>
      </c>
      <c r="F12504" s="37" t="s">
        <v>54401</v>
      </c>
      <c r="G12504" s="39">
        <v>227698.15</v>
      </c>
      <c r="H12504" s="42">
        <v>211</v>
      </c>
    </row>
    <row r="12505" spans="1:8" ht="15" customHeight="1">
      <c r="A12505" s="26">
        <v>1052403636</v>
      </c>
      <c r="B12505" s="29" t="s">
        <v>14716</v>
      </c>
      <c r="C12505" s="29" t="s">
        <v>28219</v>
      </c>
      <c r="D12505" s="29" t="s">
        <v>41714</v>
      </c>
      <c r="E12505" s="29" t="s">
        <v>52966</v>
      </c>
      <c r="F12505" s="36" t="s">
        <v>54401</v>
      </c>
      <c r="G12505" s="39">
        <v>405031.28</v>
      </c>
      <c r="H12505" s="42">
        <v>211</v>
      </c>
    </row>
    <row r="12506" spans="1:8" ht="15" customHeight="1">
      <c r="A12506" s="26">
        <v>1052403653</v>
      </c>
      <c r="B12506" s="29" t="s">
        <v>14717</v>
      </c>
      <c r="C12506" s="29" t="s">
        <v>28220</v>
      </c>
      <c r="D12506" s="29" t="s">
        <v>41715</v>
      </c>
      <c r="E12506" s="29" t="s">
        <v>52967</v>
      </c>
      <c r="F12506" s="36" t="s">
        <v>54409</v>
      </c>
      <c r="G12506" s="39">
        <v>5368004.1900000004</v>
      </c>
      <c r="H12506" s="42">
        <v>211</v>
      </c>
    </row>
    <row r="12507" spans="1:8" ht="15" customHeight="1">
      <c r="A12507" s="26">
        <v>1052403659</v>
      </c>
      <c r="B12507" s="29" t="s">
        <v>14718</v>
      </c>
      <c r="C12507" s="29" t="s">
        <v>22998</v>
      </c>
      <c r="D12507" s="29" t="s">
        <v>41716</v>
      </c>
      <c r="E12507" s="29" t="s">
        <v>52968</v>
      </c>
      <c r="F12507" s="36" t="s">
        <v>54401</v>
      </c>
      <c r="G12507" s="39">
        <v>2398753</v>
      </c>
      <c r="H12507" s="42">
        <v>211</v>
      </c>
    </row>
    <row r="12508" spans="1:8" ht="15" customHeight="1">
      <c r="A12508" s="26">
        <v>1052403665</v>
      </c>
      <c r="B12508" s="29" t="s">
        <v>14719</v>
      </c>
      <c r="C12508" s="29" t="s">
        <v>28221</v>
      </c>
      <c r="D12508" s="29" t="s">
        <v>41717</v>
      </c>
      <c r="E12508" s="29" t="s">
        <v>49533</v>
      </c>
      <c r="F12508" s="36" t="s">
        <v>54401</v>
      </c>
      <c r="G12508" s="39">
        <v>1514359.47</v>
      </c>
      <c r="H12508" s="42">
        <v>211</v>
      </c>
    </row>
    <row r="12509" spans="1:8" ht="15" customHeight="1">
      <c r="A12509" s="26">
        <v>1052403674</v>
      </c>
      <c r="B12509" s="29" t="s">
        <v>14720</v>
      </c>
      <c r="C12509" s="29" t="s">
        <v>28222</v>
      </c>
      <c r="D12509" s="29" t="s">
        <v>41718</v>
      </c>
      <c r="E12509" s="29" t="s">
        <v>44025</v>
      </c>
      <c r="F12509" s="36" t="s">
        <v>54401</v>
      </c>
      <c r="G12509" s="39">
        <v>580981.27</v>
      </c>
      <c r="H12509" s="42">
        <v>211</v>
      </c>
    </row>
    <row r="12510" spans="1:8" ht="15" customHeight="1">
      <c r="A12510" s="26">
        <v>1052403693</v>
      </c>
      <c r="B12510" s="29" t="s">
        <v>14721</v>
      </c>
      <c r="C12510" s="29" t="s">
        <v>28223</v>
      </c>
      <c r="D12510" s="29" t="s">
        <v>41719</v>
      </c>
      <c r="E12510" s="29" t="s">
        <v>46258</v>
      </c>
      <c r="F12510" s="36" t="s">
        <v>54401</v>
      </c>
      <c r="G12510" s="39">
        <v>587772.04</v>
      </c>
      <c r="H12510" s="42">
        <v>211</v>
      </c>
    </row>
    <row r="12511" spans="1:8" ht="15" customHeight="1">
      <c r="A12511" s="26">
        <v>1052403697</v>
      </c>
      <c r="B12511" s="29" t="s">
        <v>14722</v>
      </c>
      <c r="C12511" s="29" t="s">
        <v>25329</v>
      </c>
      <c r="D12511" s="29" t="s">
        <v>41720</v>
      </c>
      <c r="E12511" s="29" t="s">
        <v>46375</v>
      </c>
      <c r="F12511" s="36" t="s">
        <v>54401</v>
      </c>
      <c r="G12511" s="39">
        <v>3314782</v>
      </c>
      <c r="H12511" s="42">
        <v>211</v>
      </c>
    </row>
    <row r="12512" spans="1:8" ht="15" customHeight="1">
      <c r="A12512" s="26">
        <v>1052403703</v>
      </c>
      <c r="B12512" s="29" t="s">
        <v>14723</v>
      </c>
      <c r="C12512" s="29" t="s">
        <v>28224</v>
      </c>
      <c r="D12512" s="29" t="s">
        <v>41721</v>
      </c>
      <c r="E12512" s="29" t="s">
        <v>52876</v>
      </c>
      <c r="F12512" s="36" t="s">
        <v>54401</v>
      </c>
      <c r="G12512" s="39">
        <v>420250.19</v>
      </c>
      <c r="H12512" s="42">
        <v>211</v>
      </c>
    </row>
    <row r="12513" spans="1:8" ht="15" customHeight="1">
      <c r="A12513" s="26">
        <v>1052403713</v>
      </c>
      <c r="B12513" s="29" t="s">
        <v>14724</v>
      </c>
      <c r="C12513" s="29" t="s">
        <v>28225</v>
      </c>
      <c r="D12513" s="29" t="s">
        <v>41722</v>
      </c>
      <c r="E12513" s="29" t="s">
        <v>52969</v>
      </c>
      <c r="F12513" s="36" t="s">
        <v>54401</v>
      </c>
      <c r="G12513" s="39">
        <v>457220.14</v>
      </c>
      <c r="H12513" s="42">
        <v>211</v>
      </c>
    </row>
    <row r="12514" spans="1:8" ht="15" customHeight="1">
      <c r="A12514" s="26">
        <v>1052403714</v>
      </c>
      <c r="B12514" s="29" t="s">
        <v>14725</v>
      </c>
      <c r="C12514" s="29" t="s">
        <v>17204</v>
      </c>
      <c r="D12514" s="29" t="s">
        <v>30349</v>
      </c>
      <c r="E12514" s="29" t="s">
        <v>43926</v>
      </c>
      <c r="F12514" s="36" t="s">
        <v>54401</v>
      </c>
      <c r="G12514" s="39">
        <v>321319.55</v>
      </c>
      <c r="H12514" s="42">
        <v>211</v>
      </c>
    </row>
    <row r="12515" spans="1:8" ht="15" customHeight="1">
      <c r="A12515" s="26">
        <v>1052403720</v>
      </c>
      <c r="B12515" s="29" t="s">
        <v>14726</v>
      </c>
      <c r="C12515" s="29" t="s">
        <v>28226</v>
      </c>
      <c r="D12515" s="29" t="s">
        <v>41723</v>
      </c>
      <c r="E12515" s="29" t="s">
        <v>52970</v>
      </c>
      <c r="F12515" s="36" t="s">
        <v>54401</v>
      </c>
      <c r="G12515" s="39">
        <v>835868.58</v>
      </c>
      <c r="H12515" s="42">
        <v>211</v>
      </c>
    </row>
    <row r="12516" spans="1:8" ht="15" customHeight="1">
      <c r="A12516" s="26">
        <v>1052403727</v>
      </c>
      <c r="B12516" s="29" t="s">
        <v>14727</v>
      </c>
      <c r="C12516" s="29" t="s">
        <v>28227</v>
      </c>
      <c r="D12516" s="29" t="s">
        <v>41724</v>
      </c>
      <c r="E12516" s="29" t="s">
        <v>52971</v>
      </c>
      <c r="F12516" s="36" t="s">
        <v>54401</v>
      </c>
      <c r="G12516" s="39">
        <v>3093745</v>
      </c>
      <c r="H12516" s="42">
        <v>211</v>
      </c>
    </row>
    <row r="12517" spans="1:8" ht="15" customHeight="1">
      <c r="A12517" s="26">
        <v>1052403732</v>
      </c>
      <c r="B12517" s="29" t="s">
        <v>14728</v>
      </c>
      <c r="C12517" s="29" t="s">
        <v>28228</v>
      </c>
      <c r="D12517" s="29" t="s">
        <v>41725</v>
      </c>
      <c r="E12517" s="29" t="s">
        <v>52972</v>
      </c>
      <c r="F12517" s="36" t="s">
        <v>54401</v>
      </c>
      <c r="G12517" s="39">
        <v>653684.18999999994</v>
      </c>
      <c r="H12517" s="42">
        <v>211</v>
      </c>
    </row>
    <row r="12518" spans="1:8" ht="15" customHeight="1">
      <c r="A12518" s="26">
        <v>1052403743</v>
      </c>
      <c r="B12518" s="29" t="s">
        <v>14729</v>
      </c>
      <c r="C12518" s="29" t="s">
        <v>28229</v>
      </c>
      <c r="D12518" s="29" t="s">
        <v>41726</v>
      </c>
      <c r="E12518" s="29" t="s">
        <v>45514</v>
      </c>
      <c r="F12518" s="36" t="s">
        <v>54401</v>
      </c>
      <c r="G12518" s="39">
        <v>6663663.5499999998</v>
      </c>
      <c r="H12518" s="42">
        <v>211</v>
      </c>
    </row>
    <row r="12519" spans="1:8" ht="15" customHeight="1">
      <c r="A12519" s="26">
        <v>1052403752</v>
      </c>
      <c r="B12519" s="29" t="s">
        <v>14730</v>
      </c>
      <c r="C12519" s="29" t="s">
        <v>28230</v>
      </c>
      <c r="D12519" s="29" t="s">
        <v>41727</v>
      </c>
      <c r="E12519" s="29" t="s">
        <v>52973</v>
      </c>
      <c r="F12519" s="36" t="s">
        <v>54401</v>
      </c>
      <c r="G12519" s="39">
        <v>3487557.64</v>
      </c>
      <c r="H12519" s="42">
        <v>211</v>
      </c>
    </row>
    <row r="12520" spans="1:8" ht="15" customHeight="1">
      <c r="A12520" s="26">
        <v>1052403757</v>
      </c>
      <c r="B12520" s="29" t="s">
        <v>14731</v>
      </c>
      <c r="C12520" s="29" t="s">
        <v>28231</v>
      </c>
      <c r="D12520" s="29" t="s">
        <v>41728</v>
      </c>
      <c r="E12520" s="29" t="s">
        <v>48008</v>
      </c>
      <c r="F12520" s="36" t="s">
        <v>54401</v>
      </c>
      <c r="G12520" s="39">
        <v>522967.8</v>
      </c>
      <c r="H12520" s="42">
        <v>211</v>
      </c>
    </row>
    <row r="12521" spans="1:8" ht="15" customHeight="1">
      <c r="A12521" s="26">
        <v>1052403762</v>
      </c>
      <c r="B12521" s="29" t="s">
        <v>14732</v>
      </c>
      <c r="C12521" s="29" t="s">
        <v>28232</v>
      </c>
      <c r="D12521" s="29" t="s">
        <v>41729</v>
      </c>
      <c r="E12521" s="29" t="s">
        <v>52974</v>
      </c>
      <c r="F12521" s="36" t="s">
        <v>54401</v>
      </c>
      <c r="G12521" s="39">
        <v>143847.37</v>
      </c>
      <c r="H12521" s="42">
        <v>211</v>
      </c>
    </row>
    <row r="12522" spans="1:8" ht="15" customHeight="1">
      <c r="A12522" s="26">
        <v>1052403774</v>
      </c>
      <c r="B12522" s="29" t="s">
        <v>14733</v>
      </c>
      <c r="C12522" s="29" t="s">
        <v>17204</v>
      </c>
      <c r="D12522" s="29" t="s">
        <v>30349</v>
      </c>
      <c r="E12522" s="29" t="s">
        <v>43926</v>
      </c>
      <c r="F12522" s="36" t="s">
        <v>54401</v>
      </c>
      <c r="G12522" s="39">
        <v>264051.15999999997</v>
      </c>
      <c r="H12522" s="42">
        <v>211</v>
      </c>
    </row>
    <row r="12523" spans="1:8" ht="15" customHeight="1">
      <c r="A12523" s="26">
        <v>1052403790</v>
      </c>
      <c r="B12523" s="29" t="s">
        <v>14734</v>
      </c>
      <c r="C12523" s="29" t="s">
        <v>28233</v>
      </c>
      <c r="D12523" s="29" t="s">
        <v>41730</v>
      </c>
      <c r="E12523" s="29" t="s">
        <v>52975</v>
      </c>
      <c r="F12523" s="36" t="s">
        <v>54401</v>
      </c>
      <c r="G12523" s="39">
        <v>55423.95</v>
      </c>
      <c r="H12523" s="42">
        <v>211</v>
      </c>
    </row>
    <row r="12524" spans="1:8" ht="15" customHeight="1">
      <c r="A12524" s="26">
        <v>1052403801</v>
      </c>
      <c r="B12524" s="29" t="s">
        <v>14735</v>
      </c>
      <c r="C12524" s="29" t="s">
        <v>28234</v>
      </c>
      <c r="D12524" s="29" t="s">
        <v>41731</v>
      </c>
      <c r="E12524" s="29" t="s">
        <v>52976</v>
      </c>
      <c r="F12524" s="36" t="s">
        <v>54401</v>
      </c>
      <c r="G12524" s="39">
        <v>1043802.99</v>
      </c>
      <c r="H12524" s="42">
        <v>211</v>
      </c>
    </row>
    <row r="12525" spans="1:8" ht="15" customHeight="1">
      <c r="A12525" s="26">
        <v>1052403820</v>
      </c>
      <c r="B12525" s="29" t="s">
        <v>14736</v>
      </c>
      <c r="C12525" s="29" t="s">
        <v>28043</v>
      </c>
      <c r="D12525" s="29" t="s">
        <v>41732</v>
      </c>
      <c r="E12525" s="29" t="s">
        <v>44260</v>
      </c>
      <c r="F12525" s="36" t="s">
        <v>54401</v>
      </c>
      <c r="G12525" s="39">
        <v>9074614.9600000009</v>
      </c>
      <c r="H12525" s="42">
        <v>211</v>
      </c>
    </row>
    <row r="12526" spans="1:8" ht="15" customHeight="1">
      <c r="A12526" s="26">
        <v>1052403821</v>
      </c>
      <c r="B12526" s="29" t="s">
        <v>14737</v>
      </c>
      <c r="C12526" s="29" t="s">
        <v>17204</v>
      </c>
      <c r="D12526" s="29" t="s">
        <v>30349</v>
      </c>
      <c r="E12526" s="29" t="s">
        <v>43926</v>
      </c>
      <c r="F12526" s="36" t="s">
        <v>54401</v>
      </c>
      <c r="G12526" s="39">
        <v>213874.52</v>
      </c>
      <c r="H12526" s="42">
        <v>211</v>
      </c>
    </row>
    <row r="12527" spans="1:8" ht="15" customHeight="1">
      <c r="A12527" s="26">
        <v>1052403825</v>
      </c>
      <c r="B12527" s="29" t="s">
        <v>14738</v>
      </c>
      <c r="C12527" s="29" t="s">
        <v>17204</v>
      </c>
      <c r="D12527" s="29" t="s">
        <v>30349</v>
      </c>
      <c r="E12527" s="29" t="s">
        <v>43926</v>
      </c>
      <c r="F12527" s="36" t="s">
        <v>54401</v>
      </c>
      <c r="G12527" s="39">
        <v>453752.61</v>
      </c>
      <c r="H12527" s="42">
        <v>211</v>
      </c>
    </row>
    <row r="12528" spans="1:8" ht="15" customHeight="1">
      <c r="A12528" s="26">
        <v>1052403834</v>
      </c>
      <c r="B12528" s="29" t="s">
        <v>14739</v>
      </c>
      <c r="C12528" s="29" t="s">
        <v>17204</v>
      </c>
      <c r="D12528" s="29" t="s">
        <v>30349</v>
      </c>
      <c r="E12528" s="29" t="s">
        <v>43926</v>
      </c>
      <c r="F12528" s="36" t="s">
        <v>54401</v>
      </c>
      <c r="G12528" s="39">
        <v>137570.4</v>
      </c>
      <c r="H12528" s="42">
        <v>211</v>
      </c>
    </row>
    <row r="12529" spans="1:8" ht="15" customHeight="1">
      <c r="A12529" s="26">
        <v>1052403851</v>
      </c>
      <c r="B12529" s="29" t="s">
        <v>14740</v>
      </c>
      <c r="C12529" s="26" t="s">
        <v>28235</v>
      </c>
      <c r="D12529" s="26" t="s">
        <v>41733</v>
      </c>
      <c r="E12529" s="26" t="s">
        <v>43926</v>
      </c>
      <c r="F12529" s="37" t="s">
        <v>54401</v>
      </c>
      <c r="G12529" s="39">
        <v>47082.11</v>
      </c>
      <c r="H12529" s="42">
        <v>211</v>
      </c>
    </row>
    <row r="12530" spans="1:8" ht="15" customHeight="1">
      <c r="A12530" s="26">
        <v>1052403858</v>
      </c>
      <c r="B12530" s="29" t="s">
        <v>14741</v>
      </c>
      <c r="C12530" s="29" t="s">
        <v>28236</v>
      </c>
      <c r="D12530" s="29" t="s">
        <v>41734</v>
      </c>
      <c r="E12530" s="29" t="s">
        <v>52977</v>
      </c>
      <c r="F12530" s="36" t="s">
        <v>54401</v>
      </c>
      <c r="G12530" s="39">
        <v>1163044.56</v>
      </c>
      <c r="H12530" s="42">
        <v>211</v>
      </c>
    </row>
    <row r="12531" spans="1:8" ht="15" customHeight="1">
      <c r="A12531" s="26">
        <v>1052403873</v>
      </c>
      <c r="B12531" s="29" t="s">
        <v>14742</v>
      </c>
      <c r="C12531" s="29" t="s">
        <v>28237</v>
      </c>
      <c r="D12531" s="29" t="s">
        <v>41735</v>
      </c>
      <c r="E12531" s="29" t="s">
        <v>52978</v>
      </c>
      <c r="F12531" s="36" t="s">
        <v>54401</v>
      </c>
      <c r="G12531" s="39">
        <v>551448.11</v>
      </c>
      <c r="H12531" s="42">
        <v>211</v>
      </c>
    </row>
    <row r="12532" spans="1:8" ht="15" customHeight="1">
      <c r="A12532" s="26">
        <v>1052403898</v>
      </c>
      <c r="B12532" s="29" t="s">
        <v>14743</v>
      </c>
      <c r="C12532" s="29" t="s">
        <v>28238</v>
      </c>
      <c r="D12532" s="29" t="s">
        <v>41736</v>
      </c>
      <c r="E12532" s="29" t="s">
        <v>46441</v>
      </c>
      <c r="F12532" s="36" t="s">
        <v>54406</v>
      </c>
      <c r="G12532" s="39">
        <v>5584873</v>
      </c>
      <c r="H12532" s="42">
        <v>211</v>
      </c>
    </row>
    <row r="12533" spans="1:8" ht="15" customHeight="1">
      <c r="A12533" s="26">
        <v>1052403906</v>
      </c>
      <c r="B12533" s="29" t="s">
        <v>14744</v>
      </c>
      <c r="C12533" s="29" t="s">
        <v>28239</v>
      </c>
      <c r="D12533" s="29" t="s">
        <v>41737</v>
      </c>
      <c r="E12533" s="29" t="s">
        <v>43926</v>
      </c>
      <c r="F12533" s="36" t="s">
        <v>54401</v>
      </c>
      <c r="G12533" s="39">
        <v>735277.97</v>
      </c>
      <c r="H12533" s="42">
        <v>211</v>
      </c>
    </row>
    <row r="12534" spans="1:8" ht="15" customHeight="1">
      <c r="A12534" s="26">
        <v>1052403913</v>
      </c>
      <c r="B12534" s="29" t="s">
        <v>14745</v>
      </c>
      <c r="C12534" s="29" t="s">
        <v>28240</v>
      </c>
      <c r="D12534" s="29" t="s">
        <v>41738</v>
      </c>
      <c r="E12534" s="29" t="s">
        <v>52979</v>
      </c>
      <c r="F12534" s="36" t="s">
        <v>54401</v>
      </c>
      <c r="G12534" s="39">
        <v>532121.26</v>
      </c>
      <c r="H12534" s="42">
        <v>211</v>
      </c>
    </row>
    <row r="12535" spans="1:8" ht="15" customHeight="1">
      <c r="A12535" s="26">
        <v>1052403915</v>
      </c>
      <c r="B12535" s="29" t="s">
        <v>14746</v>
      </c>
      <c r="C12535" s="29" t="s">
        <v>28241</v>
      </c>
      <c r="D12535" s="29" t="s">
        <v>41739</v>
      </c>
      <c r="E12535" s="29" t="s">
        <v>52980</v>
      </c>
      <c r="F12535" s="36" t="s">
        <v>54401</v>
      </c>
      <c r="G12535" s="39">
        <v>6319676.5099999998</v>
      </c>
      <c r="H12535" s="42">
        <v>211</v>
      </c>
    </row>
    <row r="12536" spans="1:8" ht="15" customHeight="1">
      <c r="A12536" s="26">
        <v>1052403939</v>
      </c>
      <c r="B12536" s="29" t="s">
        <v>14747</v>
      </c>
      <c r="C12536" s="29" t="s">
        <v>28242</v>
      </c>
      <c r="D12536" s="29" t="s">
        <v>41740</v>
      </c>
      <c r="E12536" s="29" t="s">
        <v>52981</v>
      </c>
      <c r="F12536" s="36" t="s">
        <v>54401</v>
      </c>
      <c r="G12536" s="39">
        <v>3552993.08</v>
      </c>
      <c r="H12536" s="42">
        <v>211</v>
      </c>
    </row>
    <row r="12537" spans="1:8" ht="15" customHeight="1">
      <c r="A12537" s="26">
        <v>1052403952</v>
      </c>
      <c r="B12537" s="29" t="s">
        <v>14748</v>
      </c>
      <c r="C12537" s="29" t="s">
        <v>28243</v>
      </c>
      <c r="D12537" s="29" t="s">
        <v>41741</v>
      </c>
      <c r="E12537" s="29" t="s">
        <v>52982</v>
      </c>
      <c r="F12537" s="36" t="s">
        <v>54401</v>
      </c>
      <c r="G12537" s="39">
        <v>4295242.8499999996</v>
      </c>
      <c r="H12537" s="42">
        <v>211</v>
      </c>
    </row>
    <row r="12538" spans="1:8" ht="15" customHeight="1">
      <c r="A12538" s="26">
        <v>1052403958</v>
      </c>
      <c r="B12538" s="29" t="s">
        <v>14749</v>
      </c>
      <c r="C12538" s="29" t="s">
        <v>28244</v>
      </c>
      <c r="D12538" s="29" t="s">
        <v>41742</v>
      </c>
      <c r="E12538" s="29" t="s">
        <v>52983</v>
      </c>
      <c r="F12538" s="36" t="s">
        <v>54401</v>
      </c>
      <c r="G12538" s="39">
        <v>3316590</v>
      </c>
      <c r="H12538" s="42">
        <v>211</v>
      </c>
    </row>
    <row r="12539" spans="1:8" ht="15" customHeight="1">
      <c r="A12539" s="26">
        <v>1052403966</v>
      </c>
      <c r="B12539" s="29" t="s">
        <v>14750</v>
      </c>
      <c r="C12539" s="29" t="s">
        <v>28245</v>
      </c>
      <c r="D12539" s="29" t="s">
        <v>41743</v>
      </c>
      <c r="E12539" s="29" t="s">
        <v>52984</v>
      </c>
      <c r="F12539" s="36" t="s">
        <v>54401</v>
      </c>
      <c r="G12539" s="39">
        <v>4494306.99</v>
      </c>
      <c r="H12539" s="42">
        <v>211</v>
      </c>
    </row>
    <row r="12540" spans="1:8" ht="15" customHeight="1">
      <c r="A12540" s="26">
        <v>1052404001</v>
      </c>
      <c r="B12540" s="29" t="s">
        <v>14751</v>
      </c>
      <c r="C12540" s="29" t="s">
        <v>28246</v>
      </c>
      <c r="D12540" s="29" t="s">
        <v>41744</v>
      </c>
      <c r="E12540" s="29" t="s">
        <v>52985</v>
      </c>
      <c r="F12540" s="36" t="s">
        <v>54401</v>
      </c>
      <c r="G12540" s="39">
        <v>328506.95</v>
      </c>
      <c r="H12540" s="42">
        <v>211</v>
      </c>
    </row>
    <row r="12541" spans="1:8" ht="15" customHeight="1">
      <c r="A12541" s="26">
        <v>1052404006</v>
      </c>
      <c r="B12541" s="29" t="s">
        <v>14752</v>
      </c>
      <c r="C12541" s="29" t="s">
        <v>28247</v>
      </c>
      <c r="D12541" s="29" t="s">
        <v>41745</v>
      </c>
      <c r="E12541" s="29" t="s">
        <v>52986</v>
      </c>
      <c r="F12541" s="36" t="s">
        <v>54401</v>
      </c>
      <c r="G12541" s="39">
        <v>4486158</v>
      </c>
      <c r="H12541" s="42">
        <v>211</v>
      </c>
    </row>
    <row r="12542" spans="1:8" ht="15" customHeight="1">
      <c r="A12542" s="26">
        <v>1052404010</v>
      </c>
      <c r="B12542" s="29" t="s">
        <v>14753</v>
      </c>
      <c r="C12542" s="26" t="s">
        <v>28248</v>
      </c>
      <c r="D12542" s="26" t="s">
        <v>41746</v>
      </c>
      <c r="E12542" s="26" t="s">
        <v>45006</v>
      </c>
      <c r="F12542" s="37" t="s">
        <v>54401</v>
      </c>
      <c r="G12542" s="39">
        <v>3416816</v>
      </c>
      <c r="H12542" s="42">
        <v>211</v>
      </c>
    </row>
    <row r="12543" spans="1:8" ht="15" customHeight="1">
      <c r="A12543" s="26">
        <v>1052404018</v>
      </c>
      <c r="B12543" s="29" t="s">
        <v>14754</v>
      </c>
      <c r="C12543" s="29" t="s">
        <v>17204</v>
      </c>
      <c r="D12543" s="29" t="s">
        <v>41747</v>
      </c>
      <c r="E12543" s="29" t="s">
        <v>43926</v>
      </c>
      <c r="F12543" s="36" t="s">
        <v>54401</v>
      </c>
      <c r="G12543" s="39">
        <v>108326.96</v>
      </c>
      <c r="H12543" s="42">
        <v>211</v>
      </c>
    </row>
    <row r="12544" spans="1:8" ht="15" customHeight="1">
      <c r="A12544" s="26">
        <v>1052404027</v>
      </c>
      <c r="B12544" s="29" t="s">
        <v>14755</v>
      </c>
      <c r="C12544" s="29" t="s">
        <v>28249</v>
      </c>
      <c r="D12544" s="29" t="s">
        <v>41748</v>
      </c>
      <c r="E12544" s="29" t="s">
        <v>52987</v>
      </c>
      <c r="F12544" s="36" t="s">
        <v>54401</v>
      </c>
      <c r="G12544" s="39">
        <v>4279366.68</v>
      </c>
      <c r="H12544" s="42">
        <v>211</v>
      </c>
    </row>
    <row r="12545" spans="1:8" ht="15" customHeight="1">
      <c r="A12545" s="26">
        <v>1052404032</v>
      </c>
      <c r="B12545" s="29" t="s">
        <v>14756</v>
      </c>
      <c r="C12545" s="29" t="s">
        <v>17204</v>
      </c>
      <c r="D12545" s="29" t="s">
        <v>41749</v>
      </c>
      <c r="E12545" s="29" t="s">
        <v>43926</v>
      </c>
      <c r="F12545" s="36" t="s">
        <v>54401</v>
      </c>
      <c r="G12545" s="39">
        <v>103952.95</v>
      </c>
      <c r="H12545" s="42">
        <v>211</v>
      </c>
    </row>
    <row r="12546" spans="1:8" ht="15" customHeight="1">
      <c r="A12546" s="26">
        <v>1052404044</v>
      </c>
      <c r="B12546" s="29" t="s">
        <v>14757</v>
      </c>
      <c r="C12546" s="29" t="s">
        <v>28250</v>
      </c>
      <c r="D12546" s="29" t="s">
        <v>41750</v>
      </c>
      <c r="E12546" s="29" t="s">
        <v>43926</v>
      </c>
      <c r="F12546" s="36" t="s">
        <v>54401</v>
      </c>
      <c r="G12546" s="39">
        <v>892652.42</v>
      </c>
      <c r="H12546" s="42">
        <v>211</v>
      </c>
    </row>
    <row r="12547" spans="1:8" ht="15" customHeight="1">
      <c r="A12547" s="26">
        <v>1052404049</v>
      </c>
      <c r="B12547" s="29" t="s">
        <v>14758</v>
      </c>
      <c r="C12547" s="29" t="s">
        <v>28251</v>
      </c>
      <c r="D12547" s="29" t="s">
        <v>41751</v>
      </c>
      <c r="E12547" s="29" t="s">
        <v>52988</v>
      </c>
      <c r="F12547" s="36" t="s">
        <v>54401</v>
      </c>
      <c r="G12547" s="39">
        <v>26341.439999999999</v>
      </c>
      <c r="H12547" s="42">
        <v>211</v>
      </c>
    </row>
    <row r="12548" spans="1:8" ht="15" customHeight="1">
      <c r="A12548" s="26">
        <v>1052404052</v>
      </c>
      <c r="B12548" s="29" t="s">
        <v>14759</v>
      </c>
      <c r="C12548" s="29" t="s">
        <v>28252</v>
      </c>
      <c r="D12548" s="29" t="s">
        <v>41752</v>
      </c>
      <c r="E12548" s="29" t="s">
        <v>52989</v>
      </c>
      <c r="F12548" s="36" t="s">
        <v>54401</v>
      </c>
      <c r="G12548" s="39">
        <v>284102.96000000002</v>
      </c>
      <c r="H12548" s="42">
        <v>211</v>
      </c>
    </row>
    <row r="12549" spans="1:8" ht="15" customHeight="1">
      <c r="A12549" s="26">
        <v>1052404057</v>
      </c>
      <c r="B12549" s="29" t="s">
        <v>14760</v>
      </c>
      <c r="C12549" s="29" t="s">
        <v>28253</v>
      </c>
      <c r="D12549" s="29" t="s">
        <v>41753</v>
      </c>
      <c r="E12549" s="29" t="s">
        <v>52990</v>
      </c>
      <c r="F12549" s="36" t="s">
        <v>54401</v>
      </c>
      <c r="G12549" s="39">
        <v>1973129</v>
      </c>
      <c r="H12549" s="42">
        <v>211</v>
      </c>
    </row>
    <row r="12550" spans="1:8" ht="15" customHeight="1">
      <c r="A12550" s="26">
        <v>1052404063</v>
      </c>
      <c r="B12550" s="29" t="s">
        <v>14761</v>
      </c>
      <c r="C12550" s="29" t="s">
        <v>28254</v>
      </c>
      <c r="D12550" s="29" t="s">
        <v>41754</v>
      </c>
      <c r="E12550" s="29" t="s">
        <v>52991</v>
      </c>
      <c r="F12550" s="36" t="s">
        <v>54401</v>
      </c>
      <c r="G12550" s="39">
        <v>120733.94</v>
      </c>
      <c r="H12550" s="42">
        <v>211</v>
      </c>
    </row>
    <row r="12551" spans="1:8" ht="15" customHeight="1">
      <c r="A12551" s="26">
        <v>1052404069</v>
      </c>
      <c r="B12551" s="29" t="s">
        <v>14762</v>
      </c>
      <c r="C12551" s="29" t="s">
        <v>28255</v>
      </c>
      <c r="D12551" s="29" t="s">
        <v>41755</v>
      </c>
      <c r="E12551" s="29" t="s">
        <v>43926</v>
      </c>
      <c r="F12551" s="36" t="s">
        <v>54401</v>
      </c>
      <c r="G12551" s="39">
        <v>457486.04</v>
      </c>
      <c r="H12551" s="42">
        <v>211</v>
      </c>
    </row>
    <row r="12552" spans="1:8" ht="15" customHeight="1">
      <c r="A12552" s="26">
        <v>1052404095</v>
      </c>
      <c r="B12552" s="29" t="s">
        <v>14763</v>
      </c>
      <c r="C12552" s="29" t="s">
        <v>28256</v>
      </c>
      <c r="D12552" s="29" t="s">
        <v>41756</v>
      </c>
      <c r="E12552" s="29" t="s">
        <v>52992</v>
      </c>
      <c r="F12552" s="36" t="s">
        <v>54401</v>
      </c>
      <c r="G12552" s="39">
        <v>1003744.78</v>
      </c>
      <c r="H12552" s="42">
        <v>211</v>
      </c>
    </row>
    <row r="12553" spans="1:8" ht="15" customHeight="1">
      <c r="A12553" s="26">
        <v>1052404097</v>
      </c>
      <c r="B12553" s="29" t="s">
        <v>14764</v>
      </c>
      <c r="C12553" s="29" t="s">
        <v>28257</v>
      </c>
      <c r="D12553" s="29" t="s">
        <v>41757</v>
      </c>
      <c r="E12553" s="29" t="s">
        <v>52993</v>
      </c>
      <c r="F12553" s="36" t="s">
        <v>54401</v>
      </c>
      <c r="G12553" s="39">
        <v>668628.29</v>
      </c>
      <c r="H12553" s="42">
        <v>211</v>
      </c>
    </row>
    <row r="12554" spans="1:8" ht="15" customHeight="1">
      <c r="A12554" s="26">
        <v>1052404098</v>
      </c>
      <c r="B12554" s="29" t="s">
        <v>14765</v>
      </c>
      <c r="C12554" s="29" t="s">
        <v>28258</v>
      </c>
      <c r="D12554" s="29" t="s">
        <v>41758</v>
      </c>
      <c r="E12554" s="29" t="s">
        <v>52994</v>
      </c>
      <c r="F12554" s="36" t="s">
        <v>54401</v>
      </c>
      <c r="G12554" s="39">
        <v>2253248.2799999998</v>
      </c>
      <c r="H12554" s="42">
        <v>211</v>
      </c>
    </row>
    <row r="12555" spans="1:8" ht="15" customHeight="1">
      <c r="A12555" s="26">
        <v>1052404109</v>
      </c>
      <c r="B12555" s="29" t="s">
        <v>14766</v>
      </c>
      <c r="C12555" s="29" t="s">
        <v>28259</v>
      </c>
      <c r="D12555" s="29" t="s">
        <v>41759</v>
      </c>
      <c r="E12555" s="29" t="s">
        <v>52995</v>
      </c>
      <c r="F12555" s="36" t="s">
        <v>54401</v>
      </c>
      <c r="G12555" s="39">
        <v>734749.49</v>
      </c>
      <c r="H12555" s="42">
        <v>211</v>
      </c>
    </row>
    <row r="12556" spans="1:8" ht="15" customHeight="1">
      <c r="A12556" s="26">
        <v>1052404113</v>
      </c>
      <c r="B12556" s="29" t="s">
        <v>14767</v>
      </c>
      <c r="C12556" s="29" t="s">
        <v>28260</v>
      </c>
      <c r="D12556" s="29" t="s">
        <v>41760</v>
      </c>
      <c r="E12556" s="29" t="s">
        <v>52996</v>
      </c>
      <c r="F12556" s="36" t="s">
        <v>54401</v>
      </c>
      <c r="G12556" s="39">
        <v>121753.09</v>
      </c>
      <c r="H12556" s="42">
        <v>211</v>
      </c>
    </row>
    <row r="12557" spans="1:8" ht="15" customHeight="1">
      <c r="A12557" s="26">
        <v>1052404120</v>
      </c>
      <c r="B12557" s="29" t="s">
        <v>14768</v>
      </c>
      <c r="C12557" s="29" t="s">
        <v>28261</v>
      </c>
      <c r="D12557" s="29" t="s">
        <v>41761</v>
      </c>
      <c r="E12557" s="29" t="s">
        <v>52997</v>
      </c>
      <c r="F12557" s="36" t="s">
        <v>54401</v>
      </c>
      <c r="G12557" s="39">
        <v>899488.24</v>
      </c>
      <c r="H12557" s="42">
        <v>211</v>
      </c>
    </row>
    <row r="12558" spans="1:8" ht="15" customHeight="1">
      <c r="A12558" s="26">
        <v>1052404134</v>
      </c>
      <c r="B12558" s="29" t="s">
        <v>14769</v>
      </c>
      <c r="C12558" s="26" t="s">
        <v>28262</v>
      </c>
      <c r="D12558" s="26" t="s">
        <v>41762</v>
      </c>
      <c r="E12558" s="26" t="s">
        <v>52998</v>
      </c>
      <c r="F12558" s="37" t="s">
        <v>54401</v>
      </c>
      <c r="G12558" s="39">
        <v>3607857</v>
      </c>
      <c r="H12558" s="42">
        <v>211</v>
      </c>
    </row>
    <row r="12559" spans="1:8" ht="15" customHeight="1">
      <c r="A12559" s="26">
        <v>1052404144</v>
      </c>
      <c r="B12559" s="29" t="s">
        <v>14770</v>
      </c>
      <c r="C12559" s="29" t="s">
        <v>17204</v>
      </c>
      <c r="D12559" s="29" t="s">
        <v>30349</v>
      </c>
      <c r="E12559" s="29" t="s">
        <v>43926</v>
      </c>
      <c r="F12559" s="36" t="s">
        <v>54401</v>
      </c>
      <c r="G12559" s="39">
        <v>271005.55</v>
      </c>
      <c r="H12559" s="42">
        <v>211</v>
      </c>
    </row>
    <row r="12560" spans="1:8" ht="15" customHeight="1">
      <c r="A12560" s="26">
        <v>1052404234</v>
      </c>
      <c r="B12560" s="29" t="s">
        <v>14771</v>
      </c>
      <c r="C12560" s="29" t="s">
        <v>28263</v>
      </c>
      <c r="D12560" s="29" t="s">
        <v>41763</v>
      </c>
      <c r="E12560" s="29" t="s">
        <v>51616</v>
      </c>
      <c r="F12560" s="36" t="s">
        <v>54401</v>
      </c>
      <c r="G12560" s="39">
        <v>3528509</v>
      </c>
      <c r="H12560" s="42">
        <v>211</v>
      </c>
    </row>
    <row r="12561" spans="1:8" ht="15" customHeight="1">
      <c r="A12561" s="26">
        <v>1052404243</v>
      </c>
      <c r="B12561" s="29" t="s">
        <v>14772</v>
      </c>
      <c r="C12561" s="29" t="s">
        <v>28264</v>
      </c>
      <c r="D12561" s="29" t="s">
        <v>41764</v>
      </c>
      <c r="E12561" s="29" t="s">
        <v>52999</v>
      </c>
      <c r="F12561" s="36" t="s">
        <v>54401</v>
      </c>
      <c r="G12561" s="39">
        <v>2144129.75</v>
      </c>
      <c r="H12561" s="42">
        <v>211</v>
      </c>
    </row>
    <row r="12562" spans="1:8" ht="15" customHeight="1">
      <c r="A12562" s="26">
        <v>1052404246</v>
      </c>
      <c r="B12562" s="29" t="s">
        <v>14773</v>
      </c>
      <c r="C12562" s="29" t="s">
        <v>28265</v>
      </c>
      <c r="D12562" s="29" t="s">
        <v>41765</v>
      </c>
      <c r="E12562" s="29" t="s">
        <v>43926</v>
      </c>
      <c r="F12562" s="36" t="s">
        <v>54401</v>
      </c>
      <c r="G12562" s="39">
        <v>225724.22</v>
      </c>
      <c r="H12562" s="42">
        <v>211</v>
      </c>
    </row>
    <row r="12563" spans="1:8" ht="15" customHeight="1">
      <c r="A12563" s="26">
        <v>1052404254</v>
      </c>
      <c r="B12563" s="29" t="s">
        <v>14774</v>
      </c>
      <c r="C12563" s="29" t="s">
        <v>28266</v>
      </c>
      <c r="D12563" s="29" t="s">
        <v>41766</v>
      </c>
      <c r="E12563" s="29" t="s">
        <v>53000</v>
      </c>
      <c r="F12563" s="36" t="s">
        <v>54401</v>
      </c>
      <c r="G12563" s="39">
        <v>464603.02</v>
      </c>
      <c r="H12563" s="42">
        <v>211</v>
      </c>
    </row>
    <row r="12564" spans="1:8" ht="15" customHeight="1">
      <c r="A12564" s="26">
        <v>1052404269</v>
      </c>
      <c r="B12564" s="29" t="s">
        <v>14775</v>
      </c>
      <c r="C12564" s="29" t="s">
        <v>28267</v>
      </c>
      <c r="D12564" s="29" t="s">
        <v>41767</v>
      </c>
      <c r="E12564" s="29" t="s">
        <v>53001</v>
      </c>
      <c r="F12564" s="36" t="s">
        <v>54401</v>
      </c>
      <c r="G12564" s="39">
        <v>5320219.67</v>
      </c>
      <c r="H12564" s="42">
        <v>211</v>
      </c>
    </row>
    <row r="12565" spans="1:8" ht="15" customHeight="1">
      <c r="A12565" s="26">
        <v>1052404282</v>
      </c>
      <c r="B12565" s="29" t="s">
        <v>14776</v>
      </c>
      <c r="C12565" s="29" t="s">
        <v>28268</v>
      </c>
      <c r="D12565" s="29" t="s">
        <v>41768</v>
      </c>
      <c r="E12565" s="29" t="s">
        <v>53002</v>
      </c>
      <c r="F12565" s="36" t="s">
        <v>54401</v>
      </c>
      <c r="G12565" s="39">
        <v>1771908.18</v>
      </c>
      <c r="H12565" s="42">
        <v>211</v>
      </c>
    </row>
    <row r="12566" spans="1:8" ht="15" customHeight="1">
      <c r="A12566" s="26">
        <v>1052404299</v>
      </c>
      <c r="B12566" s="29" t="s">
        <v>14777</v>
      </c>
      <c r="C12566" s="29" t="s">
        <v>28269</v>
      </c>
      <c r="D12566" s="29" t="s">
        <v>36714</v>
      </c>
      <c r="E12566" s="29" t="s">
        <v>53003</v>
      </c>
      <c r="F12566" s="36" t="s">
        <v>54401</v>
      </c>
      <c r="G12566" s="39">
        <v>5160218.43</v>
      </c>
      <c r="H12566" s="42">
        <v>211</v>
      </c>
    </row>
    <row r="12567" spans="1:8" ht="15" customHeight="1">
      <c r="A12567" s="26">
        <v>1052404303</v>
      </c>
      <c r="B12567" s="29" t="s">
        <v>14778</v>
      </c>
      <c r="C12567" s="29" t="s">
        <v>28270</v>
      </c>
      <c r="D12567" s="29" t="s">
        <v>41769</v>
      </c>
      <c r="E12567" s="29" t="s">
        <v>53004</v>
      </c>
      <c r="F12567" s="36" t="s">
        <v>54401</v>
      </c>
      <c r="G12567" s="39">
        <v>407470.4</v>
      </c>
      <c r="H12567" s="42">
        <v>211</v>
      </c>
    </row>
    <row r="12568" spans="1:8" ht="15" customHeight="1">
      <c r="A12568" s="26">
        <v>1052404327</v>
      </c>
      <c r="B12568" s="29" t="s">
        <v>14779</v>
      </c>
      <c r="C12568" s="29" t="s">
        <v>28271</v>
      </c>
      <c r="D12568" s="29" t="s">
        <v>41770</v>
      </c>
      <c r="E12568" s="29" t="s">
        <v>53005</v>
      </c>
      <c r="F12568" s="36" t="s">
        <v>54401</v>
      </c>
      <c r="G12568" s="39">
        <v>5553938.4699999997</v>
      </c>
      <c r="H12568" s="42">
        <v>211</v>
      </c>
    </row>
    <row r="12569" spans="1:8" ht="15" customHeight="1">
      <c r="A12569" s="26">
        <v>1052404332</v>
      </c>
      <c r="B12569" s="29" t="s">
        <v>14780</v>
      </c>
      <c r="C12569" s="29" t="s">
        <v>28272</v>
      </c>
      <c r="D12569" s="29" t="s">
        <v>41771</v>
      </c>
      <c r="E12569" s="29" t="s">
        <v>45232</v>
      </c>
      <c r="F12569" s="36" t="s">
        <v>54401</v>
      </c>
      <c r="G12569" s="39">
        <v>285661.45</v>
      </c>
      <c r="H12569" s="42">
        <v>211</v>
      </c>
    </row>
    <row r="12570" spans="1:8" ht="15" customHeight="1">
      <c r="A12570" s="26">
        <v>1052404344</v>
      </c>
      <c r="B12570" s="29" t="s">
        <v>14781</v>
      </c>
      <c r="C12570" s="26" t="s">
        <v>28273</v>
      </c>
      <c r="D12570" s="26" t="s">
        <v>41772</v>
      </c>
      <c r="E12570" s="26" t="s">
        <v>53006</v>
      </c>
      <c r="F12570" s="37" t="s">
        <v>54401</v>
      </c>
      <c r="G12570" s="39">
        <v>3533432.54</v>
      </c>
      <c r="H12570" s="42">
        <v>211</v>
      </c>
    </row>
    <row r="12571" spans="1:8" ht="15" customHeight="1">
      <c r="A12571" s="26">
        <v>1052404347</v>
      </c>
      <c r="B12571" s="29" t="s">
        <v>14782</v>
      </c>
      <c r="C12571" s="29" t="s">
        <v>28274</v>
      </c>
      <c r="D12571" s="29" t="s">
        <v>41773</v>
      </c>
      <c r="E12571" s="29" t="s">
        <v>53007</v>
      </c>
      <c r="F12571" s="36" t="s">
        <v>54401</v>
      </c>
      <c r="G12571" s="39">
        <v>2912065.57</v>
      </c>
      <c r="H12571" s="42">
        <v>211</v>
      </c>
    </row>
    <row r="12572" spans="1:8" ht="15" customHeight="1">
      <c r="A12572" s="26">
        <v>1052404360</v>
      </c>
      <c r="B12572" s="29" t="s">
        <v>14783</v>
      </c>
      <c r="C12572" s="29" t="s">
        <v>28275</v>
      </c>
      <c r="D12572" s="29" t="s">
        <v>41774</v>
      </c>
      <c r="E12572" s="29" t="s">
        <v>51471</v>
      </c>
      <c r="F12572" s="36" t="s">
        <v>54401</v>
      </c>
      <c r="G12572" s="39">
        <v>380390.61</v>
      </c>
      <c r="H12572" s="42">
        <v>211</v>
      </c>
    </row>
    <row r="12573" spans="1:8" ht="15" customHeight="1">
      <c r="A12573" s="26">
        <v>1052404455</v>
      </c>
      <c r="B12573" s="29" t="s">
        <v>14784</v>
      </c>
      <c r="C12573" s="29" t="s">
        <v>17204</v>
      </c>
      <c r="D12573" s="29" t="s">
        <v>30349</v>
      </c>
      <c r="E12573" s="29" t="s">
        <v>43926</v>
      </c>
      <c r="F12573" s="36" t="s">
        <v>54401</v>
      </c>
      <c r="G12573" s="39">
        <v>370438.84</v>
      </c>
      <c r="H12573" s="42">
        <v>211</v>
      </c>
    </row>
    <row r="12574" spans="1:8" ht="15" customHeight="1">
      <c r="A12574" s="26">
        <v>1052404500</v>
      </c>
      <c r="B12574" s="29" t="s">
        <v>14785</v>
      </c>
      <c r="C12574" s="29" t="s">
        <v>28276</v>
      </c>
      <c r="D12574" s="29" t="s">
        <v>41775</v>
      </c>
      <c r="E12574" s="29" t="s">
        <v>53008</v>
      </c>
      <c r="F12574" s="36" t="s">
        <v>54401</v>
      </c>
      <c r="G12574" s="39">
        <v>13453.79</v>
      </c>
      <c r="H12574" s="42">
        <v>211</v>
      </c>
    </row>
    <row r="12575" spans="1:8" ht="15" customHeight="1">
      <c r="A12575" s="26">
        <v>1052404504</v>
      </c>
      <c r="B12575" s="29" t="s">
        <v>14786</v>
      </c>
      <c r="C12575" s="29" t="s">
        <v>28277</v>
      </c>
      <c r="D12575" s="29" t="s">
        <v>41776</v>
      </c>
      <c r="E12575" s="29" t="s">
        <v>53009</v>
      </c>
      <c r="F12575" s="36" t="s">
        <v>54401</v>
      </c>
      <c r="G12575" s="39">
        <v>115157.33</v>
      </c>
      <c r="H12575" s="42">
        <v>211</v>
      </c>
    </row>
    <row r="12576" spans="1:8" ht="15" customHeight="1">
      <c r="A12576" s="26">
        <v>1052404513</v>
      </c>
      <c r="B12576" s="29" t="s">
        <v>14787</v>
      </c>
      <c r="C12576" s="29" t="s">
        <v>28278</v>
      </c>
      <c r="D12576" s="29" t="s">
        <v>41777</v>
      </c>
      <c r="E12576" s="29" t="s">
        <v>48467</v>
      </c>
      <c r="F12576" s="36" t="s">
        <v>54401</v>
      </c>
      <c r="G12576" s="39">
        <v>1455335.64</v>
      </c>
      <c r="H12576" s="42">
        <v>211</v>
      </c>
    </row>
    <row r="12577" spans="1:8" ht="15" customHeight="1">
      <c r="A12577" s="26">
        <v>1052404514</v>
      </c>
      <c r="B12577" s="29" t="s">
        <v>14788</v>
      </c>
      <c r="C12577" s="26" t="s">
        <v>28279</v>
      </c>
      <c r="D12577" s="26" t="s">
        <v>41778</v>
      </c>
      <c r="E12577" s="26" t="s">
        <v>53010</v>
      </c>
      <c r="F12577" s="37" t="s">
        <v>54401</v>
      </c>
      <c r="G12577" s="39">
        <v>969683.19</v>
      </c>
      <c r="H12577" s="42">
        <v>211</v>
      </c>
    </row>
    <row r="12578" spans="1:8" ht="15" customHeight="1">
      <c r="A12578" s="26">
        <v>1052404529</v>
      </c>
      <c r="B12578" s="29" t="s">
        <v>14789</v>
      </c>
      <c r="C12578" s="29" t="s">
        <v>28280</v>
      </c>
      <c r="D12578" s="29" t="s">
        <v>41779</v>
      </c>
      <c r="E12578" s="29" t="s">
        <v>49199</v>
      </c>
      <c r="F12578" s="36" t="s">
        <v>54401</v>
      </c>
      <c r="G12578" s="39">
        <v>631759.31000000006</v>
      </c>
      <c r="H12578" s="42">
        <v>211</v>
      </c>
    </row>
    <row r="12579" spans="1:8" ht="15" customHeight="1">
      <c r="A12579" s="26">
        <v>1052404532</v>
      </c>
      <c r="B12579" s="29" t="s">
        <v>14790</v>
      </c>
      <c r="C12579" s="29" t="s">
        <v>28281</v>
      </c>
      <c r="D12579" s="29" t="s">
        <v>41780</v>
      </c>
      <c r="E12579" s="29" t="s">
        <v>53011</v>
      </c>
      <c r="F12579" s="36" t="s">
        <v>54401</v>
      </c>
      <c r="G12579" s="39">
        <v>65204.73</v>
      </c>
      <c r="H12579" s="42">
        <v>211</v>
      </c>
    </row>
    <row r="12580" spans="1:8" ht="15" customHeight="1">
      <c r="A12580" s="26">
        <v>1052404539</v>
      </c>
      <c r="B12580" s="29" t="s">
        <v>14791</v>
      </c>
      <c r="C12580" s="29" t="s">
        <v>28282</v>
      </c>
      <c r="D12580" s="29" t="s">
        <v>34153</v>
      </c>
      <c r="E12580" s="29" t="s">
        <v>47197</v>
      </c>
      <c r="F12580" s="36" t="s">
        <v>54401</v>
      </c>
      <c r="G12580" s="39">
        <v>4352126</v>
      </c>
      <c r="H12580" s="42">
        <v>211</v>
      </c>
    </row>
    <row r="12581" spans="1:8" ht="15" customHeight="1">
      <c r="A12581" s="26">
        <v>1052404542</v>
      </c>
      <c r="B12581" s="29" t="s">
        <v>14792</v>
      </c>
      <c r="C12581" s="29" t="s">
        <v>28283</v>
      </c>
      <c r="D12581" s="29" t="s">
        <v>41781</v>
      </c>
      <c r="E12581" s="29" t="s">
        <v>48430</v>
      </c>
      <c r="F12581" s="36" t="s">
        <v>54401</v>
      </c>
      <c r="G12581" s="39">
        <v>2134856</v>
      </c>
      <c r="H12581" s="42">
        <v>211</v>
      </c>
    </row>
    <row r="12582" spans="1:8" ht="15" customHeight="1">
      <c r="A12582" s="26">
        <v>1052404543</v>
      </c>
      <c r="B12582" s="29" t="s">
        <v>14793</v>
      </c>
      <c r="C12582" s="29" t="s">
        <v>28284</v>
      </c>
      <c r="D12582" s="29" t="s">
        <v>41782</v>
      </c>
      <c r="E12582" s="29" t="s">
        <v>53012</v>
      </c>
      <c r="F12582" s="36" t="s">
        <v>54401</v>
      </c>
      <c r="G12582" s="39">
        <v>525260.55000000005</v>
      </c>
      <c r="H12582" s="42">
        <v>211</v>
      </c>
    </row>
    <row r="12583" spans="1:8" ht="15" customHeight="1">
      <c r="A12583" s="26">
        <v>1052404561</v>
      </c>
      <c r="B12583" s="29" t="s">
        <v>14794</v>
      </c>
      <c r="C12583" s="29" t="s">
        <v>28285</v>
      </c>
      <c r="D12583" s="29" t="s">
        <v>41783</v>
      </c>
      <c r="E12583" s="29" t="s">
        <v>53013</v>
      </c>
      <c r="F12583" s="36" t="s">
        <v>54401</v>
      </c>
      <c r="G12583" s="39">
        <v>1511210.26</v>
      </c>
      <c r="H12583" s="42">
        <v>211</v>
      </c>
    </row>
    <row r="12584" spans="1:8" ht="15" customHeight="1">
      <c r="A12584" s="26">
        <v>1052404567</v>
      </c>
      <c r="B12584" s="29" t="s">
        <v>14795</v>
      </c>
      <c r="C12584" s="29" t="s">
        <v>17204</v>
      </c>
      <c r="D12584" s="29" t="s">
        <v>30349</v>
      </c>
      <c r="E12584" s="29" t="s">
        <v>43926</v>
      </c>
      <c r="F12584" s="36" t="s">
        <v>54401</v>
      </c>
      <c r="G12584" s="39">
        <v>26258.66</v>
      </c>
      <c r="H12584" s="42">
        <v>211</v>
      </c>
    </row>
    <row r="12585" spans="1:8" ht="15" customHeight="1">
      <c r="A12585" s="26">
        <v>1052404570</v>
      </c>
      <c r="B12585" s="29" t="s">
        <v>14796</v>
      </c>
      <c r="C12585" s="29" t="s">
        <v>28286</v>
      </c>
      <c r="D12585" s="29" t="s">
        <v>41784</v>
      </c>
      <c r="E12585" s="29" t="s">
        <v>48430</v>
      </c>
      <c r="F12585" s="36" t="s">
        <v>54401</v>
      </c>
      <c r="G12585" s="39">
        <v>4338970.3099999996</v>
      </c>
      <c r="H12585" s="42">
        <v>211</v>
      </c>
    </row>
    <row r="12586" spans="1:8" ht="15" customHeight="1">
      <c r="A12586" s="26">
        <v>1052404580</v>
      </c>
      <c r="B12586" s="29" t="s">
        <v>14797</v>
      </c>
      <c r="C12586" s="29" t="s">
        <v>28287</v>
      </c>
      <c r="D12586" s="29" t="s">
        <v>41785</v>
      </c>
      <c r="E12586" s="29" t="s">
        <v>53014</v>
      </c>
      <c r="F12586" s="36" t="s">
        <v>54401</v>
      </c>
      <c r="G12586" s="39">
        <v>4364706.22</v>
      </c>
      <c r="H12586" s="42">
        <v>211</v>
      </c>
    </row>
    <row r="12587" spans="1:8" ht="15" customHeight="1">
      <c r="A12587" s="26">
        <v>1052404582</v>
      </c>
      <c r="B12587" s="29" t="s">
        <v>14798</v>
      </c>
      <c r="C12587" s="29" t="s">
        <v>28288</v>
      </c>
      <c r="D12587" s="29" t="s">
        <v>41786</v>
      </c>
      <c r="E12587" s="29" t="s">
        <v>53015</v>
      </c>
      <c r="F12587" s="36" t="s">
        <v>54401</v>
      </c>
      <c r="G12587" s="39">
        <v>1770093.6</v>
      </c>
      <c r="H12587" s="42">
        <v>211</v>
      </c>
    </row>
    <row r="12588" spans="1:8" ht="15" customHeight="1">
      <c r="A12588" s="26">
        <v>1052404600</v>
      </c>
      <c r="B12588" s="29" t="s">
        <v>14799</v>
      </c>
      <c r="C12588" s="29" t="s">
        <v>28289</v>
      </c>
      <c r="D12588" s="29" t="s">
        <v>41787</v>
      </c>
      <c r="E12588" s="29" t="s">
        <v>53016</v>
      </c>
      <c r="F12588" s="36" t="s">
        <v>54401</v>
      </c>
      <c r="G12588" s="39">
        <v>1271561.97</v>
      </c>
      <c r="H12588" s="42">
        <v>211</v>
      </c>
    </row>
    <row r="12589" spans="1:8" ht="15" customHeight="1">
      <c r="A12589" s="26">
        <v>1052404613</v>
      </c>
      <c r="B12589" s="29" t="s">
        <v>14800</v>
      </c>
      <c r="C12589" s="29" t="s">
        <v>28290</v>
      </c>
      <c r="D12589" s="29" t="s">
        <v>41788</v>
      </c>
      <c r="E12589" s="29" t="s">
        <v>53017</v>
      </c>
      <c r="F12589" s="36" t="s">
        <v>54401</v>
      </c>
      <c r="G12589" s="39">
        <v>385451.85</v>
      </c>
      <c r="H12589" s="42">
        <v>211</v>
      </c>
    </row>
    <row r="12590" spans="1:8" ht="15" customHeight="1">
      <c r="A12590" s="26">
        <v>1052404623</v>
      </c>
      <c r="B12590" s="29" t="s">
        <v>14801</v>
      </c>
      <c r="C12590" s="26" t="s">
        <v>28291</v>
      </c>
      <c r="D12590" s="26" t="s">
        <v>41789</v>
      </c>
      <c r="E12590" s="26" t="s">
        <v>53018</v>
      </c>
      <c r="F12590" s="37" t="s">
        <v>54401</v>
      </c>
      <c r="G12590" s="39">
        <v>4739016.2300000004</v>
      </c>
      <c r="H12590" s="42">
        <v>211</v>
      </c>
    </row>
    <row r="12591" spans="1:8" ht="15" customHeight="1">
      <c r="A12591" s="26">
        <v>1052404645</v>
      </c>
      <c r="B12591" s="29" t="s">
        <v>14802</v>
      </c>
      <c r="C12591" s="29" t="s">
        <v>28292</v>
      </c>
      <c r="D12591" s="29" t="s">
        <v>41790</v>
      </c>
      <c r="E12591" s="29" t="s">
        <v>46017</v>
      </c>
      <c r="F12591" s="36" t="s">
        <v>54401</v>
      </c>
      <c r="G12591" s="39">
        <v>84127.039999999994</v>
      </c>
      <c r="H12591" s="42">
        <v>211</v>
      </c>
    </row>
    <row r="12592" spans="1:8" ht="15" customHeight="1">
      <c r="A12592" s="26">
        <v>1052404647</v>
      </c>
      <c r="B12592" s="29" t="s">
        <v>14803</v>
      </c>
      <c r="C12592" s="29" t="s">
        <v>28293</v>
      </c>
      <c r="D12592" s="29" t="s">
        <v>41791</v>
      </c>
      <c r="E12592" s="29" t="s">
        <v>43926</v>
      </c>
      <c r="F12592" s="36" t="s">
        <v>54401</v>
      </c>
      <c r="G12592" s="39">
        <v>852249.19</v>
      </c>
      <c r="H12592" s="42">
        <v>211</v>
      </c>
    </row>
    <row r="12593" spans="1:8" ht="15" customHeight="1">
      <c r="A12593" s="26">
        <v>1052404660</v>
      </c>
      <c r="B12593" s="29" t="s">
        <v>14804</v>
      </c>
      <c r="C12593" s="29" t="s">
        <v>28294</v>
      </c>
      <c r="D12593" s="29" t="s">
        <v>41792</v>
      </c>
      <c r="E12593" s="29" t="s">
        <v>53019</v>
      </c>
      <c r="F12593" s="36" t="s">
        <v>54401</v>
      </c>
      <c r="G12593" s="39">
        <v>598558.80000000005</v>
      </c>
      <c r="H12593" s="42">
        <v>211</v>
      </c>
    </row>
    <row r="12594" spans="1:8" ht="15" customHeight="1">
      <c r="A12594" s="26">
        <v>1052404672</v>
      </c>
      <c r="B12594" s="29" t="s">
        <v>14805</v>
      </c>
      <c r="C12594" s="29" t="s">
        <v>28295</v>
      </c>
      <c r="D12594" s="29" t="s">
        <v>41793</v>
      </c>
      <c r="E12594" s="29" t="s">
        <v>53020</v>
      </c>
      <c r="F12594" s="36" t="s">
        <v>54401</v>
      </c>
      <c r="G12594" s="39">
        <v>55042.84</v>
      </c>
      <c r="H12594" s="42">
        <v>211</v>
      </c>
    </row>
    <row r="12595" spans="1:8" ht="15" customHeight="1">
      <c r="A12595" s="26">
        <v>1052404678</v>
      </c>
      <c r="B12595" s="29" t="s">
        <v>14806</v>
      </c>
      <c r="C12595" s="29"/>
      <c r="D12595" s="29"/>
      <c r="E12595" s="29"/>
      <c r="F12595" s="36" t="s">
        <v>54410</v>
      </c>
      <c r="G12595" s="39">
        <v>128533.56</v>
      </c>
      <c r="H12595" s="42">
        <v>211</v>
      </c>
    </row>
    <row r="12596" spans="1:8" ht="15" customHeight="1">
      <c r="A12596" s="26">
        <v>1052404695</v>
      </c>
      <c r="B12596" s="29" t="s">
        <v>14807</v>
      </c>
      <c r="C12596" s="29" t="s">
        <v>28296</v>
      </c>
      <c r="D12596" s="29" t="s">
        <v>41794</v>
      </c>
      <c r="E12596" s="29" t="s">
        <v>44093</v>
      </c>
      <c r="F12596" s="36" t="s">
        <v>54401</v>
      </c>
      <c r="G12596" s="39">
        <v>4389371.9000000004</v>
      </c>
      <c r="H12596" s="42">
        <v>211</v>
      </c>
    </row>
    <row r="12597" spans="1:8" ht="15" customHeight="1">
      <c r="A12597" s="26">
        <v>1052404700</v>
      </c>
      <c r="B12597" s="29" t="s">
        <v>14808</v>
      </c>
      <c r="C12597" s="29" t="s">
        <v>28297</v>
      </c>
      <c r="D12597" s="29" t="s">
        <v>41795</v>
      </c>
      <c r="E12597" s="29" t="s">
        <v>53021</v>
      </c>
      <c r="F12597" s="36" t="s">
        <v>54401</v>
      </c>
      <c r="G12597" s="39">
        <v>11000</v>
      </c>
      <c r="H12597" s="42">
        <v>211</v>
      </c>
    </row>
    <row r="12598" spans="1:8" ht="15" customHeight="1">
      <c r="A12598" s="26">
        <v>1052404715</v>
      </c>
      <c r="B12598" s="29" t="s">
        <v>14809</v>
      </c>
      <c r="C12598" s="26" t="s">
        <v>28298</v>
      </c>
      <c r="D12598" s="26" t="s">
        <v>41796</v>
      </c>
      <c r="E12598" s="26" t="s">
        <v>53022</v>
      </c>
      <c r="F12598" s="37" t="s">
        <v>54401</v>
      </c>
      <c r="G12598" s="39">
        <v>2970537.04</v>
      </c>
      <c r="H12598" s="42">
        <v>211</v>
      </c>
    </row>
    <row r="12599" spans="1:8" ht="15" customHeight="1">
      <c r="A12599" s="26">
        <v>1052404770</v>
      </c>
      <c r="B12599" s="29" t="s">
        <v>14810</v>
      </c>
      <c r="C12599" s="29" t="s">
        <v>28299</v>
      </c>
      <c r="D12599" s="29" t="s">
        <v>41797</v>
      </c>
      <c r="E12599" s="29" t="s">
        <v>53023</v>
      </c>
      <c r="F12599" s="36" t="s">
        <v>54401</v>
      </c>
      <c r="G12599" s="39">
        <v>379953.24</v>
      </c>
      <c r="H12599" s="42">
        <v>211</v>
      </c>
    </row>
    <row r="12600" spans="1:8" ht="15" customHeight="1">
      <c r="A12600" s="26">
        <v>1052404780</v>
      </c>
      <c r="B12600" s="29" t="s">
        <v>14811</v>
      </c>
      <c r="C12600" s="26" t="s">
        <v>28300</v>
      </c>
      <c r="D12600" s="26" t="s">
        <v>41798</v>
      </c>
      <c r="E12600" s="26" t="s">
        <v>53024</v>
      </c>
      <c r="F12600" s="37" t="s">
        <v>54401</v>
      </c>
      <c r="G12600" s="39">
        <v>669107.25</v>
      </c>
      <c r="H12600" s="42">
        <v>211</v>
      </c>
    </row>
    <row r="12601" spans="1:8" ht="15" customHeight="1">
      <c r="A12601" s="26">
        <v>1052404783</v>
      </c>
      <c r="B12601" s="29" t="s">
        <v>14812</v>
      </c>
      <c r="C12601" s="29" t="s">
        <v>28301</v>
      </c>
      <c r="D12601" s="29" t="s">
        <v>41799</v>
      </c>
      <c r="E12601" s="29" t="s">
        <v>46325</v>
      </c>
      <c r="F12601" s="36" t="s">
        <v>54401</v>
      </c>
      <c r="G12601" s="39">
        <v>86176.68</v>
      </c>
      <c r="H12601" s="42">
        <v>211</v>
      </c>
    </row>
    <row r="12602" spans="1:8" ht="15" customHeight="1">
      <c r="A12602" s="26">
        <v>1052404795</v>
      </c>
      <c r="B12602" s="29" t="s">
        <v>14813</v>
      </c>
      <c r="C12602" s="29" t="s">
        <v>28302</v>
      </c>
      <c r="D12602" s="29" t="s">
        <v>41800</v>
      </c>
      <c r="E12602" s="29" t="s">
        <v>53025</v>
      </c>
      <c r="F12602" s="36" t="s">
        <v>54401</v>
      </c>
      <c r="G12602" s="39">
        <v>408205.73</v>
      </c>
      <c r="H12602" s="42">
        <v>211</v>
      </c>
    </row>
    <row r="12603" spans="1:8" ht="15" customHeight="1">
      <c r="A12603" s="26">
        <v>1052404797</v>
      </c>
      <c r="B12603" s="29" t="s">
        <v>14814</v>
      </c>
      <c r="C12603" s="29" t="s">
        <v>28303</v>
      </c>
      <c r="D12603" s="29" t="s">
        <v>41801</v>
      </c>
      <c r="E12603" s="29" t="s">
        <v>53026</v>
      </c>
      <c r="F12603" s="36" t="s">
        <v>54401</v>
      </c>
      <c r="G12603" s="39">
        <v>301316.21000000002</v>
      </c>
      <c r="H12603" s="42">
        <v>211</v>
      </c>
    </row>
    <row r="12604" spans="1:8" ht="15" customHeight="1">
      <c r="A12604" s="26">
        <v>1052404801</v>
      </c>
      <c r="B12604" s="29" t="s">
        <v>14815</v>
      </c>
      <c r="C12604" s="29" t="s">
        <v>28304</v>
      </c>
      <c r="D12604" s="29" t="s">
        <v>41802</v>
      </c>
      <c r="E12604" s="29" t="s">
        <v>53027</v>
      </c>
      <c r="F12604" s="36" t="s">
        <v>54401</v>
      </c>
      <c r="G12604" s="39">
        <v>141887.29999999999</v>
      </c>
      <c r="H12604" s="42">
        <v>211</v>
      </c>
    </row>
    <row r="12605" spans="1:8" ht="15" customHeight="1">
      <c r="A12605" s="26">
        <v>1052404843</v>
      </c>
      <c r="B12605" s="29" t="s">
        <v>14816</v>
      </c>
      <c r="C12605" s="29" t="s">
        <v>28305</v>
      </c>
      <c r="D12605" s="29" t="s">
        <v>41803</v>
      </c>
      <c r="E12605" s="29" t="s">
        <v>53028</v>
      </c>
      <c r="F12605" s="36" t="s">
        <v>54401</v>
      </c>
      <c r="G12605" s="39">
        <v>3410001</v>
      </c>
      <c r="H12605" s="42">
        <v>211</v>
      </c>
    </row>
    <row r="12606" spans="1:8" ht="15" customHeight="1">
      <c r="A12606" s="26">
        <v>1052404847</v>
      </c>
      <c r="B12606" s="29" t="s">
        <v>14817</v>
      </c>
      <c r="C12606" s="29" t="s">
        <v>28306</v>
      </c>
      <c r="D12606" s="29" t="s">
        <v>41804</v>
      </c>
      <c r="E12606" s="29" t="s">
        <v>53029</v>
      </c>
      <c r="F12606" s="36" t="s">
        <v>54401</v>
      </c>
      <c r="G12606" s="39">
        <v>172772.7</v>
      </c>
      <c r="H12606" s="42">
        <v>211</v>
      </c>
    </row>
    <row r="12607" spans="1:8" ht="15" customHeight="1">
      <c r="A12607" s="26">
        <v>1052404855</v>
      </c>
      <c r="B12607" s="29" t="s">
        <v>14818</v>
      </c>
      <c r="C12607" s="29" t="s">
        <v>17204</v>
      </c>
      <c r="D12607" s="29" t="s">
        <v>41805</v>
      </c>
      <c r="E12607" s="29" t="s">
        <v>43926</v>
      </c>
      <c r="F12607" s="36" t="s">
        <v>54401</v>
      </c>
      <c r="G12607" s="39">
        <v>886010.85</v>
      </c>
      <c r="H12607" s="42">
        <v>211</v>
      </c>
    </row>
    <row r="12608" spans="1:8" ht="15" customHeight="1">
      <c r="A12608" s="26">
        <v>1052404856</v>
      </c>
      <c r="B12608" s="29" t="s">
        <v>14819</v>
      </c>
      <c r="C12608" s="29" t="s">
        <v>28307</v>
      </c>
      <c r="D12608" s="29" t="s">
        <v>41806</v>
      </c>
      <c r="E12608" s="29" t="s">
        <v>53030</v>
      </c>
      <c r="F12608" s="36" t="s">
        <v>54401</v>
      </c>
      <c r="G12608" s="39">
        <v>1727587</v>
      </c>
      <c r="H12608" s="42">
        <v>211</v>
      </c>
    </row>
    <row r="12609" spans="1:8" ht="15" customHeight="1">
      <c r="A12609" s="26">
        <v>1052404869</v>
      </c>
      <c r="B12609" s="29" t="s">
        <v>14820</v>
      </c>
      <c r="C12609" s="29" t="s">
        <v>28308</v>
      </c>
      <c r="D12609" s="29" t="s">
        <v>41807</v>
      </c>
      <c r="E12609" s="29" t="s">
        <v>53031</v>
      </c>
      <c r="F12609" s="36" t="s">
        <v>54401</v>
      </c>
      <c r="G12609" s="39">
        <v>3939222</v>
      </c>
      <c r="H12609" s="42">
        <v>211</v>
      </c>
    </row>
    <row r="12610" spans="1:8" ht="15" customHeight="1">
      <c r="A12610" s="26">
        <v>1052404875</v>
      </c>
      <c r="B12610" s="29" t="s">
        <v>14821</v>
      </c>
      <c r="C12610" s="29" t="s">
        <v>28309</v>
      </c>
      <c r="D12610" s="29" t="s">
        <v>41808</v>
      </c>
      <c r="E12610" s="29" t="s">
        <v>52823</v>
      </c>
      <c r="F12610" s="36" t="s">
        <v>54401</v>
      </c>
      <c r="G12610" s="39">
        <v>522658.87</v>
      </c>
      <c r="H12610" s="42">
        <v>211</v>
      </c>
    </row>
    <row r="12611" spans="1:8" ht="15" customHeight="1">
      <c r="A12611" s="26">
        <v>1052404885</v>
      </c>
      <c r="B12611" s="29" t="s">
        <v>14822</v>
      </c>
      <c r="C12611" s="29" t="s">
        <v>28310</v>
      </c>
      <c r="D12611" s="29" t="s">
        <v>41809</v>
      </c>
      <c r="E12611" s="29" t="s">
        <v>53032</v>
      </c>
      <c r="F12611" s="36" t="s">
        <v>54401</v>
      </c>
      <c r="G12611" s="39">
        <v>6358505.5599999996</v>
      </c>
      <c r="H12611" s="42">
        <v>211</v>
      </c>
    </row>
    <row r="12612" spans="1:8" ht="15" customHeight="1">
      <c r="A12612" s="26">
        <v>1052404927</v>
      </c>
      <c r="B12612" s="29" t="s">
        <v>14823</v>
      </c>
      <c r="C12612" s="29" t="s">
        <v>28311</v>
      </c>
      <c r="D12612" s="29" t="s">
        <v>41810</v>
      </c>
      <c r="E12612" s="29" t="s">
        <v>44431</v>
      </c>
      <c r="F12612" s="36" t="s">
        <v>54401</v>
      </c>
      <c r="G12612" s="39">
        <v>433490.54</v>
      </c>
      <c r="H12612" s="42">
        <v>211</v>
      </c>
    </row>
    <row r="12613" spans="1:8" ht="15" customHeight="1">
      <c r="A12613" s="26">
        <v>1052404939</v>
      </c>
      <c r="B12613" s="29" t="s">
        <v>14824</v>
      </c>
      <c r="C12613" s="29" t="s">
        <v>28312</v>
      </c>
      <c r="D12613" s="29" t="s">
        <v>41811</v>
      </c>
      <c r="E12613" s="29" t="s">
        <v>44170</v>
      </c>
      <c r="F12613" s="36" t="s">
        <v>54401</v>
      </c>
      <c r="G12613" s="39">
        <v>646850.62</v>
      </c>
      <c r="H12613" s="42">
        <v>211</v>
      </c>
    </row>
    <row r="12614" spans="1:8" ht="15" customHeight="1">
      <c r="A12614" s="26">
        <v>1052404951</v>
      </c>
      <c r="B12614" s="29" t="s">
        <v>14825</v>
      </c>
      <c r="C12614" s="29" t="s">
        <v>28313</v>
      </c>
      <c r="D12614" s="29" t="s">
        <v>41812</v>
      </c>
      <c r="E12614" s="29" t="s">
        <v>53033</v>
      </c>
      <c r="F12614" s="36" t="s">
        <v>54401</v>
      </c>
      <c r="G12614" s="39">
        <v>1225036.45</v>
      </c>
      <c r="H12614" s="42">
        <v>211</v>
      </c>
    </row>
    <row r="12615" spans="1:8" ht="15" customHeight="1">
      <c r="A12615" s="26">
        <v>1052404959</v>
      </c>
      <c r="B12615" s="29" t="s">
        <v>14826</v>
      </c>
      <c r="C12615" s="29" t="s">
        <v>28314</v>
      </c>
      <c r="D12615" s="29" t="s">
        <v>41813</v>
      </c>
      <c r="E12615" s="29" t="s">
        <v>53034</v>
      </c>
      <c r="F12615" s="36" t="s">
        <v>54401</v>
      </c>
      <c r="G12615" s="39">
        <v>302097.91999999998</v>
      </c>
      <c r="H12615" s="42">
        <v>211</v>
      </c>
    </row>
    <row r="12616" spans="1:8" ht="15" customHeight="1">
      <c r="A12616" s="26">
        <v>1052404961</v>
      </c>
      <c r="B12616" s="29" t="s">
        <v>14827</v>
      </c>
      <c r="C12616" s="29" t="s">
        <v>28315</v>
      </c>
      <c r="D12616" s="29" t="s">
        <v>41814</v>
      </c>
      <c r="E12616" s="29" t="s">
        <v>43926</v>
      </c>
      <c r="F12616" s="36" t="s">
        <v>54401</v>
      </c>
      <c r="G12616" s="39">
        <v>637904.28</v>
      </c>
      <c r="H12616" s="42">
        <v>211</v>
      </c>
    </row>
    <row r="12617" spans="1:8" ht="15" customHeight="1">
      <c r="A12617" s="26">
        <v>1052404962</v>
      </c>
      <c r="B12617" s="29" t="s">
        <v>14828</v>
      </c>
      <c r="C12617" s="29" t="s">
        <v>28316</v>
      </c>
      <c r="D12617" s="29" t="s">
        <v>41815</v>
      </c>
      <c r="E12617" s="29" t="s">
        <v>53035</v>
      </c>
      <c r="F12617" s="36" t="s">
        <v>54401</v>
      </c>
      <c r="G12617" s="39">
        <v>5729495.4900000002</v>
      </c>
      <c r="H12617" s="42">
        <v>211</v>
      </c>
    </row>
    <row r="12618" spans="1:8" ht="15" customHeight="1">
      <c r="A12618" s="26">
        <v>1052404973</v>
      </c>
      <c r="B12618" s="29" t="s">
        <v>14829</v>
      </c>
      <c r="C12618" s="29" t="s">
        <v>17204</v>
      </c>
      <c r="D12618" s="29" t="s">
        <v>41816</v>
      </c>
      <c r="E12618" s="29" t="s">
        <v>43926</v>
      </c>
      <c r="F12618" s="36" t="s">
        <v>54401</v>
      </c>
      <c r="G12618" s="39">
        <v>911982.46</v>
      </c>
      <c r="H12618" s="42">
        <v>211</v>
      </c>
    </row>
    <row r="12619" spans="1:8" ht="15" customHeight="1">
      <c r="A12619" s="26">
        <v>1052404979</v>
      </c>
      <c r="B12619" s="29" t="s">
        <v>14830</v>
      </c>
      <c r="C12619" s="29" t="s">
        <v>28317</v>
      </c>
      <c r="D12619" s="29" t="s">
        <v>41817</v>
      </c>
      <c r="E12619" s="29" t="s">
        <v>48697</v>
      </c>
      <c r="F12619" s="36" t="s">
        <v>54401</v>
      </c>
      <c r="G12619" s="39">
        <v>4431658</v>
      </c>
      <c r="H12619" s="42">
        <v>211</v>
      </c>
    </row>
    <row r="12620" spans="1:8" ht="15" customHeight="1">
      <c r="A12620" s="26">
        <v>1052404981</v>
      </c>
      <c r="B12620" s="29" t="s">
        <v>14831</v>
      </c>
      <c r="C12620" s="29" t="s">
        <v>17204</v>
      </c>
      <c r="D12620" s="29" t="s">
        <v>41818</v>
      </c>
      <c r="E12620" s="29" t="s">
        <v>53036</v>
      </c>
      <c r="F12620" s="36" t="s">
        <v>54406</v>
      </c>
      <c r="G12620" s="39">
        <v>172376.98</v>
      </c>
      <c r="H12620" s="42">
        <v>211</v>
      </c>
    </row>
    <row r="12621" spans="1:8" ht="15" customHeight="1">
      <c r="A12621" s="26">
        <v>1052405044</v>
      </c>
      <c r="B12621" s="29" t="s">
        <v>14832</v>
      </c>
      <c r="C12621" s="26" t="s">
        <v>28318</v>
      </c>
      <c r="D12621" s="26" t="s">
        <v>41819</v>
      </c>
      <c r="E12621" s="26" t="s">
        <v>43926</v>
      </c>
      <c r="F12621" s="37" t="s">
        <v>54401</v>
      </c>
      <c r="G12621" s="39">
        <v>2441334.33</v>
      </c>
      <c r="H12621" s="42">
        <v>211</v>
      </c>
    </row>
    <row r="12622" spans="1:8" ht="15" customHeight="1">
      <c r="A12622" s="26">
        <v>1052405047</v>
      </c>
      <c r="B12622" s="29" t="s">
        <v>14833</v>
      </c>
      <c r="C12622" s="29" t="s">
        <v>28319</v>
      </c>
      <c r="D12622" s="29" t="s">
        <v>41820</v>
      </c>
      <c r="E12622" s="29" t="s">
        <v>53037</v>
      </c>
      <c r="F12622" s="36" t="s">
        <v>54401</v>
      </c>
      <c r="G12622" s="39">
        <v>1019778.12</v>
      </c>
      <c r="H12622" s="42">
        <v>211</v>
      </c>
    </row>
    <row r="12623" spans="1:8" ht="15" customHeight="1">
      <c r="A12623" s="26">
        <v>1052405081</v>
      </c>
      <c r="B12623" s="29" t="s">
        <v>14834</v>
      </c>
      <c r="C12623" s="29" t="s">
        <v>28320</v>
      </c>
      <c r="D12623" s="29" t="s">
        <v>41821</v>
      </c>
      <c r="E12623" s="29" t="s">
        <v>45190</v>
      </c>
      <c r="F12623" s="36" t="s">
        <v>54401</v>
      </c>
      <c r="G12623" s="39">
        <v>467823.69</v>
      </c>
      <c r="H12623" s="42">
        <v>211</v>
      </c>
    </row>
    <row r="12624" spans="1:8" ht="15" customHeight="1">
      <c r="A12624" s="26">
        <v>1052405091</v>
      </c>
      <c r="B12624" s="29" t="s">
        <v>14835</v>
      </c>
      <c r="C12624" s="29" t="s">
        <v>17204</v>
      </c>
      <c r="D12624" s="29" t="s">
        <v>41822</v>
      </c>
      <c r="E12624" s="29" t="s">
        <v>43926</v>
      </c>
      <c r="F12624" s="36" t="s">
        <v>54401</v>
      </c>
      <c r="G12624" s="39">
        <v>355832.11</v>
      </c>
      <c r="H12624" s="42">
        <v>211</v>
      </c>
    </row>
    <row r="12625" spans="1:8" ht="15" customHeight="1">
      <c r="A12625" s="26">
        <v>1052405098</v>
      </c>
      <c r="B12625" s="29" t="s">
        <v>14836</v>
      </c>
      <c r="C12625" s="29" t="s">
        <v>28321</v>
      </c>
      <c r="D12625" s="29" t="s">
        <v>41823</v>
      </c>
      <c r="E12625" s="29" t="s">
        <v>46522</v>
      </c>
      <c r="F12625" s="36" t="s">
        <v>54401</v>
      </c>
      <c r="G12625" s="39">
        <v>1402006.31</v>
      </c>
      <c r="H12625" s="42">
        <v>211</v>
      </c>
    </row>
    <row r="12626" spans="1:8" ht="15" customHeight="1">
      <c r="A12626" s="26">
        <v>1052405109</v>
      </c>
      <c r="B12626" s="29" t="s">
        <v>14837</v>
      </c>
      <c r="C12626" s="29" t="s">
        <v>28322</v>
      </c>
      <c r="D12626" s="29" t="s">
        <v>41824</v>
      </c>
      <c r="E12626" s="29" t="s">
        <v>53038</v>
      </c>
      <c r="F12626" s="36" t="s">
        <v>54401</v>
      </c>
      <c r="G12626" s="39">
        <v>39200.080000000002</v>
      </c>
      <c r="H12626" s="42">
        <v>211</v>
      </c>
    </row>
    <row r="12627" spans="1:8" ht="15" customHeight="1">
      <c r="A12627" s="26">
        <v>1052405118</v>
      </c>
      <c r="B12627" s="29" t="s">
        <v>14838</v>
      </c>
      <c r="C12627" s="26" t="s">
        <v>28323</v>
      </c>
      <c r="D12627" s="26" t="s">
        <v>30376</v>
      </c>
      <c r="E12627" s="26" t="s">
        <v>53039</v>
      </c>
      <c r="F12627" s="37" t="s">
        <v>54401</v>
      </c>
      <c r="G12627" s="39">
        <v>250214.85</v>
      </c>
      <c r="H12627" s="42">
        <v>211</v>
      </c>
    </row>
    <row r="12628" spans="1:8" ht="15" customHeight="1">
      <c r="A12628" s="26">
        <v>1052405144</v>
      </c>
      <c r="B12628" s="29" t="s">
        <v>14839</v>
      </c>
      <c r="C12628" s="29" t="s">
        <v>28324</v>
      </c>
      <c r="D12628" s="29" t="s">
        <v>41825</v>
      </c>
      <c r="E12628" s="29" t="s">
        <v>46522</v>
      </c>
      <c r="F12628" s="36" t="s">
        <v>54401</v>
      </c>
      <c r="G12628" s="39">
        <v>1431030.26</v>
      </c>
      <c r="H12628" s="42">
        <v>211</v>
      </c>
    </row>
    <row r="12629" spans="1:8" ht="15" customHeight="1">
      <c r="A12629" s="26">
        <v>1052405151</v>
      </c>
      <c r="B12629" s="29" t="s">
        <v>14840</v>
      </c>
      <c r="C12629" s="29" t="s">
        <v>28325</v>
      </c>
      <c r="D12629" s="29" t="s">
        <v>41826</v>
      </c>
      <c r="E12629" s="29" t="s">
        <v>51352</v>
      </c>
      <c r="F12629" s="36" t="s">
        <v>54401</v>
      </c>
      <c r="G12629" s="39">
        <v>2740444.56</v>
      </c>
      <c r="H12629" s="42">
        <v>211</v>
      </c>
    </row>
    <row r="12630" spans="1:8" ht="15" customHeight="1">
      <c r="A12630" s="26">
        <v>1052405159</v>
      </c>
      <c r="B12630" s="29" t="s">
        <v>14841</v>
      </c>
      <c r="C12630" s="29" t="s">
        <v>28326</v>
      </c>
      <c r="D12630" s="29" t="s">
        <v>40413</v>
      </c>
      <c r="E12630" s="29" t="s">
        <v>53040</v>
      </c>
      <c r="F12630" s="36" t="s">
        <v>54401</v>
      </c>
      <c r="G12630" s="39">
        <v>2115392.23</v>
      </c>
      <c r="H12630" s="42">
        <v>211</v>
      </c>
    </row>
    <row r="12631" spans="1:8" ht="15" customHeight="1">
      <c r="A12631" s="26">
        <v>1052405172</v>
      </c>
      <c r="B12631" s="29" t="s">
        <v>14842</v>
      </c>
      <c r="C12631" s="26" t="s">
        <v>17204</v>
      </c>
      <c r="D12631" s="26" t="s">
        <v>41827</v>
      </c>
      <c r="E12631" s="26" t="s">
        <v>43926</v>
      </c>
      <c r="F12631" s="37" t="s">
        <v>54401</v>
      </c>
      <c r="G12631" s="39">
        <v>2094022.3</v>
      </c>
      <c r="H12631" s="42">
        <v>211</v>
      </c>
    </row>
    <row r="12632" spans="1:8" ht="15" customHeight="1">
      <c r="A12632" s="26">
        <v>1052405176</v>
      </c>
      <c r="B12632" s="29" t="s">
        <v>14843</v>
      </c>
      <c r="C12632" s="29" t="s">
        <v>17204</v>
      </c>
      <c r="D12632" s="29" t="s">
        <v>41828</v>
      </c>
      <c r="E12632" s="29" t="s">
        <v>43926</v>
      </c>
      <c r="F12632" s="36" t="s">
        <v>54401</v>
      </c>
      <c r="G12632" s="39">
        <v>244014.15</v>
      </c>
      <c r="H12632" s="42">
        <v>211</v>
      </c>
    </row>
    <row r="12633" spans="1:8" ht="15" customHeight="1">
      <c r="A12633" s="26">
        <v>1052405191</v>
      </c>
      <c r="B12633" s="29" t="s">
        <v>14844</v>
      </c>
      <c r="C12633" s="29" t="s">
        <v>28327</v>
      </c>
      <c r="D12633" s="29" t="s">
        <v>30938</v>
      </c>
      <c r="E12633" s="29" t="s">
        <v>49605</v>
      </c>
      <c r="F12633" s="36" t="s">
        <v>54401</v>
      </c>
      <c r="G12633" s="39">
        <v>5268858.24</v>
      </c>
      <c r="H12633" s="42">
        <v>211</v>
      </c>
    </row>
    <row r="12634" spans="1:8" ht="15" customHeight="1">
      <c r="A12634" s="26">
        <v>1052405260</v>
      </c>
      <c r="B12634" s="29" t="s">
        <v>14845</v>
      </c>
      <c r="C12634" s="29" t="s">
        <v>28328</v>
      </c>
      <c r="D12634" s="29" t="s">
        <v>41829</v>
      </c>
      <c r="E12634" s="29" t="s">
        <v>53041</v>
      </c>
      <c r="F12634" s="36" t="s">
        <v>54401</v>
      </c>
      <c r="G12634" s="39">
        <v>4092785</v>
      </c>
      <c r="H12634" s="42">
        <v>211</v>
      </c>
    </row>
    <row r="12635" spans="1:8" ht="15" customHeight="1">
      <c r="A12635" s="26">
        <v>1052405261</v>
      </c>
      <c r="B12635" s="29" t="s">
        <v>14846</v>
      </c>
      <c r="C12635" s="29" t="s">
        <v>28329</v>
      </c>
      <c r="D12635" s="29" t="s">
        <v>41830</v>
      </c>
      <c r="E12635" s="29" t="s">
        <v>44025</v>
      </c>
      <c r="F12635" s="36" t="s">
        <v>54401</v>
      </c>
      <c r="G12635" s="39">
        <v>4068890</v>
      </c>
      <c r="H12635" s="42">
        <v>211</v>
      </c>
    </row>
    <row r="12636" spans="1:8" ht="15" customHeight="1">
      <c r="A12636" s="26">
        <v>1052405278</v>
      </c>
      <c r="B12636" s="29" t="s">
        <v>14847</v>
      </c>
      <c r="C12636" s="29" t="s">
        <v>28330</v>
      </c>
      <c r="D12636" s="29" t="s">
        <v>41831</v>
      </c>
      <c r="E12636" s="29" t="s">
        <v>53042</v>
      </c>
      <c r="F12636" s="36" t="s">
        <v>54401</v>
      </c>
      <c r="G12636" s="39">
        <v>891266.33</v>
      </c>
      <c r="H12636" s="42">
        <v>211</v>
      </c>
    </row>
    <row r="12637" spans="1:8" ht="15" customHeight="1">
      <c r="A12637" s="26">
        <v>1052405293</v>
      </c>
      <c r="B12637" s="29" t="s">
        <v>14848</v>
      </c>
      <c r="C12637" s="29" t="s">
        <v>28331</v>
      </c>
      <c r="D12637" s="29" t="s">
        <v>41832</v>
      </c>
      <c r="E12637" s="29" t="s">
        <v>53043</v>
      </c>
      <c r="F12637" s="36" t="s">
        <v>54401</v>
      </c>
      <c r="G12637" s="39">
        <v>23731.08</v>
      </c>
      <c r="H12637" s="42">
        <v>211</v>
      </c>
    </row>
    <row r="12638" spans="1:8" ht="15" customHeight="1">
      <c r="A12638" s="26">
        <v>1052405343</v>
      </c>
      <c r="B12638" s="29" t="s">
        <v>14849</v>
      </c>
      <c r="C12638" s="29" t="s">
        <v>28332</v>
      </c>
      <c r="D12638" s="29" t="s">
        <v>41833</v>
      </c>
      <c r="E12638" s="29" t="s">
        <v>53044</v>
      </c>
      <c r="F12638" s="36" t="s">
        <v>54401</v>
      </c>
      <c r="G12638" s="39">
        <v>861090.76</v>
      </c>
      <c r="H12638" s="42">
        <v>211</v>
      </c>
    </row>
    <row r="12639" spans="1:8" ht="15" customHeight="1">
      <c r="A12639" s="26">
        <v>1052405345</v>
      </c>
      <c r="B12639" s="29" t="s">
        <v>14850</v>
      </c>
      <c r="C12639" s="26" t="s">
        <v>28333</v>
      </c>
      <c r="D12639" s="26" t="s">
        <v>41834</v>
      </c>
      <c r="E12639" s="26" t="s">
        <v>53045</v>
      </c>
      <c r="F12639" s="37" t="s">
        <v>54401</v>
      </c>
      <c r="G12639" s="39">
        <v>2892128</v>
      </c>
      <c r="H12639" s="42">
        <v>211</v>
      </c>
    </row>
    <row r="12640" spans="1:8" ht="15" customHeight="1">
      <c r="A12640" s="26">
        <v>1052405348</v>
      </c>
      <c r="B12640" s="29" t="s">
        <v>14851</v>
      </c>
      <c r="C12640" s="29" t="s">
        <v>28334</v>
      </c>
      <c r="D12640" s="29" t="s">
        <v>41835</v>
      </c>
      <c r="E12640" s="29" t="s">
        <v>53046</v>
      </c>
      <c r="F12640" s="36" t="s">
        <v>54401</v>
      </c>
      <c r="G12640" s="39">
        <v>94658.73</v>
      </c>
      <c r="H12640" s="42">
        <v>211</v>
      </c>
    </row>
    <row r="12641" spans="1:8" ht="15" customHeight="1">
      <c r="A12641" s="26">
        <v>1052405383</v>
      </c>
      <c r="B12641" s="29" t="s">
        <v>14852</v>
      </c>
      <c r="C12641" s="29" t="s">
        <v>28335</v>
      </c>
      <c r="D12641" s="29" t="s">
        <v>41836</v>
      </c>
      <c r="E12641" s="29" t="s">
        <v>43926</v>
      </c>
      <c r="F12641" s="36" t="s">
        <v>54401</v>
      </c>
      <c r="G12641" s="39">
        <v>777230.99</v>
      </c>
      <c r="H12641" s="42">
        <v>211</v>
      </c>
    </row>
    <row r="12642" spans="1:8" ht="15" customHeight="1">
      <c r="A12642" s="26">
        <v>1052405385</v>
      </c>
      <c r="B12642" s="29" t="s">
        <v>14853</v>
      </c>
      <c r="C12642" s="29" t="s">
        <v>28336</v>
      </c>
      <c r="D12642" s="29" t="s">
        <v>41837</v>
      </c>
      <c r="E12642" s="29" t="s">
        <v>53047</v>
      </c>
      <c r="F12642" s="36" t="s">
        <v>54401</v>
      </c>
      <c r="G12642" s="39">
        <v>1833808.21</v>
      </c>
      <c r="H12642" s="42">
        <v>211</v>
      </c>
    </row>
    <row r="12643" spans="1:8" ht="15" customHeight="1">
      <c r="A12643" s="26">
        <v>1052405397</v>
      </c>
      <c r="B12643" s="29" t="s">
        <v>14854</v>
      </c>
      <c r="C12643" s="29" t="s">
        <v>28337</v>
      </c>
      <c r="D12643" s="29" t="s">
        <v>41838</v>
      </c>
      <c r="E12643" s="29" t="s">
        <v>51866</v>
      </c>
      <c r="F12643" s="36" t="s">
        <v>54401</v>
      </c>
      <c r="G12643" s="39">
        <v>3575815.72</v>
      </c>
      <c r="H12643" s="42">
        <v>211</v>
      </c>
    </row>
    <row r="12644" spans="1:8" ht="15" customHeight="1">
      <c r="A12644" s="26">
        <v>1052405399</v>
      </c>
      <c r="B12644" s="29" t="s">
        <v>14855</v>
      </c>
      <c r="C12644" s="29" t="s">
        <v>28338</v>
      </c>
      <c r="D12644" s="29" t="s">
        <v>41839</v>
      </c>
      <c r="E12644" s="29" t="s">
        <v>53048</v>
      </c>
      <c r="F12644" s="36" t="s">
        <v>54401</v>
      </c>
      <c r="G12644" s="39">
        <v>46008.94</v>
      </c>
      <c r="H12644" s="42">
        <v>211</v>
      </c>
    </row>
    <row r="12645" spans="1:8" ht="15" customHeight="1">
      <c r="A12645" s="26">
        <v>1052405403</v>
      </c>
      <c r="B12645" s="29" t="s">
        <v>14856</v>
      </c>
      <c r="C12645" s="29" t="s">
        <v>28339</v>
      </c>
      <c r="D12645" s="29" t="s">
        <v>41840</v>
      </c>
      <c r="E12645" s="29" t="s">
        <v>47326</v>
      </c>
      <c r="F12645" s="36" t="s">
        <v>54401</v>
      </c>
      <c r="G12645" s="39">
        <v>1431042.82</v>
      </c>
      <c r="H12645" s="42">
        <v>211</v>
      </c>
    </row>
    <row r="12646" spans="1:8" ht="15" customHeight="1">
      <c r="A12646" s="26">
        <v>1052405408</v>
      </c>
      <c r="B12646" s="29" t="s">
        <v>14857</v>
      </c>
      <c r="C12646" s="26" t="s">
        <v>28340</v>
      </c>
      <c r="D12646" s="26" t="s">
        <v>41841</v>
      </c>
      <c r="E12646" s="26" t="s">
        <v>53049</v>
      </c>
      <c r="F12646" s="37" t="s">
        <v>54401</v>
      </c>
      <c r="G12646" s="39">
        <v>836901.52</v>
      </c>
      <c r="H12646" s="42">
        <v>211</v>
      </c>
    </row>
    <row r="12647" spans="1:8" ht="15" customHeight="1">
      <c r="A12647" s="26">
        <v>1052405435</v>
      </c>
      <c r="B12647" s="29" t="s">
        <v>14858</v>
      </c>
      <c r="C12647" s="26" t="s">
        <v>28341</v>
      </c>
      <c r="D12647" s="26" t="s">
        <v>41842</v>
      </c>
      <c r="E12647" s="26" t="s">
        <v>53050</v>
      </c>
      <c r="F12647" s="37" t="s">
        <v>54401</v>
      </c>
      <c r="G12647" s="39">
        <v>2008895</v>
      </c>
      <c r="H12647" s="42">
        <v>211</v>
      </c>
    </row>
    <row r="12648" spans="1:8" ht="15" customHeight="1">
      <c r="A12648" s="26">
        <v>1052405457</v>
      </c>
      <c r="B12648" s="29" t="s">
        <v>14859</v>
      </c>
      <c r="C12648" s="26" t="s">
        <v>28342</v>
      </c>
      <c r="D12648" s="26" t="s">
        <v>30376</v>
      </c>
      <c r="E12648" s="26" t="s">
        <v>53051</v>
      </c>
      <c r="F12648" s="37" t="s">
        <v>54401</v>
      </c>
      <c r="G12648" s="39">
        <v>100301.61</v>
      </c>
      <c r="H12648" s="42">
        <v>211</v>
      </c>
    </row>
    <row r="12649" spans="1:8" ht="15" customHeight="1">
      <c r="A12649" s="26">
        <v>1052405473</v>
      </c>
      <c r="B12649" s="29" t="s">
        <v>14860</v>
      </c>
      <c r="C12649" s="26" t="s">
        <v>28343</v>
      </c>
      <c r="D12649" s="26" t="s">
        <v>41843</v>
      </c>
      <c r="E12649" s="26" t="s">
        <v>43926</v>
      </c>
      <c r="F12649" s="37" t="s">
        <v>54401</v>
      </c>
      <c r="G12649" s="39">
        <v>149107.51999999999</v>
      </c>
      <c r="H12649" s="42">
        <v>211</v>
      </c>
    </row>
    <row r="12650" spans="1:8" ht="15" customHeight="1">
      <c r="A12650" s="26">
        <v>1052405487</v>
      </c>
      <c r="B12650" s="29" t="s">
        <v>14861</v>
      </c>
      <c r="C12650" s="29" t="s">
        <v>28344</v>
      </c>
      <c r="D12650" s="29" t="s">
        <v>41844</v>
      </c>
      <c r="E12650" s="29" t="s">
        <v>53052</v>
      </c>
      <c r="F12650" s="36" t="s">
        <v>54401</v>
      </c>
      <c r="G12650" s="39">
        <v>1911311</v>
      </c>
      <c r="H12650" s="42">
        <v>211</v>
      </c>
    </row>
    <row r="12651" spans="1:8" ht="15" customHeight="1">
      <c r="A12651" s="26">
        <v>1052405500</v>
      </c>
      <c r="B12651" s="29" t="s">
        <v>14862</v>
      </c>
      <c r="C12651" s="29" t="s">
        <v>28345</v>
      </c>
      <c r="D12651" s="29" t="s">
        <v>41845</v>
      </c>
      <c r="E12651" s="29" t="s">
        <v>53053</v>
      </c>
      <c r="F12651" s="36" t="s">
        <v>54401</v>
      </c>
      <c r="G12651" s="39">
        <v>2934606.14</v>
      </c>
      <c r="H12651" s="42">
        <v>211</v>
      </c>
    </row>
    <row r="12652" spans="1:8" ht="15" customHeight="1">
      <c r="A12652" s="26">
        <v>1052405501</v>
      </c>
      <c r="B12652" s="29" t="s">
        <v>14863</v>
      </c>
      <c r="C12652" s="29" t="s">
        <v>28346</v>
      </c>
      <c r="D12652" s="29" t="s">
        <v>31603</v>
      </c>
      <c r="E12652" s="29" t="s">
        <v>50077</v>
      </c>
      <c r="F12652" s="36" t="s">
        <v>54401</v>
      </c>
      <c r="G12652" s="39">
        <v>158773.99</v>
      </c>
      <c r="H12652" s="42">
        <v>211</v>
      </c>
    </row>
    <row r="12653" spans="1:8" ht="15" customHeight="1">
      <c r="A12653" s="26">
        <v>1052405523</v>
      </c>
      <c r="B12653" s="29" t="s">
        <v>14864</v>
      </c>
      <c r="C12653" s="29" t="s">
        <v>28347</v>
      </c>
      <c r="D12653" s="29" t="s">
        <v>41846</v>
      </c>
      <c r="E12653" s="29" t="s">
        <v>53041</v>
      </c>
      <c r="F12653" s="36" t="s">
        <v>54401</v>
      </c>
      <c r="G12653" s="39">
        <v>3400941</v>
      </c>
      <c r="H12653" s="42">
        <v>211</v>
      </c>
    </row>
    <row r="12654" spans="1:8" ht="15" customHeight="1">
      <c r="A12654" s="26">
        <v>1052405524</v>
      </c>
      <c r="B12654" s="29" t="s">
        <v>14865</v>
      </c>
      <c r="C12654" s="29" t="s">
        <v>28348</v>
      </c>
      <c r="D12654" s="29" t="s">
        <v>41847</v>
      </c>
      <c r="E12654" s="29" t="s">
        <v>53054</v>
      </c>
      <c r="F12654" s="36" t="s">
        <v>54401</v>
      </c>
      <c r="G12654" s="39">
        <v>240897.58</v>
      </c>
      <c r="H12654" s="42">
        <v>211</v>
      </c>
    </row>
    <row r="12655" spans="1:8" ht="15" customHeight="1">
      <c r="A12655" s="26">
        <v>1052405527</v>
      </c>
      <c r="B12655" s="29" t="s">
        <v>14866</v>
      </c>
      <c r="C12655" s="26" t="s">
        <v>28349</v>
      </c>
      <c r="D12655" s="26" t="s">
        <v>41848</v>
      </c>
      <c r="E12655" s="26" t="s">
        <v>44250</v>
      </c>
      <c r="F12655" s="37" t="s">
        <v>54401</v>
      </c>
      <c r="G12655" s="39">
        <v>580090.54</v>
      </c>
      <c r="H12655" s="42">
        <v>211</v>
      </c>
    </row>
    <row r="12656" spans="1:8" ht="15" customHeight="1">
      <c r="A12656" s="26">
        <v>1052405531</v>
      </c>
      <c r="B12656" s="29" t="s">
        <v>14867</v>
      </c>
      <c r="C12656" s="29" t="s">
        <v>17204</v>
      </c>
      <c r="D12656" s="29" t="s">
        <v>30349</v>
      </c>
      <c r="E12656" s="29" t="s">
        <v>43926</v>
      </c>
      <c r="F12656" s="36" t="s">
        <v>54401</v>
      </c>
      <c r="G12656" s="39">
        <v>484376.02</v>
      </c>
      <c r="H12656" s="42">
        <v>211</v>
      </c>
    </row>
    <row r="12657" spans="1:8" ht="15" customHeight="1">
      <c r="A12657" s="26">
        <v>1052405539</v>
      </c>
      <c r="B12657" s="29" t="s">
        <v>14868</v>
      </c>
      <c r="C12657" s="29" t="s">
        <v>28350</v>
      </c>
      <c r="D12657" s="29" t="s">
        <v>41849</v>
      </c>
      <c r="E12657" s="29" t="s">
        <v>44737</v>
      </c>
      <c r="F12657" s="36" t="s">
        <v>54401</v>
      </c>
      <c r="G12657" s="39">
        <v>4514803.4400000004</v>
      </c>
      <c r="H12657" s="42">
        <v>211</v>
      </c>
    </row>
    <row r="12658" spans="1:8" ht="15" customHeight="1">
      <c r="A12658" s="26">
        <v>1052405544</v>
      </c>
      <c r="B12658" s="29" t="s">
        <v>14869</v>
      </c>
      <c r="C12658" s="29" t="s">
        <v>28351</v>
      </c>
      <c r="D12658" s="29" t="s">
        <v>41850</v>
      </c>
      <c r="E12658" s="29" t="s">
        <v>45006</v>
      </c>
      <c r="F12658" s="36" t="s">
        <v>54401</v>
      </c>
      <c r="G12658" s="39">
        <v>580870.40000000002</v>
      </c>
      <c r="H12658" s="42">
        <v>211</v>
      </c>
    </row>
    <row r="12659" spans="1:8" ht="15" customHeight="1">
      <c r="A12659" s="26">
        <v>1052405569</v>
      </c>
      <c r="B12659" s="29" t="s">
        <v>14870</v>
      </c>
      <c r="C12659" s="29" t="s">
        <v>28352</v>
      </c>
      <c r="D12659" s="29" t="s">
        <v>41851</v>
      </c>
      <c r="E12659" s="29" t="s">
        <v>53055</v>
      </c>
      <c r="F12659" s="36" t="s">
        <v>54401</v>
      </c>
      <c r="G12659" s="39">
        <v>248171.89</v>
      </c>
      <c r="H12659" s="42">
        <v>211</v>
      </c>
    </row>
    <row r="12660" spans="1:8" ht="15" customHeight="1">
      <c r="A12660" s="26">
        <v>1052405618</v>
      </c>
      <c r="B12660" s="29" t="s">
        <v>14871</v>
      </c>
      <c r="C12660" s="29" t="s">
        <v>28353</v>
      </c>
      <c r="D12660" s="29" t="s">
        <v>41852</v>
      </c>
      <c r="E12660" s="29" t="s">
        <v>53056</v>
      </c>
      <c r="F12660" s="36" t="s">
        <v>54401</v>
      </c>
      <c r="G12660" s="39">
        <v>409322.25</v>
      </c>
      <c r="H12660" s="42">
        <v>211</v>
      </c>
    </row>
    <row r="12661" spans="1:8" ht="15" customHeight="1">
      <c r="A12661" s="26">
        <v>1052405629</v>
      </c>
      <c r="B12661" s="29" t="s">
        <v>14872</v>
      </c>
      <c r="C12661" s="29" t="s">
        <v>28354</v>
      </c>
      <c r="D12661" s="29" t="s">
        <v>41853</v>
      </c>
      <c r="E12661" s="29" t="s">
        <v>53057</v>
      </c>
      <c r="F12661" s="36" t="s">
        <v>54401</v>
      </c>
      <c r="G12661" s="39">
        <v>1976936</v>
      </c>
      <c r="H12661" s="42">
        <v>211</v>
      </c>
    </row>
    <row r="12662" spans="1:8" ht="15" customHeight="1">
      <c r="A12662" s="26">
        <v>1052405633</v>
      </c>
      <c r="B12662" s="29" t="s">
        <v>14873</v>
      </c>
      <c r="C12662" s="29" t="s">
        <v>28355</v>
      </c>
      <c r="D12662" s="29" t="s">
        <v>41854</v>
      </c>
      <c r="E12662" s="29" t="s">
        <v>53058</v>
      </c>
      <c r="F12662" s="36" t="s">
        <v>54401</v>
      </c>
      <c r="G12662" s="39">
        <v>576901.06000000006</v>
      </c>
      <c r="H12662" s="42">
        <v>211</v>
      </c>
    </row>
    <row r="12663" spans="1:8" ht="15" customHeight="1">
      <c r="A12663" s="26">
        <v>1052405643</v>
      </c>
      <c r="B12663" s="29" t="s">
        <v>14874</v>
      </c>
      <c r="C12663" s="29" t="s">
        <v>28356</v>
      </c>
      <c r="D12663" s="29" t="s">
        <v>41855</v>
      </c>
      <c r="E12663" s="29" t="s">
        <v>47326</v>
      </c>
      <c r="F12663" s="36" t="s">
        <v>54401</v>
      </c>
      <c r="G12663" s="39">
        <v>1836300</v>
      </c>
      <c r="H12663" s="42">
        <v>211</v>
      </c>
    </row>
    <row r="12664" spans="1:8" ht="15" customHeight="1">
      <c r="A12664" s="26">
        <v>1052405648</v>
      </c>
      <c r="B12664" s="29" t="s">
        <v>14875</v>
      </c>
      <c r="C12664" s="29" t="s">
        <v>28357</v>
      </c>
      <c r="D12664" s="29" t="s">
        <v>41856</v>
      </c>
      <c r="E12664" s="29" t="s">
        <v>53059</v>
      </c>
      <c r="F12664" s="36" t="s">
        <v>54401</v>
      </c>
      <c r="G12664" s="39">
        <v>676824.24</v>
      </c>
      <c r="H12664" s="42">
        <v>211</v>
      </c>
    </row>
    <row r="12665" spans="1:8" ht="15" customHeight="1">
      <c r="A12665" s="26">
        <v>1052405675</v>
      </c>
      <c r="B12665" s="29" t="s">
        <v>14876</v>
      </c>
      <c r="C12665" s="29" t="s">
        <v>28358</v>
      </c>
      <c r="D12665" s="29" t="s">
        <v>41857</v>
      </c>
      <c r="E12665" s="29" t="s">
        <v>47864</v>
      </c>
      <c r="F12665" s="36" t="s">
        <v>54401</v>
      </c>
      <c r="G12665" s="39">
        <v>5996002</v>
      </c>
      <c r="H12665" s="42">
        <v>211</v>
      </c>
    </row>
    <row r="12666" spans="1:8" ht="15" customHeight="1">
      <c r="A12666" s="26">
        <v>1052405682</v>
      </c>
      <c r="B12666" s="29" t="s">
        <v>14877</v>
      </c>
      <c r="C12666" s="29" t="s">
        <v>28359</v>
      </c>
      <c r="D12666" s="29" t="s">
        <v>41858</v>
      </c>
      <c r="E12666" s="29" t="s">
        <v>43926</v>
      </c>
      <c r="F12666" s="36" t="s">
        <v>54401</v>
      </c>
      <c r="G12666" s="39">
        <v>1072215.72</v>
      </c>
      <c r="H12666" s="42">
        <v>211</v>
      </c>
    </row>
    <row r="12667" spans="1:8" ht="15" customHeight="1">
      <c r="A12667" s="26">
        <v>1052405696</v>
      </c>
      <c r="B12667" s="29" t="s">
        <v>14878</v>
      </c>
      <c r="C12667" s="29" t="s">
        <v>28360</v>
      </c>
      <c r="D12667" s="29" t="s">
        <v>41859</v>
      </c>
      <c r="E12667" s="29" t="s">
        <v>53060</v>
      </c>
      <c r="F12667" s="36" t="s">
        <v>54401</v>
      </c>
      <c r="G12667" s="39">
        <v>13616.8</v>
      </c>
      <c r="H12667" s="42">
        <v>211</v>
      </c>
    </row>
    <row r="12668" spans="1:8" ht="15" customHeight="1">
      <c r="A12668" s="26">
        <v>1052405712</v>
      </c>
      <c r="B12668" s="29" t="s">
        <v>14879</v>
      </c>
      <c r="C12668" s="26" t="s">
        <v>28361</v>
      </c>
      <c r="D12668" s="26" t="s">
        <v>41860</v>
      </c>
      <c r="E12668" s="26" t="s">
        <v>53061</v>
      </c>
      <c r="F12668" s="37" t="s">
        <v>54401</v>
      </c>
      <c r="G12668" s="39">
        <v>506088.22</v>
      </c>
      <c r="H12668" s="42">
        <v>211</v>
      </c>
    </row>
    <row r="12669" spans="1:8" ht="15" customHeight="1">
      <c r="A12669" s="26">
        <v>1052405729</v>
      </c>
      <c r="B12669" s="29" t="s">
        <v>14880</v>
      </c>
      <c r="C12669" s="29" t="s">
        <v>25254</v>
      </c>
      <c r="D12669" s="29" t="s">
        <v>38627</v>
      </c>
      <c r="E12669" s="29" t="s">
        <v>53062</v>
      </c>
      <c r="F12669" s="36" t="s">
        <v>54401</v>
      </c>
      <c r="G12669" s="39">
        <v>364619.12</v>
      </c>
      <c r="H12669" s="42">
        <v>211</v>
      </c>
    </row>
    <row r="12670" spans="1:8" ht="15" customHeight="1">
      <c r="A12670" s="26">
        <v>1052405737</v>
      </c>
      <c r="B12670" s="29" t="s">
        <v>14881</v>
      </c>
      <c r="C12670" s="26" t="s">
        <v>28362</v>
      </c>
      <c r="D12670" s="26" t="s">
        <v>41861</v>
      </c>
      <c r="E12670" s="26" t="s">
        <v>43926</v>
      </c>
      <c r="F12670" s="37" t="s">
        <v>54401</v>
      </c>
      <c r="G12670" s="39">
        <v>903483.47</v>
      </c>
      <c r="H12670" s="42">
        <v>211</v>
      </c>
    </row>
    <row r="12671" spans="1:8" ht="15" customHeight="1">
      <c r="A12671" s="26">
        <v>1052405767</v>
      </c>
      <c r="B12671" s="29" t="s">
        <v>14882</v>
      </c>
      <c r="C12671" s="29" t="s">
        <v>28363</v>
      </c>
      <c r="D12671" s="29" t="s">
        <v>41862</v>
      </c>
      <c r="E12671" s="29" t="s">
        <v>53063</v>
      </c>
      <c r="F12671" s="36" t="s">
        <v>54401</v>
      </c>
      <c r="G12671" s="39">
        <v>541741.06000000006</v>
      </c>
      <c r="H12671" s="42">
        <v>211</v>
      </c>
    </row>
    <row r="12672" spans="1:8" ht="15" customHeight="1">
      <c r="A12672" s="26">
        <v>1052405774</v>
      </c>
      <c r="B12672" s="29" t="s">
        <v>14883</v>
      </c>
      <c r="C12672" s="29" t="s">
        <v>28364</v>
      </c>
      <c r="D12672" s="29" t="s">
        <v>41863</v>
      </c>
      <c r="E12672" s="29" t="s">
        <v>53064</v>
      </c>
      <c r="F12672" s="36" t="s">
        <v>54401</v>
      </c>
      <c r="G12672" s="39">
        <v>7333077.1600000001</v>
      </c>
      <c r="H12672" s="42">
        <v>211</v>
      </c>
    </row>
    <row r="12673" spans="1:8" ht="15" customHeight="1">
      <c r="A12673" s="26">
        <v>1052405787</v>
      </c>
      <c r="B12673" s="29" t="s">
        <v>14884</v>
      </c>
      <c r="C12673" s="29" t="s">
        <v>17204</v>
      </c>
      <c r="D12673" s="29" t="s">
        <v>30349</v>
      </c>
      <c r="E12673" s="29" t="s">
        <v>43926</v>
      </c>
      <c r="F12673" s="36" t="s">
        <v>54401</v>
      </c>
      <c r="G12673" s="39">
        <v>412089.58</v>
      </c>
      <c r="H12673" s="42">
        <v>211</v>
      </c>
    </row>
    <row r="12674" spans="1:8" ht="15" customHeight="1">
      <c r="A12674" s="26">
        <v>1052405794</v>
      </c>
      <c r="B12674" s="29" t="s">
        <v>14885</v>
      </c>
      <c r="C12674" s="29" t="s">
        <v>28365</v>
      </c>
      <c r="D12674" s="29" t="s">
        <v>41864</v>
      </c>
      <c r="E12674" s="29" t="s">
        <v>51385</v>
      </c>
      <c r="F12674" s="36" t="s">
        <v>54401</v>
      </c>
      <c r="G12674" s="39">
        <v>666568.78</v>
      </c>
      <c r="H12674" s="42">
        <v>211</v>
      </c>
    </row>
    <row r="12675" spans="1:8" ht="15" customHeight="1">
      <c r="A12675" s="26">
        <v>1052405796</v>
      </c>
      <c r="B12675" s="29" t="s">
        <v>14886</v>
      </c>
      <c r="C12675" s="29" t="s">
        <v>28366</v>
      </c>
      <c r="D12675" s="29" t="s">
        <v>41865</v>
      </c>
      <c r="E12675" s="29" t="s">
        <v>53065</v>
      </c>
      <c r="F12675" s="36" t="s">
        <v>54401</v>
      </c>
      <c r="G12675" s="39">
        <v>162608.37</v>
      </c>
      <c r="H12675" s="42">
        <v>211</v>
      </c>
    </row>
    <row r="12676" spans="1:8" ht="15" customHeight="1">
      <c r="A12676" s="26">
        <v>1052405815</v>
      </c>
      <c r="B12676" s="29" t="s">
        <v>14887</v>
      </c>
      <c r="C12676" s="29" t="s">
        <v>28367</v>
      </c>
      <c r="D12676" s="29" t="s">
        <v>41866</v>
      </c>
      <c r="E12676" s="29" t="s">
        <v>43926</v>
      </c>
      <c r="F12676" s="36" t="s">
        <v>54401</v>
      </c>
      <c r="G12676" s="39">
        <v>2169230.6</v>
      </c>
      <c r="H12676" s="42">
        <v>211</v>
      </c>
    </row>
    <row r="12677" spans="1:8" ht="15" customHeight="1">
      <c r="A12677" s="26">
        <v>1052405832</v>
      </c>
      <c r="B12677" s="29" t="s">
        <v>14888</v>
      </c>
      <c r="C12677" s="26" t="s">
        <v>28368</v>
      </c>
      <c r="D12677" s="26" t="s">
        <v>41867</v>
      </c>
      <c r="E12677" s="26" t="s">
        <v>43926</v>
      </c>
      <c r="F12677" s="37" t="s">
        <v>54401</v>
      </c>
      <c r="G12677" s="39">
        <v>5312632</v>
      </c>
      <c r="H12677" s="42">
        <v>211</v>
      </c>
    </row>
    <row r="12678" spans="1:8" ht="15" customHeight="1">
      <c r="A12678" s="26">
        <v>1052405847</v>
      </c>
      <c r="B12678" s="29" t="s">
        <v>14889</v>
      </c>
      <c r="C12678" s="29" t="s">
        <v>17204</v>
      </c>
      <c r="D12678" s="29" t="s">
        <v>30349</v>
      </c>
      <c r="E12678" s="29" t="s">
        <v>43926</v>
      </c>
      <c r="F12678" s="36" t="s">
        <v>54401</v>
      </c>
      <c r="G12678" s="39">
        <v>213031.44</v>
      </c>
      <c r="H12678" s="42">
        <v>211</v>
      </c>
    </row>
    <row r="12679" spans="1:8" ht="15" customHeight="1">
      <c r="A12679" s="26">
        <v>1052405873</v>
      </c>
      <c r="B12679" s="29" t="s">
        <v>14890</v>
      </c>
      <c r="C12679" s="29" t="s">
        <v>28369</v>
      </c>
      <c r="D12679" s="29" t="s">
        <v>41868</v>
      </c>
      <c r="E12679" s="29" t="s">
        <v>53066</v>
      </c>
      <c r="F12679" s="36" t="s">
        <v>54401</v>
      </c>
      <c r="G12679" s="39">
        <v>4654494.42</v>
      </c>
      <c r="H12679" s="42">
        <v>211</v>
      </c>
    </row>
    <row r="12680" spans="1:8" ht="15" customHeight="1">
      <c r="A12680" s="26">
        <v>1052405899</v>
      </c>
      <c r="B12680" s="29" t="s">
        <v>14891</v>
      </c>
      <c r="C12680" s="29" t="s">
        <v>28370</v>
      </c>
      <c r="D12680" s="29" t="s">
        <v>41869</v>
      </c>
      <c r="E12680" s="29" t="s">
        <v>53067</v>
      </c>
      <c r="F12680" s="36" t="s">
        <v>54401</v>
      </c>
      <c r="G12680" s="39">
        <v>580951.26</v>
      </c>
      <c r="H12680" s="42">
        <v>211</v>
      </c>
    </row>
    <row r="12681" spans="1:8" ht="15" customHeight="1">
      <c r="A12681" s="26">
        <v>1052405912</v>
      </c>
      <c r="B12681" s="29" t="s">
        <v>14892</v>
      </c>
      <c r="C12681" s="29" t="s">
        <v>28371</v>
      </c>
      <c r="D12681" s="29" t="s">
        <v>41870</v>
      </c>
      <c r="E12681" s="29" t="s">
        <v>53068</v>
      </c>
      <c r="F12681" s="36" t="s">
        <v>54401</v>
      </c>
      <c r="G12681" s="39">
        <v>773787.46</v>
      </c>
      <c r="H12681" s="42">
        <v>211</v>
      </c>
    </row>
    <row r="12682" spans="1:8" ht="15" customHeight="1">
      <c r="A12682" s="26">
        <v>1052405927</v>
      </c>
      <c r="B12682" s="29" t="s">
        <v>14893</v>
      </c>
      <c r="C12682" s="29" t="s">
        <v>28372</v>
      </c>
      <c r="D12682" s="29" t="s">
        <v>41871</v>
      </c>
      <c r="E12682" s="29" t="s">
        <v>53069</v>
      </c>
      <c r="F12682" s="36" t="s">
        <v>54401</v>
      </c>
      <c r="G12682" s="39">
        <v>8585957.8800000008</v>
      </c>
      <c r="H12682" s="42">
        <v>211</v>
      </c>
    </row>
    <row r="12683" spans="1:8" ht="15" customHeight="1">
      <c r="A12683" s="26">
        <v>1052405935</v>
      </c>
      <c r="B12683" s="29" t="s">
        <v>14894</v>
      </c>
      <c r="C12683" s="26" t="s">
        <v>28373</v>
      </c>
      <c r="D12683" s="26" t="s">
        <v>41872</v>
      </c>
      <c r="E12683" s="26" t="s">
        <v>53070</v>
      </c>
      <c r="F12683" s="37" t="s">
        <v>54401</v>
      </c>
      <c r="G12683" s="39">
        <v>425249.82</v>
      </c>
      <c r="H12683" s="42">
        <v>211</v>
      </c>
    </row>
    <row r="12684" spans="1:8" ht="15" customHeight="1">
      <c r="A12684" s="26">
        <v>1052405939</v>
      </c>
      <c r="B12684" s="29" t="s">
        <v>14895</v>
      </c>
      <c r="C12684" s="29" t="s">
        <v>28374</v>
      </c>
      <c r="D12684" s="29" t="s">
        <v>41873</v>
      </c>
      <c r="E12684" s="29" t="s">
        <v>53071</v>
      </c>
      <c r="F12684" s="36" t="s">
        <v>54401</v>
      </c>
      <c r="G12684" s="39">
        <v>481801.12</v>
      </c>
      <c r="H12684" s="42">
        <v>211</v>
      </c>
    </row>
    <row r="12685" spans="1:8" ht="15" customHeight="1">
      <c r="A12685" s="26">
        <v>1052405952</v>
      </c>
      <c r="B12685" s="29" t="s">
        <v>14896</v>
      </c>
      <c r="C12685" s="29" t="s">
        <v>28375</v>
      </c>
      <c r="D12685" s="29" t="s">
        <v>41874</v>
      </c>
      <c r="E12685" s="29" t="s">
        <v>53072</v>
      </c>
      <c r="F12685" s="36" t="s">
        <v>54401</v>
      </c>
      <c r="G12685" s="39">
        <v>14058.83</v>
      </c>
      <c r="H12685" s="42">
        <v>211</v>
      </c>
    </row>
    <row r="12686" spans="1:8" ht="15" customHeight="1">
      <c r="A12686" s="26">
        <v>1052405958</v>
      </c>
      <c r="B12686" s="29" t="s">
        <v>14897</v>
      </c>
      <c r="C12686" s="29" t="s">
        <v>28376</v>
      </c>
      <c r="D12686" s="29" t="s">
        <v>41875</v>
      </c>
      <c r="E12686" s="29" t="s">
        <v>51326</v>
      </c>
      <c r="F12686" s="36" t="s">
        <v>54401</v>
      </c>
      <c r="G12686" s="39">
        <v>1084827.3999999999</v>
      </c>
      <c r="H12686" s="42">
        <v>211</v>
      </c>
    </row>
    <row r="12687" spans="1:8" ht="15" customHeight="1">
      <c r="A12687" s="26">
        <v>1052405964</v>
      </c>
      <c r="B12687" s="29" t="s">
        <v>14898</v>
      </c>
      <c r="C12687" s="26" t="s">
        <v>28377</v>
      </c>
      <c r="D12687" s="26" t="s">
        <v>41876</v>
      </c>
      <c r="E12687" s="26" t="s">
        <v>53073</v>
      </c>
      <c r="F12687" s="37" t="s">
        <v>54401</v>
      </c>
      <c r="G12687" s="39">
        <v>2743862.85</v>
      </c>
      <c r="H12687" s="42">
        <v>211</v>
      </c>
    </row>
    <row r="12688" spans="1:8" ht="15" customHeight="1">
      <c r="A12688" s="26">
        <v>1052405967</v>
      </c>
      <c r="B12688" s="29" t="s">
        <v>14899</v>
      </c>
      <c r="C12688" s="29" t="s">
        <v>28378</v>
      </c>
      <c r="D12688" s="29" t="s">
        <v>41877</v>
      </c>
      <c r="E12688" s="29" t="s">
        <v>53074</v>
      </c>
      <c r="F12688" s="36" t="s">
        <v>54401</v>
      </c>
      <c r="G12688" s="39">
        <v>2989413.08</v>
      </c>
      <c r="H12688" s="42">
        <v>211</v>
      </c>
    </row>
    <row r="12689" spans="1:8" ht="15" customHeight="1">
      <c r="A12689" s="26">
        <v>1052406013</v>
      </c>
      <c r="B12689" s="29" t="s">
        <v>14900</v>
      </c>
      <c r="C12689" s="29" t="s">
        <v>28379</v>
      </c>
      <c r="D12689" s="29" t="s">
        <v>41878</v>
      </c>
      <c r="E12689" s="29" t="s">
        <v>53075</v>
      </c>
      <c r="F12689" s="36" t="s">
        <v>54401</v>
      </c>
      <c r="G12689" s="39">
        <v>11714.29</v>
      </c>
      <c r="H12689" s="42">
        <v>211</v>
      </c>
    </row>
    <row r="12690" spans="1:8" ht="15" customHeight="1">
      <c r="A12690" s="26">
        <v>1052406034</v>
      </c>
      <c r="B12690" s="29" t="s">
        <v>14901</v>
      </c>
      <c r="C12690" s="29" t="s">
        <v>28380</v>
      </c>
      <c r="D12690" s="29" t="s">
        <v>41879</v>
      </c>
      <c r="E12690" s="29" t="s">
        <v>47437</v>
      </c>
      <c r="F12690" s="36" t="s">
        <v>54401</v>
      </c>
      <c r="G12690" s="39">
        <v>334927.95</v>
      </c>
      <c r="H12690" s="42">
        <v>211</v>
      </c>
    </row>
    <row r="12691" spans="1:8" ht="15" customHeight="1">
      <c r="A12691" s="26">
        <v>1052406059</v>
      </c>
      <c r="B12691" s="29" t="s">
        <v>14902</v>
      </c>
      <c r="C12691" s="26" t="s">
        <v>28381</v>
      </c>
      <c r="D12691" s="26" t="s">
        <v>41880</v>
      </c>
      <c r="E12691" s="26" t="s">
        <v>53076</v>
      </c>
      <c r="F12691" s="37" t="s">
        <v>54401</v>
      </c>
      <c r="G12691" s="39">
        <v>722901.47</v>
      </c>
      <c r="H12691" s="42">
        <v>211</v>
      </c>
    </row>
    <row r="12692" spans="1:8" ht="15" customHeight="1">
      <c r="A12692" s="26">
        <v>1052406083</v>
      </c>
      <c r="B12692" s="29" t="s">
        <v>14903</v>
      </c>
      <c r="C12692" s="26" t="s">
        <v>28382</v>
      </c>
      <c r="D12692" s="26" t="s">
        <v>41881</v>
      </c>
      <c r="E12692" s="26" t="s">
        <v>43926</v>
      </c>
      <c r="F12692" s="37" t="s">
        <v>54401</v>
      </c>
      <c r="G12692" s="39">
        <v>655666.27</v>
      </c>
      <c r="H12692" s="42">
        <v>211</v>
      </c>
    </row>
    <row r="12693" spans="1:8" ht="15" customHeight="1">
      <c r="A12693" s="26">
        <v>1052406088</v>
      </c>
      <c r="B12693" s="29" t="s">
        <v>14904</v>
      </c>
      <c r="C12693" s="29" t="s">
        <v>28383</v>
      </c>
      <c r="D12693" s="29" t="s">
        <v>41882</v>
      </c>
      <c r="E12693" s="29" t="s">
        <v>43926</v>
      </c>
      <c r="F12693" s="36" t="s">
        <v>54401</v>
      </c>
      <c r="G12693" s="39">
        <v>2251003.1800000002</v>
      </c>
      <c r="H12693" s="42">
        <v>211</v>
      </c>
    </row>
    <row r="12694" spans="1:8" ht="15" customHeight="1">
      <c r="A12694" s="26">
        <v>1052406103</v>
      </c>
      <c r="B12694" s="29" t="s">
        <v>14905</v>
      </c>
      <c r="C12694" s="29" t="s">
        <v>28384</v>
      </c>
      <c r="D12694" s="29" t="s">
        <v>41883</v>
      </c>
      <c r="E12694" s="29" t="s">
        <v>53077</v>
      </c>
      <c r="F12694" s="36" t="s">
        <v>54401</v>
      </c>
      <c r="G12694" s="39">
        <v>411800.73</v>
      </c>
      <c r="H12694" s="42">
        <v>211</v>
      </c>
    </row>
    <row r="12695" spans="1:8" ht="15" customHeight="1">
      <c r="A12695" s="26">
        <v>1052406128</v>
      </c>
      <c r="B12695" s="29" t="s">
        <v>14906</v>
      </c>
      <c r="C12695" s="29" t="s">
        <v>28385</v>
      </c>
      <c r="D12695" s="29" t="s">
        <v>41884</v>
      </c>
      <c r="E12695" s="29" t="s">
        <v>53078</v>
      </c>
      <c r="F12695" s="36" t="s">
        <v>54401</v>
      </c>
      <c r="G12695" s="39">
        <v>122601.12</v>
      </c>
      <c r="H12695" s="42">
        <v>211</v>
      </c>
    </row>
    <row r="12696" spans="1:8" ht="15" customHeight="1">
      <c r="A12696" s="26">
        <v>1052406129</v>
      </c>
      <c r="B12696" s="29" t="s">
        <v>14907</v>
      </c>
      <c r="C12696" s="29" t="s">
        <v>17204</v>
      </c>
      <c r="D12696" s="29" t="s">
        <v>41885</v>
      </c>
      <c r="E12696" s="29" t="s">
        <v>43926</v>
      </c>
      <c r="F12696" s="36" t="s">
        <v>54401</v>
      </c>
      <c r="G12696" s="39">
        <v>4389434</v>
      </c>
      <c r="H12696" s="42">
        <v>211</v>
      </c>
    </row>
    <row r="12697" spans="1:8" ht="15" customHeight="1">
      <c r="A12697" s="26">
        <v>1052406200</v>
      </c>
      <c r="B12697" s="29" t="s">
        <v>14908</v>
      </c>
      <c r="C12697" s="29" t="s">
        <v>28386</v>
      </c>
      <c r="D12697" s="29" t="s">
        <v>41886</v>
      </c>
      <c r="E12697" s="29" t="s">
        <v>53079</v>
      </c>
      <c r="F12697" s="36" t="s">
        <v>54401</v>
      </c>
      <c r="G12697" s="39">
        <v>2159278.86</v>
      </c>
      <c r="H12697" s="42">
        <v>211</v>
      </c>
    </row>
    <row r="12698" spans="1:8" ht="15" customHeight="1">
      <c r="A12698" s="26">
        <v>1052406202</v>
      </c>
      <c r="B12698" s="29" t="s">
        <v>14909</v>
      </c>
      <c r="C12698" s="29" t="s">
        <v>28387</v>
      </c>
      <c r="D12698" s="29" t="s">
        <v>41887</v>
      </c>
      <c r="E12698" s="29" t="s">
        <v>53080</v>
      </c>
      <c r="F12698" s="36" t="s">
        <v>54401</v>
      </c>
      <c r="G12698" s="39">
        <v>743235.72</v>
      </c>
      <c r="H12698" s="42">
        <v>211</v>
      </c>
    </row>
    <row r="12699" spans="1:8" ht="15" customHeight="1">
      <c r="A12699" s="26">
        <v>1052406227</v>
      </c>
      <c r="B12699" s="29" t="s">
        <v>14910</v>
      </c>
      <c r="C12699" s="29" t="s">
        <v>17204</v>
      </c>
      <c r="D12699" s="29" t="s">
        <v>30349</v>
      </c>
      <c r="E12699" s="29" t="s">
        <v>43926</v>
      </c>
      <c r="F12699" s="36" t="s">
        <v>54401</v>
      </c>
      <c r="G12699" s="39">
        <v>509372.81</v>
      </c>
      <c r="H12699" s="42">
        <v>211</v>
      </c>
    </row>
    <row r="12700" spans="1:8" ht="15" customHeight="1">
      <c r="A12700" s="26">
        <v>1052406269</v>
      </c>
      <c r="B12700" s="29" t="s">
        <v>14911</v>
      </c>
      <c r="C12700" s="29" t="s">
        <v>28388</v>
      </c>
      <c r="D12700" s="29" t="s">
        <v>41888</v>
      </c>
      <c r="E12700" s="29" t="s">
        <v>44023</v>
      </c>
      <c r="F12700" s="36" t="s">
        <v>54401</v>
      </c>
      <c r="G12700" s="39">
        <v>1735319.67</v>
      </c>
      <c r="H12700" s="42">
        <v>211</v>
      </c>
    </row>
    <row r="12701" spans="1:8" ht="15" customHeight="1">
      <c r="A12701" s="26">
        <v>1052406292</v>
      </c>
      <c r="B12701" s="29" t="s">
        <v>14912</v>
      </c>
      <c r="C12701" s="29" t="s">
        <v>28389</v>
      </c>
      <c r="D12701" s="29" t="s">
        <v>41889</v>
      </c>
      <c r="E12701" s="29" t="s">
        <v>53081</v>
      </c>
      <c r="F12701" s="36" t="s">
        <v>54401</v>
      </c>
      <c r="G12701" s="39">
        <v>996439.38</v>
      </c>
      <c r="H12701" s="42">
        <v>211</v>
      </c>
    </row>
    <row r="12702" spans="1:8" ht="15" customHeight="1">
      <c r="A12702" s="26">
        <v>1052406301</v>
      </c>
      <c r="B12702" s="29" t="s">
        <v>14913</v>
      </c>
      <c r="C12702" s="29" t="s">
        <v>28390</v>
      </c>
      <c r="D12702" s="29" t="s">
        <v>41890</v>
      </c>
      <c r="E12702" s="29" t="s">
        <v>46092</v>
      </c>
      <c r="F12702" s="36" t="s">
        <v>54401</v>
      </c>
      <c r="G12702" s="39">
        <v>4334992.4800000004</v>
      </c>
      <c r="H12702" s="42">
        <v>211</v>
      </c>
    </row>
    <row r="12703" spans="1:8" ht="15" customHeight="1">
      <c r="A12703" s="26">
        <v>1052406349</v>
      </c>
      <c r="B12703" s="29" t="s">
        <v>14914</v>
      </c>
      <c r="C12703" s="29" t="s">
        <v>28391</v>
      </c>
      <c r="D12703" s="29" t="s">
        <v>41891</v>
      </c>
      <c r="E12703" s="29" t="s">
        <v>53082</v>
      </c>
      <c r="F12703" s="36" t="s">
        <v>54401</v>
      </c>
      <c r="G12703" s="39">
        <v>3593505.43</v>
      </c>
      <c r="H12703" s="42">
        <v>211</v>
      </c>
    </row>
    <row r="12704" spans="1:8" ht="15" customHeight="1">
      <c r="A12704" s="26">
        <v>1052406372</v>
      </c>
      <c r="B12704" s="29" t="s">
        <v>14915</v>
      </c>
      <c r="C12704" s="29" t="s">
        <v>28392</v>
      </c>
      <c r="D12704" s="29" t="s">
        <v>30376</v>
      </c>
      <c r="E12704" s="29" t="s">
        <v>46960</v>
      </c>
      <c r="F12704" s="36" t="s">
        <v>54401</v>
      </c>
      <c r="G12704" s="39">
        <v>224496.83</v>
      </c>
      <c r="H12704" s="42">
        <v>211</v>
      </c>
    </row>
    <row r="12705" spans="1:8" ht="15" customHeight="1">
      <c r="A12705" s="26">
        <v>1052406374</v>
      </c>
      <c r="B12705" s="29" t="s">
        <v>14916</v>
      </c>
      <c r="C12705" s="29" t="s">
        <v>17204</v>
      </c>
      <c r="D12705" s="29" t="s">
        <v>30349</v>
      </c>
      <c r="E12705" s="29" t="s">
        <v>43926</v>
      </c>
      <c r="F12705" s="36" t="s">
        <v>54401</v>
      </c>
      <c r="G12705" s="39">
        <v>3094251</v>
      </c>
      <c r="H12705" s="42">
        <v>211</v>
      </c>
    </row>
    <row r="12706" spans="1:8" ht="15" customHeight="1">
      <c r="A12706" s="26">
        <v>1052406388</v>
      </c>
      <c r="B12706" s="29" t="s">
        <v>14917</v>
      </c>
      <c r="C12706" s="29" t="s">
        <v>28393</v>
      </c>
      <c r="D12706" s="29" t="s">
        <v>41892</v>
      </c>
      <c r="E12706" s="29" t="s">
        <v>52695</v>
      </c>
      <c r="F12706" s="36" t="s">
        <v>54401</v>
      </c>
      <c r="G12706" s="39">
        <v>4971669.55</v>
      </c>
      <c r="H12706" s="42">
        <v>211</v>
      </c>
    </row>
    <row r="12707" spans="1:8" ht="15" customHeight="1">
      <c r="A12707" s="26">
        <v>1052406418</v>
      </c>
      <c r="B12707" s="29" t="s">
        <v>14918</v>
      </c>
      <c r="C12707" s="29" t="s">
        <v>28394</v>
      </c>
      <c r="D12707" s="29" t="s">
        <v>41893</v>
      </c>
      <c r="E12707" s="29" t="s">
        <v>53083</v>
      </c>
      <c r="F12707" s="36" t="s">
        <v>54401</v>
      </c>
      <c r="G12707" s="39">
        <v>360467.92</v>
      </c>
      <c r="H12707" s="42">
        <v>211</v>
      </c>
    </row>
    <row r="12708" spans="1:8" ht="15" customHeight="1">
      <c r="A12708" s="26">
        <v>1052406419</v>
      </c>
      <c r="B12708" s="29" t="s">
        <v>14919</v>
      </c>
      <c r="C12708" s="29" t="s">
        <v>28395</v>
      </c>
      <c r="D12708" s="29" t="s">
        <v>41894</v>
      </c>
      <c r="E12708" s="29" t="s">
        <v>53084</v>
      </c>
      <c r="F12708" s="36" t="s">
        <v>54401</v>
      </c>
      <c r="G12708" s="39">
        <v>730267.26</v>
      </c>
      <c r="H12708" s="42">
        <v>211</v>
      </c>
    </row>
    <row r="12709" spans="1:8" ht="15" customHeight="1">
      <c r="A12709" s="26">
        <v>1052406427</v>
      </c>
      <c r="B12709" s="29" t="s">
        <v>14920</v>
      </c>
      <c r="C12709" s="29" t="s">
        <v>17204</v>
      </c>
      <c r="D12709" s="29" t="s">
        <v>41895</v>
      </c>
      <c r="E12709" s="29" t="s">
        <v>43926</v>
      </c>
      <c r="F12709" s="36" t="s">
        <v>54401</v>
      </c>
      <c r="G12709" s="39">
        <v>4255374.8600000003</v>
      </c>
      <c r="H12709" s="42">
        <v>211</v>
      </c>
    </row>
    <row r="12710" spans="1:8" ht="15" customHeight="1">
      <c r="A12710" s="26">
        <v>1052406437</v>
      </c>
      <c r="B12710" s="29" t="s">
        <v>14921</v>
      </c>
      <c r="C12710" s="29" t="s">
        <v>21703</v>
      </c>
      <c r="D12710" s="29" t="s">
        <v>41896</v>
      </c>
      <c r="E12710" s="29" t="s">
        <v>46000</v>
      </c>
      <c r="F12710" s="36" t="s">
        <v>54401</v>
      </c>
      <c r="G12710" s="39">
        <v>3055668</v>
      </c>
      <c r="H12710" s="42">
        <v>211</v>
      </c>
    </row>
    <row r="12711" spans="1:8" ht="15" customHeight="1">
      <c r="A12711" s="26">
        <v>1052406452</v>
      </c>
      <c r="B12711" s="29" t="s">
        <v>14922</v>
      </c>
      <c r="C12711" s="26" t="s">
        <v>28396</v>
      </c>
      <c r="D12711" s="26" t="s">
        <v>41897</v>
      </c>
      <c r="E12711" s="26" t="s">
        <v>53085</v>
      </c>
      <c r="F12711" s="37" t="s">
        <v>54401</v>
      </c>
      <c r="G12711" s="39">
        <v>1686513.64</v>
      </c>
      <c r="H12711" s="42">
        <v>211</v>
      </c>
    </row>
    <row r="12712" spans="1:8" ht="15" customHeight="1">
      <c r="A12712" s="26">
        <v>1052406458</v>
      </c>
      <c r="B12712" s="29" t="s">
        <v>14923</v>
      </c>
      <c r="C12712" s="29" t="s">
        <v>28397</v>
      </c>
      <c r="D12712" s="29" t="s">
        <v>41898</v>
      </c>
      <c r="E12712" s="29" t="s">
        <v>53086</v>
      </c>
      <c r="F12712" s="36" t="s">
        <v>54401</v>
      </c>
      <c r="G12712" s="39">
        <v>845333.19</v>
      </c>
      <c r="H12712" s="42">
        <v>211</v>
      </c>
    </row>
    <row r="12713" spans="1:8" ht="15" customHeight="1">
      <c r="A12713" s="26">
        <v>1052406461</v>
      </c>
      <c r="B12713" s="29" t="s">
        <v>14924</v>
      </c>
      <c r="C12713" s="29" t="s">
        <v>28398</v>
      </c>
      <c r="D12713" s="29" t="s">
        <v>41899</v>
      </c>
      <c r="E12713" s="29" t="s">
        <v>53087</v>
      </c>
      <c r="F12713" s="36" t="s">
        <v>54401</v>
      </c>
      <c r="G12713" s="39">
        <v>2368866</v>
      </c>
      <c r="H12713" s="42">
        <v>211</v>
      </c>
    </row>
    <row r="12714" spans="1:8" ht="15" customHeight="1">
      <c r="A12714" s="26">
        <v>1052406490</v>
      </c>
      <c r="B12714" s="29" t="s">
        <v>14925</v>
      </c>
      <c r="C12714" s="26" t="s">
        <v>28399</v>
      </c>
      <c r="D12714" s="26" t="s">
        <v>41900</v>
      </c>
      <c r="E12714" s="26" t="s">
        <v>53088</v>
      </c>
      <c r="F12714" s="37" t="s">
        <v>54401</v>
      </c>
      <c r="G12714" s="39">
        <v>44379.79</v>
      </c>
      <c r="H12714" s="42">
        <v>211</v>
      </c>
    </row>
    <row r="12715" spans="1:8" ht="15" customHeight="1">
      <c r="A12715" s="26">
        <v>1052406514</v>
      </c>
      <c r="B12715" s="29" t="s">
        <v>14926</v>
      </c>
      <c r="C12715" s="29" t="s">
        <v>28400</v>
      </c>
      <c r="D12715" s="29" t="s">
        <v>41901</v>
      </c>
      <c r="E12715" s="29" t="s">
        <v>51874</v>
      </c>
      <c r="F12715" s="36" t="s">
        <v>54401</v>
      </c>
      <c r="G12715" s="39">
        <v>2648212.96</v>
      </c>
      <c r="H12715" s="42">
        <v>211</v>
      </c>
    </row>
    <row r="12716" spans="1:8" ht="15" customHeight="1">
      <c r="A12716" s="26">
        <v>1052406521</v>
      </c>
      <c r="B12716" s="29" t="s">
        <v>14927</v>
      </c>
      <c r="C12716" s="29" t="s">
        <v>28401</v>
      </c>
      <c r="D12716" s="29" t="s">
        <v>41902</v>
      </c>
      <c r="E12716" s="29" t="s">
        <v>50875</v>
      </c>
      <c r="F12716" s="36" t="s">
        <v>54401</v>
      </c>
      <c r="G12716" s="39">
        <v>1724181.31</v>
      </c>
      <c r="H12716" s="42">
        <v>211</v>
      </c>
    </row>
    <row r="12717" spans="1:8" ht="15" customHeight="1">
      <c r="A12717" s="26">
        <v>1052406523</v>
      </c>
      <c r="B12717" s="29" t="s">
        <v>14928</v>
      </c>
      <c r="C12717" s="29" t="s">
        <v>28402</v>
      </c>
      <c r="D12717" s="29" t="s">
        <v>41903</v>
      </c>
      <c r="E12717" s="29" t="s">
        <v>53089</v>
      </c>
      <c r="F12717" s="36" t="s">
        <v>54401</v>
      </c>
      <c r="G12717" s="39">
        <v>926203.88</v>
      </c>
      <c r="H12717" s="42">
        <v>211</v>
      </c>
    </row>
    <row r="12718" spans="1:8" ht="15" customHeight="1">
      <c r="A12718" s="26">
        <v>1052406556</v>
      </c>
      <c r="B12718" s="29" t="s">
        <v>14929</v>
      </c>
      <c r="C12718" s="29" t="s">
        <v>28403</v>
      </c>
      <c r="D12718" s="29" t="s">
        <v>41904</v>
      </c>
      <c r="E12718" s="29" t="s">
        <v>53090</v>
      </c>
      <c r="F12718" s="36" t="s">
        <v>54401</v>
      </c>
      <c r="G12718" s="39">
        <v>176038.64</v>
      </c>
      <c r="H12718" s="42">
        <v>211</v>
      </c>
    </row>
    <row r="12719" spans="1:8" ht="15" customHeight="1">
      <c r="A12719" s="26">
        <v>1052406557</v>
      </c>
      <c r="B12719" s="29" t="s">
        <v>14930</v>
      </c>
      <c r="C12719" s="29" t="s">
        <v>28404</v>
      </c>
      <c r="D12719" s="29" t="s">
        <v>30376</v>
      </c>
      <c r="E12719" s="29" t="s">
        <v>53091</v>
      </c>
      <c r="F12719" s="36" t="s">
        <v>54401</v>
      </c>
      <c r="G12719" s="39">
        <v>3481230.7</v>
      </c>
      <c r="H12719" s="42">
        <v>211</v>
      </c>
    </row>
    <row r="12720" spans="1:8" ht="15" customHeight="1">
      <c r="A12720" s="26">
        <v>1052406566</v>
      </c>
      <c r="B12720" s="29" t="s">
        <v>14931</v>
      </c>
      <c r="C12720" s="29" t="s">
        <v>28405</v>
      </c>
      <c r="D12720" s="29" t="s">
        <v>41905</v>
      </c>
      <c r="E12720" s="29" t="s">
        <v>53092</v>
      </c>
      <c r="F12720" s="36" t="s">
        <v>54401</v>
      </c>
      <c r="G12720" s="39">
        <v>563514.13</v>
      </c>
      <c r="H12720" s="42">
        <v>211</v>
      </c>
    </row>
    <row r="12721" spans="1:8" ht="15" customHeight="1">
      <c r="A12721" s="26">
        <v>1052406570</v>
      </c>
      <c r="B12721" s="29" t="s">
        <v>14932</v>
      </c>
      <c r="C12721" s="29" t="s">
        <v>28406</v>
      </c>
      <c r="D12721" s="29" t="s">
        <v>41906</v>
      </c>
      <c r="E12721" s="29" t="s">
        <v>50043</v>
      </c>
      <c r="F12721" s="36" t="s">
        <v>54401</v>
      </c>
      <c r="G12721" s="39">
        <v>787518.14</v>
      </c>
      <c r="H12721" s="42">
        <v>211</v>
      </c>
    </row>
    <row r="12722" spans="1:8" ht="15" customHeight="1">
      <c r="A12722" s="26">
        <v>1052406577</v>
      </c>
      <c r="B12722" s="29" t="s">
        <v>14933</v>
      </c>
      <c r="C12722" s="29" t="s">
        <v>28407</v>
      </c>
      <c r="D12722" s="29" t="s">
        <v>41907</v>
      </c>
      <c r="E12722" s="29" t="s">
        <v>53093</v>
      </c>
      <c r="F12722" s="36" t="s">
        <v>54401</v>
      </c>
      <c r="G12722" s="39">
        <v>23859.49</v>
      </c>
      <c r="H12722" s="42">
        <v>211</v>
      </c>
    </row>
    <row r="12723" spans="1:8" ht="15" customHeight="1">
      <c r="A12723" s="26">
        <v>1052406579</v>
      </c>
      <c r="B12723" s="29" t="s">
        <v>14934</v>
      </c>
      <c r="C12723" s="26" t="s">
        <v>28408</v>
      </c>
      <c r="D12723" s="26" t="s">
        <v>41908</v>
      </c>
      <c r="E12723" s="26" t="s">
        <v>53094</v>
      </c>
      <c r="F12723" s="37" t="s">
        <v>54423</v>
      </c>
      <c r="G12723" s="39">
        <v>2809237</v>
      </c>
      <c r="H12723" s="42">
        <v>211</v>
      </c>
    </row>
    <row r="12724" spans="1:8" ht="15" customHeight="1">
      <c r="A12724" s="26">
        <v>1052406585</v>
      </c>
      <c r="B12724" s="29" t="s">
        <v>14935</v>
      </c>
      <c r="C12724" s="29" t="s">
        <v>28409</v>
      </c>
      <c r="D12724" s="29" t="s">
        <v>41909</v>
      </c>
      <c r="E12724" s="29" t="s">
        <v>53095</v>
      </c>
      <c r="F12724" s="36" t="s">
        <v>54401</v>
      </c>
      <c r="G12724" s="39">
        <v>328937.84000000003</v>
      </c>
      <c r="H12724" s="42">
        <v>211</v>
      </c>
    </row>
    <row r="12725" spans="1:8" ht="15" customHeight="1">
      <c r="A12725" s="26">
        <v>1052406592</v>
      </c>
      <c r="B12725" s="29" t="s">
        <v>14936</v>
      </c>
      <c r="C12725" s="29" t="s">
        <v>28410</v>
      </c>
      <c r="D12725" s="29" t="s">
        <v>41910</v>
      </c>
      <c r="E12725" s="29" t="s">
        <v>53096</v>
      </c>
      <c r="F12725" s="36" t="s">
        <v>54401</v>
      </c>
      <c r="G12725" s="39">
        <v>3757454.47</v>
      </c>
      <c r="H12725" s="42">
        <v>211</v>
      </c>
    </row>
    <row r="12726" spans="1:8" ht="15" customHeight="1">
      <c r="A12726" s="26">
        <v>1052406617</v>
      </c>
      <c r="B12726" s="29" t="s">
        <v>14937</v>
      </c>
      <c r="C12726" s="26" t="s">
        <v>17204</v>
      </c>
      <c r="D12726" s="26" t="s">
        <v>30349</v>
      </c>
      <c r="E12726" s="26" t="s">
        <v>43926</v>
      </c>
      <c r="F12726" s="37" t="s">
        <v>54401</v>
      </c>
      <c r="G12726" s="39">
        <v>14453.78</v>
      </c>
      <c r="H12726" s="42">
        <v>211</v>
      </c>
    </row>
    <row r="12727" spans="1:8" ht="15" customHeight="1">
      <c r="A12727" s="26">
        <v>1052406619</v>
      </c>
      <c r="B12727" s="29" t="s">
        <v>14938</v>
      </c>
      <c r="C12727" s="29" t="s">
        <v>28411</v>
      </c>
      <c r="D12727" s="29" t="s">
        <v>41911</v>
      </c>
      <c r="E12727" s="29" t="s">
        <v>52952</v>
      </c>
      <c r="F12727" s="36" t="s">
        <v>54418</v>
      </c>
      <c r="G12727" s="39">
        <v>1268596.93</v>
      </c>
      <c r="H12727" s="42">
        <v>211</v>
      </c>
    </row>
    <row r="12728" spans="1:8" ht="15" customHeight="1">
      <c r="A12728" s="26">
        <v>1052406624</v>
      </c>
      <c r="B12728" s="29" t="s">
        <v>14939</v>
      </c>
      <c r="C12728" s="29" t="s">
        <v>28412</v>
      </c>
      <c r="D12728" s="29" t="s">
        <v>41912</v>
      </c>
      <c r="E12728" s="29" t="s">
        <v>53097</v>
      </c>
      <c r="F12728" s="36" t="s">
        <v>54401</v>
      </c>
      <c r="G12728" s="39">
        <v>1095784.28</v>
      </c>
      <c r="H12728" s="42">
        <v>211</v>
      </c>
    </row>
    <row r="12729" spans="1:8" ht="15" customHeight="1">
      <c r="A12729" s="26">
        <v>1052406635</v>
      </c>
      <c r="B12729" s="29" t="s">
        <v>14940</v>
      </c>
      <c r="C12729" s="29" t="s">
        <v>28413</v>
      </c>
      <c r="D12729" s="29" t="s">
        <v>41913</v>
      </c>
      <c r="E12729" s="29" t="s">
        <v>53098</v>
      </c>
      <c r="F12729" s="36" t="s">
        <v>54401</v>
      </c>
      <c r="G12729" s="39">
        <v>303806.03000000003</v>
      </c>
      <c r="H12729" s="42">
        <v>211</v>
      </c>
    </row>
    <row r="12730" spans="1:8" ht="15" customHeight="1">
      <c r="A12730" s="26">
        <v>1052406655</v>
      </c>
      <c r="B12730" s="29" t="s">
        <v>14941</v>
      </c>
      <c r="C12730" s="29" t="s">
        <v>28414</v>
      </c>
      <c r="D12730" s="29" t="s">
        <v>41914</v>
      </c>
      <c r="E12730" s="29" t="s">
        <v>53099</v>
      </c>
      <c r="F12730" s="36" t="s">
        <v>54401</v>
      </c>
      <c r="G12730" s="39">
        <v>401234.97</v>
      </c>
      <c r="H12730" s="42">
        <v>211</v>
      </c>
    </row>
    <row r="12731" spans="1:8" ht="15" customHeight="1">
      <c r="A12731" s="26">
        <v>1052406684</v>
      </c>
      <c r="B12731" s="29" t="s">
        <v>14942</v>
      </c>
      <c r="C12731" s="26" t="s">
        <v>17204</v>
      </c>
      <c r="D12731" s="26" t="s">
        <v>41915</v>
      </c>
      <c r="E12731" s="26" t="s">
        <v>43926</v>
      </c>
      <c r="F12731" s="37" t="s">
        <v>54401</v>
      </c>
      <c r="G12731" s="39">
        <v>43320</v>
      </c>
      <c r="H12731" s="42">
        <v>211</v>
      </c>
    </row>
    <row r="12732" spans="1:8" ht="15" customHeight="1">
      <c r="A12732" s="26">
        <v>1052406687</v>
      </c>
      <c r="B12732" s="29" t="s">
        <v>14943</v>
      </c>
      <c r="C12732" s="29" t="s">
        <v>28415</v>
      </c>
      <c r="D12732" s="29" t="s">
        <v>41916</v>
      </c>
      <c r="E12732" s="29" t="s">
        <v>53100</v>
      </c>
      <c r="F12732" s="36" t="s">
        <v>54401</v>
      </c>
      <c r="G12732" s="39">
        <v>6194359.3399999999</v>
      </c>
      <c r="H12732" s="42">
        <v>211</v>
      </c>
    </row>
    <row r="12733" spans="1:8" ht="15" customHeight="1">
      <c r="A12733" s="26">
        <v>1052406692</v>
      </c>
      <c r="B12733" s="29" t="s">
        <v>14944</v>
      </c>
      <c r="C12733" s="29" t="s">
        <v>28416</v>
      </c>
      <c r="D12733" s="29" t="s">
        <v>41917</v>
      </c>
      <c r="E12733" s="29" t="s">
        <v>53101</v>
      </c>
      <c r="F12733" s="36" t="s">
        <v>54401</v>
      </c>
      <c r="G12733" s="39">
        <v>2913396.13</v>
      </c>
      <c r="H12733" s="42">
        <v>211</v>
      </c>
    </row>
    <row r="12734" spans="1:8" ht="15" customHeight="1">
      <c r="A12734" s="26">
        <v>1052406703</v>
      </c>
      <c r="B12734" s="29" t="s">
        <v>14945</v>
      </c>
      <c r="C12734" s="29" t="s">
        <v>28417</v>
      </c>
      <c r="D12734" s="29" t="s">
        <v>41918</v>
      </c>
      <c r="E12734" s="29" t="s">
        <v>45006</v>
      </c>
      <c r="F12734" s="36" t="s">
        <v>54401</v>
      </c>
      <c r="G12734" s="39">
        <v>4592103.5</v>
      </c>
      <c r="H12734" s="42">
        <v>211</v>
      </c>
    </row>
    <row r="12735" spans="1:8" ht="15" customHeight="1">
      <c r="A12735" s="26">
        <v>1052406753</v>
      </c>
      <c r="B12735" s="29" t="s">
        <v>14946</v>
      </c>
      <c r="C12735" s="29" t="s">
        <v>28418</v>
      </c>
      <c r="D12735" s="29" t="s">
        <v>41919</v>
      </c>
      <c r="E12735" s="29" t="s">
        <v>53102</v>
      </c>
      <c r="F12735" s="36" t="s">
        <v>54401</v>
      </c>
      <c r="G12735" s="39">
        <v>436851.43</v>
      </c>
      <c r="H12735" s="42">
        <v>211</v>
      </c>
    </row>
    <row r="12736" spans="1:8" ht="15" customHeight="1">
      <c r="A12736" s="26">
        <v>1052406756</v>
      </c>
      <c r="B12736" s="29" t="s">
        <v>14947</v>
      </c>
      <c r="C12736" s="29" t="s">
        <v>28419</v>
      </c>
      <c r="D12736" s="29" t="s">
        <v>41920</v>
      </c>
      <c r="E12736" s="29" t="s">
        <v>53103</v>
      </c>
      <c r="F12736" s="36" t="s">
        <v>54401</v>
      </c>
      <c r="G12736" s="39">
        <v>897986.1</v>
      </c>
      <c r="H12736" s="42">
        <v>211</v>
      </c>
    </row>
    <row r="12737" spans="1:8" ht="15" customHeight="1">
      <c r="A12737" s="26">
        <v>1052406790</v>
      </c>
      <c r="B12737" s="29" t="s">
        <v>14948</v>
      </c>
      <c r="C12737" s="26" t="s">
        <v>28420</v>
      </c>
      <c r="D12737" s="26" t="s">
        <v>41921</v>
      </c>
      <c r="E12737" s="26" t="s">
        <v>46176</v>
      </c>
      <c r="F12737" s="37" t="s">
        <v>54401</v>
      </c>
      <c r="G12737" s="39">
        <v>2857948</v>
      </c>
      <c r="H12737" s="42">
        <v>211</v>
      </c>
    </row>
    <row r="12738" spans="1:8" ht="15" customHeight="1">
      <c r="A12738" s="26">
        <v>1052406793</v>
      </c>
      <c r="B12738" s="29" t="s">
        <v>10532</v>
      </c>
      <c r="C12738" s="26" t="s">
        <v>28421</v>
      </c>
      <c r="D12738" s="26" t="s">
        <v>41922</v>
      </c>
      <c r="E12738" s="26" t="s">
        <v>53104</v>
      </c>
      <c r="F12738" s="37" t="s">
        <v>54401</v>
      </c>
      <c r="G12738" s="39">
        <v>3052963.61</v>
      </c>
      <c r="H12738" s="42">
        <v>211</v>
      </c>
    </row>
    <row r="12739" spans="1:8" ht="15" customHeight="1">
      <c r="A12739" s="26">
        <v>1052406807</v>
      </c>
      <c r="B12739" s="29" t="s">
        <v>14949</v>
      </c>
      <c r="C12739" s="29" t="s">
        <v>28422</v>
      </c>
      <c r="D12739" s="29" t="s">
        <v>41923</v>
      </c>
      <c r="E12739" s="29" t="s">
        <v>53105</v>
      </c>
      <c r="F12739" s="36" t="s">
        <v>54401</v>
      </c>
      <c r="G12739" s="39">
        <v>163701.70000000001</v>
      </c>
      <c r="H12739" s="42">
        <v>211</v>
      </c>
    </row>
    <row r="12740" spans="1:8" ht="15" customHeight="1">
      <c r="A12740" s="26">
        <v>1052406829</v>
      </c>
      <c r="B12740" s="29" t="s">
        <v>14950</v>
      </c>
      <c r="C12740" s="29" t="s">
        <v>28423</v>
      </c>
      <c r="D12740" s="29" t="s">
        <v>41924</v>
      </c>
      <c r="E12740" s="29" t="s">
        <v>53106</v>
      </c>
      <c r="F12740" s="36" t="s">
        <v>54412</v>
      </c>
      <c r="G12740" s="39">
        <v>1095299.93</v>
      </c>
      <c r="H12740" s="42">
        <v>211</v>
      </c>
    </row>
    <row r="12741" spans="1:8" ht="15" customHeight="1">
      <c r="A12741" s="26">
        <v>1052406832</v>
      </c>
      <c r="B12741" s="29" t="s">
        <v>14951</v>
      </c>
      <c r="C12741" s="29" t="s">
        <v>22130</v>
      </c>
      <c r="D12741" s="29" t="s">
        <v>41925</v>
      </c>
      <c r="E12741" s="29" t="s">
        <v>53107</v>
      </c>
      <c r="F12741" s="36" t="s">
        <v>54401</v>
      </c>
      <c r="G12741" s="39">
        <v>2277421</v>
      </c>
      <c r="H12741" s="42">
        <v>211</v>
      </c>
    </row>
    <row r="12742" spans="1:8" ht="15" customHeight="1">
      <c r="A12742" s="26">
        <v>1052406847</v>
      </c>
      <c r="B12742" s="29" t="s">
        <v>14952</v>
      </c>
      <c r="C12742" s="26" t="s">
        <v>28424</v>
      </c>
      <c r="D12742" s="26" t="s">
        <v>41926</v>
      </c>
      <c r="E12742" s="26" t="s">
        <v>44025</v>
      </c>
      <c r="F12742" s="37" t="s">
        <v>54401</v>
      </c>
      <c r="G12742" s="39">
        <v>262590.42</v>
      </c>
      <c r="H12742" s="42">
        <v>211</v>
      </c>
    </row>
    <row r="12743" spans="1:8" ht="15" customHeight="1">
      <c r="A12743" s="26">
        <v>1052406852</v>
      </c>
      <c r="B12743" s="29" t="s">
        <v>14953</v>
      </c>
      <c r="C12743" s="29" t="s">
        <v>21891</v>
      </c>
      <c r="D12743" s="29" t="s">
        <v>31265</v>
      </c>
      <c r="E12743" s="29" t="s">
        <v>53108</v>
      </c>
      <c r="F12743" s="36" t="s">
        <v>54401</v>
      </c>
      <c r="G12743" s="39">
        <v>683231.81</v>
      </c>
      <c r="H12743" s="42">
        <v>211</v>
      </c>
    </row>
    <row r="12744" spans="1:8" ht="15" customHeight="1">
      <c r="A12744" s="26">
        <v>1052406861</v>
      </c>
      <c r="B12744" s="29" t="s">
        <v>14954</v>
      </c>
      <c r="C12744" s="29" t="s">
        <v>28425</v>
      </c>
      <c r="D12744" s="29" t="s">
        <v>41927</v>
      </c>
      <c r="E12744" s="29" t="s">
        <v>53109</v>
      </c>
      <c r="F12744" s="36" t="s">
        <v>54401</v>
      </c>
      <c r="G12744" s="39">
        <v>36193.81</v>
      </c>
      <c r="H12744" s="42">
        <v>211</v>
      </c>
    </row>
    <row r="12745" spans="1:8" ht="15" customHeight="1">
      <c r="A12745" s="26">
        <v>1052406863</v>
      </c>
      <c r="B12745" s="29" t="s">
        <v>14955</v>
      </c>
      <c r="C12745" s="26" t="s">
        <v>28426</v>
      </c>
      <c r="D12745" s="26" t="s">
        <v>41928</v>
      </c>
      <c r="E12745" s="26" t="s">
        <v>53110</v>
      </c>
      <c r="F12745" s="37" t="s">
        <v>54401</v>
      </c>
      <c r="G12745" s="39">
        <v>696163.55</v>
      </c>
      <c r="H12745" s="42">
        <v>211</v>
      </c>
    </row>
    <row r="12746" spans="1:8" ht="15" customHeight="1">
      <c r="A12746" s="26">
        <v>1052406864</v>
      </c>
      <c r="B12746" s="29" t="s">
        <v>14956</v>
      </c>
      <c r="C12746" s="29" t="s">
        <v>28427</v>
      </c>
      <c r="D12746" s="29" t="s">
        <v>41929</v>
      </c>
      <c r="E12746" s="29" t="s">
        <v>53111</v>
      </c>
      <c r="F12746" s="36" t="s">
        <v>54401</v>
      </c>
      <c r="G12746" s="39">
        <v>4190082.71</v>
      </c>
      <c r="H12746" s="42">
        <v>211</v>
      </c>
    </row>
    <row r="12747" spans="1:8" ht="15" customHeight="1">
      <c r="A12747" s="26">
        <v>1052406873</v>
      </c>
      <c r="B12747" s="29" t="s">
        <v>14957</v>
      </c>
      <c r="C12747" s="29" t="s">
        <v>28428</v>
      </c>
      <c r="D12747" s="29" t="s">
        <v>41930</v>
      </c>
      <c r="E12747" s="29" t="s">
        <v>44019</v>
      </c>
      <c r="F12747" s="36" t="s">
        <v>54401</v>
      </c>
      <c r="G12747" s="39">
        <v>3062132</v>
      </c>
      <c r="H12747" s="42">
        <v>211</v>
      </c>
    </row>
    <row r="12748" spans="1:8" ht="15" customHeight="1">
      <c r="A12748" s="26">
        <v>1052406894</v>
      </c>
      <c r="B12748" s="29" t="s">
        <v>14958</v>
      </c>
      <c r="C12748" s="29" t="s">
        <v>28429</v>
      </c>
      <c r="D12748" s="29" t="s">
        <v>41931</v>
      </c>
      <c r="E12748" s="29" t="s">
        <v>53112</v>
      </c>
      <c r="F12748" s="36" t="s">
        <v>54401</v>
      </c>
      <c r="G12748" s="39">
        <v>260475.96</v>
      </c>
      <c r="H12748" s="42">
        <v>211</v>
      </c>
    </row>
    <row r="12749" spans="1:8" ht="15" customHeight="1">
      <c r="A12749" s="26">
        <v>1052406914</v>
      </c>
      <c r="B12749" s="29" t="s">
        <v>14959</v>
      </c>
      <c r="C12749" s="26" t="s">
        <v>17204</v>
      </c>
      <c r="D12749" s="26" t="s">
        <v>30349</v>
      </c>
      <c r="E12749" s="26" t="s">
        <v>43926</v>
      </c>
      <c r="F12749" s="37" t="s">
        <v>54401</v>
      </c>
      <c r="G12749" s="39">
        <v>570631.37</v>
      </c>
      <c r="H12749" s="42">
        <v>211</v>
      </c>
    </row>
    <row r="12750" spans="1:8" ht="15" customHeight="1">
      <c r="A12750" s="26">
        <v>1052406918</v>
      </c>
      <c r="B12750" s="29" t="s">
        <v>14960</v>
      </c>
      <c r="C12750" s="29" t="s">
        <v>28430</v>
      </c>
      <c r="D12750" s="29" t="s">
        <v>41932</v>
      </c>
      <c r="E12750" s="29" t="s">
        <v>53113</v>
      </c>
      <c r="F12750" s="36" t="s">
        <v>54401</v>
      </c>
      <c r="G12750" s="39">
        <v>580269.53</v>
      </c>
      <c r="H12750" s="42">
        <v>211</v>
      </c>
    </row>
    <row r="12751" spans="1:8" ht="15" customHeight="1">
      <c r="A12751" s="26">
        <v>1052406944</v>
      </c>
      <c r="B12751" s="29" t="s">
        <v>14961</v>
      </c>
      <c r="C12751" s="29" t="s">
        <v>28431</v>
      </c>
      <c r="D12751" s="29" t="s">
        <v>41933</v>
      </c>
      <c r="E12751" s="29" t="s">
        <v>53114</v>
      </c>
      <c r="F12751" s="36" t="s">
        <v>54401</v>
      </c>
      <c r="G12751" s="39">
        <v>416311.76</v>
      </c>
      <c r="H12751" s="42">
        <v>211</v>
      </c>
    </row>
    <row r="12752" spans="1:8" ht="15" customHeight="1">
      <c r="A12752" s="26">
        <v>1052406946</v>
      </c>
      <c r="B12752" s="29" t="s">
        <v>14962</v>
      </c>
      <c r="C12752" s="26" t="s">
        <v>28432</v>
      </c>
      <c r="D12752" s="26" t="s">
        <v>41934</v>
      </c>
      <c r="E12752" s="26" t="s">
        <v>53115</v>
      </c>
      <c r="F12752" s="37" t="s">
        <v>54401</v>
      </c>
      <c r="G12752" s="39">
        <v>4879697.76</v>
      </c>
      <c r="H12752" s="42">
        <v>211</v>
      </c>
    </row>
    <row r="12753" spans="1:8" ht="15" customHeight="1">
      <c r="A12753" s="26">
        <v>1052406951</v>
      </c>
      <c r="B12753" s="29" t="s">
        <v>14963</v>
      </c>
      <c r="C12753" s="29" t="s">
        <v>28433</v>
      </c>
      <c r="D12753" s="29" t="s">
        <v>41935</v>
      </c>
      <c r="E12753" s="29" t="s">
        <v>43926</v>
      </c>
      <c r="F12753" s="36" t="s">
        <v>54401</v>
      </c>
      <c r="G12753" s="39">
        <v>566906.52</v>
      </c>
      <c r="H12753" s="42">
        <v>211</v>
      </c>
    </row>
    <row r="12754" spans="1:8" ht="15" customHeight="1">
      <c r="A12754" s="26">
        <v>1052407010</v>
      </c>
      <c r="B12754" s="29" t="s">
        <v>14964</v>
      </c>
      <c r="C12754" s="29" t="s">
        <v>28434</v>
      </c>
      <c r="D12754" s="29" t="s">
        <v>41936</v>
      </c>
      <c r="E12754" s="29" t="s">
        <v>53116</v>
      </c>
      <c r="F12754" s="36" t="s">
        <v>54401</v>
      </c>
      <c r="G12754" s="39">
        <v>3743232</v>
      </c>
      <c r="H12754" s="42">
        <v>211</v>
      </c>
    </row>
    <row r="12755" spans="1:8" ht="15" customHeight="1">
      <c r="A12755" s="26">
        <v>1052407015</v>
      </c>
      <c r="B12755" s="29" t="s">
        <v>14965</v>
      </c>
      <c r="C12755" s="29" t="s">
        <v>21448</v>
      </c>
      <c r="D12755" s="29" t="s">
        <v>34672</v>
      </c>
      <c r="E12755" s="29" t="s">
        <v>47602</v>
      </c>
      <c r="F12755" s="36" t="s">
        <v>54401</v>
      </c>
      <c r="G12755" s="39">
        <v>1024344.94</v>
      </c>
      <c r="H12755" s="42">
        <v>211</v>
      </c>
    </row>
    <row r="12756" spans="1:8" ht="15" customHeight="1">
      <c r="A12756" s="26">
        <v>1052407045</v>
      </c>
      <c r="B12756" s="29" t="s">
        <v>14966</v>
      </c>
      <c r="C12756" s="29" t="s">
        <v>28435</v>
      </c>
      <c r="D12756" s="29" t="s">
        <v>41937</v>
      </c>
      <c r="E12756" s="29" t="s">
        <v>53117</v>
      </c>
      <c r="F12756" s="36" t="s">
        <v>54401</v>
      </c>
      <c r="G12756" s="39">
        <v>1893022</v>
      </c>
      <c r="H12756" s="42">
        <v>211</v>
      </c>
    </row>
    <row r="12757" spans="1:8" ht="15" customHeight="1">
      <c r="A12757" s="26">
        <v>1052407088</v>
      </c>
      <c r="B12757" s="29" t="s">
        <v>14967</v>
      </c>
      <c r="C12757" s="29" t="s">
        <v>28436</v>
      </c>
      <c r="D12757" s="29" t="s">
        <v>41938</v>
      </c>
      <c r="E12757" s="29" t="s">
        <v>53118</v>
      </c>
      <c r="F12757" s="36" t="s">
        <v>54401</v>
      </c>
      <c r="G12757" s="39">
        <v>4030103.91</v>
      </c>
      <c r="H12757" s="42">
        <v>211</v>
      </c>
    </row>
    <row r="12758" spans="1:8" ht="15" customHeight="1">
      <c r="A12758" s="26">
        <v>1052407089</v>
      </c>
      <c r="B12758" s="29" t="s">
        <v>14968</v>
      </c>
      <c r="C12758" s="29" t="s">
        <v>28437</v>
      </c>
      <c r="D12758" s="29" t="s">
        <v>41939</v>
      </c>
      <c r="E12758" s="29" t="s">
        <v>53119</v>
      </c>
      <c r="F12758" s="36" t="s">
        <v>54401</v>
      </c>
      <c r="G12758" s="39">
        <v>5206608</v>
      </c>
      <c r="H12758" s="42">
        <v>211</v>
      </c>
    </row>
    <row r="12759" spans="1:8" ht="15" customHeight="1">
      <c r="A12759" s="26">
        <v>1052407093</v>
      </c>
      <c r="B12759" s="29" t="s">
        <v>14969</v>
      </c>
      <c r="C12759" s="29" t="s">
        <v>28438</v>
      </c>
      <c r="D12759" s="29" t="s">
        <v>41940</v>
      </c>
      <c r="E12759" s="29" t="s">
        <v>53120</v>
      </c>
      <c r="F12759" s="36" t="s">
        <v>54401</v>
      </c>
      <c r="G12759" s="39">
        <v>103831.03</v>
      </c>
      <c r="H12759" s="42">
        <v>211</v>
      </c>
    </row>
    <row r="12760" spans="1:8" ht="15" customHeight="1">
      <c r="A12760" s="26">
        <v>1052407127</v>
      </c>
      <c r="B12760" s="29" t="s">
        <v>14970</v>
      </c>
      <c r="C12760" s="29" t="s">
        <v>28439</v>
      </c>
      <c r="D12760" s="29" t="s">
        <v>41941</v>
      </c>
      <c r="E12760" s="29" t="s">
        <v>45613</v>
      </c>
      <c r="F12760" s="36" t="s">
        <v>54401</v>
      </c>
      <c r="G12760" s="39">
        <v>167373.03</v>
      </c>
      <c r="H12760" s="42">
        <v>211</v>
      </c>
    </row>
    <row r="12761" spans="1:8" ht="15" customHeight="1">
      <c r="A12761" s="26">
        <v>1052407135</v>
      </c>
      <c r="B12761" s="29" t="s">
        <v>14971</v>
      </c>
      <c r="C12761" s="29" t="s">
        <v>28440</v>
      </c>
      <c r="D12761" s="29" t="s">
        <v>41942</v>
      </c>
      <c r="E12761" s="29" t="s">
        <v>53121</v>
      </c>
      <c r="F12761" s="36" t="s">
        <v>54401</v>
      </c>
      <c r="G12761" s="39">
        <v>333020.42</v>
      </c>
      <c r="H12761" s="42">
        <v>211</v>
      </c>
    </row>
    <row r="12762" spans="1:8" ht="15" customHeight="1">
      <c r="A12762" s="26">
        <v>1052407137</v>
      </c>
      <c r="B12762" s="29" t="s">
        <v>14972</v>
      </c>
      <c r="C12762" s="29" t="s">
        <v>28441</v>
      </c>
      <c r="D12762" s="29" t="s">
        <v>41943</v>
      </c>
      <c r="E12762" s="29" t="s">
        <v>53122</v>
      </c>
      <c r="F12762" s="36" t="s">
        <v>54401</v>
      </c>
      <c r="G12762" s="39">
        <v>344895.23</v>
      </c>
      <c r="H12762" s="42">
        <v>211</v>
      </c>
    </row>
    <row r="12763" spans="1:8" ht="15" customHeight="1">
      <c r="A12763" s="26">
        <v>1052407150</v>
      </c>
      <c r="B12763" s="29" t="s">
        <v>14973</v>
      </c>
      <c r="C12763" s="29" t="s">
        <v>28442</v>
      </c>
      <c r="D12763" s="29" t="s">
        <v>41944</v>
      </c>
      <c r="E12763" s="29" t="s">
        <v>45261</v>
      </c>
      <c r="F12763" s="36" t="s">
        <v>54401</v>
      </c>
      <c r="G12763" s="39">
        <v>93899.23</v>
      </c>
      <c r="H12763" s="42">
        <v>211</v>
      </c>
    </row>
    <row r="12764" spans="1:8" ht="15" customHeight="1">
      <c r="A12764" s="26">
        <v>1052407159</v>
      </c>
      <c r="B12764" s="29" t="s">
        <v>14974</v>
      </c>
      <c r="C12764" s="29" t="s">
        <v>28443</v>
      </c>
      <c r="D12764" s="29" t="s">
        <v>41945</v>
      </c>
      <c r="E12764" s="29" t="s">
        <v>53123</v>
      </c>
      <c r="F12764" s="36" t="s">
        <v>54401</v>
      </c>
      <c r="G12764" s="39">
        <v>118504.21</v>
      </c>
      <c r="H12764" s="42">
        <v>211</v>
      </c>
    </row>
    <row r="12765" spans="1:8" ht="15" customHeight="1">
      <c r="A12765" s="26">
        <v>1052407168</v>
      </c>
      <c r="B12765" s="29" t="s">
        <v>14975</v>
      </c>
      <c r="C12765" s="29" t="s">
        <v>28444</v>
      </c>
      <c r="D12765" s="29" t="s">
        <v>41946</v>
      </c>
      <c r="E12765" s="29" t="s">
        <v>53124</v>
      </c>
      <c r="F12765" s="36" t="s">
        <v>54401</v>
      </c>
      <c r="G12765" s="39">
        <v>352124.53</v>
      </c>
      <c r="H12765" s="42">
        <v>211</v>
      </c>
    </row>
    <row r="12766" spans="1:8" ht="15" customHeight="1">
      <c r="A12766" s="26">
        <v>1052407189</v>
      </c>
      <c r="B12766" s="29" t="s">
        <v>14976</v>
      </c>
      <c r="C12766" s="29" t="s">
        <v>17204</v>
      </c>
      <c r="D12766" s="29" t="s">
        <v>30349</v>
      </c>
      <c r="E12766" s="29" t="s">
        <v>43926</v>
      </c>
      <c r="F12766" s="36" t="s">
        <v>54401</v>
      </c>
      <c r="G12766" s="39">
        <v>89384.15</v>
      </c>
      <c r="H12766" s="42">
        <v>211</v>
      </c>
    </row>
    <row r="12767" spans="1:8" ht="15" customHeight="1">
      <c r="A12767" s="26">
        <v>1052407215</v>
      </c>
      <c r="B12767" s="29" t="s">
        <v>14977</v>
      </c>
      <c r="C12767" s="29" t="s">
        <v>28445</v>
      </c>
      <c r="D12767" s="29" t="s">
        <v>41947</v>
      </c>
      <c r="E12767" s="29" t="s">
        <v>47110</v>
      </c>
      <c r="F12767" s="36" t="s">
        <v>54401</v>
      </c>
      <c r="G12767" s="39">
        <v>362589.88</v>
      </c>
      <c r="H12767" s="42">
        <v>211</v>
      </c>
    </row>
    <row r="12768" spans="1:8" ht="15" customHeight="1">
      <c r="A12768" s="26">
        <v>1052407218</v>
      </c>
      <c r="B12768" s="29" t="s">
        <v>14978</v>
      </c>
      <c r="C12768" s="29" t="s">
        <v>28446</v>
      </c>
      <c r="D12768" s="29" t="s">
        <v>41948</v>
      </c>
      <c r="E12768" s="29" t="s">
        <v>53125</v>
      </c>
      <c r="F12768" s="36" t="s">
        <v>54401</v>
      </c>
      <c r="G12768" s="39">
        <v>4722713</v>
      </c>
      <c r="H12768" s="42">
        <v>211</v>
      </c>
    </row>
    <row r="12769" spans="1:8" ht="15" customHeight="1">
      <c r="A12769" s="26">
        <v>1052407220</v>
      </c>
      <c r="B12769" s="29" t="s">
        <v>14979</v>
      </c>
      <c r="C12769" s="29" t="s">
        <v>28447</v>
      </c>
      <c r="D12769" s="29" t="s">
        <v>41949</v>
      </c>
      <c r="E12769" s="29" t="s">
        <v>53126</v>
      </c>
      <c r="F12769" s="36" t="s">
        <v>54401</v>
      </c>
      <c r="G12769" s="39">
        <v>1035547.59</v>
      </c>
      <c r="H12769" s="42">
        <v>211</v>
      </c>
    </row>
    <row r="12770" spans="1:8" ht="15" customHeight="1">
      <c r="A12770" s="26">
        <v>1052407251</v>
      </c>
      <c r="B12770" s="29" t="s">
        <v>14980</v>
      </c>
      <c r="C12770" s="29" t="s">
        <v>28448</v>
      </c>
      <c r="D12770" s="29" t="s">
        <v>41950</v>
      </c>
      <c r="E12770" s="29" t="s">
        <v>43926</v>
      </c>
      <c r="F12770" s="36" t="s">
        <v>54401</v>
      </c>
      <c r="G12770" s="39">
        <v>15557.14</v>
      </c>
      <c r="H12770" s="42">
        <v>211</v>
      </c>
    </row>
    <row r="12771" spans="1:8" ht="15" customHeight="1">
      <c r="A12771" s="26">
        <v>1052407273</v>
      </c>
      <c r="B12771" s="29" t="s">
        <v>14981</v>
      </c>
      <c r="C12771" s="29" t="s">
        <v>28449</v>
      </c>
      <c r="D12771" s="29" t="s">
        <v>41951</v>
      </c>
      <c r="E12771" s="29" t="s">
        <v>43926</v>
      </c>
      <c r="F12771" s="36" t="s">
        <v>54401</v>
      </c>
      <c r="G12771" s="39">
        <v>893116.37</v>
      </c>
      <c r="H12771" s="42">
        <v>211</v>
      </c>
    </row>
    <row r="12772" spans="1:8" ht="15" customHeight="1">
      <c r="A12772" s="26">
        <v>1052407279</v>
      </c>
      <c r="B12772" s="29" t="s">
        <v>14982</v>
      </c>
      <c r="C12772" s="29" t="s">
        <v>28450</v>
      </c>
      <c r="D12772" s="29" t="s">
        <v>41952</v>
      </c>
      <c r="E12772" s="29" t="s">
        <v>53127</v>
      </c>
      <c r="F12772" s="36" t="s">
        <v>54401</v>
      </c>
      <c r="G12772" s="39">
        <v>782516.06</v>
      </c>
      <c r="H12772" s="42">
        <v>211</v>
      </c>
    </row>
    <row r="12773" spans="1:8" ht="15" customHeight="1">
      <c r="A12773" s="26">
        <v>1052407288</v>
      </c>
      <c r="B12773" s="29" t="s">
        <v>14983</v>
      </c>
      <c r="C12773" s="29" t="s">
        <v>17204</v>
      </c>
      <c r="D12773" s="29" t="s">
        <v>41953</v>
      </c>
      <c r="E12773" s="29" t="s">
        <v>43926</v>
      </c>
      <c r="F12773" s="36" t="s">
        <v>54401</v>
      </c>
      <c r="G12773" s="39">
        <v>1699244.21</v>
      </c>
      <c r="H12773" s="42">
        <v>211</v>
      </c>
    </row>
    <row r="12774" spans="1:8" ht="15" customHeight="1">
      <c r="A12774" s="26">
        <v>1052407293</v>
      </c>
      <c r="B12774" s="29" t="s">
        <v>14984</v>
      </c>
      <c r="C12774" s="29" t="s">
        <v>28451</v>
      </c>
      <c r="D12774" s="29" t="s">
        <v>41954</v>
      </c>
      <c r="E12774" s="29" t="s">
        <v>53128</v>
      </c>
      <c r="F12774" s="36" t="s">
        <v>54401</v>
      </c>
      <c r="G12774" s="39">
        <v>1780474</v>
      </c>
      <c r="H12774" s="42">
        <v>211</v>
      </c>
    </row>
    <row r="12775" spans="1:8" ht="15" customHeight="1">
      <c r="A12775" s="26">
        <v>1052407321</v>
      </c>
      <c r="B12775" s="29" t="s">
        <v>14985</v>
      </c>
      <c r="C12775" s="29" t="s">
        <v>17204</v>
      </c>
      <c r="D12775" s="29" t="s">
        <v>30349</v>
      </c>
      <c r="E12775" s="29" t="s">
        <v>43926</v>
      </c>
      <c r="F12775" s="36" t="s">
        <v>54401</v>
      </c>
      <c r="G12775" s="39">
        <v>163441.18</v>
      </c>
      <c r="H12775" s="42">
        <v>211</v>
      </c>
    </row>
    <row r="12776" spans="1:8" ht="15" customHeight="1">
      <c r="A12776" s="26">
        <v>1052407342</v>
      </c>
      <c r="B12776" s="29" t="s">
        <v>14986</v>
      </c>
      <c r="C12776" s="29" t="s">
        <v>28452</v>
      </c>
      <c r="D12776" s="29" t="s">
        <v>41955</v>
      </c>
      <c r="E12776" s="29" t="s">
        <v>48430</v>
      </c>
      <c r="F12776" s="36" t="s">
        <v>54401</v>
      </c>
      <c r="G12776" s="39">
        <v>977414.81</v>
      </c>
      <c r="H12776" s="42">
        <v>211</v>
      </c>
    </row>
    <row r="12777" spans="1:8" ht="15" customHeight="1">
      <c r="A12777" s="26">
        <v>1052407384</v>
      </c>
      <c r="B12777" s="29" t="s">
        <v>14987</v>
      </c>
      <c r="C12777" s="26" t="s">
        <v>28453</v>
      </c>
      <c r="D12777" s="26" t="s">
        <v>41956</v>
      </c>
      <c r="E12777" s="26" t="s">
        <v>53129</v>
      </c>
      <c r="F12777" s="37" t="s">
        <v>54401</v>
      </c>
      <c r="G12777" s="39">
        <v>593144.22</v>
      </c>
      <c r="H12777" s="42">
        <v>211</v>
      </c>
    </row>
    <row r="12778" spans="1:8" ht="15" customHeight="1">
      <c r="A12778" s="26">
        <v>1052407417</v>
      </c>
      <c r="B12778" s="29" t="s">
        <v>14988</v>
      </c>
      <c r="C12778" s="29" t="s">
        <v>28454</v>
      </c>
      <c r="D12778" s="29" t="s">
        <v>41957</v>
      </c>
      <c r="E12778" s="29" t="s">
        <v>53130</v>
      </c>
      <c r="F12778" s="36" t="s">
        <v>54401</v>
      </c>
      <c r="G12778" s="39">
        <v>3550501.33</v>
      </c>
      <c r="H12778" s="42">
        <v>211</v>
      </c>
    </row>
    <row r="12779" spans="1:8" ht="15" customHeight="1">
      <c r="A12779" s="26">
        <v>1052407426</v>
      </c>
      <c r="B12779" s="29" t="s">
        <v>14989</v>
      </c>
      <c r="C12779" s="29" t="s">
        <v>28455</v>
      </c>
      <c r="D12779" s="29" t="s">
        <v>41958</v>
      </c>
      <c r="E12779" s="29" t="s">
        <v>53131</v>
      </c>
      <c r="F12779" s="36" t="s">
        <v>54401</v>
      </c>
      <c r="G12779" s="39">
        <v>682280.38</v>
      </c>
      <c r="H12779" s="42">
        <v>211</v>
      </c>
    </row>
    <row r="12780" spans="1:8" ht="15" customHeight="1">
      <c r="A12780" s="26">
        <v>1052407427</v>
      </c>
      <c r="B12780" s="29" t="s">
        <v>14990</v>
      </c>
      <c r="C12780" s="29" t="s">
        <v>28456</v>
      </c>
      <c r="D12780" s="29" t="s">
        <v>41959</v>
      </c>
      <c r="E12780" s="29" t="s">
        <v>53132</v>
      </c>
      <c r="F12780" s="36" t="s">
        <v>54401</v>
      </c>
      <c r="G12780" s="39">
        <v>789152.98</v>
      </c>
      <c r="H12780" s="42">
        <v>211</v>
      </c>
    </row>
    <row r="12781" spans="1:8" ht="15" customHeight="1">
      <c r="A12781" s="26">
        <v>1052407446</v>
      </c>
      <c r="B12781" s="29" t="s">
        <v>14991</v>
      </c>
      <c r="C12781" s="29" t="s">
        <v>28457</v>
      </c>
      <c r="D12781" s="29" t="s">
        <v>41960</v>
      </c>
      <c r="E12781" s="29" t="s">
        <v>47575</v>
      </c>
      <c r="F12781" s="36" t="s">
        <v>54401</v>
      </c>
      <c r="G12781" s="39">
        <v>1432332.25</v>
      </c>
      <c r="H12781" s="42">
        <v>211</v>
      </c>
    </row>
    <row r="12782" spans="1:8" ht="15" customHeight="1">
      <c r="A12782" s="26">
        <v>1052407465</v>
      </c>
      <c r="B12782" s="29" t="s">
        <v>14992</v>
      </c>
      <c r="C12782" s="29" t="s">
        <v>28458</v>
      </c>
      <c r="D12782" s="29" t="s">
        <v>41961</v>
      </c>
      <c r="E12782" s="29" t="s">
        <v>53133</v>
      </c>
      <c r="F12782" s="36" t="s">
        <v>54401</v>
      </c>
      <c r="G12782" s="39">
        <v>602706.39</v>
      </c>
      <c r="H12782" s="42">
        <v>211</v>
      </c>
    </row>
    <row r="12783" spans="1:8" ht="15" customHeight="1">
      <c r="A12783" s="26">
        <v>1052407472</v>
      </c>
      <c r="B12783" s="29" t="s">
        <v>14993</v>
      </c>
      <c r="C12783" s="29" t="s">
        <v>28459</v>
      </c>
      <c r="D12783" s="29" t="s">
        <v>41962</v>
      </c>
      <c r="E12783" s="29" t="s">
        <v>53134</v>
      </c>
      <c r="F12783" s="36" t="s">
        <v>54401</v>
      </c>
      <c r="G12783" s="39">
        <v>1642427.71</v>
      </c>
      <c r="H12783" s="42">
        <v>211</v>
      </c>
    </row>
    <row r="12784" spans="1:8" ht="15" customHeight="1">
      <c r="A12784" s="26">
        <v>1052407485</v>
      </c>
      <c r="B12784" s="29" t="s">
        <v>14994</v>
      </c>
      <c r="C12784" s="29" t="s">
        <v>28460</v>
      </c>
      <c r="D12784" s="29" t="s">
        <v>41963</v>
      </c>
      <c r="E12784" s="29" t="s">
        <v>53135</v>
      </c>
      <c r="F12784" s="36" t="s">
        <v>54401</v>
      </c>
      <c r="G12784" s="39">
        <v>2919427.91</v>
      </c>
      <c r="H12784" s="42">
        <v>211</v>
      </c>
    </row>
    <row r="12785" spans="1:8" ht="15" customHeight="1">
      <c r="A12785" s="26">
        <v>1052407497</v>
      </c>
      <c r="B12785" s="29" t="s">
        <v>14995</v>
      </c>
      <c r="C12785" s="29" t="s">
        <v>28461</v>
      </c>
      <c r="D12785" s="29" t="s">
        <v>41964</v>
      </c>
      <c r="E12785" s="29" t="s">
        <v>53136</v>
      </c>
      <c r="F12785" s="36" t="s">
        <v>54401</v>
      </c>
      <c r="G12785" s="39">
        <v>35178.83</v>
      </c>
      <c r="H12785" s="42">
        <v>211</v>
      </c>
    </row>
    <row r="12786" spans="1:8" ht="15" customHeight="1">
      <c r="A12786" s="26">
        <v>1052407502</v>
      </c>
      <c r="B12786" s="29" t="s">
        <v>14996</v>
      </c>
      <c r="C12786" s="29" t="s">
        <v>28462</v>
      </c>
      <c r="D12786" s="29" t="s">
        <v>41965</v>
      </c>
      <c r="E12786" s="29" t="s">
        <v>53137</v>
      </c>
      <c r="F12786" s="36" t="s">
        <v>54401</v>
      </c>
      <c r="G12786" s="39">
        <v>634842.61</v>
      </c>
      <c r="H12786" s="42">
        <v>211</v>
      </c>
    </row>
    <row r="12787" spans="1:8" ht="15" customHeight="1">
      <c r="A12787" s="26">
        <v>1052407512</v>
      </c>
      <c r="B12787" s="29" t="s">
        <v>14997</v>
      </c>
      <c r="C12787" s="29" t="s">
        <v>28463</v>
      </c>
      <c r="D12787" s="29" t="s">
        <v>41966</v>
      </c>
      <c r="E12787" s="29" t="s">
        <v>53138</v>
      </c>
      <c r="F12787" s="36" t="s">
        <v>54401</v>
      </c>
      <c r="G12787" s="39">
        <v>1301787.55</v>
      </c>
      <c r="H12787" s="42">
        <v>211</v>
      </c>
    </row>
    <row r="12788" spans="1:8" ht="15" customHeight="1">
      <c r="A12788" s="26">
        <v>1052407514</v>
      </c>
      <c r="B12788" s="29" t="s">
        <v>14998</v>
      </c>
      <c r="C12788" s="29" t="s">
        <v>28464</v>
      </c>
      <c r="D12788" s="29" t="s">
        <v>41967</v>
      </c>
      <c r="E12788" s="29" t="s">
        <v>53139</v>
      </c>
      <c r="F12788" s="36" t="s">
        <v>54401</v>
      </c>
      <c r="G12788" s="39">
        <v>1806417.57</v>
      </c>
      <c r="H12788" s="42">
        <v>211</v>
      </c>
    </row>
    <row r="12789" spans="1:8" ht="15" customHeight="1">
      <c r="A12789" s="26">
        <v>1052407523</v>
      </c>
      <c r="B12789" s="29" t="s">
        <v>14999</v>
      </c>
      <c r="C12789" s="29" t="s">
        <v>23337</v>
      </c>
      <c r="D12789" s="29" t="s">
        <v>36614</v>
      </c>
      <c r="E12789" s="29" t="s">
        <v>53140</v>
      </c>
      <c r="F12789" s="36" t="s">
        <v>54401</v>
      </c>
      <c r="G12789" s="39">
        <v>569048.76</v>
      </c>
      <c r="H12789" s="42">
        <v>211</v>
      </c>
    </row>
    <row r="12790" spans="1:8" ht="15" customHeight="1">
      <c r="A12790" s="26">
        <v>1052407553</v>
      </c>
      <c r="B12790" s="29" t="s">
        <v>15000</v>
      </c>
      <c r="C12790" s="29" t="s">
        <v>28465</v>
      </c>
      <c r="D12790" s="29" t="s">
        <v>41968</v>
      </c>
      <c r="E12790" s="29" t="s">
        <v>43926</v>
      </c>
      <c r="F12790" s="36" t="s">
        <v>54401</v>
      </c>
      <c r="G12790" s="39">
        <v>440508.82</v>
      </c>
      <c r="H12790" s="42">
        <v>211</v>
      </c>
    </row>
    <row r="12791" spans="1:8" ht="15" customHeight="1">
      <c r="A12791" s="26">
        <v>1052407590</v>
      </c>
      <c r="B12791" s="29" t="s">
        <v>15001</v>
      </c>
      <c r="C12791" s="26" t="s">
        <v>28466</v>
      </c>
      <c r="D12791" s="26" t="s">
        <v>41969</v>
      </c>
      <c r="E12791" s="26" t="s">
        <v>53141</v>
      </c>
      <c r="F12791" s="37" t="s">
        <v>54401</v>
      </c>
      <c r="G12791" s="39">
        <v>251794.52</v>
      </c>
      <c r="H12791" s="42">
        <v>211</v>
      </c>
    </row>
    <row r="12792" spans="1:8" ht="15" customHeight="1">
      <c r="A12792" s="26">
        <v>1052407594</v>
      </c>
      <c r="B12792" s="29" t="s">
        <v>15002</v>
      </c>
      <c r="C12792" s="29" t="s">
        <v>28467</v>
      </c>
      <c r="D12792" s="29" t="s">
        <v>41970</v>
      </c>
      <c r="E12792" s="29" t="s">
        <v>45170</v>
      </c>
      <c r="F12792" s="36" t="s">
        <v>54401</v>
      </c>
      <c r="G12792" s="39">
        <v>1919912</v>
      </c>
      <c r="H12792" s="42">
        <v>211</v>
      </c>
    </row>
    <row r="12793" spans="1:8" ht="15" customHeight="1">
      <c r="A12793" s="26">
        <v>1052407601</v>
      </c>
      <c r="B12793" s="29" t="s">
        <v>15003</v>
      </c>
      <c r="C12793" s="29" t="s">
        <v>17204</v>
      </c>
      <c r="D12793" s="29" t="s">
        <v>41971</v>
      </c>
      <c r="E12793" s="29" t="s">
        <v>43926</v>
      </c>
      <c r="F12793" s="36" t="s">
        <v>54401</v>
      </c>
      <c r="G12793" s="39">
        <v>485850.68</v>
      </c>
      <c r="H12793" s="42">
        <v>211</v>
      </c>
    </row>
    <row r="12794" spans="1:8" ht="15" customHeight="1">
      <c r="A12794" s="26">
        <v>1052407605</v>
      </c>
      <c r="B12794" s="29" t="s">
        <v>15004</v>
      </c>
      <c r="C12794" s="29" t="s">
        <v>28468</v>
      </c>
      <c r="D12794" s="29" t="s">
        <v>41972</v>
      </c>
      <c r="E12794" s="29" t="s">
        <v>53142</v>
      </c>
      <c r="F12794" s="36" t="s">
        <v>54401</v>
      </c>
      <c r="G12794" s="39">
        <v>2051804.11</v>
      </c>
      <c r="H12794" s="42">
        <v>211</v>
      </c>
    </row>
    <row r="12795" spans="1:8" ht="15" customHeight="1">
      <c r="A12795" s="26">
        <v>1052407646</v>
      </c>
      <c r="B12795" s="29" t="s">
        <v>15005</v>
      </c>
      <c r="C12795" s="29" t="s">
        <v>28469</v>
      </c>
      <c r="D12795" s="29" t="s">
        <v>41973</v>
      </c>
      <c r="E12795" s="29" t="s">
        <v>53143</v>
      </c>
      <c r="F12795" s="36" t="s">
        <v>54401</v>
      </c>
      <c r="G12795" s="39">
        <v>3233359.88</v>
      </c>
      <c r="H12795" s="42">
        <v>211</v>
      </c>
    </row>
    <row r="12796" spans="1:8" ht="15" customHeight="1">
      <c r="A12796" s="26">
        <v>1052407652</v>
      </c>
      <c r="B12796" s="29" t="s">
        <v>15006</v>
      </c>
      <c r="C12796" s="29" t="s">
        <v>28470</v>
      </c>
      <c r="D12796" s="29" t="s">
        <v>41974</v>
      </c>
      <c r="E12796" s="29" t="s">
        <v>53144</v>
      </c>
      <c r="F12796" s="36" t="s">
        <v>54413</v>
      </c>
      <c r="G12796" s="39">
        <v>18455919.09</v>
      </c>
      <c r="H12796" s="42">
        <v>211</v>
      </c>
    </row>
    <row r="12797" spans="1:8" ht="15" customHeight="1">
      <c r="A12797" s="26">
        <v>1052407654</v>
      </c>
      <c r="B12797" s="29" t="s">
        <v>15007</v>
      </c>
      <c r="C12797" s="29" t="s">
        <v>28471</v>
      </c>
      <c r="D12797" s="29" t="s">
        <v>41975</v>
      </c>
      <c r="E12797" s="29" t="s">
        <v>44327</v>
      </c>
      <c r="F12797" s="36" t="s">
        <v>54401</v>
      </c>
      <c r="G12797" s="39">
        <v>573654.18999999994</v>
      </c>
      <c r="H12797" s="42">
        <v>211</v>
      </c>
    </row>
    <row r="12798" spans="1:8" ht="15" customHeight="1">
      <c r="A12798" s="26">
        <v>1052407659</v>
      </c>
      <c r="B12798" s="29" t="s">
        <v>15008</v>
      </c>
      <c r="C12798" s="29" t="s">
        <v>28472</v>
      </c>
      <c r="D12798" s="29" t="s">
        <v>41976</v>
      </c>
      <c r="E12798" s="29" t="s">
        <v>53145</v>
      </c>
      <c r="F12798" s="36" t="s">
        <v>54401</v>
      </c>
      <c r="G12798" s="39">
        <v>224924.15</v>
      </c>
      <c r="H12798" s="42">
        <v>211</v>
      </c>
    </row>
    <row r="12799" spans="1:8" ht="15" customHeight="1">
      <c r="A12799" s="26">
        <v>1052407665</v>
      </c>
      <c r="B12799" s="29" t="s">
        <v>15009</v>
      </c>
      <c r="C12799" s="29" t="s">
        <v>28473</v>
      </c>
      <c r="D12799" s="29" t="s">
        <v>41977</v>
      </c>
      <c r="E12799" s="29" t="s">
        <v>51616</v>
      </c>
      <c r="F12799" s="36" t="s">
        <v>54401</v>
      </c>
      <c r="G12799" s="39">
        <v>4179241</v>
      </c>
      <c r="H12799" s="42">
        <v>211</v>
      </c>
    </row>
    <row r="12800" spans="1:8" ht="15" customHeight="1">
      <c r="A12800" s="26">
        <v>1052407670</v>
      </c>
      <c r="B12800" s="29" t="s">
        <v>15010</v>
      </c>
      <c r="C12800" s="29" t="s">
        <v>28474</v>
      </c>
      <c r="D12800" s="29" t="s">
        <v>41978</v>
      </c>
      <c r="E12800" s="29" t="s">
        <v>53146</v>
      </c>
      <c r="F12800" s="36" t="s">
        <v>54401</v>
      </c>
      <c r="G12800" s="39">
        <v>4713978.4000000004</v>
      </c>
      <c r="H12800" s="42">
        <v>211</v>
      </c>
    </row>
    <row r="12801" spans="1:8" ht="15" customHeight="1">
      <c r="A12801" s="26">
        <v>1052407677</v>
      </c>
      <c r="B12801" s="29" t="s">
        <v>15011</v>
      </c>
      <c r="C12801" s="26" t="s">
        <v>28475</v>
      </c>
      <c r="D12801" s="26" t="s">
        <v>41979</v>
      </c>
      <c r="E12801" s="26" t="s">
        <v>53147</v>
      </c>
      <c r="F12801" s="37" t="s">
        <v>54401</v>
      </c>
      <c r="G12801" s="39">
        <v>288505.46999999997</v>
      </c>
      <c r="H12801" s="42">
        <v>211</v>
      </c>
    </row>
    <row r="12802" spans="1:8" ht="15" customHeight="1">
      <c r="A12802" s="26">
        <v>1052407686</v>
      </c>
      <c r="B12802" s="29" t="s">
        <v>15012</v>
      </c>
      <c r="C12802" s="29" t="s">
        <v>17204</v>
      </c>
      <c r="D12802" s="29" t="s">
        <v>41980</v>
      </c>
      <c r="E12802" s="29" t="s">
        <v>43926</v>
      </c>
      <c r="F12802" s="36" t="s">
        <v>54401</v>
      </c>
      <c r="G12802" s="39">
        <v>497900.02</v>
      </c>
      <c r="H12802" s="42">
        <v>211</v>
      </c>
    </row>
    <row r="12803" spans="1:8" ht="15" customHeight="1">
      <c r="A12803" s="26">
        <v>1052407700</v>
      </c>
      <c r="B12803" s="29" t="s">
        <v>15013</v>
      </c>
      <c r="C12803" s="29" t="s">
        <v>28476</v>
      </c>
      <c r="D12803" s="29" t="s">
        <v>41981</v>
      </c>
      <c r="E12803" s="29" t="s">
        <v>53148</v>
      </c>
      <c r="F12803" s="36" t="s">
        <v>54401</v>
      </c>
      <c r="G12803" s="39">
        <v>2052801.15</v>
      </c>
      <c r="H12803" s="42">
        <v>211</v>
      </c>
    </row>
    <row r="12804" spans="1:8" ht="15" customHeight="1">
      <c r="A12804" s="26">
        <v>1052407748</v>
      </c>
      <c r="B12804" s="29" t="s">
        <v>15014</v>
      </c>
      <c r="C12804" s="29" t="s">
        <v>28477</v>
      </c>
      <c r="D12804" s="29" t="s">
        <v>41982</v>
      </c>
      <c r="E12804" s="29" t="s">
        <v>53149</v>
      </c>
      <c r="F12804" s="36" t="s">
        <v>54401</v>
      </c>
      <c r="G12804" s="39">
        <v>5538761</v>
      </c>
      <c r="H12804" s="42">
        <v>211</v>
      </c>
    </row>
    <row r="12805" spans="1:8" ht="15" customHeight="1">
      <c r="A12805" s="26">
        <v>1052407749</v>
      </c>
      <c r="B12805" s="29" t="s">
        <v>15015</v>
      </c>
      <c r="C12805" s="29" t="s">
        <v>28478</v>
      </c>
      <c r="D12805" s="29" t="s">
        <v>41983</v>
      </c>
      <c r="E12805" s="29" t="s">
        <v>53150</v>
      </c>
      <c r="F12805" s="36" t="s">
        <v>54401</v>
      </c>
      <c r="G12805" s="39">
        <v>5339306.6399999997</v>
      </c>
      <c r="H12805" s="42">
        <v>211</v>
      </c>
    </row>
    <row r="12806" spans="1:8" ht="15" customHeight="1">
      <c r="A12806" s="26">
        <v>1052407756</v>
      </c>
      <c r="B12806" s="29" t="s">
        <v>15016</v>
      </c>
      <c r="C12806" s="29" t="s">
        <v>17204</v>
      </c>
      <c r="D12806" s="29" t="s">
        <v>30349</v>
      </c>
      <c r="E12806" s="29" t="s">
        <v>43926</v>
      </c>
      <c r="F12806" s="36" t="s">
        <v>54401</v>
      </c>
      <c r="G12806" s="39">
        <v>151988.63</v>
      </c>
      <c r="H12806" s="42">
        <v>211</v>
      </c>
    </row>
    <row r="12807" spans="1:8" ht="15" customHeight="1">
      <c r="A12807" s="26">
        <v>1052407762</v>
      </c>
      <c r="B12807" s="29" t="s">
        <v>15017</v>
      </c>
      <c r="C12807" s="29" t="s">
        <v>28479</v>
      </c>
      <c r="D12807" s="29" t="s">
        <v>41984</v>
      </c>
      <c r="E12807" s="29" t="s">
        <v>53016</v>
      </c>
      <c r="F12807" s="36" t="s">
        <v>54401</v>
      </c>
      <c r="G12807" s="39">
        <v>6345410.1799999997</v>
      </c>
      <c r="H12807" s="42">
        <v>211</v>
      </c>
    </row>
    <row r="12808" spans="1:8" ht="15" customHeight="1">
      <c r="A12808" s="26">
        <v>1052407763</v>
      </c>
      <c r="B12808" s="29" t="s">
        <v>15018</v>
      </c>
      <c r="C12808" s="29" t="s">
        <v>28480</v>
      </c>
      <c r="D12808" s="29" t="s">
        <v>41985</v>
      </c>
      <c r="E12808" s="29" t="s">
        <v>53151</v>
      </c>
      <c r="F12808" s="36" t="s">
        <v>54401</v>
      </c>
      <c r="G12808" s="39">
        <v>638834.71</v>
      </c>
      <c r="H12808" s="42">
        <v>211</v>
      </c>
    </row>
    <row r="12809" spans="1:8" ht="15" customHeight="1">
      <c r="A12809" s="26">
        <v>1052407765</v>
      </c>
      <c r="B12809" s="29" t="s">
        <v>15019</v>
      </c>
      <c r="C12809" s="29" t="s">
        <v>28481</v>
      </c>
      <c r="D12809" s="29" t="s">
        <v>41986</v>
      </c>
      <c r="E12809" s="29" t="s">
        <v>43926</v>
      </c>
      <c r="F12809" s="36" t="s">
        <v>54401</v>
      </c>
      <c r="G12809" s="39">
        <v>1709912.46</v>
      </c>
      <c r="H12809" s="42">
        <v>211</v>
      </c>
    </row>
    <row r="12810" spans="1:8" ht="15" customHeight="1">
      <c r="A12810" s="26">
        <v>1052407766</v>
      </c>
      <c r="B12810" s="29" t="s">
        <v>15020</v>
      </c>
      <c r="C12810" s="29" t="s">
        <v>28482</v>
      </c>
      <c r="D12810" s="29" t="s">
        <v>41987</v>
      </c>
      <c r="E12810" s="29" t="s">
        <v>53152</v>
      </c>
      <c r="F12810" s="36" t="s">
        <v>54401</v>
      </c>
      <c r="G12810" s="39">
        <v>19310.939999999999</v>
      </c>
      <c r="H12810" s="42">
        <v>211</v>
      </c>
    </row>
    <row r="12811" spans="1:8" ht="15" customHeight="1">
      <c r="A12811" s="26">
        <v>1052407819</v>
      </c>
      <c r="B12811" s="29" t="s">
        <v>15021</v>
      </c>
      <c r="C12811" s="29" t="s">
        <v>28483</v>
      </c>
      <c r="D12811" s="29" t="s">
        <v>41988</v>
      </c>
      <c r="E12811" s="29" t="s">
        <v>45285</v>
      </c>
      <c r="F12811" s="36" t="s">
        <v>54401</v>
      </c>
      <c r="G12811" s="39">
        <v>601637.62</v>
      </c>
      <c r="H12811" s="42">
        <v>211</v>
      </c>
    </row>
    <row r="12812" spans="1:8" ht="15" customHeight="1">
      <c r="A12812" s="26">
        <v>1052407829</v>
      </c>
      <c r="B12812" s="29" t="s">
        <v>15022</v>
      </c>
      <c r="C12812" s="29" t="s">
        <v>28484</v>
      </c>
      <c r="D12812" s="29" t="s">
        <v>41989</v>
      </c>
      <c r="E12812" s="29" t="s">
        <v>53153</v>
      </c>
      <c r="F12812" s="36" t="s">
        <v>54401</v>
      </c>
      <c r="G12812" s="39">
        <v>1589146.39</v>
      </c>
      <c r="H12812" s="42">
        <v>211</v>
      </c>
    </row>
    <row r="12813" spans="1:8" ht="15" customHeight="1">
      <c r="A12813" s="26">
        <v>1052407850</v>
      </c>
      <c r="B12813" s="29" t="s">
        <v>15023</v>
      </c>
      <c r="C12813" s="29" t="s">
        <v>28485</v>
      </c>
      <c r="D12813" s="29" t="s">
        <v>41990</v>
      </c>
      <c r="E12813" s="29" t="s">
        <v>53154</v>
      </c>
      <c r="F12813" s="36" t="s">
        <v>54401</v>
      </c>
      <c r="G12813" s="39">
        <v>1717227.54</v>
      </c>
      <c r="H12813" s="42">
        <v>211</v>
      </c>
    </row>
    <row r="12814" spans="1:8" ht="15" customHeight="1">
      <c r="A12814" s="26">
        <v>1052407862</v>
      </c>
      <c r="B12814" s="29" t="s">
        <v>15024</v>
      </c>
      <c r="C12814" s="29" t="s">
        <v>28486</v>
      </c>
      <c r="D12814" s="29" t="s">
        <v>41991</v>
      </c>
      <c r="E12814" s="29" t="s">
        <v>53155</v>
      </c>
      <c r="F12814" s="36" t="s">
        <v>54401</v>
      </c>
      <c r="G12814" s="39">
        <v>102164.37</v>
      </c>
      <c r="H12814" s="42">
        <v>211</v>
      </c>
    </row>
    <row r="12815" spans="1:8" ht="15" customHeight="1">
      <c r="A12815" s="26">
        <v>1052407863</v>
      </c>
      <c r="B12815" s="29" t="s">
        <v>15025</v>
      </c>
      <c r="C12815" s="29" t="s">
        <v>28487</v>
      </c>
      <c r="D12815" s="29" t="s">
        <v>41992</v>
      </c>
      <c r="E12815" s="29" t="s">
        <v>46670</v>
      </c>
      <c r="F12815" s="36" t="s">
        <v>54401</v>
      </c>
      <c r="G12815" s="39">
        <v>250420.17</v>
      </c>
      <c r="H12815" s="42">
        <v>211</v>
      </c>
    </row>
    <row r="12816" spans="1:8" ht="15" customHeight="1">
      <c r="A12816" s="26">
        <v>1052407871</v>
      </c>
      <c r="B12816" s="29" t="s">
        <v>15026</v>
      </c>
      <c r="C12816" s="26" t="s">
        <v>28488</v>
      </c>
      <c r="D12816" s="26" t="s">
        <v>32986</v>
      </c>
      <c r="E12816" s="26" t="s">
        <v>53156</v>
      </c>
      <c r="F12816" s="37" t="s">
        <v>54401</v>
      </c>
      <c r="G12816" s="39">
        <v>103317.24</v>
      </c>
      <c r="H12816" s="42">
        <v>211</v>
      </c>
    </row>
    <row r="12817" spans="1:8" ht="15" customHeight="1">
      <c r="A12817" s="26">
        <v>1052407882</v>
      </c>
      <c r="B12817" s="29" t="s">
        <v>15027</v>
      </c>
      <c r="C12817" s="29" t="s">
        <v>28489</v>
      </c>
      <c r="D12817" s="29" t="s">
        <v>41993</v>
      </c>
      <c r="E12817" s="29" t="s">
        <v>53157</v>
      </c>
      <c r="F12817" s="36" t="s">
        <v>54401</v>
      </c>
      <c r="G12817" s="39">
        <v>844019.8</v>
      </c>
      <c r="H12817" s="42">
        <v>211</v>
      </c>
    </row>
    <row r="12818" spans="1:8" ht="15" customHeight="1">
      <c r="A12818" s="26">
        <v>1052407918</v>
      </c>
      <c r="B12818" s="29" t="s">
        <v>15028</v>
      </c>
      <c r="C12818" s="29" t="s">
        <v>28490</v>
      </c>
      <c r="D12818" s="29" t="s">
        <v>41994</v>
      </c>
      <c r="E12818" s="29" t="s">
        <v>53158</v>
      </c>
      <c r="F12818" s="36" t="s">
        <v>54401</v>
      </c>
      <c r="G12818" s="39">
        <v>329044.25</v>
      </c>
      <c r="H12818" s="42">
        <v>211</v>
      </c>
    </row>
    <row r="12819" spans="1:8" ht="15" customHeight="1">
      <c r="A12819" s="26">
        <v>1052407943</v>
      </c>
      <c r="B12819" s="29" t="s">
        <v>15029</v>
      </c>
      <c r="C12819" s="29" t="s">
        <v>28491</v>
      </c>
      <c r="D12819" s="29" t="s">
        <v>41995</v>
      </c>
      <c r="E12819" s="29" t="s">
        <v>53159</v>
      </c>
      <c r="F12819" s="36" t="s">
        <v>54401</v>
      </c>
      <c r="G12819" s="39">
        <v>292439.77</v>
      </c>
      <c r="H12819" s="42">
        <v>211</v>
      </c>
    </row>
    <row r="12820" spans="1:8" ht="15" customHeight="1">
      <c r="A12820" s="26">
        <v>1052407947</v>
      </c>
      <c r="B12820" s="29" t="s">
        <v>15030</v>
      </c>
      <c r="C12820" s="29" t="s">
        <v>28492</v>
      </c>
      <c r="D12820" s="29" t="s">
        <v>41996</v>
      </c>
      <c r="E12820" s="29" t="s">
        <v>46971</v>
      </c>
      <c r="F12820" s="36" t="s">
        <v>54409</v>
      </c>
      <c r="G12820" s="39">
        <v>214633.36</v>
      </c>
      <c r="H12820" s="42">
        <v>211</v>
      </c>
    </row>
    <row r="12821" spans="1:8" ht="15" customHeight="1">
      <c r="A12821" s="26">
        <v>1052407970</v>
      </c>
      <c r="B12821" s="29" t="s">
        <v>15031</v>
      </c>
      <c r="C12821" s="29" t="s">
        <v>28493</v>
      </c>
      <c r="D12821" s="29" t="s">
        <v>41997</v>
      </c>
      <c r="E12821" s="29" t="s">
        <v>53160</v>
      </c>
      <c r="F12821" s="36" t="s">
        <v>54401</v>
      </c>
      <c r="G12821" s="39">
        <v>3134267</v>
      </c>
      <c r="H12821" s="42">
        <v>211</v>
      </c>
    </row>
    <row r="12822" spans="1:8" ht="15" customHeight="1">
      <c r="A12822" s="26">
        <v>1052407982</v>
      </c>
      <c r="B12822" s="29" t="s">
        <v>15032</v>
      </c>
      <c r="C12822" s="29" t="s">
        <v>28494</v>
      </c>
      <c r="D12822" s="29" t="s">
        <v>41998</v>
      </c>
      <c r="E12822" s="29" t="s">
        <v>53161</v>
      </c>
      <c r="F12822" s="36" t="s">
        <v>54401</v>
      </c>
      <c r="G12822" s="39">
        <v>309588.98</v>
      </c>
      <c r="H12822" s="42">
        <v>211</v>
      </c>
    </row>
    <row r="12823" spans="1:8" ht="15" customHeight="1">
      <c r="A12823" s="26">
        <v>1052407985</v>
      </c>
      <c r="B12823" s="29" t="s">
        <v>15033</v>
      </c>
      <c r="C12823" s="26" t="s">
        <v>17204</v>
      </c>
      <c r="D12823" s="26" t="s">
        <v>41999</v>
      </c>
      <c r="E12823" s="26" t="s">
        <v>53162</v>
      </c>
      <c r="F12823" s="37" t="s">
        <v>54401</v>
      </c>
      <c r="G12823" s="39">
        <v>72614.81</v>
      </c>
      <c r="H12823" s="42">
        <v>211</v>
      </c>
    </row>
    <row r="12824" spans="1:8" ht="15" customHeight="1">
      <c r="A12824" s="26">
        <v>1052407996</v>
      </c>
      <c r="B12824" s="29" t="s">
        <v>15034</v>
      </c>
      <c r="C12824" s="29" t="s">
        <v>28495</v>
      </c>
      <c r="D12824" s="29" t="s">
        <v>42000</v>
      </c>
      <c r="E12824" s="29" t="s">
        <v>48097</v>
      </c>
      <c r="F12824" s="36" t="s">
        <v>54401</v>
      </c>
      <c r="G12824" s="39">
        <v>2434201.7799999998</v>
      </c>
      <c r="H12824" s="42">
        <v>211</v>
      </c>
    </row>
    <row r="12825" spans="1:8" ht="15" customHeight="1">
      <c r="A12825" s="26">
        <v>1052408008</v>
      </c>
      <c r="B12825" s="29" t="s">
        <v>15035</v>
      </c>
      <c r="C12825" s="29" t="s">
        <v>28496</v>
      </c>
      <c r="D12825" s="29" t="s">
        <v>42001</v>
      </c>
      <c r="E12825" s="29" t="s">
        <v>53163</v>
      </c>
      <c r="F12825" s="36" t="s">
        <v>54401</v>
      </c>
      <c r="G12825" s="39">
        <v>2579243.54</v>
      </c>
      <c r="H12825" s="42">
        <v>211</v>
      </c>
    </row>
    <row r="12826" spans="1:8" ht="15" customHeight="1">
      <c r="A12826" s="26">
        <v>1052408029</v>
      </c>
      <c r="B12826" s="29" t="s">
        <v>15036</v>
      </c>
      <c r="C12826" s="29" t="s">
        <v>28497</v>
      </c>
      <c r="D12826" s="29" t="s">
        <v>42002</v>
      </c>
      <c r="E12826" s="29" t="s">
        <v>47366</v>
      </c>
      <c r="F12826" s="36" t="s">
        <v>54401</v>
      </c>
      <c r="G12826" s="39">
        <v>1847328.71</v>
      </c>
      <c r="H12826" s="42">
        <v>211</v>
      </c>
    </row>
    <row r="12827" spans="1:8" ht="15" customHeight="1">
      <c r="A12827" s="26">
        <v>1052408063</v>
      </c>
      <c r="B12827" s="29" t="s">
        <v>15037</v>
      </c>
      <c r="C12827" s="29" t="s">
        <v>17204</v>
      </c>
      <c r="D12827" s="29" t="s">
        <v>42003</v>
      </c>
      <c r="E12827" s="29" t="s">
        <v>43926</v>
      </c>
      <c r="F12827" s="36" t="s">
        <v>54401</v>
      </c>
      <c r="G12827" s="39">
        <v>86764.94</v>
      </c>
      <c r="H12827" s="42">
        <v>211</v>
      </c>
    </row>
    <row r="12828" spans="1:8" ht="15" customHeight="1">
      <c r="A12828" s="26">
        <v>1052408065</v>
      </c>
      <c r="B12828" s="29" t="s">
        <v>15038</v>
      </c>
      <c r="C12828" s="29" t="s">
        <v>28498</v>
      </c>
      <c r="D12828" s="29" t="s">
        <v>42004</v>
      </c>
      <c r="E12828" s="29" t="s">
        <v>53164</v>
      </c>
      <c r="F12828" s="36" t="s">
        <v>54401</v>
      </c>
      <c r="G12828" s="39">
        <v>110826.99</v>
      </c>
      <c r="H12828" s="42">
        <v>211</v>
      </c>
    </row>
    <row r="12829" spans="1:8" ht="15" customHeight="1">
      <c r="A12829" s="26">
        <v>1052408080</v>
      </c>
      <c r="B12829" s="29" t="s">
        <v>15039</v>
      </c>
      <c r="C12829" s="29" t="s">
        <v>28499</v>
      </c>
      <c r="D12829" s="29" t="s">
        <v>42005</v>
      </c>
      <c r="E12829" s="29" t="s">
        <v>53165</v>
      </c>
      <c r="F12829" s="36" t="s">
        <v>54401</v>
      </c>
      <c r="G12829" s="39">
        <v>682525.34</v>
      </c>
      <c r="H12829" s="42">
        <v>211</v>
      </c>
    </row>
    <row r="12830" spans="1:8" ht="15" customHeight="1">
      <c r="A12830" s="26">
        <v>1052408102</v>
      </c>
      <c r="B12830" s="29" t="s">
        <v>15040</v>
      </c>
      <c r="C12830" s="29" t="s">
        <v>28500</v>
      </c>
      <c r="D12830" s="29" t="s">
        <v>42006</v>
      </c>
      <c r="E12830" s="29" t="s">
        <v>53166</v>
      </c>
      <c r="F12830" s="36" t="s">
        <v>54401</v>
      </c>
      <c r="G12830" s="39">
        <v>197639.51</v>
      </c>
      <c r="H12830" s="42">
        <v>211</v>
      </c>
    </row>
    <row r="12831" spans="1:8" ht="15" customHeight="1">
      <c r="A12831" s="26">
        <v>1052408120</v>
      </c>
      <c r="B12831" s="29" t="s">
        <v>15041</v>
      </c>
      <c r="C12831" s="29" t="s">
        <v>28501</v>
      </c>
      <c r="D12831" s="29" t="s">
        <v>42007</v>
      </c>
      <c r="E12831" s="29" t="s">
        <v>53167</v>
      </c>
      <c r="F12831" s="36" t="s">
        <v>54401</v>
      </c>
      <c r="G12831" s="39">
        <v>485207.27</v>
      </c>
      <c r="H12831" s="42">
        <v>211</v>
      </c>
    </row>
    <row r="12832" spans="1:8" ht="15" customHeight="1">
      <c r="A12832" s="26">
        <v>1052408123</v>
      </c>
      <c r="B12832" s="29" t="s">
        <v>15042</v>
      </c>
      <c r="C12832" s="29" t="s">
        <v>28502</v>
      </c>
      <c r="D12832" s="29" t="s">
        <v>42008</v>
      </c>
      <c r="E12832" s="29" t="s">
        <v>53168</v>
      </c>
      <c r="F12832" s="36" t="s">
        <v>54401</v>
      </c>
      <c r="G12832" s="39">
        <v>158435.76999999999</v>
      </c>
      <c r="H12832" s="42">
        <v>211</v>
      </c>
    </row>
    <row r="12833" spans="1:8" ht="15" customHeight="1">
      <c r="A12833" s="26">
        <v>1052408138</v>
      </c>
      <c r="B12833" s="29" t="s">
        <v>15043</v>
      </c>
      <c r="C12833" s="29" t="s">
        <v>28503</v>
      </c>
      <c r="D12833" s="29" t="s">
        <v>42009</v>
      </c>
      <c r="E12833" s="29" t="s">
        <v>45378</v>
      </c>
      <c r="F12833" s="36" t="s">
        <v>54401</v>
      </c>
      <c r="G12833" s="39">
        <v>7306146</v>
      </c>
      <c r="H12833" s="42">
        <v>211</v>
      </c>
    </row>
    <row r="12834" spans="1:8" ht="15" customHeight="1">
      <c r="A12834" s="26">
        <v>1052408187</v>
      </c>
      <c r="B12834" s="29" t="s">
        <v>15044</v>
      </c>
      <c r="C12834" s="29" t="s">
        <v>28504</v>
      </c>
      <c r="D12834" s="29" t="s">
        <v>42010</v>
      </c>
      <c r="E12834" s="29" t="s">
        <v>53169</v>
      </c>
      <c r="F12834" s="36" t="s">
        <v>54401</v>
      </c>
      <c r="G12834" s="39">
        <v>163675.89000000001</v>
      </c>
      <c r="H12834" s="42">
        <v>211</v>
      </c>
    </row>
    <row r="12835" spans="1:8" ht="15" customHeight="1">
      <c r="A12835" s="26">
        <v>1052408219</v>
      </c>
      <c r="B12835" s="29" t="s">
        <v>15045</v>
      </c>
      <c r="C12835" s="29" t="s">
        <v>28505</v>
      </c>
      <c r="D12835" s="29" t="s">
        <v>42011</v>
      </c>
      <c r="E12835" s="29" t="s">
        <v>43926</v>
      </c>
      <c r="F12835" s="36" t="s">
        <v>54401</v>
      </c>
      <c r="G12835" s="39">
        <v>287080.92</v>
      </c>
      <c r="H12835" s="42">
        <v>211</v>
      </c>
    </row>
    <row r="12836" spans="1:8" ht="15" customHeight="1">
      <c r="A12836" s="26">
        <v>1052408231</v>
      </c>
      <c r="B12836" s="29" t="s">
        <v>15046</v>
      </c>
      <c r="C12836" s="29" t="s">
        <v>28506</v>
      </c>
      <c r="D12836" s="29" t="s">
        <v>42012</v>
      </c>
      <c r="E12836" s="29" t="s">
        <v>53170</v>
      </c>
      <c r="F12836" s="36" t="s">
        <v>54401</v>
      </c>
      <c r="G12836" s="39">
        <v>1778513.51</v>
      </c>
      <c r="H12836" s="42">
        <v>211</v>
      </c>
    </row>
    <row r="12837" spans="1:8" ht="15" customHeight="1">
      <c r="A12837" s="26">
        <v>1052408237</v>
      </c>
      <c r="B12837" s="29" t="s">
        <v>15047</v>
      </c>
      <c r="C12837" s="29" t="s">
        <v>17204</v>
      </c>
      <c r="D12837" s="29" t="s">
        <v>42013</v>
      </c>
      <c r="E12837" s="29" t="s">
        <v>43926</v>
      </c>
      <c r="F12837" s="36" t="s">
        <v>54401</v>
      </c>
      <c r="G12837" s="39">
        <v>676318.23</v>
      </c>
      <c r="H12837" s="42">
        <v>211</v>
      </c>
    </row>
    <row r="12838" spans="1:8" ht="15" customHeight="1">
      <c r="A12838" s="26">
        <v>1052408244</v>
      </c>
      <c r="B12838" s="29" t="s">
        <v>15048</v>
      </c>
      <c r="C12838" s="29" t="s">
        <v>27290</v>
      </c>
      <c r="D12838" s="29" t="s">
        <v>40774</v>
      </c>
      <c r="E12838" s="29" t="s">
        <v>52293</v>
      </c>
      <c r="F12838" s="36" t="s">
        <v>54401</v>
      </c>
      <c r="G12838" s="39">
        <v>3837211.79</v>
      </c>
      <c r="H12838" s="42">
        <v>211</v>
      </c>
    </row>
    <row r="12839" spans="1:8" ht="15" customHeight="1">
      <c r="A12839" s="26">
        <v>1052408258</v>
      </c>
      <c r="B12839" s="29" t="s">
        <v>15049</v>
      </c>
      <c r="C12839" s="29" t="s">
        <v>28507</v>
      </c>
      <c r="D12839" s="29" t="s">
        <v>42014</v>
      </c>
      <c r="E12839" s="29" t="s">
        <v>53171</v>
      </c>
      <c r="F12839" s="36" t="s">
        <v>54401</v>
      </c>
      <c r="G12839" s="39">
        <v>581723.19999999995</v>
      </c>
      <c r="H12839" s="42">
        <v>211</v>
      </c>
    </row>
    <row r="12840" spans="1:8" ht="15" customHeight="1">
      <c r="A12840" s="26">
        <v>1052408264</v>
      </c>
      <c r="B12840" s="29" t="s">
        <v>15050</v>
      </c>
      <c r="C12840" s="29" t="s">
        <v>28508</v>
      </c>
      <c r="D12840" s="29" t="s">
        <v>42015</v>
      </c>
      <c r="E12840" s="29" t="s">
        <v>43926</v>
      </c>
      <c r="F12840" s="36" t="s">
        <v>54401</v>
      </c>
      <c r="G12840" s="39">
        <v>73093.34</v>
      </c>
      <c r="H12840" s="42">
        <v>211</v>
      </c>
    </row>
    <row r="12841" spans="1:8" ht="15" customHeight="1">
      <c r="A12841" s="26">
        <v>1052408265</v>
      </c>
      <c r="B12841" s="29" t="s">
        <v>15051</v>
      </c>
      <c r="C12841" s="29" t="s">
        <v>28509</v>
      </c>
      <c r="D12841" s="29" t="s">
        <v>30623</v>
      </c>
      <c r="E12841" s="29" t="s">
        <v>53172</v>
      </c>
      <c r="F12841" s="36" t="s">
        <v>54401</v>
      </c>
      <c r="G12841" s="39">
        <v>1055505.49</v>
      </c>
      <c r="H12841" s="42">
        <v>211</v>
      </c>
    </row>
    <row r="12842" spans="1:8" ht="15" customHeight="1">
      <c r="A12842" s="26">
        <v>1052408275</v>
      </c>
      <c r="B12842" s="29" t="s">
        <v>15052</v>
      </c>
      <c r="C12842" s="29" t="s">
        <v>28510</v>
      </c>
      <c r="D12842" s="29" t="s">
        <v>42016</v>
      </c>
      <c r="E12842" s="29" t="s">
        <v>53173</v>
      </c>
      <c r="F12842" s="36" t="s">
        <v>54401</v>
      </c>
      <c r="G12842" s="39">
        <v>158485.57</v>
      </c>
      <c r="H12842" s="42">
        <v>211</v>
      </c>
    </row>
    <row r="12843" spans="1:8" ht="15" customHeight="1">
      <c r="A12843" s="26">
        <v>1052408303</v>
      </c>
      <c r="B12843" s="29" t="s">
        <v>15053</v>
      </c>
      <c r="C12843" s="29" t="s">
        <v>28511</v>
      </c>
      <c r="D12843" s="29" t="s">
        <v>42017</v>
      </c>
      <c r="E12843" s="29" t="s">
        <v>53174</v>
      </c>
      <c r="F12843" s="36" t="s">
        <v>54401</v>
      </c>
      <c r="G12843" s="39">
        <v>430261.12</v>
      </c>
      <c r="H12843" s="42">
        <v>211</v>
      </c>
    </row>
    <row r="12844" spans="1:8" ht="15" customHeight="1">
      <c r="A12844" s="26">
        <v>1052408324</v>
      </c>
      <c r="B12844" s="29" t="s">
        <v>15054</v>
      </c>
      <c r="C12844" s="29" t="s">
        <v>27791</v>
      </c>
      <c r="D12844" s="29" t="s">
        <v>42018</v>
      </c>
      <c r="E12844" s="29" t="s">
        <v>44090</v>
      </c>
      <c r="F12844" s="36" t="s">
        <v>54401</v>
      </c>
      <c r="G12844" s="39">
        <v>5414695.1699999999</v>
      </c>
      <c r="H12844" s="42">
        <v>211</v>
      </c>
    </row>
    <row r="12845" spans="1:8" ht="15" customHeight="1">
      <c r="A12845" s="26">
        <v>1052408327</v>
      </c>
      <c r="B12845" s="29" t="s">
        <v>15055</v>
      </c>
      <c r="C12845" s="29" t="s">
        <v>28512</v>
      </c>
      <c r="D12845" s="29" t="s">
        <v>42019</v>
      </c>
      <c r="E12845" s="29" t="s">
        <v>53175</v>
      </c>
      <c r="F12845" s="36" t="s">
        <v>54401</v>
      </c>
      <c r="G12845" s="39">
        <v>237974.78</v>
      </c>
      <c r="H12845" s="42">
        <v>211</v>
      </c>
    </row>
    <row r="12846" spans="1:8" ht="15" customHeight="1">
      <c r="A12846" s="26">
        <v>1052408356</v>
      </c>
      <c r="B12846" s="29" t="s">
        <v>15056</v>
      </c>
      <c r="C12846" s="29" t="s">
        <v>28513</v>
      </c>
      <c r="D12846" s="29" t="s">
        <v>42020</v>
      </c>
      <c r="E12846" s="29" t="s">
        <v>52500</v>
      </c>
      <c r="F12846" s="36" t="s">
        <v>54401</v>
      </c>
      <c r="G12846" s="39">
        <v>379052.48</v>
      </c>
      <c r="H12846" s="42">
        <v>211</v>
      </c>
    </row>
    <row r="12847" spans="1:8" ht="15" customHeight="1">
      <c r="A12847" s="26">
        <v>1052408376</v>
      </c>
      <c r="B12847" s="29" t="s">
        <v>15057</v>
      </c>
      <c r="C12847" s="29" t="s">
        <v>28514</v>
      </c>
      <c r="D12847" s="29" t="s">
        <v>32229</v>
      </c>
      <c r="E12847" s="29" t="s">
        <v>53176</v>
      </c>
      <c r="F12847" s="36" t="s">
        <v>54401</v>
      </c>
      <c r="G12847" s="39">
        <v>1194736.55</v>
      </c>
      <c r="H12847" s="42">
        <v>211</v>
      </c>
    </row>
    <row r="12848" spans="1:8" ht="15" customHeight="1">
      <c r="A12848" s="26">
        <v>1052408391</v>
      </c>
      <c r="B12848" s="29" t="s">
        <v>15058</v>
      </c>
      <c r="C12848" s="29" t="s">
        <v>28515</v>
      </c>
      <c r="D12848" s="29" t="s">
        <v>42021</v>
      </c>
      <c r="E12848" s="29" t="s">
        <v>53177</v>
      </c>
      <c r="F12848" s="36" t="s">
        <v>54401</v>
      </c>
      <c r="G12848" s="39">
        <v>1985881</v>
      </c>
      <c r="H12848" s="42">
        <v>211</v>
      </c>
    </row>
    <row r="12849" spans="1:8" ht="15" customHeight="1">
      <c r="A12849" s="26">
        <v>1052408397</v>
      </c>
      <c r="B12849" s="29" t="s">
        <v>15059</v>
      </c>
      <c r="C12849" s="29" t="s">
        <v>17204</v>
      </c>
      <c r="D12849" s="29" t="s">
        <v>42022</v>
      </c>
      <c r="E12849" s="29" t="s">
        <v>43926</v>
      </c>
      <c r="F12849" s="36" t="s">
        <v>54401</v>
      </c>
      <c r="G12849" s="39">
        <v>302121.23</v>
      </c>
      <c r="H12849" s="42">
        <v>211</v>
      </c>
    </row>
    <row r="12850" spans="1:8" ht="15" customHeight="1">
      <c r="A12850" s="26">
        <v>1052408417</v>
      </c>
      <c r="B12850" s="29" t="s">
        <v>15060</v>
      </c>
      <c r="C12850" s="29" t="s">
        <v>28516</v>
      </c>
      <c r="D12850" s="29" t="s">
        <v>42023</v>
      </c>
      <c r="E12850" s="29" t="s">
        <v>48095</v>
      </c>
      <c r="F12850" s="36" t="s">
        <v>54401</v>
      </c>
      <c r="G12850" s="39">
        <v>1278200.3500000001</v>
      </c>
      <c r="H12850" s="42">
        <v>211</v>
      </c>
    </row>
    <row r="12851" spans="1:8" ht="15" customHeight="1">
      <c r="A12851" s="26">
        <v>1052408437</v>
      </c>
      <c r="B12851" s="29" t="s">
        <v>15061</v>
      </c>
      <c r="C12851" s="29" t="s">
        <v>28517</v>
      </c>
      <c r="D12851" s="29" t="s">
        <v>39946</v>
      </c>
      <c r="E12851" s="29" t="s">
        <v>46370</v>
      </c>
      <c r="F12851" s="36" t="s">
        <v>54401</v>
      </c>
      <c r="G12851" s="39">
        <v>1338111.82</v>
      </c>
      <c r="H12851" s="42">
        <v>211</v>
      </c>
    </row>
    <row r="12852" spans="1:8" ht="15" customHeight="1">
      <c r="A12852" s="26">
        <v>1052408508</v>
      </c>
      <c r="B12852" s="29" t="s">
        <v>15062</v>
      </c>
      <c r="C12852" s="29" t="s">
        <v>28518</v>
      </c>
      <c r="D12852" s="29" t="s">
        <v>42024</v>
      </c>
      <c r="E12852" s="29" t="s">
        <v>53178</v>
      </c>
      <c r="F12852" s="36" t="s">
        <v>54401</v>
      </c>
      <c r="G12852" s="39">
        <v>83573.600000000006</v>
      </c>
      <c r="H12852" s="42">
        <v>211</v>
      </c>
    </row>
    <row r="12853" spans="1:8" ht="15" customHeight="1">
      <c r="A12853" s="26">
        <v>1052408516</v>
      </c>
      <c r="B12853" s="29" t="s">
        <v>15063</v>
      </c>
      <c r="C12853" s="29" t="s">
        <v>28519</v>
      </c>
      <c r="D12853" s="29" t="s">
        <v>42025</v>
      </c>
      <c r="E12853" s="29" t="s">
        <v>53179</v>
      </c>
      <c r="F12853" s="36" t="s">
        <v>54401</v>
      </c>
      <c r="G12853" s="39">
        <v>581301.56999999995</v>
      </c>
      <c r="H12853" s="42">
        <v>211</v>
      </c>
    </row>
    <row r="12854" spans="1:8" ht="15" customHeight="1">
      <c r="A12854" s="26">
        <v>1052408519</v>
      </c>
      <c r="B12854" s="29" t="s">
        <v>15064</v>
      </c>
      <c r="C12854" s="29" t="s">
        <v>28520</v>
      </c>
      <c r="D12854" s="29" t="s">
        <v>42026</v>
      </c>
      <c r="E12854" s="29" t="s">
        <v>48060</v>
      </c>
      <c r="F12854" s="36" t="s">
        <v>54401</v>
      </c>
      <c r="G12854" s="39">
        <v>154459.71</v>
      </c>
      <c r="H12854" s="42">
        <v>211</v>
      </c>
    </row>
    <row r="12855" spans="1:8" ht="15" customHeight="1">
      <c r="A12855" s="26">
        <v>1052408542</v>
      </c>
      <c r="B12855" s="29" t="s">
        <v>15065</v>
      </c>
      <c r="C12855" s="29" t="s">
        <v>28521</v>
      </c>
      <c r="D12855" s="29" t="s">
        <v>42027</v>
      </c>
      <c r="E12855" s="29" t="s">
        <v>43926</v>
      </c>
      <c r="F12855" s="36" t="s">
        <v>54401</v>
      </c>
      <c r="G12855" s="39">
        <v>2253057.0699999998</v>
      </c>
      <c r="H12855" s="42">
        <v>211</v>
      </c>
    </row>
    <row r="12856" spans="1:8" ht="15" customHeight="1">
      <c r="A12856" s="26">
        <v>1052408546</v>
      </c>
      <c r="B12856" s="29" t="s">
        <v>15066</v>
      </c>
      <c r="C12856" s="29" t="s">
        <v>28522</v>
      </c>
      <c r="D12856" s="29" t="s">
        <v>42028</v>
      </c>
      <c r="E12856" s="29" t="s">
        <v>53180</v>
      </c>
      <c r="F12856" s="36" t="s">
        <v>54401</v>
      </c>
      <c r="G12856" s="39">
        <v>6267793.6500000004</v>
      </c>
      <c r="H12856" s="42">
        <v>211</v>
      </c>
    </row>
    <row r="12857" spans="1:8" ht="15" customHeight="1">
      <c r="A12857" s="26">
        <v>1052408548</v>
      </c>
      <c r="B12857" s="29" t="s">
        <v>15067</v>
      </c>
      <c r="C12857" s="29" t="s">
        <v>17204</v>
      </c>
      <c r="D12857" s="29" t="s">
        <v>42029</v>
      </c>
      <c r="E12857" s="29" t="s">
        <v>43926</v>
      </c>
      <c r="F12857" s="36" t="s">
        <v>54401</v>
      </c>
      <c r="G12857" s="39">
        <v>879883.71</v>
      </c>
      <c r="H12857" s="42">
        <v>211</v>
      </c>
    </row>
    <row r="12858" spans="1:8" ht="15" customHeight="1">
      <c r="A12858" s="26">
        <v>1052408550</v>
      </c>
      <c r="B12858" s="29" t="s">
        <v>15068</v>
      </c>
      <c r="C12858" s="29" t="s">
        <v>28523</v>
      </c>
      <c r="D12858" s="29" t="s">
        <v>42030</v>
      </c>
      <c r="E12858" s="29" t="s">
        <v>53181</v>
      </c>
      <c r="F12858" s="36" t="s">
        <v>54401</v>
      </c>
      <c r="G12858" s="39">
        <v>318073.61</v>
      </c>
      <c r="H12858" s="42">
        <v>211</v>
      </c>
    </row>
    <row r="12859" spans="1:8" ht="15" customHeight="1">
      <c r="A12859" s="26">
        <v>1052408560</v>
      </c>
      <c r="B12859" s="29" t="s">
        <v>15069</v>
      </c>
      <c r="C12859" s="26" t="s">
        <v>17204</v>
      </c>
      <c r="D12859" s="26" t="s">
        <v>42031</v>
      </c>
      <c r="E12859" s="26" t="s">
        <v>1790</v>
      </c>
      <c r="F12859" s="37" t="s">
        <v>54401</v>
      </c>
      <c r="G12859" s="39">
        <v>324940.05</v>
      </c>
      <c r="H12859" s="42">
        <v>211</v>
      </c>
    </row>
    <row r="12860" spans="1:8" ht="15" customHeight="1">
      <c r="A12860" s="26">
        <v>1052408561</v>
      </c>
      <c r="B12860" s="29" t="s">
        <v>15070</v>
      </c>
      <c r="C12860" s="29" t="s">
        <v>28524</v>
      </c>
      <c r="D12860" s="29" t="s">
        <v>42032</v>
      </c>
      <c r="E12860" s="29" t="s">
        <v>52695</v>
      </c>
      <c r="F12860" s="36" t="s">
        <v>54401</v>
      </c>
      <c r="G12860" s="39">
        <v>2127959.83</v>
      </c>
      <c r="H12860" s="42">
        <v>211</v>
      </c>
    </row>
    <row r="12861" spans="1:8" ht="15" customHeight="1">
      <c r="A12861" s="26">
        <v>1052408596</v>
      </c>
      <c r="B12861" s="29" t="s">
        <v>15071</v>
      </c>
      <c r="C12861" s="29" t="s">
        <v>28525</v>
      </c>
      <c r="D12861" s="29" t="s">
        <v>42033</v>
      </c>
      <c r="E12861" s="29" t="s">
        <v>45006</v>
      </c>
      <c r="F12861" s="36" t="s">
        <v>54401</v>
      </c>
      <c r="G12861" s="39">
        <v>559491.54</v>
      </c>
      <c r="H12861" s="42">
        <v>211</v>
      </c>
    </row>
    <row r="12862" spans="1:8" ht="15" customHeight="1">
      <c r="A12862" s="26">
        <v>1052408626</v>
      </c>
      <c r="B12862" s="29" t="s">
        <v>15072</v>
      </c>
      <c r="C12862" s="29" t="s">
        <v>28526</v>
      </c>
      <c r="D12862" s="29" t="s">
        <v>42034</v>
      </c>
      <c r="E12862" s="29" t="s">
        <v>53182</v>
      </c>
      <c r="F12862" s="36" t="s">
        <v>54401</v>
      </c>
      <c r="G12862" s="39">
        <v>264761.12</v>
      </c>
      <c r="H12862" s="42">
        <v>211</v>
      </c>
    </row>
    <row r="12863" spans="1:8" ht="15" customHeight="1">
      <c r="A12863" s="26">
        <v>1052408647</v>
      </c>
      <c r="B12863" s="29" t="s">
        <v>15073</v>
      </c>
      <c r="C12863" s="29" t="s">
        <v>28527</v>
      </c>
      <c r="D12863" s="29" t="s">
        <v>42035</v>
      </c>
      <c r="E12863" s="29" t="s">
        <v>53183</v>
      </c>
      <c r="F12863" s="36" t="s">
        <v>54401</v>
      </c>
      <c r="G12863" s="39">
        <v>32914.29</v>
      </c>
      <c r="H12863" s="42">
        <v>211</v>
      </c>
    </row>
    <row r="12864" spans="1:8" ht="15" customHeight="1">
      <c r="A12864" s="26">
        <v>1052408670</v>
      </c>
      <c r="B12864" s="29" t="s">
        <v>15074</v>
      </c>
      <c r="C12864" s="29" t="s">
        <v>17204</v>
      </c>
      <c r="D12864" s="29" t="s">
        <v>42036</v>
      </c>
      <c r="E12864" s="29" t="s">
        <v>43926</v>
      </c>
      <c r="F12864" s="36" t="s">
        <v>54401</v>
      </c>
      <c r="G12864" s="39">
        <v>272752.18</v>
      </c>
      <c r="H12864" s="42">
        <v>211</v>
      </c>
    </row>
    <row r="12865" spans="1:8" ht="15" customHeight="1">
      <c r="A12865" s="26">
        <v>1052408697</v>
      </c>
      <c r="B12865" s="29" t="s">
        <v>15075</v>
      </c>
      <c r="C12865" s="29" t="s">
        <v>28528</v>
      </c>
      <c r="D12865" s="29" t="s">
        <v>42037</v>
      </c>
      <c r="E12865" s="29" t="s">
        <v>53184</v>
      </c>
      <c r="F12865" s="36" t="s">
        <v>54401</v>
      </c>
      <c r="G12865" s="39">
        <v>1316077.95</v>
      </c>
      <c r="H12865" s="42">
        <v>211</v>
      </c>
    </row>
    <row r="12866" spans="1:8" ht="15" customHeight="1">
      <c r="A12866" s="26">
        <v>1052408700</v>
      </c>
      <c r="B12866" s="29" t="s">
        <v>15076</v>
      </c>
      <c r="C12866" s="29" t="s">
        <v>28529</v>
      </c>
      <c r="D12866" s="29" t="s">
        <v>42038</v>
      </c>
      <c r="E12866" s="29" t="s">
        <v>53185</v>
      </c>
      <c r="F12866" s="36" t="s">
        <v>54401</v>
      </c>
      <c r="G12866" s="39">
        <v>2739245</v>
      </c>
      <c r="H12866" s="42">
        <v>211</v>
      </c>
    </row>
    <row r="12867" spans="1:8" ht="15" customHeight="1">
      <c r="A12867" s="26">
        <v>1052408729</v>
      </c>
      <c r="B12867" s="29" t="s">
        <v>15077</v>
      </c>
      <c r="C12867" s="29" t="s">
        <v>28530</v>
      </c>
      <c r="D12867" s="29" t="s">
        <v>30349</v>
      </c>
      <c r="E12867" s="29" t="s">
        <v>43926</v>
      </c>
      <c r="F12867" s="36" t="s">
        <v>54401</v>
      </c>
      <c r="G12867" s="39">
        <v>122733.83</v>
      </c>
      <c r="H12867" s="42">
        <v>211</v>
      </c>
    </row>
    <row r="12868" spans="1:8" ht="15" customHeight="1">
      <c r="A12868" s="26">
        <v>1052408764</v>
      </c>
      <c r="B12868" s="29" t="s">
        <v>15078</v>
      </c>
      <c r="C12868" s="29" t="s">
        <v>28531</v>
      </c>
      <c r="D12868" s="29" t="s">
        <v>42039</v>
      </c>
      <c r="E12868" s="29" t="s">
        <v>53186</v>
      </c>
      <c r="F12868" s="36" t="s">
        <v>54401</v>
      </c>
      <c r="G12868" s="39">
        <v>670309.68999999994</v>
      </c>
      <c r="H12868" s="42">
        <v>211</v>
      </c>
    </row>
    <row r="12869" spans="1:8" ht="15" customHeight="1">
      <c r="A12869" s="26">
        <v>1052408768</v>
      </c>
      <c r="B12869" s="29" t="s">
        <v>15079</v>
      </c>
      <c r="C12869" s="29" t="s">
        <v>17204</v>
      </c>
      <c r="D12869" s="29" t="s">
        <v>30349</v>
      </c>
      <c r="E12869" s="29" t="s">
        <v>43926</v>
      </c>
      <c r="F12869" s="36" t="s">
        <v>54401</v>
      </c>
      <c r="G12869" s="39">
        <v>255921.96</v>
      </c>
      <c r="H12869" s="42">
        <v>211</v>
      </c>
    </row>
    <row r="12870" spans="1:8" ht="15" customHeight="1">
      <c r="A12870" s="26">
        <v>1052408776</v>
      </c>
      <c r="B12870" s="29" t="s">
        <v>15080</v>
      </c>
      <c r="C12870" s="29" t="s">
        <v>28532</v>
      </c>
      <c r="D12870" s="29" t="s">
        <v>42040</v>
      </c>
      <c r="E12870" s="29" t="s">
        <v>45030</v>
      </c>
      <c r="F12870" s="36" t="s">
        <v>54401</v>
      </c>
      <c r="G12870" s="39">
        <v>1440916.78</v>
      </c>
      <c r="H12870" s="42">
        <v>211</v>
      </c>
    </row>
    <row r="12871" spans="1:8" ht="15" customHeight="1">
      <c r="A12871" s="26">
        <v>1052408777</v>
      </c>
      <c r="B12871" s="29" t="s">
        <v>15081</v>
      </c>
      <c r="C12871" s="29" t="s">
        <v>28533</v>
      </c>
      <c r="D12871" s="29" t="s">
        <v>42041</v>
      </c>
      <c r="E12871" s="29" t="s">
        <v>45261</v>
      </c>
      <c r="F12871" s="36" t="s">
        <v>54401</v>
      </c>
      <c r="G12871" s="39">
        <v>114723.56</v>
      </c>
      <c r="H12871" s="42">
        <v>211</v>
      </c>
    </row>
    <row r="12872" spans="1:8" ht="15" customHeight="1">
      <c r="A12872" s="26">
        <v>1052408779</v>
      </c>
      <c r="B12872" s="29" t="s">
        <v>15082</v>
      </c>
      <c r="C12872" s="29" t="s">
        <v>28534</v>
      </c>
      <c r="D12872" s="29" t="s">
        <v>42042</v>
      </c>
      <c r="E12872" s="29" t="s">
        <v>53187</v>
      </c>
      <c r="F12872" s="36" t="s">
        <v>54401</v>
      </c>
      <c r="G12872" s="39">
        <v>988196.49</v>
      </c>
      <c r="H12872" s="42">
        <v>211</v>
      </c>
    </row>
    <row r="12873" spans="1:8" ht="15" customHeight="1">
      <c r="A12873" s="26">
        <v>1052408784</v>
      </c>
      <c r="B12873" s="29" t="s">
        <v>15083</v>
      </c>
      <c r="C12873" s="29" t="s">
        <v>28535</v>
      </c>
      <c r="D12873" s="29" t="s">
        <v>42043</v>
      </c>
      <c r="E12873" s="29" t="s">
        <v>43926</v>
      </c>
      <c r="F12873" s="36" t="s">
        <v>54401</v>
      </c>
      <c r="G12873" s="39">
        <v>126906.72</v>
      </c>
      <c r="H12873" s="42">
        <v>211</v>
      </c>
    </row>
    <row r="12874" spans="1:8" ht="15" customHeight="1">
      <c r="A12874" s="26">
        <v>1052408787</v>
      </c>
      <c r="B12874" s="29" t="s">
        <v>15084</v>
      </c>
      <c r="C12874" s="29" t="s">
        <v>28536</v>
      </c>
      <c r="D12874" s="29" t="s">
        <v>42044</v>
      </c>
      <c r="E12874" s="29" t="s">
        <v>53188</v>
      </c>
      <c r="F12874" s="36" t="s">
        <v>54401</v>
      </c>
      <c r="G12874" s="39">
        <v>122206.74</v>
      </c>
      <c r="H12874" s="42">
        <v>211</v>
      </c>
    </row>
    <row r="12875" spans="1:8" ht="15" customHeight="1">
      <c r="A12875" s="26">
        <v>1052408808</v>
      </c>
      <c r="B12875" s="29" t="s">
        <v>15085</v>
      </c>
      <c r="C12875" s="29" t="s">
        <v>28537</v>
      </c>
      <c r="D12875" s="29" t="s">
        <v>42045</v>
      </c>
      <c r="E12875" s="29" t="s">
        <v>53189</v>
      </c>
      <c r="F12875" s="36" t="s">
        <v>54401</v>
      </c>
      <c r="G12875" s="39">
        <v>271407.67</v>
      </c>
      <c r="H12875" s="42">
        <v>211</v>
      </c>
    </row>
    <row r="12876" spans="1:8" ht="15" customHeight="1">
      <c r="A12876" s="26">
        <v>1052408809</v>
      </c>
      <c r="B12876" s="29" t="s">
        <v>15086</v>
      </c>
      <c r="C12876" s="29" t="s">
        <v>17204</v>
      </c>
      <c r="D12876" s="29" t="s">
        <v>30349</v>
      </c>
      <c r="E12876" s="29" t="s">
        <v>43926</v>
      </c>
      <c r="F12876" s="36" t="s">
        <v>54401</v>
      </c>
      <c r="G12876" s="39">
        <v>309700</v>
      </c>
      <c r="H12876" s="42">
        <v>211</v>
      </c>
    </row>
    <row r="12877" spans="1:8" ht="15" customHeight="1">
      <c r="A12877" s="26">
        <v>1052408821</v>
      </c>
      <c r="B12877" s="29" t="s">
        <v>15087</v>
      </c>
      <c r="C12877" s="29" t="s">
        <v>28538</v>
      </c>
      <c r="D12877" s="29" t="s">
        <v>42046</v>
      </c>
      <c r="E12877" s="29" t="s">
        <v>48049</v>
      </c>
      <c r="F12877" s="36" t="s">
        <v>54401</v>
      </c>
      <c r="G12877" s="39">
        <v>2793782.57</v>
      </c>
      <c r="H12877" s="42">
        <v>211</v>
      </c>
    </row>
    <row r="12878" spans="1:8" ht="15" customHeight="1">
      <c r="A12878" s="26">
        <v>1052408870</v>
      </c>
      <c r="B12878" s="29" t="s">
        <v>15088</v>
      </c>
      <c r="C12878" s="29" t="s">
        <v>28539</v>
      </c>
      <c r="D12878" s="29" t="s">
        <v>42047</v>
      </c>
      <c r="E12878" s="29" t="s">
        <v>53190</v>
      </c>
      <c r="F12878" s="36" t="s">
        <v>54401</v>
      </c>
      <c r="G12878" s="39">
        <v>1041944.47</v>
      </c>
      <c r="H12878" s="42">
        <v>211</v>
      </c>
    </row>
    <row r="12879" spans="1:8" ht="15" customHeight="1">
      <c r="A12879" s="26">
        <v>1052408875</v>
      </c>
      <c r="B12879" s="29" t="s">
        <v>15089</v>
      </c>
      <c r="C12879" s="29" t="s">
        <v>28540</v>
      </c>
      <c r="D12879" s="29" t="s">
        <v>42048</v>
      </c>
      <c r="E12879" s="29" t="s">
        <v>53191</v>
      </c>
      <c r="F12879" s="36" t="s">
        <v>54401</v>
      </c>
      <c r="G12879" s="39">
        <v>390060.58</v>
      </c>
      <c r="H12879" s="42">
        <v>211</v>
      </c>
    </row>
    <row r="12880" spans="1:8" ht="15" customHeight="1">
      <c r="A12880" s="26">
        <v>1052408907</v>
      </c>
      <c r="B12880" s="29" t="s">
        <v>15090</v>
      </c>
      <c r="C12880" s="29" t="s">
        <v>28541</v>
      </c>
      <c r="D12880" s="29" t="s">
        <v>42049</v>
      </c>
      <c r="E12880" s="29" t="s">
        <v>49737</v>
      </c>
      <c r="F12880" s="36" t="s">
        <v>54423</v>
      </c>
      <c r="G12880" s="39">
        <v>1676262.21</v>
      </c>
      <c r="H12880" s="42">
        <v>211</v>
      </c>
    </row>
    <row r="12881" spans="1:8" ht="15" customHeight="1">
      <c r="A12881" s="26">
        <v>1052408908</v>
      </c>
      <c r="B12881" s="29" t="s">
        <v>15091</v>
      </c>
      <c r="C12881" s="29" t="s">
        <v>28542</v>
      </c>
      <c r="D12881" s="29" t="s">
        <v>42050</v>
      </c>
      <c r="E12881" s="29" t="s">
        <v>53192</v>
      </c>
      <c r="F12881" s="36" t="s">
        <v>54401</v>
      </c>
      <c r="G12881" s="39">
        <v>647589.07999999996</v>
      </c>
      <c r="H12881" s="42">
        <v>211</v>
      </c>
    </row>
    <row r="12882" spans="1:8" ht="15" customHeight="1">
      <c r="A12882" s="26">
        <v>1052408922</v>
      </c>
      <c r="B12882" s="29" t="s">
        <v>15092</v>
      </c>
      <c r="C12882" s="29" t="s">
        <v>17204</v>
      </c>
      <c r="D12882" s="29" t="s">
        <v>30349</v>
      </c>
      <c r="E12882" s="29" t="s">
        <v>43926</v>
      </c>
      <c r="F12882" s="36" t="s">
        <v>54401</v>
      </c>
      <c r="G12882" s="39">
        <v>241452.43</v>
      </c>
      <c r="H12882" s="42">
        <v>211</v>
      </c>
    </row>
    <row r="12883" spans="1:8" ht="15" customHeight="1">
      <c r="A12883" s="26">
        <v>1052408932</v>
      </c>
      <c r="B12883" s="29" t="s">
        <v>15093</v>
      </c>
      <c r="C12883" s="29" t="s">
        <v>28543</v>
      </c>
      <c r="D12883" s="29" t="s">
        <v>42051</v>
      </c>
      <c r="E12883" s="29" t="s">
        <v>43926</v>
      </c>
      <c r="F12883" s="36" t="s">
        <v>54401</v>
      </c>
      <c r="G12883" s="39">
        <v>259722.32</v>
      </c>
      <c r="H12883" s="42">
        <v>211</v>
      </c>
    </row>
    <row r="12884" spans="1:8" ht="15" customHeight="1">
      <c r="A12884" s="26">
        <v>1052408944</v>
      </c>
      <c r="B12884" s="29" t="s">
        <v>15094</v>
      </c>
      <c r="C12884" s="29" t="s">
        <v>28544</v>
      </c>
      <c r="D12884" s="29" t="s">
        <v>42052</v>
      </c>
      <c r="E12884" s="29" t="s">
        <v>53193</v>
      </c>
      <c r="F12884" s="36" t="s">
        <v>54401</v>
      </c>
      <c r="G12884" s="39">
        <v>402099.19</v>
      </c>
      <c r="H12884" s="42">
        <v>211</v>
      </c>
    </row>
    <row r="12885" spans="1:8" ht="15" customHeight="1">
      <c r="A12885" s="26">
        <v>1052408970</v>
      </c>
      <c r="B12885" s="29" t="s">
        <v>15095</v>
      </c>
      <c r="C12885" s="29" t="s">
        <v>28545</v>
      </c>
      <c r="D12885" s="29" t="s">
        <v>42053</v>
      </c>
      <c r="E12885" s="29" t="s">
        <v>50799</v>
      </c>
      <c r="F12885" s="36" t="s">
        <v>54401</v>
      </c>
      <c r="G12885" s="39">
        <v>46577.06</v>
      </c>
      <c r="H12885" s="42">
        <v>211</v>
      </c>
    </row>
    <row r="12886" spans="1:8" ht="15" customHeight="1">
      <c r="A12886" s="26">
        <v>1052408971</v>
      </c>
      <c r="B12886" s="29" t="s">
        <v>15096</v>
      </c>
      <c r="C12886" s="29" t="s">
        <v>28546</v>
      </c>
      <c r="D12886" s="29" t="s">
        <v>42054</v>
      </c>
      <c r="E12886" s="29" t="s">
        <v>53194</v>
      </c>
      <c r="F12886" s="36" t="s">
        <v>54401</v>
      </c>
      <c r="G12886" s="39">
        <v>1230829.7</v>
      </c>
      <c r="H12886" s="42">
        <v>211</v>
      </c>
    </row>
    <row r="12887" spans="1:8" ht="15" customHeight="1">
      <c r="A12887" s="26">
        <v>1052408978</v>
      </c>
      <c r="B12887" s="29" t="s">
        <v>15097</v>
      </c>
      <c r="C12887" s="29" t="s">
        <v>28547</v>
      </c>
      <c r="D12887" s="29" t="s">
        <v>42055</v>
      </c>
      <c r="E12887" s="29" t="s">
        <v>45230</v>
      </c>
      <c r="F12887" s="36" t="s">
        <v>54401</v>
      </c>
      <c r="G12887" s="39">
        <v>144545.41</v>
      </c>
      <c r="H12887" s="42">
        <v>211</v>
      </c>
    </row>
    <row r="12888" spans="1:8" ht="15" customHeight="1">
      <c r="A12888" s="26">
        <v>1052408994</v>
      </c>
      <c r="B12888" s="29" t="s">
        <v>15098</v>
      </c>
      <c r="C12888" s="29" t="s">
        <v>28548</v>
      </c>
      <c r="D12888" s="29" t="s">
        <v>42056</v>
      </c>
      <c r="E12888" s="29" t="s">
        <v>53195</v>
      </c>
      <c r="F12888" s="36" t="s">
        <v>54401</v>
      </c>
      <c r="G12888" s="39">
        <v>833970.54</v>
      </c>
      <c r="H12888" s="42">
        <v>211</v>
      </c>
    </row>
    <row r="12889" spans="1:8" ht="15" customHeight="1">
      <c r="A12889" s="26">
        <v>1052409007</v>
      </c>
      <c r="B12889" s="29" t="s">
        <v>15099</v>
      </c>
      <c r="C12889" s="29" t="s">
        <v>28549</v>
      </c>
      <c r="D12889" s="29" t="s">
        <v>42057</v>
      </c>
      <c r="E12889" s="29" t="s">
        <v>53196</v>
      </c>
      <c r="F12889" s="36" t="s">
        <v>54401</v>
      </c>
      <c r="G12889" s="39">
        <v>3849901.6</v>
      </c>
      <c r="H12889" s="42">
        <v>211</v>
      </c>
    </row>
    <row r="12890" spans="1:8" ht="15" customHeight="1">
      <c r="A12890" s="26">
        <v>1052409017</v>
      </c>
      <c r="B12890" s="29" t="s">
        <v>15100</v>
      </c>
      <c r="C12890" s="29" t="s">
        <v>28550</v>
      </c>
      <c r="D12890" s="29" t="s">
        <v>42058</v>
      </c>
      <c r="E12890" s="29" t="s">
        <v>53197</v>
      </c>
      <c r="F12890" s="36" t="s">
        <v>54401</v>
      </c>
      <c r="G12890" s="39">
        <v>1182464.1000000001</v>
      </c>
      <c r="H12890" s="42">
        <v>211</v>
      </c>
    </row>
    <row r="12891" spans="1:8" ht="15" customHeight="1">
      <c r="A12891" s="26">
        <v>1052409020</v>
      </c>
      <c r="B12891" s="29" t="s">
        <v>15101</v>
      </c>
      <c r="C12891" s="29" t="s">
        <v>28551</v>
      </c>
      <c r="D12891" s="29" t="s">
        <v>42059</v>
      </c>
      <c r="E12891" s="29" t="s">
        <v>53198</v>
      </c>
      <c r="F12891" s="36" t="s">
        <v>54404</v>
      </c>
      <c r="G12891" s="39">
        <v>6035292</v>
      </c>
      <c r="H12891" s="42">
        <v>211</v>
      </c>
    </row>
    <row r="12892" spans="1:8" ht="15" customHeight="1">
      <c r="A12892" s="26">
        <v>1052409032</v>
      </c>
      <c r="B12892" s="29" t="s">
        <v>15102</v>
      </c>
      <c r="C12892" s="29" t="s">
        <v>28552</v>
      </c>
      <c r="D12892" s="29" t="s">
        <v>42060</v>
      </c>
      <c r="E12892" s="29" t="s">
        <v>44264</v>
      </c>
      <c r="F12892" s="36" t="s">
        <v>54409</v>
      </c>
      <c r="G12892" s="39">
        <v>715476.71</v>
      </c>
      <c r="H12892" s="42">
        <v>211</v>
      </c>
    </row>
    <row r="12893" spans="1:8" ht="15" customHeight="1">
      <c r="A12893" s="26">
        <v>1052409037</v>
      </c>
      <c r="B12893" s="29" t="s">
        <v>15103</v>
      </c>
      <c r="C12893" s="29" t="s">
        <v>28553</v>
      </c>
      <c r="D12893" s="29" t="s">
        <v>42061</v>
      </c>
      <c r="E12893" s="29" t="s">
        <v>43926</v>
      </c>
      <c r="F12893" s="36" t="s">
        <v>54401</v>
      </c>
      <c r="G12893" s="39">
        <v>163030.82999999999</v>
      </c>
      <c r="H12893" s="42">
        <v>211</v>
      </c>
    </row>
    <row r="12894" spans="1:8" ht="15" customHeight="1">
      <c r="A12894" s="26">
        <v>1052409072</v>
      </c>
      <c r="B12894" s="29" t="s">
        <v>15104</v>
      </c>
      <c r="C12894" s="26" t="s">
        <v>28554</v>
      </c>
      <c r="D12894" s="26" t="s">
        <v>42062</v>
      </c>
      <c r="E12894" s="26" t="s">
        <v>43926</v>
      </c>
      <c r="F12894" s="37" t="s">
        <v>54401</v>
      </c>
      <c r="G12894" s="39">
        <v>351045.95</v>
      </c>
      <c r="H12894" s="42">
        <v>211</v>
      </c>
    </row>
    <row r="12895" spans="1:8" ht="15" customHeight="1">
      <c r="A12895" s="26">
        <v>1052409080</v>
      </c>
      <c r="B12895" s="29" t="s">
        <v>15105</v>
      </c>
      <c r="C12895" s="29" t="s">
        <v>28555</v>
      </c>
      <c r="D12895" s="29" t="s">
        <v>42063</v>
      </c>
      <c r="E12895" s="29" t="s">
        <v>45516</v>
      </c>
      <c r="F12895" s="36" t="s">
        <v>54401</v>
      </c>
      <c r="G12895" s="39">
        <v>39364.400000000001</v>
      </c>
      <c r="H12895" s="42">
        <v>211</v>
      </c>
    </row>
    <row r="12896" spans="1:8" ht="15" customHeight="1">
      <c r="A12896" s="26">
        <v>1052409091</v>
      </c>
      <c r="B12896" s="29" t="s">
        <v>15106</v>
      </c>
      <c r="C12896" s="29" t="s">
        <v>28556</v>
      </c>
      <c r="D12896" s="29" t="s">
        <v>42064</v>
      </c>
      <c r="E12896" s="29" t="s">
        <v>48558</v>
      </c>
      <c r="F12896" s="36" t="s">
        <v>54401</v>
      </c>
      <c r="G12896" s="39">
        <v>816515.1</v>
      </c>
      <c r="H12896" s="42">
        <v>211</v>
      </c>
    </row>
    <row r="12897" spans="1:8" ht="15" customHeight="1">
      <c r="A12897" s="26">
        <v>1052409098</v>
      </c>
      <c r="B12897" s="29" t="s">
        <v>15107</v>
      </c>
      <c r="C12897" s="29" t="s">
        <v>28557</v>
      </c>
      <c r="D12897" s="29" t="s">
        <v>42065</v>
      </c>
      <c r="E12897" s="29" t="s">
        <v>47690</v>
      </c>
      <c r="F12897" s="36" t="s">
        <v>54401</v>
      </c>
      <c r="G12897" s="39">
        <v>27458.41</v>
      </c>
      <c r="H12897" s="42">
        <v>211</v>
      </c>
    </row>
    <row r="12898" spans="1:8" ht="15" customHeight="1">
      <c r="A12898" s="26">
        <v>1052409100</v>
      </c>
      <c r="B12898" s="29" t="s">
        <v>15108</v>
      </c>
      <c r="C12898" s="29" t="s">
        <v>28558</v>
      </c>
      <c r="D12898" s="29" t="s">
        <v>42066</v>
      </c>
      <c r="E12898" s="29" t="s">
        <v>53199</v>
      </c>
      <c r="F12898" s="36" t="s">
        <v>54401</v>
      </c>
      <c r="G12898" s="39">
        <v>676342.67</v>
      </c>
      <c r="H12898" s="42">
        <v>211</v>
      </c>
    </row>
    <row r="12899" spans="1:8" ht="15" customHeight="1">
      <c r="A12899" s="26">
        <v>1052409143</v>
      </c>
      <c r="B12899" s="29" t="s">
        <v>15109</v>
      </c>
      <c r="C12899" s="29" t="s">
        <v>28559</v>
      </c>
      <c r="D12899" s="29" t="s">
        <v>42067</v>
      </c>
      <c r="E12899" s="29" t="s">
        <v>53200</v>
      </c>
      <c r="F12899" s="36" t="s">
        <v>54423</v>
      </c>
      <c r="G12899" s="39">
        <v>1915522.8</v>
      </c>
      <c r="H12899" s="42">
        <v>211</v>
      </c>
    </row>
    <row r="12900" spans="1:8" ht="15" customHeight="1">
      <c r="A12900" s="26">
        <v>1052409159</v>
      </c>
      <c r="B12900" s="29" t="s">
        <v>15110</v>
      </c>
      <c r="C12900" s="29" t="s">
        <v>28560</v>
      </c>
      <c r="D12900" s="29" t="s">
        <v>42068</v>
      </c>
      <c r="E12900" s="29" t="s">
        <v>44879</v>
      </c>
      <c r="F12900" s="36" t="s">
        <v>54401</v>
      </c>
      <c r="G12900" s="39">
        <v>2960735</v>
      </c>
      <c r="H12900" s="42">
        <v>211</v>
      </c>
    </row>
    <row r="12901" spans="1:8" ht="15" customHeight="1">
      <c r="A12901" s="26">
        <v>1052409172</v>
      </c>
      <c r="B12901" s="29" t="s">
        <v>15111</v>
      </c>
      <c r="C12901" s="29" t="s">
        <v>28561</v>
      </c>
      <c r="D12901" s="29" t="s">
        <v>42069</v>
      </c>
      <c r="E12901" s="29" t="s">
        <v>53201</v>
      </c>
      <c r="F12901" s="36" t="s">
        <v>54401</v>
      </c>
      <c r="G12901" s="39">
        <v>19984.310000000001</v>
      </c>
      <c r="H12901" s="42">
        <v>211</v>
      </c>
    </row>
    <row r="12902" spans="1:8" ht="15" customHeight="1">
      <c r="A12902" s="26">
        <v>1052409214</v>
      </c>
      <c r="B12902" s="29" t="s">
        <v>15112</v>
      </c>
      <c r="C12902" s="29" t="s">
        <v>28562</v>
      </c>
      <c r="D12902" s="29" t="s">
        <v>42070</v>
      </c>
      <c r="E12902" s="29" t="s">
        <v>53202</v>
      </c>
      <c r="F12902" s="36" t="s">
        <v>54401</v>
      </c>
      <c r="G12902" s="39">
        <v>1226273.47</v>
      </c>
      <c r="H12902" s="42">
        <v>211</v>
      </c>
    </row>
    <row r="12903" spans="1:8" ht="15" customHeight="1">
      <c r="A12903" s="26">
        <v>1052409232</v>
      </c>
      <c r="B12903" s="29" t="s">
        <v>15113</v>
      </c>
      <c r="C12903" s="29" t="s">
        <v>28563</v>
      </c>
      <c r="D12903" s="29" t="s">
        <v>42071</v>
      </c>
      <c r="E12903" s="29" t="s">
        <v>44840</v>
      </c>
      <c r="F12903" s="36" t="s">
        <v>54401</v>
      </c>
      <c r="G12903" s="39">
        <v>8744778</v>
      </c>
      <c r="H12903" s="42">
        <v>211</v>
      </c>
    </row>
    <row r="12904" spans="1:8" ht="15" customHeight="1">
      <c r="A12904" s="26">
        <v>1052409258</v>
      </c>
      <c r="B12904" s="29" t="s">
        <v>15114</v>
      </c>
      <c r="C12904" s="29" t="s">
        <v>28564</v>
      </c>
      <c r="D12904" s="29" t="s">
        <v>42072</v>
      </c>
      <c r="E12904" s="29" t="s">
        <v>53203</v>
      </c>
      <c r="F12904" s="36" t="s">
        <v>54401</v>
      </c>
      <c r="G12904" s="39">
        <v>604873.28</v>
      </c>
      <c r="H12904" s="42">
        <v>211</v>
      </c>
    </row>
    <row r="12905" spans="1:8" ht="15" customHeight="1">
      <c r="A12905" s="26">
        <v>1052409280</v>
      </c>
      <c r="B12905" s="29" t="s">
        <v>15115</v>
      </c>
      <c r="C12905" s="29" t="s">
        <v>17204</v>
      </c>
      <c r="D12905" s="29" t="s">
        <v>30349</v>
      </c>
      <c r="E12905" s="29" t="s">
        <v>43926</v>
      </c>
      <c r="F12905" s="36" t="s">
        <v>54401</v>
      </c>
      <c r="G12905" s="39">
        <v>238466.73</v>
      </c>
      <c r="H12905" s="42">
        <v>211</v>
      </c>
    </row>
    <row r="12906" spans="1:8" ht="15" customHeight="1">
      <c r="A12906" s="26">
        <v>1052409284</v>
      </c>
      <c r="B12906" s="29" t="s">
        <v>15116</v>
      </c>
      <c r="C12906" s="29" t="s">
        <v>28565</v>
      </c>
      <c r="D12906" s="29" t="s">
        <v>42073</v>
      </c>
      <c r="E12906" s="29" t="s">
        <v>53204</v>
      </c>
      <c r="F12906" s="36" t="s">
        <v>54401</v>
      </c>
      <c r="G12906" s="39">
        <v>4135800.45</v>
      </c>
      <c r="H12906" s="42">
        <v>211</v>
      </c>
    </row>
    <row r="12907" spans="1:8" ht="15" customHeight="1">
      <c r="A12907" s="26">
        <v>1052409285</v>
      </c>
      <c r="B12907" s="29" t="s">
        <v>15117</v>
      </c>
      <c r="C12907" s="29" t="s">
        <v>28566</v>
      </c>
      <c r="D12907" s="29" t="s">
        <v>42074</v>
      </c>
      <c r="E12907" s="29" t="s">
        <v>53205</v>
      </c>
      <c r="F12907" s="36" t="s">
        <v>54401</v>
      </c>
      <c r="G12907" s="39">
        <v>1701220.79</v>
      </c>
      <c r="H12907" s="42">
        <v>211</v>
      </c>
    </row>
    <row r="12908" spans="1:8" ht="15" customHeight="1">
      <c r="A12908" s="26">
        <v>1052409317</v>
      </c>
      <c r="B12908" s="29" t="s">
        <v>15118</v>
      </c>
      <c r="C12908" s="29" t="s">
        <v>28567</v>
      </c>
      <c r="D12908" s="29" t="s">
        <v>33699</v>
      </c>
      <c r="E12908" s="29" t="s">
        <v>53206</v>
      </c>
      <c r="F12908" s="36" t="s">
        <v>54401</v>
      </c>
      <c r="G12908" s="39">
        <v>3867162</v>
      </c>
      <c r="H12908" s="42">
        <v>211</v>
      </c>
    </row>
    <row r="12909" spans="1:8" ht="15" customHeight="1">
      <c r="A12909" s="26">
        <v>1052409326</v>
      </c>
      <c r="B12909" s="29" t="s">
        <v>15119</v>
      </c>
      <c r="C12909" s="26" t="s">
        <v>28568</v>
      </c>
      <c r="D12909" s="26" t="s">
        <v>42075</v>
      </c>
      <c r="E12909" s="26" t="s">
        <v>53207</v>
      </c>
      <c r="F12909" s="37" t="s">
        <v>54401</v>
      </c>
      <c r="G12909" s="39">
        <v>458038.28</v>
      </c>
      <c r="H12909" s="42">
        <v>211</v>
      </c>
    </row>
    <row r="12910" spans="1:8" ht="15" customHeight="1">
      <c r="A12910" s="26">
        <v>1052409331</v>
      </c>
      <c r="B12910" s="29" t="s">
        <v>15120</v>
      </c>
      <c r="C12910" s="29" t="s">
        <v>28569</v>
      </c>
      <c r="D12910" s="29" t="s">
        <v>39316</v>
      </c>
      <c r="E12910" s="29" t="s">
        <v>53208</v>
      </c>
      <c r="F12910" s="36" t="s">
        <v>54401</v>
      </c>
      <c r="G12910" s="39">
        <v>659067.79</v>
      </c>
      <c r="H12910" s="42">
        <v>211</v>
      </c>
    </row>
    <row r="12911" spans="1:8" ht="15" customHeight="1">
      <c r="A12911" s="26">
        <v>1052409335</v>
      </c>
      <c r="B12911" s="29" t="s">
        <v>15121</v>
      </c>
      <c r="C12911" s="29" t="s">
        <v>28570</v>
      </c>
      <c r="D12911" s="29" t="s">
        <v>42076</v>
      </c>
      <c r="E12911" s="29" t="s">
        <v>53209</v>
      </c>
      <c r="F12911" s="36" t="s">
        <v>54401</v>
      </c>
      <c r="G12911" s="39">
        <v>48655.45</v>
      </c>
      <c r="H12911" s="42">
        <v>211</v>
      </c>
    </row>
    <row r="12912" spans="1:8" ht="15" customHeight="1">
      <c r="A12912" s="26">
        <v>1052409354</v>
      </c>
      <c r="B12912" s="29" t="s">
        <v>15122</v>
      </c>
      <c r="C12912" s="29" t="s">
        <v>28571</v>
      </c>
      <c r="D12912" s="29" t="s">
        <v>42077</v>
      </c>
      <c r="E12912" s="29" t="s">
        <v>53210</v>
      </c>
      <c r="F12912" s="36" t="s">
        <v>54401</v>
      </c>
      <c r="G12912" s="39">
        <v>45677.99</v>
      </c>
      <c r="H12912" s="42">
        <v>211</v>
      </c>
    </row>
    <row r="12913" spans="1:8" ht="15" customHeight="1">
      <c r="A12913" s="26">
        <v>1052409361</v>
      </c>
      <c r="B12913" s="29" t="s">
        <v>15123</v>
      </c>
      <c r="C12913" s="29" t="s">
        <v>28572</v>
      </c>
      <c r="D12913" s="29" t="s">
        <v>42078</v>
      </c>
      <c r="E12913" s="29" t="s">
        <v>53211</v>
      </c>
      <c r="F12913" s="36" t="s">
        <v>54401</v>
      </c>
      <c r="G12913" s="39">
        <v>408774.27</v>
      </c>
      <c r="H12913" s="42">
        <v>211</v>
      </c>
    </row>
    <row r="12914" spans="1:8" ht="15" customHeight="1">
      <c r="A12914" s="26">
        <v>1052409368</v>
      </c>
      <c r="B12914" s="29" t="s">
        <v>15124</v>
      </c>
      <c r="C12914" s="29" t="s">
        <v>28573</v>
      </c>
      <c r="D12914" s="29" t="s">
        <v>42079</v>
      </c>
      <c r="E12914" s="29" t="s">
        <v>53212</v>
      </c>
      <c r="F12914" s="36" t="s">
        <v>54401</v>
      </c>
      <c r="G12914" s="39">
        <v>2115459.4</v>
      </c>
      <c r="H12914" s="42">
        <v>211</v>
      </c>
    </row>
    <row r="12915" spans="1:8" ht="15" customHeight="1">
      <c r="A12915" s="26">
        <v>1052409413</v>
      </c>
      <c r="B12915" s="29" t="s">
        <v>15125</v>
      </c>
      <c r="C12915" s="29" t="s">
        <v>28574</v>
      </c>
      <c r="D12915" s="29" t="s">
        <v>42080</v>
      </c>
      <c r="E12915" s="29" t="s">
        <v>44744</v>
      </c>
      <c r="F12915" s="36" t="s">
        <v>54401</v>
      </c>
      <c r="G12915" s="39">
        <v>600000</v>
      </c>
      <c r="H12915" s="42">
        <v>211</v>
      </c>
    </row>
    <row r="12916" spans="1:8" ht="15" customHeight="1">
      <c r="A12916" s="26">
        <v>1052409455</v>
      </c>
      <c r="B12916" s="29" t="s">
        <v>15126</v>
      </c>
      <c r="C12916" s="29" t="s">
        <v>28575</v>
      </c>
      <c r="D12916" s="29" t="s">
        <v>42081</v>
      </c>
      <c r="E12916" s="29" t="s">
        <v>53213</v>
      </c>
      <c r="F12916" s="36" t="s">
        <v>54401</v>
      </c>
      <c r="G12916" s="39">
        <v>1331678.6399999999</v>
      </c>
      <c r="H12916" s="42">
        <v>211</v>
      </c>
    </row>
    <row r="12917" spans="1:8" ht="15" customHeight="1">
      <c r="A12917" s="26">
        <v>1052409475</v>
      </c>
      <c r="B12917" s="29" t="s">
        <v>15127</v>
      </c>
      <c r="C12917" s="29" t="s">
        <v>17204</v>
      </c>
      <c r="D12917" s="29" t="s">
        <v>42082</v>
      </c>
      <c r="E12917" s="29" t="s">
        <v>43926</v>
      </c>
      <c r="F12917" s="36" t="s">
        <v>54401</v>
      </c>
      <c r="G12917" s="39">
        <v>469628.7</v>
      </c>
      <c r="H12917" s="42">
        <v>211</v>
      </c>
    </row>
    <row r="12918" spans="1:8" ht="15" customHeight="1">
      <c r="A12918" s="26">
        <v>1052409502</v>
      </c>
      <c r="B12918" s="29" t="s">
        <v>15128</v>
      </c>
      <c r="C12918" s="29" t="s">
        <v>28576</v>
      </c>
      <c r="D12918" s="29" t="s">
        <v>42083</v>
      </c>
      <c r="E12918" s="29" t="s">
        <v>53214</v>
      </c>
      <c r="F12918" s="36" t="s">
        <v>54401</v>
      </c>
      <c r="G12918" s="39">
        <v>191174.16</v>
      </c>
      <c r="H12918" s="42">
        <v>211</v>
      </c>
    </row>
    <row r="12919" spans="1:8" ht="15" customHeight="1">
      <c r="A12919" s="26">
        <v>1052409506</v>
      </c>
      <c r="B12919" s="29" t="s">
        <v>15129</v>
      </c>
      <c r="C12919" s="26" t="s">
        <v>28577</v>
      </c>
      <c r="D12919" s="26" t="s">
        <v>42084</v>
      </c>
      <c r="E12919" s="26" t="s">
        <v>53215</v>
      </c>
      <c r="F12919" s="37" t="s">
        <v>54401</v>
      </c>
      <c r="G12919" s="39">
        <v>1683096.12</v>
      </c>
      <c r="H12919" s="42">
        <v>211</v>
      </c>
    </row>
    <row r="12920" spans="1:8" ht="15" customHeight="1">
      <c r="A12920" s="26">
        <v>1052409513</v>
      </c>
      <c r="B12920" s="29" t="s">
        <v>15130</v>
      </c>
      <c r="C12920" s="29" t="s">
        <v>28578</v>
      </c>
      <c r="D12920" s="29" t="s">
        <v>42085</v>
      </c>
      <c r="E12920" s="29" t="s">
        <v>52483</v>
      </c>
      <c r="F12920" s="36" t="s">
        <v>54401</v>
      </c>
      <c r="G12920" s="39">
        <v>3217476.1</v>
      </c>
      <c r="H12920" s="42">
        <v>211</v>
      </c>
    </row>
    <row r="12921" spans="1:8" ht="15" customHeight="1">
      <c r="A12921" s="26">
        <v>1052409518</v>
      </c>
      <c r="B12921" s="29" t="s">
        <v>15131</v>
      </c>
      <c r="C12921" s="29" t="s">
        <v>28579</v>
      </c>
      <c r="D12921" s="29" t="s">
        <v>42086</v>
      </c>
      <c r="E12921" s="29" t="s">
        <v>53216</v>
      </c>
      <c r="F12921" s="36" t="s">
        <v>54420</v>
      </c>
      <c r="G12921" s="39">
        <v>5575588.8300000001</v>
      </c>
      <c r="H12921" s="42">
        <v>211</v>
      </c>
    </row>
    <row r="12922" spans="1:8" ht="15" customHeight="1">
      <c r="A12922" s="26">
        <v>1052409554</v>
      </c>
      <c r="B12922" s="29" t="s">
        <v>15132</v>
      </c>
      <c r="C12922" s="29" t="s">
        <v>28580</v>
      </c>
      <c r="D12922" s="29" t="s">
        <v>42087</v>
      </c>
      <c r="E12922" s="29" t="s">
        <v>53217</v>
      </c>
      <c r="F12922" s="36" t="s">
        <v>54401</v>
      </c>
      <c r="G12922" s="39">
        <v>4029785.85</v>
      </c>
      <c r="H12922" s="42">
        <v>211</v>
      </c>
    </row>
    <row r="12923" spans="1:8" ht="15" customHeight="1">
      <c r="A12923" s="26">
        <v>1052409559</v>
      </c>
      <c r="B12923" s="29" t="s">
        <v>15133</v>
      </c>
      <c r="C12923" s="29" t="s">
        <v>28581</v>
      </c>
      <c r="D12923" s="29" t="s">
        <v>42088</v>
      </c>
      <c r="E12923" s="29" t="s">
        <v>53218</v>
      </c>
      <c r="F12923" s="36" t="s">
        <v>54401</v>
      </c>
      <c r="G12923" s="39">
        <v>101042</v>
      </c>
      <c r="H12923" s="42">
        <v>211</v>
      </c>
    </row>
    <row r="12924" spans="1:8" ht="15" customHeight="1">
      <c r="A12924" s="26">
        <v>1052409562</v>
      </c>
      <c r="B12924" s="29" t="s">
        <v>15134</v>
      </c>
      <c r="C12924" s="29" t="s">
        <v>28582</v>
      </c>
      <c r="D12924" s="29" t="s">
        <v>42089</v>
      </c>
      <c r="E12924" s="29" t="s">
        <v>47627</v>
      </c>
      <c r="F12924" s="36" t="s">
        <v>54401</v>
      </c>
      <c r="G12924" s="39">
        <v>6106413</v>
      </c>
      <c r="H12924" s="42">
        <v>211</v>
      </c>
    </row>
    <row r="12925" spans="1:8" ht="15" customHeight="1">
      <c r="A12925" s="26">
        <v>1052409569</v>
      </c>
      <c r="B12925" s="29" t="s">
        <v>15135</v>
      </c>
      <c r="C12925" s="29" t="s">
        <v>28583</v>
      </c>
      <c r="D12925" s="29" t="s">
        <v>42090</v>
      </c>
      <c r="E12925" s="29" t="s">
        <v>43926</v>
      </c>
      <c r="F12925" s="36" t="s">
        <v>54401</v>
      </c>
      <c r="G12925" s="39">
        <v>1316265.1499999999</v>
      </c>
      <c r="H12925" s="42">
        <v>211</v>
      </c>
    </row>
    <row r="12926" spans="1:8" ht="15" customHeight="1">
      <c r="A12926" s="26">
        <v>1052409576</v>
      </c>
      <c r="B12926" s="29" t="s">
        <v>15136</v>
      </c>
      <c r="C12926" s="29" t="s">
        <v>28584</v>
      </c>
      <c r="D12926" s="29" t="s">
        <v>42091</v>
      </c>
      <c r="E12926" s="29" t="s">
        <v>53219</v>
      </c>
      <c r="F12926" s="36" t="s">
        <v>54401</v>
      </c>
      <c r="G12926" s="39">
        <v>463960.2</v>
      </c>
      <c r="H12926" s="42">
        <v>211</v>
      </c>
    </row>
    <row r="12927" spans="1:8" ht="15" customHeight="1">
      <c r="A12927" s="26">
        <v>1052409594</v>
      </c>
      <c r="B12927" s="29" t="s">
        <v>15137</v>
      </c>
      <c r="C12927" s="29" t="s">
        <v>28585</v>
      </c>
      <c r="D12927" s="29" t="s">
        <v>42092</v>
      </c>
      <c r="E12927" s="29" t="s">
        <v>53220</v>
      </c>
      <c r="F12927" s="36" t="s">
        <v>54401</v>
      </c>
      <c r="G12927" s="39">
        <v>701177.47</v>
      </c>
      <c r="H12927" s="42">
        <v>211</v>
      </c>
    </row>
    <row r="12928" spans="1:8" ht="15" customHeight="1">
      <c r="A12928" s="26">
        <v>1052409598</v>
      </c>
      <c r="B12928" s="29" t="s">
        <v>15138</v>
      </c>
      <c r="C12928" s="29" t="s">
        <v>28586</v>
      </c>
      <c r="D12928" s="29" t="s">
        <v>42093</v>
      </c>
      <c r="E12928" s="29" t="s">
        <v>53221</v>
      </c>
      <c r="F12928" s="36" t="s">
        <v>54401</v>
      </c>
      <c r="G12928" s="39">
        <v>6435764.8499999996</v>
      </c>
      <c r="H12928" s="42">
        <v>211</v>
      </c>
    </row>
    <row r="12929" spans="1:8" ht="15" customHeight="1">
      <c r="A12929" s="26">
        <v>1052409645</v>
      </c>
      <c r="B12929" s="29" t="s">
        <v>15139</v>
      </c>
      <c r="C12929" s="29" t="s">
        <v>28587</v>
      </c>
      <c r="D12929" s="29" t="s">
        <v>42094</v>
      </c>
      <c r="E12929" s="29" t="s">
        <v>53222</v>
      </c>
      <c r="F12929" s="36" t="s">
        <v>54401</v>
      </c>
      <c r="G12929" s="39">
        <v>84431.65</v>
      </c>
      <c r="H12929" s="42">
        <v>211</v>
      </c>
    </row>
    <row r="12930" spans="1:8" ht="15" customHeight="1">
      <c r="A12930" s="26">
        <v>1052409653</v>
      </c>
      <c r="B12930" s="29" t="s">
        <v>15140</v>
      </c>
      <c r="C12930" s="29" t="s">
        <v>28588</v>
      </c>
      <c r="D12930" s="29" t="s">
        <v>42095</v>
      </c>
      <c r="E12930" s="29" t="s">
        <v>49189</v>
      </c>
      <c r="F12930" s="36" t="s">
        <v>54401</v>
      </c>
      <c r="G12930" s="39">
        <v>137191.46</v>
      </c>
      <c r="H12930" s="42">
        <v>211</v>
      </c>
    </row>
    <row r="12931" spans="1:8" ht="15" customHeight="1">
      <c r="A12931" s="26">
        <v>1052409658</v>
      </c>
      <c r="B12931" s="29" t="s">
        <v>15141</v>
      </c>
      <c r="C12931" s="29" t="s">
        <v>17204</v>
      </c>
      <c r="D12931" s="29" t="s">
        <v>42096</v>
      </c>
      <c r="E12931" s="29" t="s">
        <v>43926</v>
      </c>
      <c r="F12931" s="36" t="s">
        <v>54401</v>
      </c>
      <c r="G12931" s="39">
        <v>463972.58</v>
      </c>
      <c r="H12931" s="42">
        <v>211</v>
      </c>
    </row>
    <row r="12932" spans="1:8" ht="15" customHeight="1">
      <c r="A12932" s="26">
        <v>1052409662</v>
      </c>
      <c r="B12932" s="29" t="s">
        <v>15142</v>
      </c>
      <c r="C12932" s="29" t="s">
        <v>28589</v>
      </c>
      <c r="D12932" s="29" t="s">
        <v>42097</v>
      </c>
      <c r="E12932" s="29" t="s">
        <v>49809</v>
      </c>
      <c r="F12932" s="36" t="s">
        <v>54401</v>
      </c>
      <c r="G12932" s="39">
        <v>2348753.04</v>
      </c>
      <c r="H12932" s="42">
        <v>211</v>
      </c>
    </row>
    <row r="12933" spans="1:8" ht="15" customHeight="1">
      <c r="A12933" s="26">
        <v>1052409692</v>
      </c>
      <c r="B12933" s="29" t="s">
        <v>15143</v>
      </c>
      <c r="C12933" s="29" t="s">
        <v>28590</v>
      </c>
      <c r="D12933" s="29" t="s">
        <v>42098</v>
      </c>
      <c r="E12933" s="29" t="s">
        <v>44455</v>
      </c>
      <c r="F12933" s="36" t="s">
        <v>54409</v>
      </c>
      <c r="G12933" s="39">
        <v>3705599</v>
      </c>
      <c r="H12933" s="42">
        <v>211</v>
      </c>
    </row>
    <row r="12934" spans="1:8" ht="15" customHeight="1">
      <c r="A12934" s="26">
        <v>1052409701</v>
      </c>
      <c r="B12934" s="29" t="s">
        <v>15144</v>
      </c>
      <c r="C12934" s="29" t="s">
        <v>28591</v>
      </c>
      <c r="D12934" s="29" t="s">
        <v>42099</v>
      </c>
      <c r="E12934" s="29" t="s">
        <v>53223</v>
      </c>
      <c r="F12934" s="36" t="s">
        <v>54401</v>
      </c>
      <c r="G12934" s="39">
        <v>2065970</v>
      </c>
      <c r="H12934" s="42">
        <v>211</v>
      </c>
    </row>
    <row r="12935" spans="1:8" ht="15" customHeight="1">
      <c r="A12935" s="26">
        <v>1052409711</v>
      </c>
      <c r="B12935" s="29" t="s">
        <v>15145</v>
      </c>
      <c r="C12935" s="29" t="s">
        <v>28592</v>
      </c>
      <c r="D12935" s="29" t="s">
        <v>42100</v>
      </c>
      <c r="E12935" s="29" t="s">
        <v>53224</v>
      </c>
      <c r="F12935" s="36" t="s">
        <v>54401</v>
      </c>
      <c r="G12935" s="39">
        <v>1530944.15</v>
      </c>
      <c r="H12935" s="42">
        <v>211</v>
      </c>
    </row>
    <row r="12936" spans="1:8" ht="15" customHeight="1">
      <c r="A12936" s="26">
        <v>1052409755</v>
      </c>
      <c r="B12936" s="29" t="s">
        <v>15146</v>
      </c>
      <c r="C12936" s="29" t="s">
        <v>28593</v>
      </c>
      <c r="D12936" s="29" t="s">
        <v>42101</v>
      </c>
      <c r="E12936" s="29" t="s">
        <v>53225</v>
      </c>
      <c r="F12936" s="36" t="s">
        <v>54401</v>
      </c>
      <c r="G12936" s="39">
        <v>400578.94</v>
      </c>
      <c r="H12936" s="42">
        <v>211</v>
      </c>
    </row>
    <row r="12937" spans="1:8" ht="15" customHeight="1">
      <c r="A12937" s="26">
        <v>1052409778</v>
      </c>
      <c r="B12937" s="29" t="s">
        <v>15147</v>
      </c>
      <c r="C12937" s="29" t="s">
        <v>28594</v>
      </c>
      <c r="D12937" s="29" t="s">
        <v>42102</v>
      </c>
      <c r="E12937" s="29" t="s">
        <v>53226</v>
      </c>
      <c r="F12937" s="36" t="s">
        <v>54401</v>
      </c>
      <c r="G12937" s="39">
        <v>1758479</v>
      </c>
      <c r="H12937" s="42">
        <v>211</v>
      </c>
    </row>
    <row r="12938" spans="1:8" ht="15" customHeight="1">
      <c r="A12938" s="26">
        <v>1052409808</v>
      </c>
      <c r="B12938" s="29" t="s">
        <v>15148</v>
      </c>
      <c r="C12938" s="29" t="s">
        <v>28595</v>
      </c>
      <c r="D12938" s="29" t="s">
        <v>42103</v>
      </c>
      <c r="E12938" s="29" t="s">
        <v>53227</v>
      </c>
      <c r="F12938" s="36" t="s">
        <v>54401</v>
      </c>
      <c r="G12938" s="39">
        <v>456576.6</v>
      </c>
      <c r="H12938" s="42">
        <v>211</v>
      </c>
    </row>
    <row r="12939" spans="1:8" ht="15" customHeight="1">
      <c r="A12939" s="26">
        <v>1052409810</v>
      </c>
      <c r="B12939" s="29" t="s">
        <v>15149</v>
      </c>
      <c r="C12939" s="26" t="s">
        <v>17204</v>
      </c>
      <c r="D12939" s="26" t="s">
        <v>42104</v>
      </c>
      <c r="E12939" s="26" t="s">
        <v>43926</v>
      </c>
      <c r="F12939" s="37" t="s">
        <v>54401</v>
      </c>
      <c r="G12939" s="39">
        <v>5882139.0300000003</v>
      </c>
      <c r="H12939" s="42">
        <v>211</v>
      </c>
    </row>
    <row r="12940" spans="1:8" ht="15" customHeight="1">
      <c r="A12940" s="26">
        <v>1052409815</v>
      </c>
      <c r="B12940" s="29" t="s">
        <v>15150</v>
      </c>
      <c r="C12940" s="29" t="s">
        <v>28596</v>
      </c>
      <c r="D12940" s="29" t="s">
        <v>42105</v>
      </c>
      <c r="E12940" s="29" t="s">
        <v>43926</v>
      </c>
      <c r="F12940" s="36" t="s">
        <v>54401</v>
      </c>
      <c r="G12940" s="39">
        <v>88877.21</v>
      </c>
      <c r="H12940" s="42">
        <v>211</v>
      </c>
    </row>
    <row r="12941" spans="1:8" ht="15" customHeight="1">
      <c r="A12941" s="26">
        <v>1052409844</v>
      </c>
      <c r="B12941" s="29" t="s">
        <v>15151</v>
      </c>
      <c r="C12941" s="26" t="s">
        <v>28597</v>
      </c>
      <c r="D12941" s="26" t="s">
        <v>42106</v>
      </c>
      <c r="E12941" s="26" t="s">
        <v>43926</v>
      </c>
      <c r="F12941" s="37" t="s">
        <v>54401</v>
      </c>
      <c r="G12941" s="39">
        <v>323807.92</v>
      </c>
      <c r="H12941" s="42">
        <v>211</v>
      </c>
    </row>
    <row r="12942" spans="1:8" ht="15" customHeight="1">
      <c r="A12942" s="26">
        <v>1052409857</v>
      </c>
      <c r="B12942" s="29" t="s">
        <v>15152</v>
      </c>
      <c r="C12942" s="26" t="s">
        <v>28598</v>
      </c>
      <c r="D12942" s="26" t="s">
        <v>42107</v>
      </c>
      <c r="E12942" s="26" t="s">
        <v>43926</v>
      </c>
      <c r="F12942" s="37" t="s">
        <v>54401</v>
      </c>
      <c r="G12942" s="39">
        <v>816092.87</v>
      </c>
      <c r="H12942" s="42">
        <v>211</v>
      </c>
    </row>
    <row r="12943" spans="1:8" ht="15" customHeight="1">
      <c r="A12943" s="26">
        <v>1052409867</v>
      </c>
      <c r="B12943" s="29" t="s">
        <v>15153</v>
      </c>
      <c r="C12943" s="29" t="s">
        <v>28599</v>
      </c>
      <c r="D12943" s="29" t="s">
        <v>42108</v>
      </c>
      <c r="E12943" s="29" t="s">
        <v>53228</v>
      </c>
      <c r="F12943" s="36" t="s">
        <v>54409</v>
      </c>
      <c r="G12943" s="39">
        <v>2769061</v>
      </c>
      <c r="H12943" s="42">
        <v>211</v>
      </c>
    </row>
    <row r="12944" spans="1:8" ht="15" customHeight="1">
      <c r="A12944" s="26">
        <v>1052409876</v>
      </c>
      <c r="B12944" s="29" t="s">
        <v>15154</v>
      </c>
      <c r="C12944" s="26" t="s">
        <v>28600</v>
      </c>
      <c r="D12944" s="26" t="s">
        <v>42109</v>
      </c>
      <c r="E12944" s="26" t="s">
        <v>43926</v>
      </c>
      <c r="F12944" s="37" t="s">
        <v>54401</v>
      </c>
      <c r="G12944" s="39">
        <v>483655.42</v>
      </c>
      <c r="H12944" s="42">
        <v>211</v>
      </c>
    </row>
    <row r="12945" spans="1:8" ht="15" customHeight="1">
      <c r="A12945" s="26">
        <v>1052409893</v>
      </c>
      <c r="B12945" s="29" t="s">
        <v>15155</v>
      </c>
      <c r="C12945" s="26" t="s">
        <v>28601</v>
      </c>
      <c r="D12945" s="26" t="s">
        <v>42110</v>
      </c>
      <c r="E12945" s="26" t="s">
        <v>43926</v>
      </c>
      <c r="F12945" s="37" t="s">
        <v>54401</v>
      </c>
      <c r="G12945" s="39">
        <v>49462.63</v>
      </c>
      <c r="H12945" s="42">
        <v>211</v>
      </c>
    </row>
    <row r="12946" spans="1:8" ht="15" customHeight="1">
      <c r="A12946" s="26">
        <v>1052409934</v>
      </c>
      <c r="B12946" s="29" t="s">
        <v>15156</v>
      </c>
      <c r="C12946" s="29" t="s">
        <v>28602</v>
      </c>
      <c r="D12946" s="29" t="s">
        <v>42111</v>
      </c>
      <c r="E12946" s="29" t="s">
        <v>53229</v>
      </c>
      <c r="F12946" s="36" t="s">
        <v>54401</v>
      </c>
      <c r="G12946" s="39">
        <v>1024975.05</v>
      </c>
      <c r="H12946" s="42">
        <v>211</v>
      </c>
    </row>
    <row r="12947" spans="1:8" ht="15" customHeight="1">
      <c r="A12947" s="26">
        <v>1052409964</v>
      </c>
      <c r="B12947" s="29" t="s">
        <v>15157</v>
      </c>
      <c r="C12947" s="26" t="s">
        <v>28603</v>
      </c>
      <c r="D12947" s="26" t="s">
        <v>42112</v>
      </c>
      <c r="E12947" s="26" t="s">
        <v>43926</v>
      </c>
      <c r="F12947" s="37" t="s">
        <v>54401</v>
      </c>
      <c r="G12947" s="39">
        <v>472477.35</v>
      </c>
      <c r="H12947" s="42">
        <v>211</v>
      </c>
    </row>
    <row r="12948" spans="1:8" ht="15" customHeight="1">
      <c r="A12948" s="26">
        <v>1052409974</v>
      </c>
      <c r="B12948" s="29" t="s">
        <v>15158</v>
      </c>
      <c r="C12948" s="26" t="s">
        <v>28604</v>
      </c>
      <c r="D12948" s="26" t="s">
        <v>42113</v>
      </c>
      <c r="E12948" s="26" t="s">
        <v>53230</v>
      </c>
      <c r="F12948" s="37" t="s">
        <v>54401</v>
      </c>
      <c r="G12948" s="39">
        <v>1875843.22</v>
      </c>
      <c r="H12948" s="42">
        <v>211</v>
      </c>
    </row>
    <row r="12949" spans="1:8" ht="15" customHeight="1">
      <c r="A12949" s="26">
        <v>1052410009</v>
      </c>
      <c r="B12949" s="29" t="s">
        <v>15159</v>
      </c>
      <c r="C12949" s="29" t="s">
        <v>28605</v>
      </c>
      <c r="D12949" s="29" t="s">
        <v>42114</v>
      </c>
      <c r="E12949" s="29" t="s">
        <v>52732</v>
      </c>
      <c r="F12949" s="36" t="s">
        <v>54401</v>
      </c>
      <c r="G12949" s="39">
        <v>979116.91</v>
      </c>
      <c r="H12949" s="42">
        <v>211</v>
      </c>
    </row>
    <row r="12950" spans="1:8" ht="15" customHeight="1">
      <c r="A12950" s="26">
        <v>1052410036</v>
      </c>
      <c r="B12950" s="29" t="s">
        <v>15160</v>
      </c>
      <c r="C12950" s="26" t="s">
        <v>28606</v>
      </c>
      <c r="D12950" s="26" t="s">
        <v>42115</v>
      </c>
      <c r="E12950" s="26" t="s">
        <v>53231</v>
      </c>
      <c r="F12950" s="37" t="s">
        <v>54401</v>
      </c>
      <c r="G12950" s="39">
        <v>118818.08</v>
      </c>
      <c r="H12950" s="42">
        <v>211</v>
      </c>
    </row>
    <row r="12951" spans="1:8" ht="15" customHeight="1">
      <c r="A12951" s="26">
        <v>1052410064</v>
      </c>
      <c r="B12951" s="29" t="s">
        <v>15161</v>
      </c>
      <c r="C12951" s="29" t="s">
        <v>28607</v>
      </c>
      <c r="D12951" s="29" t="s">
        <v>42116</v>
      </c>
      <c r="E12951" s="29" t="s">
        <v>53232</v>
      </c>
      <c r="F12951" s="36" t="s">
        <v>54401</v>
      </c>
      <c r="G12951" s="39">
        <v>4360155.3899999997</v>
      </c>
      <c r="H12951" s="42">
        <v>211</v>
      </c>
    </row>
    <row r="12952" spans="1:8" ht="15" customHeight="1">
      <c r="A12952" s="26">
        <v>1052410069</v>
      </c>
      <c r="B12952" s="29" t="s">
        <v>15162</v>
      </c>
      <c r="C12952" s="29" t="s">
        <v>17204</v>
      </c>
      <c r="D12952" s="29" t="s">
        <v>42117</v>
      </c>
      <c r="E12952" s="29" t="s">
        <v>43926</v>
      </c>
      <c r="F12952" s="36" t="s">
        <v>54401</v>
      </c>
      <c r="G12952" s="39">
        <v>1118024.44</v>
      </c>
      <c r="H12952" s="42">
        <v>211</v>
      </c>
    </row>
    <row r="12953" spans="1:8" ht="15" customHeight="1">
      <c r="A12953" s="26">
        <v>1052410070</v>
      </c>
      <c r="B12953" s="29" t="s">
        <v>15163</v>
      </c>
      <c r="C12953" s="29" t="s">
        <v>28608</v>
      </c>
      <c r="D12953" s="29" t="s">
        <v>42118</v>
      </c>
      <c r="E12953" s="29" t="s">
        <v>53233</v>
      </c>
      <c r="F12953" s="36" t="s">
        <v>54401</v>
      </c>
      <c r="G12953" s="39">
        <v>1850197.38</v>
      </c>
      <c r="H12953" s="42">
        <v>211</v>
      </c>
    </row>
    <row r="12954" spans="1:8" ht="15" customHeight="1">
      <c r="A12954" s="26">
        <v>1052410091</v>
      </c>
      <c r="B12954" s="29" t="s">
        <v>15164</v>
      </c>
      <c r="C12954" s="29" t="s">
        <v>28609</v>
      </c>
      <c r="D12954" s="29" t="s">
        <v>42119</v>
      </c>
      <c r="E12954" s="29" t="s">
        <v>46533</v>
      </c>
      <c r="F12954" s="36" t="s">
        <v>54401</v>
      </c>
      <c r="G12954" s="39">
        <v>2717424</v>
      </c>
      <c r="H12954" s="42">
        <v>211</v>
      </c>
    </row>
    <row r="12955" spans="1:8" ht="15" customHeight="1">
      <c r="A12955" s="26">
        <v>1052410107</v>
      </c>
      <c r="B12955" s="29" t="s">
        <v>15165</v>
      </c>
      <c r="C12955" s="29" t="s">
        <v>28610</v>
      </c>
      <c r="D12955" s="29" t="s">
        <v>42120</v>
      </c>
      <c r="E12955" s="29" t="s">
        <v>53234</v>
      </c>
      <c r="F12955" s="36" t="s">
        <v>54401</v>
      </c>
      <c r="G12955" s="39">
        <v>232895.64</v>
      </c>
      <c r="H12955" s="42">
        <v>211</v>
      </c>
    </row>
    <row r="12956" spans="1:8" ht="15" customHeight="1">
      <c r="A12956" s="26">
        <v>1052410117</v>
      </c>
      <c r="B12956" s="29" t="s">
        <v>15166</v>
      </c>
      <c r="C12956" s="29" t="s">
        <v>28611</v>
      </c>
      <c r="D12956" s="29" t="s">
        <v>42121</v>
      </c>
      <c r="E12956" s="29" t="s">
        <v>53235</v>
      </c>
      <c r="F12956" s="36" t="s">
        <v>54401</v>
      </c>
      <c r="G12956" s="39">
        <v>148610.47</v>
      </c>
      <c r="H12956" s="42">
        <v>211</v>
      </c>
    </row>
    <row r="12957" spans="1:8" ht="15" customHeight="1">
      <c r="A12957" s="26">
        <v>1052410136</v>
      </c>
      <c r="B12957" s="29" t="s">
        <v>15167</v>
      </c>
      <c r="C12957" s="29" t="s">
        <v>28612</v>
      </c>
      <c r="D12957" s="29" t="s">
        <v>42122</v>
      </c>
      <c r="E12957" s="29" t="s">
        <v>53236</v>
      </c>
      <c r="F12957" s="36" t="s">
        <v>54401</v>
      </c>
      <c r="G12957" s="39">
        <v>2767502</v>
      </c>
      <c r="H12957" s="42">
        <v>211</v>
      </c>
    </row>
    <row r="12958" spans="1:8" ht="15" customHeight="1">
      <c r="A12958" s="26">
        <v>1052410143</v>
      </c>
      <c r="B12958" s="29" t="s">
        <v>15168</v>
      </c>
      <c r="C12958" s="29" t="s">
        <v>28613</v>
      </c>
      <c r="D12958" s="29" t="s">
        <v>42123</v>
      </c>
      <c r="E12958" s="29" t="s">
        <v>53237</v>
      </c>
      <c r="F12958" s="36" t="s">
        <v>54401</v>
      </c>
      <c r="G12958" s="39">
        <v>1678477</v>
      </c>
      <c r="H12958" s="42">
        <v>211</v>
      </c>
    </row>
    <row r="12959" spans="1:8" ht="15" customHeight="1">
      <c r="A12959" s="26">
        <v>1052410147</v>
      </c>
      <c r="B12959" s="29" t="s">
        <v>15169</v>
      </c>
      <c r="C12959" s="29" t="s">
        <v>28614</v>
      </c>
      <c r="D12959" s="29" t="s">
        <v>42124</v>
      </c>
      <c r="E12959" s="29" t="s">
        <v>53238</v>
      </c>
      <c r="F12959" s="36" t="s">
        <v>54409</v>
      </c>
      <c r="G12959" s="39">
        <v>1929732.93</v>
      </c>
      <c r="H12959" s="42">
        <v>211</v>
      </c>
    </row>
    <row r="12960" spans="1:8" ht="15" customHeight="1">
      <c r="A12960" s="26">
        <v>1052410155</v>
      </c>
      <c r="B12960" s="29" t="s">
        <v>15170</v>
      </c>
      <c r="C12960" s="29" t="s">
        <v>28615</v>
      </c>
      <c r="D12960" s="29" t="s">
        <v>42125</v>
      </c>
      <c r="E12960" s="29" t="s">
        <v>53239</v>
      </c>
      <c r="F12960" s="36" t="s">
        <v>54401</v>
      </c>
      <c r="G12960" s="39">
        <v>470924.58</v>
      </c>
      <c r="H12960" s="42">
        <v>211</v>
      </c>
    </row>
    <row r="12961" spans="1:8" ht="15" customHeight="1">
      <c r="A12961" s="26">
        <v>1052410173</v>
      </c>
      <c r="B12961" s="29" t="s">
        <v>15171</v>
      </c>
      <c r="C12961" s="26" t="s">
        <v>17204</v>
      </c>
      <c r="D12961" s="26" t="s">
        <v>30349</v>
      </c>
      <c r="E12961" s="26" t="s">
        <v>43926</v>
      </c>
      <c r="F12961" s="37" t="s">
        <v>54401</v>
      </c>
      <c r="G12961" s="39">
        <v>422393.73</v>
      </c>
      <c r="H12961" s="42">
        <v>211</v>
      </c>
    </row>
    <row r="12962" spans="1:8" ht="15" customHeight="1">
      <c r="A12962" s="26">
        <v>1052410194</v>
      </c>
      <c r="B12962" s="29" t="s">
        <v>15172</v>
      </c>
      <c r="C12962" s="29" t="s">
        <v>28616</v>
      </c>
      <c r="D12962" s="29" t="s">
        <v>42126</v>
      </c>
      <c r="E12962" s="29" t="s">
        <v>53240</v>
      </c>
      <c r="F12962" s="36" t="s">
        <v>54401</v>
      </c>
      <c r="G12962" s="39">
        <v>133529.41</v>
      </c>
      <c r="H12962" s="42">
        <v>211</v>
      </c>
    </row>
    <row r="12963" spans="1:8" ht="15" customHeight="1">
      <c r="A12963" s="26">
        <v>1052410225</v>
      </c>
      <c r="B12963" s="29" t="s">
        <v>15173</v>
      </c>
      <c r="C12963" s="29" t="s">
        <v>28617</v>
      </c>
      <c r="D12963" s="29" t="s">
        <v>42127</v>
      </c>
      <c r="E12963" s="29" t="s">
        <v>51623</v>
      </c>
      <c r="F12963" s="36" t="s">
        <v>54401</v>
      </c>
      <c r="G12963" s="39">
        <v>337416.96000000002</v>
      </c>
      <c r="H12963" s="42">
        <v>211</v>
      </c>
    </row>
    <row r="12964" spans="1:8" ht="15" customHeight="1">
      <c r="A12964" s="26">
        <v>1052410245</v>
      </c>
      <c r="B12964" s="29" t="s">
        <v>15174</v>
      </c>
      <c r="C12964" s="29"/>
      <c r="D12964" s="29"/>
      <c r="E12964" s="29"/>
      <c r="F12964" s="36" t="s">
        <v>54410</v>
      </c>
      <c r="G12964" s="39">
        <v>71504.62</v>
      </c>
      <c r="H12964" s="42">
        <v>211</v>
      </c>
    </row>
    <row r="12965" spans="1:8" ht="15" customHeight="1">
      <c r="A12965" s="26">
        <v>1052410282</v>
      </c>
      <c r="B12965" s="29" t="s">
        <v>15175</v>
      </c>
      <c r="C12965" s="29" t="s">
        <v>17204</v>
      </c>
      <c r="D12965" s="29" t="s">
        <v>30349</v>
      </c>
      <c r="E12965" s="29" t="s">
        <v>43926</v>
      </c>
      <c r="F12965" s="36" t="s">
        <v>54401</v>
      </c>
      <c r="G12965" s="39">
        <v>525869.91</v>
      </c>
      <c r="H12965" s="42">
        <v>211</v>
      </c>
    </row>
    <row r="12966" spans="1:8" ht="15" customHeight="1">
      <c r="A12966" s="26">
        <v>1052410294</v>
      </c>
      <c r="B12966" s="29" t="s">
        <v>15176</v>
      </c>
      <c r="C12966" s="29" t="s">
        <v>28618</v>
      </c>
      <c r="D12966" s="29" t="s">
        <v>41688</v>
      </c>
      <c r="E12966" s="29" t="s">
        <v>53241</v>
      </c>
      <c r="F12966" s="36" t="s">
        <v>54401</v>
      </c>
      <c r="G12966" s="39">
        <v>5904634</v>
      </c>
      <c r="H12966" s="42">
        <v>211</v>
      </c>
    </row>
    <row r="12967" spans="1:8" ht="15" customHeight="1">
      <c r="A12967" s="26">
        <v>1052410303</v>
      </c>
      <c r="B12967" s="29" t="s">
        <v>15177</v>
      </c>
      <c r="C12967" s="29" t="s">
        <v>28619</v>
      </c>
      <c r="D12967" s="29" t="s">
        <v>42128</v>
      </c>
      <c r="E12967" s="29" t="s">
        <v>51052</v>
      </c>
      <c r="F12967" s="36" t="s">
        <v>54401</v>
      </c>
      <c r="G12967" s="39">
        <v>579667.68999999994</v>
      </c>
      <c r="H12967" s="42">
        <v>211</v>
      </c>
    </row>
    <row r="12968" spans="1:8" ht="15" customHeight="1">
      <c r="A12968" s="26">
        <v>1052410309</v>
      </c>
      <c r="B12968" s="29" t="s">
        <v>15178</v>
      </c>
      <c r="C12968" s="29" t="s">
        <v>17204</v>
      </c>
      <c r="D12968" s="29" t="s">
        <v>30349</v>
      </c>
      <c r="E12968" s="29" t="s">
        <v>43926</v>
      </c>
      <c r="F12968" s="36" t="s">
        <v>54401</v>
      </c>
      <c r="G12968" s="39">
        <v>395644.58</v>
      </c>
      <c r="H12968" s="42">
        <v>211</v>
      </c>
    </row>
    <row r="12969" spans="1:8" ht="15" customHeight="1">
      <c r="A12969" s="26">
        <v>1052410322</v>
      </c>
      <c r="B12969" s="29" t="s">
        <v>15179</v>
      </c>
      <c r="C12969" s="29" t="s">
        <v>17204</v>
      </c>
      <c r="D12969" s="29" t="s">
        <v>30349</v>
      </c>
      <c r="E12969" s="29" t="s">
        <v>43926</v>
      </c>
      <c r="F12969" s="36" t="s">
        <v>54401</v>
      </c>
      <c r="G12969" s="39">
        <v>409117.3</v>
      </c>
      <c r="H12969" s="42">
        <v>211</v>
      </c>
    </row>
    <row r="12970" spans="1:8" ht="15" customHeight="1">
      <c r="A12970" s="26">
        <v>1052410348</v>
      </c>
      <c r="B12970" s="29" t="s">
        <v>15180</v>
      </c>
      <c r="C12970" s="29" t="s">
        <v>28620</v>
      </c>
      <c r="D12970" s="29" t="s">
        <v>42129</v>
      </c>
      <c r="E12970" s="29" t="s">
        <v>53242</v>
      </c>
      <c r="F12970" s="36" t="s">
        <v>54401</v>
      </c>
      <c r="G12970" s="39">
        <v>35675.54</v>
      </c>
      <c r="H12970" s="42">
        <v>211</v>
      </c>
    </row>
    <row r="12971" spans="1:8" ht="15" customHeight="1">
      <c r="A12971" s="26">
        <v>1052410367</v>
      </c>
      <c r="B12971" s="29" t="s">
        <v>15181</v>
      </c>
      <c r="C12971" s="29" t="s">
        <v>28621</v>
      </c>
      <c r="D12971" s="29" t="s">
        <v>42130</v>
      </c>
      <c r="E12971" s="29" t="s">
        <v>53243</v>
      </c>
      <c r="F12971" s="36" t="s">
        <v>54401</v>
      </c>
      <c r="G12971" s="39">
        <v>489978.02</v>
      </c>
      <c r="H12971" s="42">
        <v>211</v>
      </c>
    </row>
    <row r="12972" spans="1:8" ht="15" customHeight="1">
      <c r="A12972" s="26">
        <v>1052410374</v>
      </c>
      <c r="B12972" s="29" t="s">
        <v>15182</v>
      </c>
      <c r="C12972" s="29" t="s">
        <v>28622</v>
      </c>
      <c r="D12972" s="29" t="s">
        <v>42131</v>
      </c>
      <c r="E12972" s="29" t="s">
        <v>53244</v>
      </c>
      <c r="F12972" s="36" t="s">
        <v>54401</v>
      </c>
      <c r="G12972" s="39">
        <v>382468.26</v>
      </c>
      <c r="H12972" s="42">
        <v>211</v>
      </c>
    </row>
    <row r="12973" spans="1:8" ht="15" customHeight="1">
      <c r="A12973" s="26">
        <v>1052410379</v>
      </c>
      <c r="B12973" s="29" t="s">
        <v>15183</v>
      </c>
      <c r="C12973" s="29" t="s">
        <v>28623</v>
      </c>
      <c r="D12973" s="29" t="s">
        <v>42132</v>
      </c>
      <c r="E12973" s="29" t="s">
        <v>43926</v>
      </c>
      <c r="F12973" s="36" t="s">
        <v>54401</v>
      </c>
      <c r="G12973" s="39">
        <v>1314977.46</v>
      </c>
      <c r="H12973" s="42">
        <v>211</v>
      </c>
    </row>
    <row r="12974" spans="1:8" ht="15" customHeight="1">
      <c r="A12974" s="26">
        <v>1052410383</v>
      </c>
      <c r="B12974" s="29" t="s">
        <v>15184</v>
      </c>
      <c r="C12974" s="29" t="s">
        <v>17204</v>
      </c>
      <c r="D12974" s="29" t="s">
        <v>30349</v>
      </c>
      <c r="E12974" s="29" t="s">
        <v>43926</v>
      </c>
      <c r="F12974" s="36" t="s">
        <v>54401</v>
      </c>
      <c r="G12974" s="39">
        <v>481308.1</v>
      </c>
      <c r="H12974" s="42">
        <v>211</v>
      </c>
    </row>
    <row r="12975" spans="1:8" ht="15" customHeight="1">
      <c r="A12975" s="26">
        <v>1052410407</v>
      </c>
      <c r="B12975" s="29" t="s">
        <v>15185</v>
      </c>
      <c r="C12975" s="29" t="s">
        <v>17204</v>
      </c>
      <c r="D12975" s="29" t="s">
        <v>42133</v>
      </c>
      <c r="E12975" s="29" t="s">
        <v>43926</v>
      </c>
      <c r="F12975" s="36" t="s">
        <v>54401</v>
      </c>
      <c r="G12975" s="39">
        <v>177975.79</v>
      </c>
      <c r="H12975" s="42">
        <v>211</v>
      </c>
    </row>
    <row r="12976" spans="1:8" ht="15" customHeight="1">
      <c r="A12976" s="26">
        <v>1052410410</v>
      </c>
      <c r="B12976" s="29" t="s">
        <v>15186</v>
      </c>
      <c r="C12976" s="26" t="s">
        <v>28624</v>
      </c>
      <c r="D12976" s="26" t="s">
        <v>42134</v>
      </c>
      <c r="E12976" s="26" t="s">
        <v>43926</v>
      </c>
      <c r="F12976" s="37" t="s">
        <v>54401</v>
      </c>
      <c r="G12976" s="39">
        <v>300372.59999999998</v>
      </c>
      <c r="H12976" s="42">
        <v>211</v>
      </c>
    </row>
    <row r="12977" spans="1:8" ht="15" customHeight="1">
      <c r="A12977" s="26">
        <v>1052410411</v>
      </c>
      <c r="B12977" s="29" t="s">
        <v>15187</v>
      </c>
      <c r="C12977" s="29" t="s">
        <v>28625</v>
      </c>
      <c r="D12977" s="29" t="s">
        <v>42135</v>
      </c>
      <c r="E12977" s="29" t="s">
        <v>53245</v>
      </c>
      <c r="F12977" s="36" t="s">
        <v>54401</v>
      </c>
      <c r="G12977" s="39">
        <v>2367098.62</v>
      </c>
      <c r="H12977" s="42">
        <v>211</v>
      </c>
    </row>
    <row r="12978" spans="1:8" ht="15" customHeight="1">
      <c r="A12978" s="26">
        <v>1052410420</v>
      </c>
      <c r="B12978" s="29" t="s">
        <v>15188</v>
      </c>
      <c r="C12978" s="29" t="s">
        <v>28626</v>
      </c>
      <c r="D12978" s="29" t="s">
        <v>42136</v>
      </c>
      <c r="E12978" s="29" t="s">
        <v>46570</v>
      </c>
      <c r="F12978" s="36" t="s">
        <v>54401</v>
      </c>
      <c r="G12978" s="39">
        <v>443268.88</v>
      </c>
      <c r="H12978" s="42">
        <v>211</v>
      </c>
    </row>
    <row r="12979" spans="1:8" ht="15" customHeight="1">
      <c r="A12979" s="26">
        <v>1052410424</v>
      </c>
      <c r="B12979" s="29" t="s">
        <v>15189</v>
      </c>
      <c r="C12979" s="29" t="s">
        <v>28627</v>
      </c>
      <c r="D12979" s="29" t="s">
        <v>42137</v>
      </c>
      <c r="E12979" s="29" t="s">
        <v>53246</v>
      </c>
      <c r="F12979" s="36" t="s">
        <v>54401</v>
      </c>
      <c r="G12979" s="39">
        <v>951779.98</v>
      </c>
      <c r="H12979" s="42">
        <v>211</v>
      </c>
    </row>
    <row r="12980" spans="1:8" ht="15" customHeight="1">
      <c r="A12980" s="26">
        <v>1052410477</v>
      </c>
      <c r="B12980" s="29" t="s">
        <v>15190</v>
      </c>
      <c r="C12980" s="29" t="s">
        <v>28628</v>
      </c>
      <c r="D12980" s="29" t="s">
        <v>42138</v>
      </c>
      <c r="E12980" s="29" t="s">
        <v>53247</v>
      </c>
      <c r="F12980" s="36" t="s">
        <v>54401</v>
      </c>
      <c r="G12980" s="39">
        <v>488919.54</v>
      </c>
      <c r="H12980" s="42">
        <v>211</v>
      </c>
    </row>
    <row r="12981" spans="1:8" ht="15" customHeight="1">
      <c r="A12981" s="26">
        <v>1052410543</v>
      </c>
      <c r="B12981" s="29" t="s">
        <v>15191</v>
      </c>
      <c r="C12981" s="29" t="s">
        <v>28629</v>
      </c>
      <c r="D12981" s="29" t="s">
        <v>42139</v>
      </c>
      <c r="E12981" s="29" t="s">
        <v>53248</v>
      </c>
      <c r="F12981" s="36" t="s">
        <v>54401</v>
      </c>
      <c r="G12981" s="39">
        <v>299154.25</v>
      </c>
      <c r="H12981" s="42">
        <v>211</v>
      </c>
    </row>
    <row r="12982" spans="1:8" ht="15" customHeight="1">
      <c r="A12982" s="26">
        <v>1052410551</v>
      </c>
      <c r="B12982" s="29" t="s">
        <v>15192</v>
      </c>
      <c r="C12982" s="29" t="s">
        <v>28630</v>
      </c>
      <c r="D12982" s="29" t="s">
        <v>42140</v>
      </c>
      <c r="E12982" s="29" t="s">
        <v>53249</v>
      </c>
      <c r="F12982" s="36" t="s">
        <v>54401</v>
      </c>
      <c r="G12982" s="39">
        <v>2769814.52</v>
      </c>
      <c r="H12982" s="42">
        <v>211</v>
      </c>
    </row>
    <row r="12983" spans="1:8" ht="15" customHeight="1">
      <c r="A12983" s="26">
        <v>1052410552</v>
      </c>
      <c r="B12983" s="29" t="s">
        <v>15193</v>
      </c>
      <c r="C12983" s="29" t="s">
        <v>28631</v>
      </c>
      <c r="D12983" s="29" t="s">
        <v>42141</v>
      </c>
      <c r="E12983" s="29" t="s">
        <v>50041</v>
      </c>
      <c r="F12983" s="36" t="s">
        <v>54401</v>
      </c>
      <c r="G12983" s="39">
        <v>6425988.4000000004</v>
      </c>
      <c r="H12983" s="42">
        <v>211</v>
      </c>
    </row>
    <row r="12984" spans="1:8" ht="15" customHeight="1">
      <c r="A12984" s="26">
        <v>1052410608</v>
      </c>
      <c r="B12984" s="29" t="s">
        <v>15194</v>
      </c>
      <c r="C12984" s="29" t="s">
        <v>17204</v>
      </c>
      <c r="D12984" s="29" t="s">
        <v>42142</v>
      </c>
      <c r="E12984" s="29" t="s">
        <v>43926</v>
      </c>
      <c r="F12984" s="36" t="s">
        <v>54401</v>
      </c>
      <c r="G12984" s="39">
        <v>2039822.14</v>
      </c>
      <c r="H12984" s="42">
        <v>211</v>
      </c>
    </row>
    <row r="12985" spans="1:8" ht="15" customHeight="1">
      <c r="A12985" s="26">
        <v>1052410621</v>
      </c>
      <c r="B12985" s="29" t="s">
        <v>15195</v>
      </c>
      <c r="C12985" s="29" t="s">
        <v>28632</v>
      </c>
      <c r="D12985" s="29" t="s">
        <v>42143</v>
      </c>
      <c r="E12985" s="29" t="s">
        <v>53250</v>
      </c>
      <c r="F12985" s="36" t="s">
        <v>54401</v>
      </c>
      <c r="G12985" s="39">
        <v>26806.720000000001</v>
      </c>
      <c r="H12985" s="42">
        <v>211</v>
      </c>
    </row>
    <row r="12986" spans="1:8" ht="15" customHeight="1">
      <c r="A12986" s="26">
        <v>1052410646</v>
      </c>
      <c r="B12986" s="29" t="s">
        <v>15196</v>
      </c>
      <c r="C12986" s="29" t="s">
        <v>17204</v>
      </c>
      <c r="D12986" s="29" t="s">
        <v>42144</v>
      </c>
      <c r="E12986" s="29" t="s">
        <v>43926</v>
      </c>
      <c r="F12986" s="36" t="s">
        <v>54401</v>
      </c>
      <c r="G12986" s="39">
        <v>871811.72</v>
      </c>
      <c r="H12986" s="42">
        <v>211</v>
      </c>
    </row>
    <row r="12987" spans="1:8" ht="15" customHeight="1">
      <c r="A12987" s="26">
        <v>1052410657</v>
      </c>
      <c r="B12987" s="29" t="s">
        <v>15197</v>
      </c>
      <c r="C12987" s="26" t="s">
        <v>28633</v>
      </c>
      <c r="D12987" s="26" t="s">
        <v>42145</v>
      </c>
      <c r="E12987" s="26" t="s">
        <v>53251</v>
      </c>
      <c r="F12987" s="37" t="s">
        <v>54401</v>
      </c>
      <c r="G12987" s="39">
        <v>1505312.12</v>
      </c>
      <c r="H12987" s="42">
        <v>211</v>
      </c>
    </row>
    <row r="12988" spans="1:8" ht="15" customHeight="1">
      <c r="A12988" s="26">
        <v>1052410659</v>
      </c>
      <c r="B12988" s="29" t="s">
        <v>15198</v>
      </c>
      <c r="C12988" s="29" t="s">
        <v>28634</v>
      </c>
      <c r="D12988" s="29" t="s">
        <v>42146</v>
      </c>
      <c r="E12988" s="29" t="s">
        <v>53252</v>
      </c>
      <c r="F12988" s="36" t="s">
        <v>54401</v>
      </c>
      <c r="G12988" s="39">
        <v>55376.01</v>
      </c>
      <c r="H12988" s="42">
        <v>211</v>
      </c>
    </row>
    <row r="12989" spans="1:8" ht="15" customHeight="1">
      <c r="A12989" s="26">
        <v>1052410697</v>
      </c>
      <c r="B12989" s="29" t="s">
        <v>15199</v>
      </c>
      <c r="C12989" s="29" t="s">
        <v>17204</v>
      </c>
      <c r="D12989" s="29" t="s">
        <v>30349</v>
      </c>
      <c r="E12989" s="29" t="s">
        <v>43926</v>
      </c>
      <c r="F12989" s="36" t="s">
        <v>54401</v>
      </c>
      <c r="G12989" s="39">
        <v>175099.19</v>
      </c>
      <c r="H12989" s="42">
        <v>211</v>
      </c>
    </row>
    <row r="12990" spans="1:8" ht="15" customHeight="1">
      <c r="A12990" s="26">
        <v>1052410736</v>
      </c>
      <c r="B12990" s="29" t="s">
        <v>15200</v>
      </c>
      <c r="C12990" s="29" t="s">
        <v>28635</v>
      </c>
      <c r="D12990" s="29" t="s">
        <v>42147</v>
      </c>
      <c r="E12990" s="29" t="s">
        <v>53253</v>
      </c>
      <c r="F12990" s="36" t="s">
        <v>54401</v>
      </c>
      <c r="G12990" s="39">
        <v>268001.76</v>
      </c>
      <c r="H12990" s="42">
        <v>211</v>
      </c>
    </row>
    <row r="12991" spans="1:8" ht="15" customHeight="1">
      <c r="A12991" s="26">
        <v>1052410741</v>
      </c>
      <c r="B12991" s="29" t="s">
        <v>15201</v>
      </c>
      <c r="C12991" s="29" t="s">
        <v>28636</v>
      </c>
      <c r="D12991" s="29" t="s">
        <v>42148</v>
      </c>
      <c r="E12991" s="29" t="s">
        <v>53254</v>
      </c>
      <c r="F12991" s="36" t="s">
        <v>54401</v>
      </c>
      <c r="G12991" s="39">
        <v>3214812.29</v>
      </c>
      <c r="H12991" s="42">
        <v>211</v>
      </c>
    </row>
    <row r="12992" spans="1:8" ht="15" customHeight="1">
      <c r="A12992" s="26">
        <v>1052410752</v>
      </c>
      <c r="B12992" s="29" t="s">
        <v>15202</v>
      </c>
      <c r="C12992" s="29" t="s">
        <v>28637</v>
      </c>
      <c r="D12992" s="29" t="s">
        <v>42149</v>
      </c>
      <c r="E12992" s="29" t="s">
        <v>48591</v>
      </c>
      <c r="F12992" s="36" t="s">
        <v>54401</v>
      </c>
      <c r="G12992" s="39">
        <v>745854.4</v>
      </c>
      <c r="H12992" s="42">
        <v>211</v>
      </c>
    </row>
    <row r="12993" spans="1:8" ht="15" customHeight="1">
      <c r="A12993" s="26">
        <v>1052410789</v>
      </c>
      <c r="B12993" s="29" t="s">
        <v>15203</v>
      </c>
      <c r="C12993" s="29" t="s">
        <v>28638</v>
      </c>
      <c r="D12993" s="29" t="s">
        <v>42150</v>
      </c>
      <c r="E12993" s="29" t="s">
        <v>53255</v>
      </c>
      <c r="F12993" s="36" t="s">
        <v>54401</v>
      </c>
      <c r="G12993" s="39">
        <v>550108.62</v>
      </c>
      <c r="H12993" s="42">
        <v>211</v>
      </c>
    </row>
    <row r="12994" spans="1:8" ht="15" customHeight="1">
      <c r="A12994" s="26">
        <v>1052410796</v>
      </c>
      <c r="B12994" s="29" t="s">
        <v>15204</v>
      </c>
      <c r="C12994" s="29" t="s">
        <v>28639</v>
      </c>
      <c r="D12994" s="29" t="s">
        <v>42151</v>
      </c>
      <c r="E12994" s="29" t="s">
        <v>44264</v>
      </c>
      <c r="F12994" s="36" t="s">
        <v>54409</v>
      </c>
      <c r="G12994" s="39">
        <v>107710.14</v>
      </c>
      <c r="H12994" s="42">
        <v>211</v>
      </c>
    </row>
    <row r="12995" spans="1:8" ht="15" customHeight="1">
      <c r="A12995" s="26">
        <v>1052410797</v>
      </c>
      <c r="B12995" s="29" t="s">
        <v>15205</v>
      </c>
      <c r="C12995" s="26" t="s">
        <v>28640</v>
      </c>
      <c r="D12995" s="26" t="s">
        <v>42152</v>
      </c>
      <c r="E12995" s="26" t="s">
        <v>53256</v>
      </c>
      <c r="F12995" s="37" t="s">
        <v>54401</v>
      </c>
      <c r="G12995" s="39">
        <v>224742.17</v>
      </c>
      <c r="H12995" s="42">
        <v>211</v>
      </c>
    </row>
    <row r="12996" spans="1:8" ht="15" customHeight="1">
      <c r="A12996" s="26">
        <v>1052410805</v>
      </c>
      <c r="B12996" s="29" t="s">
        <v>15206</v>
      </c>
      <c r="C12996" s="29" t="s">
        <v>28641</v>
      </c>
      <c r="D12996" s="29" t="s">
        <v>42153</v>
      </c>
      <c r="E12996" s="29" t="s">
        <v>53257</v>
      </c>
      <c r="F12996" s="36" t="s">
        <v>54401</v>
      </c>
      <c r="G12996" s="39">
        <v>2902588.51</v>
      </c>
      <c r="H12996" s="42">
        <v>211</v>
      </c>
    </row>
    <row r="12997" spans="1:8" ht="15" customHeight="1">
      <c r="A12997" s="26">
        <v>1052410806</v>
      </c>
      <c r="B12997" s="29" t="s">
        <v>15207</v>
      </c>
      <c r="C12997" s="29" t="s">
        <v>28642</v>
      </c>
      <c r="D12997" s="29" t="s">
        <v>42154</v>
      </c>
      <c r="E12997" s="29" t="s">
        <v>43926</v>
      </c>
      <c r="F12997" s="36" t="s">
        <v>54401</v>
      </c>
      <c r="G12997" s="39">
        <v>324790.86</v>
      </c>
      <c r="H12997" s="42">
        <v>211</v>
      </c>
    </row>
    <row r="12998" spans="1:8" ht="15" customHeight="1">
      <c r="A12998" s="26">
        <v>1052410830</v>
      </c>
      <c r="B12998" s="29" t="s">
        <v>15208</v>
      </c>
      <c r="C12998" s="29" t="s">
        <v>28643</v>
      </c>
      <c r="D12998" s="29" t="s">
        <v>42155</v>
      </c>
      <c r="E12998" s="29" t="s">
        <v>43926</v>
      </c>
      <c r="F12998" s="36" t="s">
        <v>54401</v>
      </c>
      <c r="G12998" s="39">
        <v>226331.71</v>
      </c>
      <c r="H12998" s="42">
        <v>211</v>
      </c>
    </row>
    <row r="12999" spans="1:8" ht="15" customHeight="1">
      <c r="A12999" s="26">
        <v>1052410831</v>
      </c>
      <c r="B12999" s="29" t="s">
        <v>15209</v>
      </c>
      <c r="C12999" s="29" t="s">
        <v>28644</v>
      </c>
      <c r="D12999" s="29" t="s">
        <v>42156</v>
      </c>
      <c r="E12999" s="29" t="s">
        <v>43926</v>
      </c>
      <c r="F12999" s="36" t="s">
        <v>54401</v>
      </c>
      <c r="G12999" s="39">
        <v>56672.26</v>
      </c>
      <c r="H12999" s="42">
        <v>211</v>
      </c>
    </row>
    <row r="13000" spans="1:8" ht="15" customHeight="1">
      <c r="A13000" s="26">
        <v>1052410886</v>
      </c>
      <c r="B13000" s="29" t="s">
        <v>15210</v>
      </c>
      <c r="C13000" s="29" t="s">
        <v>28645</v>
      </c>
      <c r="D13000" s="29" t="s">
        <v>42157</v>
      </c>
      <c r="E13000" s="29" t="s">
        <v>53258</v>
      </c>
      <c r="F13000" s="36" t="s">
        <v>54409</v>
      </c>
      <c r="G13000" s="39">
        <v>1471144.18</v>
      </c>
      <c r="H13000" s="42">
        <v>211</v>
      </c>
    </row>
    <row r="13001" spans="1:8" ht="15" customHeight="1">
      <c r="A13001" s="26">
        <v>1052410888</v>
      </c>
      <c r="B13001" s="29" t="s">
        <v>15211</v>
      </c>
      <c r="C13001" s="29" t="s">
        <v>28646</v>
      </c>
      <c r="D13001" s="29" t="s">
        <v>30349</v>
      </c>
      <c r="E13001" s="29" t="s">
        <v>53259</v>
      </c>
      <c r="F13001" s="36" t="s">
        <v>54401</v>
      </c>
      <c r="G13001" s="39">
        <v>69870.8</v>
      </c>
      <c r="H13001" s="42">
        <v>211</v>
      </c>
    </row>
    <row r="13002" spans="1:8" ht="15" customHeight="1">
      <c r="A13002" s="26">
        <v>1052410898</v>
      </c>
      <c r="B13002" s="29" t="s">
        <v>15212</v>
      </c>
      <c r="C13002" s="29" t="s">
        <v>28647</v>
      </c>
      <c r="D13002" s="29" t="s">
        <v>42158</v>
      </c>
      <c r="E13002" s="29" t="s">
        <v>43926</v>
      </c>
      <c r="F13002" s="36" t="s">
        <v>54401</v>
      </c>
      <c r="G13002" s="39">
        <v>72309.37</v>
      </c>
      <c r="H13002" s="42">
        <v>211</v>
      </c>
    </row>
    <row r="13003" spans="1:8" ht="15" customHeight="1">
      <c r="A13003" s="26">
        <v>1052410899</v>
      </c>
      <c r="B13003" s="29" t="s">
        <v>15213</v>
      </c>
      <c r="C13003" s="29" t="s">
        <v>27075</v>
      </c>
      <c r="D13003" s="29" t="s">
        <v>40550</v>
      </c>
      <c r="E13003" s="29" t="s">
        <v>44246</v>
      </c>
      <c r="F13003" s="36" t="s">
        <v>54401</v>
      </c>
      <c r="G13003" s="39">
        <v>538231.81999999995</v>
      </c>
      <c r="H13003" s="42">
        <v>211</v>
      </c>
    </row>
    <row r="13004" spans="1:8" ht="15" customHeight="1">
      <c r="A13004" s="26">
        <v>1052410919</v>
      </c>
      <c r="B13004" s="29" t="s">
        <v>15214</v>
      </c>
      <c r="C13004" s="26" t="s">
        <v>28648</v>
      </c>
      <c r="D13004" s="26" t="s">
        <v>42159</v>
      </c>
      <c r="E13004" s="26" t="s">
        <v>53260</v>
      </c>
      <c r="F13004" s="37" t="s">
        <v>54401</v>
      </c>
      <c r="G13004" s="39">
        <v>1032635.73</v>
      </c>
      <c r="H13004" s="42">
        <v>211</v>
      </c>
    </row>
    <row r="13005" spans="1:8" ht="15" customHeight="1">
      <c r="A13005" s="26">
        <v>1052410921</v>
      </c>
      <c r="B13005" s="29" t="s">
        <v>15215</v>
      </c>
      <c r="C13005" s="29" t="s">
        <v>28649</v>
      </c>
      <c r="D13005" s="29" t="s">
        <v>42160</v>
      </c>
      <c r="E13005" s="29" t="s">
        <v>50887</v>
      </c>
      <c r="F13005" s="36" t="s">
        <v>54401</v>
      </c>
      <c r="G13005" s="39">
        <v>164854.37</v>
      </c>
      <c r="H13005" s="42">
        <v>211</v>
      </c>
    </row>
    <row r="13006" spans="1:8" ht="15" customHeight="1">
      <c r="A13006" s="26">
        <v>1052410932</v>
      </c>
      <c r="B13006" s="29" t="s">
        <v>15216</v>
      </c>
      <c r="C13006" s="26" t="s">
        <v>17204</v>
      </c>
      <c r="D13006" s="26" t="s">
        <v>42161</v>
      </c>
      <c r="E13006" s="26" t="s">
        <v>43926</v>
      </c>
      <c r="F13006" s="37" t="s">
        <v>54401</v>
      </c>
      <c r="G13006" s="39">
        <v>10529.41</v>
      </c>
      <c r="H13006" s="42">
        <v>211</v>
      </c>
    </row>
    <row r="13007" spans="1:8" ht="15" customHeight="1">
      <c r="A13007" s="26">
        <v>1052410938</v>
      </c>
      <c r="B13007" s="29" t="s">
        <v>15217</v>
      </c>
      <c r="C13007" s="29" t="s">
        <v>28650</v>
      </c>
      <c r="D13007" s="29" t="s">
        <v>42162</v>
      </c>
      <c r="E13007" s="29" t="s">
        <v>47690</v>
      </c>
      <c r="F13007" s="36" t="s">
        <v>54401</v>
      </c>
      <c r="G13007" s="39">
        <v>1497828.61</v>
      </c>
      <c r="H13007" s="42">
        <v>211</v>
      </c>
    </row>
    <row r="13008" spans="1:8" ht="15" customHeight="1">
      <c r="A13008" s="26">
        <v>1052410950</v>
      </c>
      <c r="B13008" s="29" t="s">
        <v>15218</v>
      </c>
      <c r="C13008" s="29" t="s">
        <v>28651</v>
      </c>
      <c r="D13008" s="29" t="s">
        <v>42163</v>
      </c>
      <c r="E13008" s="29" t="s">
        <v>50247</v>
      </c>
      <c r="F13008" s="36" t="s">
        <v>54401</v>
      </c>
      <c r="G13008" s="39">
        <v>562034.78</v>
      </c>
      <c r="H13008" s="42">
        <v>211</v>
      </c>
    </row>
    <row r="13009" spans="1:8" ht="15" customHeight="1">
      <c r="A13009" s="26">
        <v>1052410963</v>
      </c>
      <c r="B13009" s="29" t="s">
        <v>15219</v>
      </c>
      <c r="C13009" s="29" t="s">
        <v>28652</v>
      </c>
      <c r="D13009" s="29" t="s">
        <v>42164</v>
      </c>
      <c r="E13009" s="29" t="s">
        <v>43926</v>
      </c>
      <c r="F13009" s="36" t="s">
        <v>54401</v>
      </c>
      <c r="G13009" s="39">
        <v>4281640</v>
      </c>
      <c r="H13009" s="42">
        <v>211</v>
      </c>
    </row>
    <row r="13010" spans="1:8" ht="15" customHeight="1">
      <c r="A13010" s="26">
        <v>1052410987</v>
      </c>
      <c r="B13010" s="29" t="s">
        <v>15220</v>
      </c>
      <c r="C13010" s="29" t="s">
        <v>28653</v>
      </c>
      <c r="D13010" s="29" t="s">
        <v>42165</v>
      </c>
      <c r="E13010" s="29" t="s">
        <v>48982</v>
      </c>
      <c r="F13010" s="36" t="s">
        <v>54401</v>
      </c>
      <c r="G13010" s="39">
        <v>37621.839999999997</v>
      </c>
      <c r="H13010" s="42">
        <v>211</v>
      </c>
    </row>
    <row r="13011" spans="1:8" ht="15" customHeight="1">
      <c r="A13011" s="26">
        <v>1052411030</v>
      </c>
      <c r="B13011" s="29" t="s">
        <v>15221</v>
      </c>
      <c r="C13011" s="29" t="s">
        <v>28654</v>
      </c>
      <c r="D13011" s="29" t="s">
        <v>42166</v>
      </c>
      <c r="E13011" s="29" t="s">
        <v>53261</v>
      </c>
      <c r="F13011" s="36" t="s">
        <v>54401</v>
      </c>
      <c r="G13011" s="39">
        <v>261165.74</v>
      </c>
      <c r="H13011" s="42">
        <v>211</v>
      </c>
    </row>
    <row r="13012" spans="1:8" ht="15" customHeight="1">
      <c r="A13012" s="26">
        <v>1052411043</v>
      </c>
      <c r="B13012" s="29" t="s">
        <v>15222</v>
      </c>
      <c r="C13012" s="29" t="s">
        <v>28655</v>
      </c>
      <c r="D13012" s="29" t="s">
        <v>42167</v>
      </c>
      <c r="E13012" s="29" t="s">
        <v>53262</v>
      </c>
      <c r="F13012" s="36" t="s">
        <v>54401</v>
      </c>
      <c r="G13012" s="39">
        <v>867745.54</v>
      </c>
      <c r="H13012" s="42">
        <v>211</v>
      </c>
    </row>
    <row r="13013" spans="1:8" ht="15" customHeight="1">
      <c r="A13013" s="26">
        <v>1052411097</v>
      </c>
      <c r="B13013" s="29" t="s">
        <v>15223</v>
      </c>
      <c r="C13013" s="29" t="s">
        <v>28656</v>
      </c>
      <c r="D13013" s="29" t="s">
        <v>42168</v>
      </c>
      <c r="E13013" s="29" t="s">
        <v>53263</v>
      </c>
      <c r="F13013" s="36" t="s">
        <v>54401</v>
      </c>
      <c r="G13013" s="39">
        <v>947130.38</v>
      </c>
      <c r="H13013" s="42">
        <v>211</v>
      </c>
    </row>
    <row r="13014" spans="1:8" ht="15" customHeight="1">
      <c r="A13014" s="26">
        <v>1052411114</v>
      </c>
      <c r="B13014" s="29" t="s">
        <v>15224</v>
      </c>
      <c r="C13014" s="29" t="s">
        <v>28657</v>
      </c>
      <c r="D13014" s="29" t="s">
        <v>30376</v>
      </c>
      <c r="E13014" s="29" t="s">
        <v>53264</v>
      </c>
      <c r="F13014" s="36" t="s">
        <v>54401</v>
      </c>
      <c r="G13014" s="39">
        <v>2109209</v>
      </c>
      <c r="H13014" s="42">
        <v>211</v>
      </c>
    </row>
    <row r="13015" spans="1:8" ht="15" customHeight="1">
      <c r="A13015" s="26">
        <v>1052411118</v>
      </c>
      <c r="B13015" s="29" t="s">
        <v>15225</v>
      </c>
      <c r="C13015" s="29" t="s">
        <v>28658</v>
      </c>
      <c r="D13015" s="29" t="s">
        <v>42169</v>
      </c>
      <c r="E13015" s="29" t="s">
        <v>51837</v>
      </c>
      <c r="F13015" s="36" t="s">
        <v>54401</v>
      </c>
      <c r="G13015" s="39">
        <v>102031.34</v>
      </c>
      <c r="H13015" s="42">
        <v>211</v>
      </c>
    </row>
    <row r="13016" spans="1:8" ht="15" customHeight="1">
      <c r="A13016" s="26">
        <v>1052411126</v>
      </c>
      <c r="B13016" s="29" t="s">
        <v>15226</v>
      </c>
      <c r="C13016" s="29" t="s">
        <v>28659</v>
      </c>
      <c r="D13016" s="29" t="s">
        <v>42170</v>
      </c>
      <c r="E13016" s="29" t="s">
        <v>53265</v>
      </c>
      <c r="F13016" s="36" t="s">
        <v>54401</v>
      </c>
      <c r="G13016" s="39">
        <v>1054988.76</v>
      </c>
      <c r="H13016" s="42">
        <v>211</v>
      </c>
    </row>
    <row r="13017" spans="1:8" ht="15" customHeight="1">
      <c r="A13017" s="26">
        <v>1052411127</v>
      </c>
      <c r="B13017" s="29" t="s">
        <v>15227</v>
      </c>
      <c r="C13017" s="29" t="s">
        <v>28660</v>
      </c>
      <c r="D13017" s="29" t="s">
        <v>42171</v>
      </c>
      <c r="E13017" s="29" t="s">
        <v>51284</v>
      </c>
      <c r="F13017" s="36" t="s">
        <v>54401</v>
      </c>
      <c r="G13017" s="39">
        <v>1119339.92</v>
      </c>
      <c r="H13017" s="42">
        <v>211</v>
      </c>
    </row>
    <row r="13018" spans="1:8" ht="15" customHeight="1">
      <c r="A13018" s="26">
        <v>1052411156</v>
      </c>
      <c r="B13018" s="29" t="s">
        <v>15228</v>
      </c>
      <c r="C13018" s="29" t="s">
        <v>28661</v>
      </c>
      <c r="D13018" s="29" t="s">
        <v>32029</v>
      </c>
      <c r="E13018" s="29" t="s">
        <v>1643</v>
      </c>
      <c r="F13018" s="36" t="s">
        <v>54414</v>
      </c>
      <c r="G13018" s="39">
        <v>1498461.82</v>
      </c>
      <c r="H13018" s="42">
        <v>211</v>
      </c>
    </row>
    <row r="13019" spans="1:8" ht="15" customHeight="1">
      <c r="A13019" s="26">
        <v>1052411190</v>
      </c>
      <c r="B13019" s="29" t="s">
        <v>15229</v>
      </c>
      <c r="C13019" s="29" t="s">
        <v>17204</v>
      </c>
      <c r="D13019" s="29" t="s">
        <v>42172</v>
      </c>
      <c r="E13019" s="29" t="s">
        <v>43926</v>
      </c>
      <c r="F13019" s="36" t="s">
        <v>54401</v>
      </c>
      <c r="G13019" s="39">
        <v>848357.28</v>
      </c>
      <c r="H13019" s="42">
        <v>211</v>
      </c>
    </row>
    <row r="13020" spans="1:8" ht="15" customHeight="1">
      <c r="A13020" s="26">
        <v>1052411191</v>
      </c>
      <c r="B13020" s="29" t="s">
        <v>15230</v>
      </c>
      <c r="C13020" s="29" t="s">
        <v>28662</v>
      </c>
      <c r="D13020" s="29" t="s">
        <v>42173</v>
      </c>
      <c r="E13020" s="29" t="s">
        <v>44963</v>
      </c>
      <c r="F13020" s="36" t="s">
        <v>54401</v>
      </c>
      <c r="G13020" s="39">
        <v>2707387.74</v>
      </c>
      <c r="H13020" s="42">
        <v>211</v>
      </c>
    </row>
    <row r="13021" spans="1:8" ht="15" customHeight="1">
      <c r="A13021" s="26">
        <v>1052411216</v>
      </c>
      <c r="B13021" s="29" t="s">
        <v>15231</v>
      </c>
      <c r="C13021" s="29" t="s">
        <v>28663</v>
      </c>
      <c r="D13021" s="29" t="s">
        <v>42174</v>
      </c>
      <c r="E13021" s="29" t="s">
        <v>53266</v>
      </c>
      <c r="F13021" s="36" t="s">
        <v>54401</v>
      </c>
      <c r="G13021" s="39">
        <v>2364868.29</v>
      </c>
      <c r="H13021" s="42">
        <v>211</v>
      </c>
    </row>
    <row r="13022" spans="1:8" ht="15" customHeight="1">
      <c r="A13022" s="26">
        <v>1052411220</v>
      </c>
      <c r="B13022" s="29" t="s">
        <v>15232</v>
      </c>
      <c r="C13022" s="26" t="s">
        <v>17204</v>
      </c>
      <c r="D13022" s="26" t="s">
        <v>30349</v>
      </c>
      <c r="E13022" s="26" t="s">
        <v>43926</v>
      </c>
      <c r="F13022" s="37" t="s">
        <v>54401</v>
      </c>
      <c r="G13022" s="39">
        <v>237489.56</v>
      </c>
      <c r="H13022" s="42">
        <v>211</v>
      </c>
    </row>
    <row r="13023" spans="1:8" ht="15" customHeight="1">
      <c r="A13023" s="26">
        <v>1052411225</v>
      </c>
      <c r="B13023" s="29" t="s">
        <v>15233</v>
      </c>
      <c r="C13023" s="29" t="s">
        <v>28664</v>
      </c>
      <c r="D13023" s="29" t="s">
        <v>42175</v>
      </c>
      <c r="E13023" s="29" t="s">
        <v>52948</v>
      </c>
      <c r="F13023" s="36" t="s">
        <v>54401</v>
      </c>
      <c r="G13023" s="39">
        <v>1118487.8899999999</v>
      </c>
      <c r="H13023" s="42">
        <v>211</v>
      </c>
    </row>
    <row r="13024" spans="1:8" ht="15" customHeight="1">
      <c r="A13024" s="26">
        <v>1052411234</v>
      </c>
      <c r="B13024" s="29" t="s">
        <v>15234</v>
      </c>
      <c r="C13024" s="29" t="s">
        <v>28665</v>
      </c>
      <c r="D13024" s="29" t="s">
        <v>42176</v>
      </c>
      <c r="E13024" s="29" t="s">
        <v>53267</v>
      </c>
      <c r="F13024" s="36" t="s">
        <v>54401</v>
      </c>
      <c r="G13024" s="39">
        <v>768801.69</v>
      </c>
      <c r="H13024" s="42">
        <v>211</v>
      </c>
    </row>
    <row r="13025" spans="1:8" ht="15" customHeight="1">
      <c r="A13025" s="26">
        <v>1052411259</v>
      </c>
      <c r="B13025" s="29" t="s">
        <v>15235</v>
      </c>
      <c r="C13025" s="29" t="s">
        <v>28666</v>
      </c>
      <c r="D13025" s="29" t="s">
        <v>42177</v>
      </c>
      <c r="E13025" s="29" t="s">
        <v>53268</v>
      </c>
      <c r="F13025" s="36" t="s">
        <v>54401</v>
      </c>
      <c r="G13025" s="39">
        <v>296948.07</v>
      </c>
      <c r="H13025" s="42">
        <v>211</v>
      </c>
    </row>
    <row r="13026" spans="1:8" ht="15" customHeight="1">
      <c r="A13026" s="26">
        <v>1052411322</v>
      </c>
      <c r="B13026" s="29" t="s">
        <v>15236</v>
      </c>
      <c r="C13026" s="29" t="s">
        <v>28667</v>
      </c>
      <c r="D13026" s="29" t="s">
        <v>35116</v>
      </c>
      <c r="E13026" s="29" t="s">
        <v>53269</v>
      </c>
      <c r="F13026" s="36" t="s">
        <v>54401</v>
      </c>
      <c r="G13026" s="39">
        <v>1828897</v>
      </c>
      <c r="H13026" s="42">
        <v>211</v>
      </c>
    </row>
    <row r="13027" spans="1:8" ht="15" customHeight="1">
      <c r="A13027" s="26">
        <v>1052411324</v>
      </c>
      <c r="B13027" s="29" t="s">
        <v>15237</v>
      </c>
      <c r="C13027" s="29" t="s">
        <v>28668</v>
      </c>
      <c r="D13027" s="29" t="s">
        <v>42178</v>
      </c>
      <c r="E13027" s="29" t="s">
        <v>731</v>
      </c>
      <c r="F13027" s="36" t="s">
        <v>54401</v>
      </c>
      <c r="G13027" s="39">
        <v>19361.34</v>
      </c>
      <c r="H13027" s="42">
        <v>211</v>
      </c>
    </row>
    <row r="13028" spans="1:8" ht="15" customHeight="1">
      <c r="A13028" s="26">
        <v>1052411331</v>
      </c>
      <c r="B13028" s="29" t="s">
        <v>15238</v>
      </c>
      <c r="C13028" s="26" t="s">
        <v>28669</v>
      </c>
      <c r="D13028" s="26" t="s">
        <v>42179</v>
      </c>
      <c r="E13028" s="26" t="s">
        <v>47906</v>
      </c>
      <c r="F13028" s="37" t="s">
        <v>54401</v>
      </c>
      <c r="G13028" s="39">
        <v>1384403.45</v>
      </c>
      <c r="H13028" s="42">
        <v>211</v>
      </c>
    </row>
    <row r="13029" spans="1:8" ht="15" customHeight="1">
      <c r="A13029" s="26">
        <v>1052411345</v>
      </c>
      <c r="B13029" s="29" t="s">
        <v>15239</v>
      </c>
      <c r="C13029" s="29" t="s">
        <v>28670</v>
      </c>
      <c r="D13029" s="29" t="s">
        <v>42180</v>
      </c>
      <c r="E13029" s="29" t="s">
        <v>53270</v>
      </c>
      <c r="F13029" s="36" t="s">
        <v>54401</v>
      </c>
      <c r="G13029" s="39">
        <v>211818.08</v>
      </c>
      <c r="H13029" s="42">
        <v>211</v>
      </c>
    </row>
    <row r="13030" spans="1:8" ht="15" customHeight="1">
      <c r="A13030" s="26">
        <v>1052411357</v>
      </c>
      <c r="B13030" s="29" t="s">
        <v>15240</v>
      </c>
      <c r="C13030" s="29" t="s">
        <v>22016</v>
      </c>
      <c r="D13030" s="29" t="s">
        <v>42181</v>
      </c>
      <c r="E13030" s="29" t="s">
        <v>43926</v>
      </c>
      <c r="F13030" s="36" t="s">
        <v>54401</v>
      </c>
      <c r="G13030" s="39">
        <v>319706.34999999998</v>
      </c>
      <c r="H13030" s="42">
        <v>211</v>
      </c>
    </row>
    <row r="13031" spans="1:8" ht="15" customHeight="1">
      <c r="A13031" s="26">
        <v>1052411376</v>
      </c>
      <c r="B13031" s="29" t="s">
        <v>15241</v>
      </c>
      <c r="C13031" s="26" t="s">
        <v>17204</v>
      </c>
      <c r="D13031" s="26" t="s">
        <v>30349</v>
      </c>
      <c r="E13031" s="26" t="s">
        <v>43926</v>
      </c>
      <c r="F13031" s="37" t="s">
        <v>54401</v>
      </c>
      <c r="G13031" s="39">
        <v>592195.86</v>
      </c>
      <c r="H13031" s="42">
        <v>211</v>
      </c>
    </row>
    <row r="13032" spans="1:8" ht="15" customHeight="1">
      <c r="A13032" s="26">
        <v>1052411382</v>
      </c>
      <c r="B13032" s="29" t="s">
        <v>15242</v>
      </c>
      <c r="C13032" s="26" t="s">
        <v>28671</v>
      </c>
      <c r="D13032" s="26" t="s">
        <v>42182</v>
      </c>
      <c r="E13032" s="26" t="s">
        <v>53271</v>
      </c>
      <c r="F13032" s="37" t="s">
        <v>54401</v>
      </c>
      <c r="G13032" s="39">
        <v>1300866.25</v>
      </c>
      <c r="H13032" s="42">
        <v>211</v>
      </c>
    </row>
    <row r="13033" spans="1:8" ht="15" customHeight="1">
      <c r="A13033" s="26">
        <v>1052411387</v>
      </c>
      <c r="B13033" s="29" t="s">
        <v>15243</v>
      </c>
      <c r="C13033" s="29" t="s">
        <v>28672</v>
      </c>
      <c r="D13033" s="29" t="s">
        <v>42183</v>
      </c>
      <c r="E13033" s="29" t="s">
        <v>53272</v>
      </c>
      <c r="F13033" s="36" t="s">
        <v>54401</v>
      </c>
      <c r="G13033" s="39">
        <v>289812.34000000003</v>
      </c>
      <c r="H13033" s="42">
        <v>211</v>
      </c>
    </row>
    <row r="13034" spans="1:8" ht="15" customHeight="1">
      <c r="A13034" s="26">
        <v>1052411404</v>
      </c>
      <c r="B13034" s="29" t="s">
        <v>15244</v>
      </c>
      <c r="C13034" s="29" t="s">
        <v>28673</v>
      </c>
      <c r="D13034" s="29" t="s">
        <v>42184</v>
      </c>
      <c r="E13034" s="29" t="s">
        <v>53273</v>
      </c>
      <c r="F13034" s="36" t="s">
        <v>54401</v>
      </c>
      <c r="G13034" s="39">
        <v>2245556.17</v>
      </c>
      <c r="H13034" s="42">
        <v>211</v>
      </c>
    </row>
    <row r="13035" spans="1:8" ht="15" customHeight="1">
      <c r="A13035" s="26">
        <v>1052411413</v>
      </c>
      <c r="B13035" s="29" t="s">
        <v>15245</v>
      </c>
      <c r="C13035" s="29" t="s">
        <v>28674</v>
      </c>
      <c r="D13035" s="29" t="s">
        <v>42185</v>
      </c>
      <c r="E13035" s="29" t="s">
        <v>53274</v>
      </c>
      <c r="F13035" s="36" t="s">
        <v>54401</v>
      </c>
      <c r="G13035" s="39">
        <v>285346.65999999997</v>
      </c>
      <c r="H13035" s="42">
        <v>211</v>
      </c>
    </row>
    <row r="13036" spans="1:8" ht="15" customHeight="1">
      <c r="A13036" s="26">
        <v>1052411440</v>
      </c>
      <c r="B13036" s="29" t="s">
        <v>15246</v>
      </c>
      <c r="C13036" s="29" t="s">
        <v>28675</v>
      </c>
      <c r="D13036" s="29" t="s">
        <v>42186</v>
      </c>
      <c r="E13036" s="29" t="s">
        <v>53275</v>
      </c>
      <c r="F13036" s="36" t="s">
        <v>54401</v>
      </c>
      <c r="G13036" s="39">
        <v>1657903</v>
      </c>
      <c r="H13036" s="42">
        <v>211</v>
      </c>
    </row>
    <row r="13037" spans="1:8" ht="15" customHeight="1">
      <c r="A13037" s="26">
        <v>1052411470</v>
      </c>
      <c r="B13037" s="29" t="s">
        <v>15247</v>
      </c>
      <c r="C13037" s="29" t="s">
        <v>28676</v>
      </c>
      <c r="D13037" s="29" t="s">
        <v>42187</v>
      </c>
      <c r="E13037" s="29" t="s">
        <v>43926</v>
      </c>
      <c r="F13037" s="36" t="s">
        <v>54401</v>
      </c>
      <c r="G13037" s="39">
        <v>1995772.33</v>
      </c>
      <c r="H13037" s="42">
        <v>211</v>
      </c>
    </row>
    <row r="13038" spans="1:8" ht="15" customHeight="1">
      <c r="A13038" s="26">
        <v>1052411475</v>
      </c>
      <c r="B13038" s="29" t="s">
        <v>15248</v>
      </c>
      <c r="C13038" s="29" t="s">
        <v>28677</v>
      </c>
      <c r="D13038" s="29" t="s">
        <v>42188</v>
      </c>
      <c r="E13038" s="29" t="s">
        <v>53276</v>
      </c>
      <c r="F13038" s="36" t="s">
        <v>54401</v>
      </c>
      <c r="G13038" s="39">
        <v>9135473.9900000002</v>
      </c>
      <c r="H13038" s="42">
        <v>211</v>
      </c>
    </row>
    <row r="13039" spans="1:8" ht="15" customHeight="1">
      <c r="A13039" s="26">
        <v>1052411483</v>
      </c>
      <c r="B13039" s="29" t="s">
        <v>15249</v>
      </c>
      <c r="C13039" s="29" t="s">
        <v>28678</v>
      </c>
      <c r="D13039" s="29" t="s">
        <v>42189</v>
      </c>
      <c r="E13039" s="29" t="s">
        <v>53277</v>
      </c>
      <c r="F13039" s="36" t="s">
        <v>54401</v>
      </c>
      <c r="G13039" s="39">
        <v>5390847.3499999996</v>
      </c>
      <c r="H13039" s="42">
        <v>211</v>
      </c>
    </row>
    <row r="13040" spans="1:8" ht="15" customHeight="1">
      <c r="A13040" s="26">
        <v>1052411488</v>
      </c>
      <c r="B13040" s="29" t="s">
        <v>15250</v>
      </c>
      <c r="C13040" s="29" t="s">
        <v>28679</v>
      </c>
      <c r="D13040" s="29" t="s">
        <v>42190</v>
      </c>
      <c r="E13040" s="29" t="s">
        <v>53278</v>
      </c>
      <c r="F13040" s="36" t="s">
        <v>54401</v>
      </c>
      <c r="G13040" s="39">
        <v>465094.13</v>
      </c>
      <c r="H13040" s="42">
        <v>211</v>
      </c>
    </row>
    <row r="13041" spans="1:8" ht="15" customHeight="1">
      <c r="A13041" s="26">
        <v>1052411539</v>
      </c>
      <c r="B13041" s="29" t="s">
        <v>15251</v>
      </c>
      <c r="C13041" s="29" t="s">
        <v>28680</v>
      </c>
      <c r="D13041" s="29" t="s">
        <v>42191</v>
      </c>
      <c r="E13041" s="29" t="s">
        <v>53279</v>
      </c>
      <c r="F13041" s="36" t="s">
        <v>54401</v>
      </c>
      <c r="G13041" s="39">
        <v>397445.04</v>
      </c>
      <c r="H13041" s="42">
        <v>211</v>
      </c>
    </row>
    <row r="13042" spans="1:8" ht="15" customHeight="1">
      <c r="A13042" s="26">
        <v>1052411550</v>
      </c>
      <c r="B13042" s="29" t="s">
        <v>15252</v>
      </c>
      <c r="C13042" s="26" t="s">
        <v>28681</v>
      </c>
      <c r="D13042" s="26" t="s">
        <v>36196</v>
      </c>
      <c r="E13042" s="26" t="s">
        <v>53280</v>
      </c>
      <c r="F13042" s="37" t="s">
        <v>54401</v>
      </c>
      <c r="G13042" s="39">
        <v>546899.65</v>
      </c>
      <c r="H13042" s="42">
        <v>211</v>
      </c>
    </row>
    <row r="13043" spans="1:8" ht="15" customHeight="1">
      <c r="A13043" s="26">
        <v>1052411556</v>
      </c>
      <c r="B13043" s="29" t="s">
        <v>15253</v>
      </c>
      <c r="C13043" s="29" t="s">
        <v>28682</v>
      </c>
      <c r="D13043" s="29" t="s">
        <v>42192</v>
      </c>
      <c r="E13043" s="29" t="s">
        <v>53281</v>
      </c>
      <c r="F13043" s="36" t="s">
        <v>54401</v>
      </c>
      <c r="G13043" s="39">
        <v>31991.599999999999</v>
      </c>
      <c r="H13043" s="42">
        <v>211</v>
      </c>
    </row>
    <row r="13044" spans="1:8" ht="15" customHeight="1">
      <c r="A13044" s="26">
        <v>1052411580</v>
      </c>
      <c r="B13044" s="29" t="s">
        <v>15254</v>
      </c>
      <c r="C13044" s="26" t="s">
        <v>28683</v>
      </c>
      <c r="D13044" s="26" t="s">
        <v>42193</v>
      </c>
      <c r="E13044" s="26" t="s">
        <v>43926</v>
      </c>
      <c r="F13044" s="37" t="s">
        <v>54401</v>
      </c>
      <c r="G13044" s="39">
        <v>42369.26</v>
      </c>
      <c r="H13044" s="42">
        <v>211</v>
      </c>
    </row>
    <row r="13045" spans="1:8" ht="15" customHeight="1">
      <c r="A13045" s="26">
        <v>1052411581</v>
      </c>
      <c r="B13045" s="29" t="s">
        <v>15255</v>
      </c>
      <c r="C13045" s="29" t="s">
        <v>28684</v>
      </c>
      <c r="D13045" s="29" t="s">
        <v>42194</v>
      </c>
      <c r="E13045" s="29" t="s">
        <v>53282</v>
      </c>
      <c r="F13045" s="36" t="s">
        <v>54401</v>
      </c>
      <c r="G13045" s="39">
        <v>332674.36</v>
      </c>
      <c r="H13045" s="42">
        <v>211</v>
      </c>
    </row>
    <row r="13046" spans="1:8" ht="15" customHeight="1">
      <c r="A13046" s="26">
        <v>1052411587</v>
      </c>
      <c r="B13046" s="29" t="s">
        <v>15256</v>
      </c>
      <c r="C13046" s="29" t="s">
        <v>28685</v>
      </c>
      <c r="D13046" s="29" t="s">
        <v>42195</v>
      </c>
      <c r="E13046" s="29" t="s">
        <v>53283</v>
      </c>
      <c r="F13046" s="36" t="s">
        <v>54401</v>
      </c>
      <c r="G13046" s="39">
        <v>226541.89</v>
      </c>
      <c r="H13046" s="42">
        <v>211</v>
      </c>
    </row>
    <row r="13047" spans="1:8" ht="15" customHeight="1">
      <c r="A13047" s="26">
        <v>1052411590</v>
      </c>
      <c r="B13047" s="29" t="s">
        <v>15257</v>
      </c>
      <c r="C13047" s="29" t="s">
        <v>28686</v>
      </c>
      <c r="D13047" s="29" t="s">
        <v>42196</v>
      </c>
      <c r="E13047" s="29" t="s">
        <v>53284</v>
      </c>
      <c r="F13047" s="36" t="s">
        <v>54401</v>
      </c>
      <c r="G13047" s="39">
        <v>2733335</v>
      </c>
      <c r="H13047" s="42">
        <v>211</v>
      </c>
    </row>
    <row r="13048" spans="1:8" ht="15" customHeight="1">
      <c r="A13048" s="26">
        <v>1052411595</v>
      </c>
      <c r="B13048" s="29" t="s">
        <v>15258</v>
      </c>
      <c r="C13048" s="29" t="s">
        <v>28687</v>
      </c>
      <c r="D13048" s="29" t="s">
        <v>42197</v>
      </c>
      <c r="E13048" s="29" t="s">
        <v>53285</v>
      </c>
      <c r="F13048" s="36" t="s">
        <v>54401</v>
      </c>
      <c r="G13048" s="39">
        <v>581383.55000000005</v>
      </c>
      <c r="H13048" s="42">
        <v>211</v>
      </c>
    </row>
    <row r="13049" spans="1:8" ht="15" customHeight="1">
      <c r="A13049" s="26">
        <v>1052411615</v>
      </c>
      <c r="B13049" s="29" t="s">
        <v>15259</v>
      </c>
      <c r="C13049" s="29" t="s">
        <v>28688</v>
      </c>
      <c r="D13049" s="29" t="s">
        <v>42198</v>
      </c>
      <c r="E13049" s="29" t="s">
        <v>53286</v>
      </c>
      <c r="F13049" s="36" t="s">
        <v>54401</v>
      </c>
      <c r="G13049" s="39">
        <v>66829.17</v>
      </c>
      <c r="H13049" s="42">
        <v>211</v>
      </c>
    </row>
    <row r="13050" spans="1:8" ht="15" customHeight="1">
      <c r="A13050" s="26">
        <v>1052411630</v>
      </c>
      <c r="B13050" s="29" t="s">
        <v>15260</v>
      </c>
      <c r="C13050" s="29" t="s">
        <v>28689</v>
      </c>
      <c r="D13050" s="29" t="s">
        <v>42199</v>
      </c>
      <c r="E13050" s="29" t="s">
        <v>43926</v>
      </c>
      <c r="F13050" s="36" t="s">
        <v>54401</v>
      </c>
      <c r="G13050" s="39">
        <v>1716426</v>
      </c>
      <c r="H13050" s="42">
        <v>211</v>
      </c>
    </row>
    <row r="13051" spans="1:8" ht="15" customHeight="1">
      <c r="A13051" s="26">
        <v>1052411659</v>
      </c>
      <c r="B13051" s="29" t="s">
        <v>15261</v>
      </c>
      <c r="C13051" s="29" t="s">
        <v>17204</v>
      </c>
      <c r="D13051" s="29" t="s">
        <v>30349</v>
      </c>
      <c r="E13051" s="29" t="s">
        <v>43926</v>
      </c>
      <c r="F13051" s="36" t="s">
        <v>54401</v>
      </c>
      <c r="G13051" s="39">
        <v>14590.76</v>
      </c>
      <c r="H13051" s="42">
        <v>211</v>
      </c>
    </row>
    <row r="13052" spans="1:8" ht="15" customHeight="1">
      <c r="A13052" s="26">
        <v>1052411676</v>
      </c>
      <c r="B13052" s="29" t="s">
        <v>15262</v>
      </c>
      <c r="C13052" s="29" t="s">
        <v>28690</v>
      </c>
      <c r="D13052" s="29" t="s">
        <v>42200</v>
      </c>
      <c r="E13052" s="29" t="s">
        <v>43926</v>
      </c>
      <c r="F13052" s="36" t="s">
        <v>54401</v>
      </c>
      <c r="G13052" s="39">
        <v>579208.91</v>
      </c>
      <c r="H13052" s="42">
        <v>211</v>
      </c>
    </row>
    <row r="13053" spans="1:8" ht="15" customHeight="1">
      <c r="A13053" s="26">
        <v>1052411704</v>
      </c>
      <c r="B13053" s="29" t="s">
        <v>15263</v>
      </c>
      <c r="C13053" s="29" t="s">
        <v>28691</v>
      </c>
      <c r="D13053" s="29" t="s">
        <v>42201</v>
      </c>
      <c r="E13053" s="29" t="s">
        <v>53287</v>
      </c>
      <c r="F13053" s="36" t="s">
        <v>54401</v>
      </c>
      <c r="G13053" s="39">
        <v>737937.71</v>
      </c>
      <c r="H13053" s="42">
        <v>211</v>
      </c>
    </row>
    <row r="13054" spans="1:8" ht="15" customHeight="1">
      <c r="A13054" s="26">
        <v>1052411712</v>
      </c>
      <c r="B13054" s="29" t="s">
        <v>15264</v>
      </c>
      <c r="C13054" s="29" t="s">
        <v>28692</v>
      </c>
      <c r="D13054" s="29" t="s">
        <v>42202</v>
      </c>
      <c r="E13054" s="29" t="s">
        <v>44324</v>
      </c>
      <c r="F13054" s="36" t="s">
        <v>54401</v>
      </c>
      <c r="G13054" s="39">
        <v>96413.05</v>
      </c>
      <c r="H13054" s="42">
        <v>211</v>
      </c>
    </row>
    <row r="13055" spans="1:8" ht="15" customHeight="1">
      <c r="A13055" s="26">
        <v>1052411729</v>
      </c>
      <c r="B13055" s="29" t="s">
        <v>15265</v>
      </c>
      <c r="C13055" s="29" t="s">
        <v>28693</v>
      </c>
      <c r="D13055" s="29" t="s">
        <v>42203</v>
      </c>
      <c r="E13055" s="29" t="s">
        <v>43926</v>
      </c>
      <c r="F13055" s="36" t="s">
        <v>54401</v>
      </c>
      <c r="G13055" s="39">
        <v>1036969.44</v>
      </c>
      <c r="H13055" s="42">
        <v>211</v>
      </c>
    </row>
    <row r="13056" spans="1:8" ht="15" customHeight="1">
      <c r="A13056" s="26">
        <v>1052411751</v>
      </c>
      <c r="B13056" s="29" t="s">
        <v>15266</v>
      </c>
      <c r="C13056" s="29" t="s">
        <v>28694</v>
      </c>
      <c r="D13056" s="29" t="s">
        <v>42204</v>
      </c>
      <c r="E13056" s="29" t="s">
        <v>43926</v>
      </c>
      <c r="F13056" s="36" t="s">
        <v>54401</v>
      </c>
      <c r="G13056" s="39">
        <v>1794820</v>
      </c>
      <c r="H13056" s="42">
        <v>211</v>
      </c>
    </row>
    <row r="13057" spans="1:8" ht="15" customHeight="1">
      <c r="A13057" s="26">
        <v>1052411754</v>
      </c>
      <c r="B13057" s="29" t="s">
        <v>15267</v>
      </c>
      <c r="C13057" s="29" t="s">
        <v>28695</v>
      </c>
      <c r="D13057" s="29" t="s">
        <v>42205</v>
      </c>
      <c r="E13057" s="29" t="s">
        <v>53288</v>
      </c>
      <c r="F13057" s="36" t="s">
        <v>54401</v>
      </c>
      <c r="G13057" s="39">
        <v>4189396.34</v>
      </c>
      <c r="H13057" s="42">
        <v>211</v>
      </c>
    </row>
    <row r="13058" spans="1:8" ht="15" customHeight="1">
      <c r="A13058" s="26">
        <v>1052411761</v>
      </c>
      <c r="B13058" s="29" t="s">
        <v>15268</v>
      </c>
      <c r="C13058" s="29" t="s">
        <v>28696</v>
      </c>
      <c r="D13058" s="29" t="s">
        <v>42206</v>
      </c>
      <c r="E13058" s="29" t="s">
        <v>51616</v>
      </c>
      <c r="F13058" s="36" t="s">
        <v>54401</v>
      </c>
      <c r="G13058" s="39">
        <v>789167.56</v>
      </c>
      <c r="H13058" s="42">
        <v>211</v>
      </c>
    </row>
    <row r="13059" spans="1:8" ht="15" customHeight="1">
      <c r="A13059" s="26">
        <v>1052411766</v>
      </c>
      <c r="B13059" s="29" t="s">
        <v>15269</v>
      </c>
      <c r="C13059" s="29" t="s">
        <v>17204</v>
      </c>
      <c r="D13059" s="29" t="s">
        <v>42207</v>
      </c>
      <c r="E13059" s="29" t="s">
        <v>43926</v>
      </c>
      <c r="F13059" s="36" t="s">
        <v>54401</v>
      </c>
      <c r="G13059" s="39">
        <v>706132.54</v>
      </c>
      <c r="H13059" s="42">
        <v>211</v>
      </c>
    </row>
    <row r="13060" spans="1:8" ht="15" customHeight="1">
      <c r="A13060" s="26">
        <v>1052411775</v>
      </c>
      <c r="B13060" s="29" t="s">
        <v>15270</v>
      </c>
      <c r="C13060" s="26" t="s">
        <v>17204</v>
      </c>
      <c r="D13060" s="26" t="s">
        <v>30349</v>
      </c>
      <c r="E13060" s="26" t="s">
        <v>43926</v>
      </c>
      <c r="F13060" s="37" t="s">
        <v>54401</v>
      </c>
      <c r="G13060" s="39">
        <v>128860.32</v>
      </c>
      <c r="H13060" s="42">
        <v>211</v>
      </c>
    </row>
    <row r="13061" spans="1:8" ht="15" customHeight="1">
      <c r="A13061" s="26">
        <v>1052411781</v>
      </c>
      <c r="B13061" s="29" t="s">
        <v>15271</v>
      </c>
      <c r="C13061" s="29" t="s">
        <v>28697</v>
      </c>
      <c r="D13061" s="29" t="s">
        <v>42208</v>
      </c>
      <c r="E13061" s="29" t="s">
        <v>717</v>
      </c>
      <c r="F13061" s="36" t="s">
        <v>54409</v>
      </c>
      <c r="G13061" s="39">
        <v>5438260.4299999997</v>
      </c>
      <c r="H13061" s="42">
        <v>211</v>
      </c>
    </row>
    <row r="13062" spans="1:8" ht="15" customHeight="1">
      <c r="A13062" s="26">
        <v>1052411789</v>
      </c>
      <c r="B13062" s="29" t="s">
        <v>15272</v>
      </c>
      <c r="C13062" s="29" t="s">
        <v>28698</v>
      </c>
      <c r="D13062" s="29" t="s">
        <v>42209</v>
      </c>
      <c r="E13062" s="29" t="s">
        <v>53289</v>
      </c>
      <c r="F13062" s="36" t="s">
        <v>54401</v>
      </c>
      <c r="G13062" s="39">
        <v>6222215.7800000003</v>
      </c>
      <c r="H13062" s="42">
        <v>211</v>
      </c>
    </row>
    <row r="13063" spans="1:8" ht="15" customHeight="1">
      <c r="A13063" s="26">
        <v>1052411819</v>
      </c>
      <c r="B13063" s="29" t="s">
        <v>15273</v>
      </c>
      <c r="C13063" s="29" t="s">
        <v>28699</v>
      </c>
      <c r="D13063" s="29" t="s">
        <v>42210</v>
      </c>
      <c r="E13063" s="29" t="s">
        <v>53290</v>
      </c>
      <c r="F13063" s="36" t="s">
        <v>54401</v>
      </c>
      <c r="G13063" s="39">
        <v>1027723.15</v>
      </c>
      <c r="H13063" s="42">
        <v>211</v>
      </c>
    </row>
    <row r="13064" spans="1:8" ht="15" customHeight="1">
      <c r="A13064" s="26">
        <v>1052411863</v>
      </c>
      <c r="B13064" s="29" t="s">
        <v>15274</v>
      </c>
      <c r="C13064" s="29" t="s">
        <v>28700</v>
      </c>
      <c r="D13064" s="29" t="s">
        <v>42211</v>
      </c>
      <c r="E13064" s="29" t="s">
        <v>53291</v>
      </c>
      <c r="F13064" s="36" t="s">
        <v>54401</v>
      </c>
      <c r="G13064" s="39">
        <v>42477.94</v>
      </c>
      <c r="H13064" s="42">
        <v>211</v>
      </c>
    </row>
    <row r="13065" spans="1:8" ht="15" customHeight="1">
      <c r="A13065" s="26">
        <v>1052411869</v>
      </c>
      <c r="B13065" s="29" t="s">
        <v>15275</v>
      </c>
      <c r="C13065" s="29" t="s">
        <v>28701</v>
      </c>
      <c r="D13065" s="29" t="s">
        <v>42212</v>
      </c>
      <c r="E13065" s="29" t="s">
        <v>53292</v>
      </c>
      <c r="F13065" s="36" t="s">
        <v>54401</v>
      </c>
      <c r="G13065" s="39">
        <v>727304.78</v>
      </c>
      <c r="H13065" s="42">
        <v>211</v>
      </c>
    </row>
    <row r="13066" spans="1:8" ht="15" customHeight="1">
      <c r="A13066" s="26">
        <v>1052411872</v>
      </c>
      <c r="B13066" s="29" t="s">
        <v>15276</v>
      </c>
      <c r="C13066" s="26" t="s">
        <v>28702</v>
      </c>
      <c r="D13066" s="26" t="s">
        <v>42213</v>
      </c>
      <c r="E13066" s="26" t="s">
        <v>43926</v>
      </c>
      <c r="F13066" s="37" t="s">
        <v>54401</v>
      </c>
      <c r="G13066" s="39">
        <v>229610</v>
      </c>
      <c r="H13066" s="42">
        <v>211</v>
      </c>
    </row>
    <row r="13067" spans="1:8" ht="15" customHeight="1">
      <c r="A13067" s="26">
        <v>1052411904</v>
      </c>
      <c r="B13067" s="29" t="s">
        <v>15277</v>
      </c>
      <c r="C13067" s="29" t="s">
        <v>28703</v>
      </c>
      <c r="D13067" s="29" t="s">
        <v>42214</v>
      </c>
      <c r="E13067" s="29" t="s">
        <v>53293</v>
      </c>
      <c r="F13067" s="36" t="s">
        <v>54401</v>
      </c>
      <c r="G13067" s="39">
        <v>177475.22</v>
      </c>
      <c r="H13067" s="42">
        <v>211</v>
      </c>
    </row>
    <row r="13068" spans="1:8" ht="15" customHeight="1">
      <c r="A13068" s="26">
        <v>1052411910</v>
      </c>
      <c r="B13068" s="29" t="s">
        <v>15278</v>
      </c>
      <c r="C13068" s="29" t="s">
        <v>28704</v>
      </c>
      <c r="D13068" s="29" t="s">
        <v>42215</v>
      </c>
      <c r="E13068" s="29" t="s">
        <v>53294</v>
      </c>
      <c r="F13068" s="36" t="s">
        <v>54401</v>
      </c>
      <c r="G13068" s="39">
        <v>1151881.1299999999</v>
      </c>
      <c r="H13068" s="42">
        <v>211</v>
      </c>
    </row>
    <row r="13069" spans="1:8" ht="15" customHeight="1">
      <c r="A13069" s="26">
        <v>1052411922</v>
      </c>
      <c r="B13069" s="29" t="s">
        <v>15279</v>
      </c>
      <c r="C13069" s="29" t="s">
        <v>28705</v>
      </c>
      <c r="D13069" s="29" t="s">
        <v>42216</v>
      </c>
      <c r="E13069" s="29" t="s">
        <v>53295</v>
      </c>
      <c r="F13069" s="36" t="s">
        <v>54401</v>
      </c>
      <c r="G13069" s="39">
        <v>570764.03</v>
      </c>
      <c r="H13069" s="42">
        <v>211</v>
      </c>
    </row>
    <row r="13070" spans="1:8" ht="15" customHeight="1">
      <c r="A13070" s="26">
        <v>1052411929</v>
      </c>
      <c r="B13070" s="29" t="s">
        <v>15280</v>
      </c>
      <c r="C13070" s="29" t="s">
        <v>28706</v>
      </c>
      <c r="D13070" s="29" t="s">
        <v>42217</v>
      </c>
      <c r="E13070" s="29" t="s">
        <v>51670</v>
      </c>
      <c r="F13070" s="36" t="s">
        <v>54401</v>
      </c>
      <c r="G13070" s="39">
        <v>109732.36</v>
      </c>
      <c r="H13070" s="42">
        <v>211</v>
      </c>
    </row>
    <row r="13071" spans="1:8" ht="15" customHeight="1">
      <c r="A13071" s="26">
        <v>1052411943</v>
      </c>
      <c r="B13071" s="29" t="s">
        <v>15281</v>
      </c>
      <c r="C13071" s="29" t="s">
        <v>28707</v>
      </c>
      <c r="D13071" s="29" t="s">
        <v>42218</v>
      </c>
      <c r="E13071" s="29" t="s">
        <v>53296</v>
      </c>
      <c r="F13071" s="36" t="s">
        <v>54401</v>
      </c>
      <c r="G13071" s="39">
        <v>848275.77</v>
      </c>
      <c r="H13071" s="42">
        <v>211</v>
      </c>
    </row>
    <row r="13072" spans="1:8" ht="15" customHeight="1">
      <c r="A13072" s="26">
        <v>1052411987</v>
      </c>
      <c r="B13072" s="29" t="s">
        <v>15282</v>
      </c>
      <c r="C13072" s="29" t="s">
        <v>19470</v>
      </c>
      <c r="D13072" s="29" t="s">
        <v>42219</v>
      </c>
      <c r="E13072" s="29" t="s">
        <v>43926</v>
      </c>
      <c r="F13072" s="36" t="s">
        <v>54401</v>
      </c>
      <c r="G13072" s="39">
        <v>2723640.5</v>
      </c>
      <c r="H13072" s="42">
        <v>211</v>
      </c>
    </row>
    <row r="13073" spans="1:8" ht="15" customHeight="1">
      <c r="A13073" s="26">
        <v>1052412003</v>
      </c>
      <c r="B13073" s="29" t="s">
        <v>15283</v>
      </c>
      <c r="C13073" s="29" t="s">
        <v>28708</v>
      </c>
      <c r="D13073" s="29" t="s">
        <v>42220</v>
      </c>
      <c r="E13073" s="29" t="s">
        <v>53297</v>
      </c>
      <c r="F13073" s="36" t="s">
        <v>54401</v>
      </c>
      <c r="G13073" s="39">
        <v>825228.04</v>
      </c>
      <c r="H13073" s="42">
        <v>211</v>
      </c>
    </row>
    <row r="13074" spans="1:8" ht="15" customHeight="1">
      <c r="A13074" s="26">
        <v>1052412025</v>
      </c>
      <c r="B13074" s="29" t="s">
        <v>15284</v>
      </c>
      <c r="C13074" s="29" t="s">
        <v>28709</v>
      </c>
      <c r="D13074" s="29" t="s">
        <v>42221</v>
      </c>
      <c r="E13074" s="29" t="s">
        <v>53298</v>
      </c>
      <c r="F13074" s="36" t="s">
        <v>54401</v>
      </c>
      <c r="G13074" s="39">
        <v>145476.57999999999</v>
      </c>
      <c r="H13074" s="42">
        <v>211</v>
      </c>
    </row>
    <row r="13075" spans="1:8" ht="15" customHeight="1">
      <c r="A13075" s="26">
        <v>1052412047</v>
      </c>
      <c r="B13075" s="29" t="s">
        <v>15285</v>
      </c>
      <c r="C13075" s="26" t="s">
        <v>17204</v>
      </c>
      <c r="D13075" s="26" t="s">
        <v>30349</v>
      </c>
      <c r="E13075" s="26" t="s">
        <v>43926</v>
      </c>
      <c r="F13075" s="37" t="s">
        <v>54401</v>
      </c>
      <c r="G13075" s="39">
        <v>933315.78</v>
      </c>
      <c r="H13075" s="42">
        <v>211</v>
      </c>
    </row>
    <row r="13076" spans="1:8" ht="15" customHeight="1">
      <c r="A13076" s="26">
        <v>1052412051</v>
      </c>
      <c r="B13076" s="29" t="s">
        <v>15286</v>
      </c>
      <c r="C13076" s="29" t="s">
        <v>28710</v>
      </c>
      <c r="D13076" s="29" t="s">
        <v>30349</v>
      </c>
      <c r="E13076" s="29" t="s">
        <v>43926</v>
      </c>
      <c r="F13076" s="36" t="s">
        <v>54401</v>
      </c>
      <c r="G13076" s="39">
        <v>211086.03</v>
      </c>
      <c r="H13076" s="42">
        <v>211</v>
      </c>
    </row>
    <row r="13077" spans="1:8" ht="15" customHeight="1">
      <c r="A13077" s="26">
        <v>1052412069</v>
      </c>
      <c r="B13077" s="29" t="s">
        <v>15287</v>
      </c>
      <c r="C13077" s="29" t="s">
        <v>28711</v>
      </c>
      <c r="D13077" s="29" t="s">
        <v>42222</v>
      </c>
      <c r="E13077" s="29" t="s">
        <v>53299</v>
      </c>
      <c r="F13077" s="36" t="s">
        <v>54401</v>
      </c>
      <c r="G13077" s="39">
        <v>386399.48</v>
      </c>
      <c r="H13077" s="42">
        <v>211</v>
      </c>
    </row>
    <row r="13078" spans="1:8" ht="15" customHeight="1">
      <c r="A13078" s="26">
        <v>1052412107</v>
      </c>
      <c r="B13078" s="29" t="s">
        <v>15288</v>
      </c>
      <c r="C13078" s="29" t="s">
        <v>28712</v>
      </c>
      <c r="D13078" s="29" t="s">
        <v>42223</v>
      </c>
      <c r="E13078" s="29" t="s">
        <v>53300</v>
      </c>
      <c r="F13078" s="36" t="s">
        <v>54401</v>
      </c>
      <c r="G13078" s="39">
        <v>378035.34</v>
      </c>
      <c r="H13078" s="42">
        <v>211</v>
      </c>
    </row>
    <row r="13079" spans="1:8" ht="15" customHeight="1">
      <c r="A13079" s="26">
        <v>1052412109</v>
      </c>
      <c r="B13079" s="29" t="s">
        <v>15289</v>
      </c>
      <c r="C13079" s="29" t="s">
        <v>28713</v>
      </c>
      <c r="D13079" s="29" t="s">
        <v>42224</v>
      </c>
      <c r="E13079" s="29" t="s">
        <v>53301</v>
      </c>
      <c r="F13079" s="36" t="s">
        <v>54401</v>
      </c>
      <c r="G13079" s="39">
        <v>315163.03000000003</v>
      </c>
      <c r="H13079" s="42">
        <v>211</v>
      </c>
    </row>
    <row r="13080" spans="1:8" ht="15" customHeight="1">
      <c r="A13080" s="26">
        <v>1052412116</v>
      </c>
      <c r="B13080" s="29" t="s">
        <v>15290</v>
      </c>
      <c r="C13080" s="29" t="s">
        <v>17204</v>
      </c>
      <c r="D13080" s="29" t="s">
        <v>42225</v>
      </c>
      <c r="E13080" s="29" t="s">
        <v>43926</v>
      </c>
      <c r="F13080" s="36" t="s">
        <v>54401</v>
      </c>
      <c r="G13080" s="39">
        <v>121922.58</v>
      </c>
      <c r="H13080" s="42">
        <v>211</v>
      </c>
    </row>
    <row r="13081" spans="1:8" ht="15" customHeight="1">
      <c r="A13081" s="26">
        <v>1052412117</v>
      </c>
      <c r="B13081" s="29" t="s">
        <v>15291</v>
      </c>
      <c r="C13081" s="29" t="s">
        <v>28714</v>
      </c>
      <c r="D13081" s="29" t="s">
        <v>42226</v>
      </c>
      <c r="E13081" s="29" t="s">
        <v>52849</v>
      </c>
      <c r="F13081" s="36" t="s">
        <v>54401</v>
      </c>
      <c r="G13081" s="39">
        <v>481436.22</v>
      </c>
      <c r="H13081" s="42">
        <v>211</v>
      </c>
    </row>
    <row r="13082" spans="1:8" ht="15" customHeight="1">
      <c r="A13082" s="26">
        <v>1052412121</v>
      </c>
      <c r="B13082" s="29" t="s">
        <v>15292</v>
      </c>
      <c r="C13082" s="26" t="s">
        <v>28715</v>
      </c>
      <c r="D13082" s="26" t="s">
        <v>42227</v>
      </c>
      <c r="E13082" s="26" t="s">
        <v>53302</v>
      </c>
      <c r="F13082" s="37" t="s">
        <v>54401</v>
      </c>
      <c r="G13082" s="39">
        <v>2916126.1</v>
      </c>
      <c r="H13082" s="42">
        <v>211</v>
      </c>
    </row>
    <row r="13083" spans="1:8" ht="15" customHeight="1">
      <c r="A13083" s="26">
        <v>1052412145</v>
      </c>
      <c r="B13083" s="29" t="s">
        <v>15293</v>
      </c>
      <c r="C13083" s="26" t="s">
        <v>28716</v>
      </c>
      <c r="D13083" s="26" t="s">
        <v>42228</v>
      </c>
      <c r="E13083" s="26" t="s">
        <v>53303</v>
      </c>
      <c r="F13083" s="37" t="s">
        <v>54401</v>
      </c>
      <c r="G13083" s="39">
        <v>27909.59</v>
      </c>
      <c r="H13083" s="42">
        <v>211</v>
      </c>
    </row>
    <row r="13084" spans="1:8" ht="15" customHeight="1">
      <c r="A13084" s="26">
        <v>1052412149</v>
      </c>
      <c r="B13084" s="29" t="s">
        <v>15294</v>
      </c>
      <c r="C13084" s="29" t="s">
        <v>28717</v>
      </c>
      <c r="D13084" s="29" t="s">
        <v>42229</v>
      </c>
      <c r="E13084" s="29" t="s">
        <v>44345</v>
      </c>
      <c r="F13084" s="36" t="s">
        <v>54401</v>
      </c>
      <c r="G13084" s="39">
        <v>6514784.3200000003</v>
      </c>
      <c r="H13084" s="42">
        <v>211</v>
      </c>
    </row>
    <row r="13085" spans="1:8" ht="15" customHeight="1">
      <c r="A13085" s="26">
        <v>1052412163</v>
      </c>
      <c r="B13085" s="29" t="s">
        <v>15295</v>
      </c>
      <c r="C13085" s="29" t="s">
        <v>28718</v>
      </c>
      <c r="D13085" s="29" t="s">
        <v>42230</v>
      </c>
      <c r="E13085" s="29" t="s">
        <v>52729</v>
      </c>
      <c r="F13085" s="36" t="s">
        <v>54401</v>
      </c>
      <c r="G13085" s="39">
        <v>479695.33</v>
      </c>
      <c r="H13085" s="42">
        <v>211</v>
      </c>
    </row>
    <row r="13086" spans="1:8" ht="15" customHeight="1">
      <c r="A13086" s="26">
        <v>1052412170</v>
      </c>
      <c r="B13086" s="29" t="s">
        <v>15296</v>
      </c>
      <c r="C13086" s="29" t="s">
        <v>28719</v>
      </c>
      <c r="D13086" s="29" t="s">
        <v>42231</v>
      </c>
      <c r="E13086" s="29" t="s">
        <v>49101</v>
      </c>
      <c r="F13086" s="36" t="s">
        <v>54401</v>
      </c>
      <c r="G13086" s="39">
        <v>658046.65</v>
      </c>
      <c r="H13086" s="42">
        <v>211</v>
      </c>
    </row>
    <row r="13087" spans="1:8" ht="15" customHeight="1">
      <c r="A13087" s="26">
        <v>1052412171</v>
      </c>
      <c r="B13087" s="29" t="s">
        <v>15297</v>
      </c>
      <c r="C13087" s="29" t="s">
        <v>28720</v>
      </c>
      <c r="D13087" s="29" t="s">
        <v>42232</v>
      </c>
      <c r="E13087" s="29" t="s">
        <v>46308</v>
      </c>
      <c r="F13087" s="36" t="s">
        <v>54401</v>
      </c>
      <c r="G13087" s="39">
        <v>709310.01</v>
      </c>
      <c r="H13087" s="42">
        <v>211</v>
      </c>
    </row>
    <row r="13088" spans="1:8" ht="15" customHeight="1">
      <c r="A13088" s="26">
        <v>1052412172</v>
      </c>
      <c r="B13088" s="29" t="s">
        <v>15298</v>
      </c>
      <c r="C13088" s="29" t="s">
        <v>28721</v>
      </c>
      <c r="D13088" s="29" t="s">
        <v>42233</v>
      </c>
      <c r="E13088" s="29" t="s">
        <v>53304</v>
      </c>
      <c r="F13088" s="36" t="s">
        <v>54401</v>
      </c>
      <c r="G13088" s="39">
        <v>979525.03</v>
      </c>
      <c r="H13088" s="42">
        <v>211</v>
      </c>
    </row>
    <row r="13089" spans="1:8" ht="15" customHeight="1">
      <c r="A13089" s="26">
        <v>1052412198</v>
      </c>
      <c r="B13089" s="29" t="s">
        <v>15299</v>
      </c>
      <c r="C13089" s="29" t="s">
        <v>28722</v>
      </c>
      <c r="D13089" s="29" t="s">
        <v>42234</v>
      </c>
      <c r="E13089" s="29" t="s">
        <v>53305</v>
      </c>
      <c r="F13089" s="36" t="s">
        <v>54401</v>
      </c>
      <c r="G13089" s="39">
        <v>6587965</v>
      </c>
      <c r="H13089" s="42">
        <v>211</v>
      </c>
    </row>
    <row r="13090" spans="1:8" ht="15" customHeight="1">
      <c r="A13090" s="26">
        <v>1052412235</v>
      </c>
      <c r="B13090" s="29" t="s">
        <v>15300</v>
      </c>
      <c r="C13090" s="29" t="s">
        <v>28723</v>
      </c>
      <c r="D13090" s="29" t="s">
        <v>42235</v>
      </c>
      <c r="E13090" s="29" t="s">
        <v>53306</v>
      </c>
      <c r="F13090" s="36" t="s">
        <v>54401</v>
      </c>
      <c r="G13090" s="39">
        <v>909620.22</v>
      </c>
      <c r="H13090" s="42">
        <v>211</v>
      </c>
    </row>
    <row r="13091" spans="1:8" ht="15" customHeight="1">
      <c r="A13091" s="26">
        <v>1052412241</v>
      </c>
      <c r="B13091" s="29" t="s">
        <v>15301</v>
      </c>
      <c r="C13091" s="29" t="s">
        <v>28724</v>
      </c>
      <c r="D13091" s="29" t="s">
        <v>42236</v>
      </c>
      <c r="E13091" s="29" t="s">
        <v>47294</v>
      </c>
      <c r="F13091" s="36" t="s">
        <v>54401</v>
      </c>
      <c r="G13091" s="39">
        <v>1732340.81</v>
      </c>
      <c r="H13091" s="42">
        <v>211</v>
      </c>
    </row>
    <row r="13092" spans="1:8" ht="15" customHeight="1">
      <c r="A13092" s="26">
        <v>1052412255</v>
      </c>
      <c r="B13092" s="29" t="s">
        <v>15302</v>
      </c>
      <c r="C13092" s="26" t="s">
        <v>28725</v>
      </c>
      <c r="D13092" s="26" t="s">
        <v>42237</v>
      </c>
      <c r="E13092" s="26" t="s">
        <v>53307</v>
      </c>
      <c r="F13092" s="37" t="s">
        <v>54401</v>
      </c>
      <c r="G13092" s="39">
        <v>710061.99</v>
      </c>
      <c r="H13092" s="42">
        <v>211</v>
      </c>
    </row>
    <row r="13093" spans="1:8" ht="15" customHeight="1">
      <c r="A13093" s="26">
        <v>1052412258</v>
      </c>
      <c r="B13093" s="29" t="s">
        <v>15303</v>
      </c>
      <c r="C13093" s="26" t="s">
        <v>28726</v>
      </c>
      <c r="D13093" s="26" t="s">
        <v>42238</v>
      </c>
      <c r="E13093" s="26" t="s">
        <v>53308</v>
      </c>
      <c r="F13093" s="37" t="s">
        <v>54401</v>
      </c>
      <c r="G13093" s="39">
        <v>406237.84</v>
      </c>
      <c r="H13093" s="42">
        <v>211</v>
      </c>
    </row>
    <row r="13094" spans="1:8" ht="15" customHeight="1">
      <c r="A13094" s="26">
        <v>1052412262</v>
      </c>
      <c r="B13094" s="29" t="s">
        <v>15304</v>
      </c>
      <c r="C13094" s="29" t="s">
        <v>28727</v>
      </c>
      <c r="D13094" s="29" t="s">
        <v>42239</v>
      </c>
      <c r="E13094" s="29" t="s">
        <v>43926</v>
      </c>
      <c r="F13094" s="36" t="s">
        <v>54401</v>
      </c>
      <c r="G13094" s="39">
        <v>1822669.79</v>
      </c>
      <c r="H13094" s="42">
        <v>211</v>
      </c>
    </row>
    <row r="13095" spans="1:8" ht="15" customHeight="1">
      <c r="A13095" s="26">
        <v>1052412268</v>
      </c>
      <c r="B13095" s="29" t="s">
        <v>15305</v>
      </c>
      <c r="C13095" s="29" t="s">
        <v>28728</v>
      </c>
      <c r="D13095" s="29" t="s">
        <v>42240</v>
      </c>
      <c r="E13095" s="29" t="s">
        <v>53309</v>
      </c>
      <c r="F13095" s="36" t="s">
        <v>54401</v>
      </c>
      <c r="G13095" s="39">
        <v>3310228.87</v>
      </c>
      <c r="H13095" s="42">
        <v>211</v>
      </c>
    </row>
    <row r="13096" spans="1:8" ht="15" customHeight="1">
      <c r="A13096" s="26">
        <v>1052412285</v>
      </c>
      <c r="B13096" s="29" t="s">
        <v>15306</v>
      </c>
      <c r="C13096" s="29" t="s">
        <v>28729</v>
      </c>
      <c r="D13096" s="29" t="s">
        <v>42241</v>
      </c>
      <c r="E13096" s="29" t="s">
        <v>53310</v>
      </c>
      <c r="F13096" s="36" t="s">
        <v>54401</v>
      </c>
      <c r="G13096" s="39">
        <v>480837.02</v>
      </c>
      <c r="H13096" s="42">
        <v>211</v>
      </c>
    </row>
    <row r="13097" spans="1:8" ht="15" customHeight="1">
      <c r="A13097" s="26">
        <v>1052412318</v>
      </c>
      <c r="B13097" s="29" t="s">
        <v>15307</v>
      </c>
      <c r="C13097" s="29" t="s">
        <v>28730</v>
      </c>
      <c r="D13097" s="29" t="s">
        <v>42242</v>
      </c>
      <c r="E13097" s="29" t="s">
        <v>53311</v>
      </c>
      <c r="F13097" s="36" t="s">
        <v>54401</v>
      </c>
      <c r="G13097" s="39">
        <v>3680124</v>
      </c>
      <c r="H13097" s="42">
        <v>211</v>
      </c>
    </row>
    <row r="13098" spans="1:8" ht="15" customHeight="1">
      <c r="A13098" s="26">
        <v>1052412320</v>
      </c>
      <c r="B13098" s="29" t="s">
        <v>15308</v>
      </c>
      <c r="C13098" s="29" t="s">
        <v>28731</v>
      </c>
      <c r="D13098" s="29" t="s">
        <v>42243</v>
      </c>
      <c r="E13098" s="29" t="s">
        <v>53312</v>
      </c>
      <c r="F13098" s="36" t="s">
        <v>54401</v>
      </c>
      <c r="G13098" s="39">
        <v>1649114.72</v>
      </c>
      <c r="H13098" s="42">
        <v>211</v>
      </c>
    </row>
    <row r="13099" spans="1:8" ht="15" customHeight="1">
      <c r="A13099" s="26">
        <v>1052412322</v>
      </c>
      <c r="B13099" s="29" t="s">
        <v>15309</v>
      </c>
      <c r="C13099" s="29" t="s">
        <v>28732</v>
      </c>
      <c r="D13099" s="29" t="s">
        <v>42244</v>
      </c>
      <c r="E13099" s="29" t="s">
        <v>53313</v>
      </c>
      <c r="F13099" s="36" t="s">
        <v>54401</v>
      </c>
      <c r="G13099" s="39">
        <v>3218659</v>
      </c>
      <c r="H13099" s="42">
        <v>211</v>
      </c>
    </row>
    <row r="13100" spans="1:8" ht="15" customHeight="1">
      <c r="A13100" s="26">
        <v>1052412323</v>
      </c>
      <c r="B13100" s="29" t="s">
        <v>15310</v>
      </c>
      <c r="C13100" s="29" t="s">
        <v>28733</v>
      </c>
      <c r="D13100" s="29" t="s">
        <v>42245</v>
      </c>
      <c r="E13100" s="29" t="s">
        <v>53314</v>
      </c>
      <c r="F13100" s="36" t="s">
        <v>54401</v>
      </c>
      <c r="G13100" s="39">
        <v>540475.93000000005</v>
      </c>
      <c r="H13100" s="42">
        <v>211</v>
      </c>
    </row>
    <row r="13101" spans="1:8" ht="15" customHeight="1">
      <c r="A13101" s="26">
        <v>1052412327</v>
      </c>
      <c r="B13101" s="29" t="s">
        <v>15311</v>
      </c>
      <c r="C13101" s="29" t="s">
        <v>28734</v>
      </c>
      <c r="D13101" s="29" t="s">
        <v>42246</v>
      </c>
      <c r="E13101" s="29" t="s">
        <v>53315</v>
      </c>
      <c r="F13101" s="36" t="s">
        <v>54401</v>
      </c>
      <c r="G13101" s="39">
        <v>2031809.59</v>
      </c>
      <c r="H13101" s="42">
        <v>211</v>
      </c>
    </row>
    <row r="13102" spans="1:8" ht="15" customHeight="1">
      <c r="A13102" s="26">
        <v>1052412334</v>
      </c>
      <c r="B13102" s="29" t="s">
        <v>15312</v>
      </c>
      <c r="C13102" s="29" t="s">
        <v>28735</v>
      </c>
      <c r="D13102" s="29" t="s">
        <v>42247</v>
      </c>
      <c r="E13102" s="29" t="s">
        <v>53316</v>
      </c>
      <c r="F13102" s="36" t="s">
        <v>54401</v>
      </c>
      <c r="G13102" s="39">
        <v>520805.75</v>
      </c>
      <c r="H13102" s="42">
        <v>211</v>
      </c>
    </row>
    <row r="13103" spans="1:8" ht="15" customHeight="1">
      <c r="A13103" s="26">
        <v>1052412339</v>
      </c>
      <c r="B13103" s="29" t="s">
        <v>15313</v>
      </c>
      <c r="C13103" s="29" t="s">
        <v>28736</v>
      </c>
      <c r="D13103" s="29" t="s">
        <v>42248</v>
      </c>
      <c r="E13103" s="29" t="s">
        <v>43926</v>
      </c>
      <c r="F13103" s="36" t="s">
        <v>54401</v>
      </c>
      <c r="G13103" s="39">
        <v>947698.2</v>
      </c>
      <c r="H13103" s="42">
        <v>211</v>
      </c>
    </row>
    <row r="13104" spans="1:8" ht="15" customHeight="1">
      <c r="A13104" s="26">
        <v>1052412360</v>
      </c>
      <c r="B13104" s="29" t="s">
        <v>15314</v>
      </c>
      <c r="C13104" s="29" t="s">
        <v>28737</v>
      </c>
      <c r="D13104" s="29" t="s">
        <v>42249</v>
      </c>
      <c r="E13104" s="29" t="s">
        <v>53317</v>
      </c>
      <c r="F13104" s="36" t="s">
        <v>54401</v>
      </c>
      <c r="G13104" s="39">
        <v>1179930.33</v>
      </c>
      <c r="H13104" s="42">
        <v>211</v>
      </c>
    </row>
    <row r="13105" spans="1:8" ht="15" customHeight="1">
      <c r="A13105" s="26">
        <v>1052412361</v>
      </c>
      <c r="B13105" s="29" t="s">
        <v>15315</v>
      </c>
      <c r="C13105" s="29" t="s">
        <v>28738</v>
      </c>
      <c r="D13105" s="29" t="s">
        <v>42250</v>
      </c>
      <c r="E13105" s="29" t="s">
        <v>53318</v>
      </c>
      <c r="F13105" s="36" t="s">
        <v>54401</v>
      </c>
      <c r="G13105" s="39">
        <v>834681.76</v>
      </c>
      <c r="H13105" s="42">
        <v>211</v>
      </c>
    </row>
    <row r="13106" spans="1:8" ht="15" customHeight="1">
      <c r="A13106" s="26">
        <v>1052412363</v>
      </c>
      <c r="B13106" s="29" t="s">
        <v>15316</v>
      </c>
      <c r="C13106" s="29" t="s">
        <v>28739</v>
      </c>
      <c r="D13106" s="29" t="s">
        <v>42251</v>
      </c>
      <c r="E13106" s="29" t="s">
        <v>53319</v>
      </c>
      <c r="F13106" s="36" t="s">
        <v>54401</v>
      </c>
      <c r="G13106" s="39">
        <v>2076920.34</v>
      </c>
      <c r="H13106" s="42">
        <v>211</v>
      </c>
    </row>
    <row r="13107" spans="1:8" ht="15" customHeight="1">
      <c r="A13107" s="26">
        <v>1052412400</v>
      </c>
      <c r="B13107" s="29" t="s">
        <v>15317</v>
      </c>
      <c r="C13107" s="29" t="s">
        <v>28740</v>
      </c>
      <c r="D13107" s="29" t="s">
        <v>42252</v>
      </c>
      <c r="E13107" s="29" t="s">
        <v>53320</v>
      </c>
      <c r="F13107" s="36" t="s">
        <v>54401</v>
      </c>
      <c r="G13107" s="39">
        <v>3943025.67</v>
      </c>
      <c r="H13107" s="42">
        <v>211</v>
      </c>
    </row>
    <row r="13108" spans="1:8" ht="15" customHeight="1">
      <c r="A13108" s="26">
        <v>1052412410</v>
      </c>
      <c r="B13108" s="29" t="s">
        <v>15318</v>
      </c>
      <c r="C13108" s="29" t="s">
        <v>17204</v>
      </c>
      <c r="D13108" s="29" t="s">
        <v>42253</v>
      </c>
      <c r="E13108" s="29" t="s">
        <v>43926</v>
      </c>
      <c r="F13108" s="36" t="s">
        <v>54401</v>
      </c>
      <c r="G13108" s="39">
        <v>134369.75</v>
      </c>
      <c r="H13108" s="42">
        <v>211</v>
      </c>
    </row>
    <row r="13109" spans="1:8" ht="15" customHeight="1">
      <c r="A13109" s="26">
        <v>1052412425</v>
      </c>
      <c r="B13109" s="29" t="s">
        <v>15319</v>
      </c>
      <c r="C13109" s="29" t="s">
        <v>28741</v>
      </c>
      <c r="D13109" s="29" t="s">
        <v>42254</v>
      </c>
      <c r="E13109" s="29" t="s">
        <v>53321</v>
      </c>
      <c r="F13109" s="36" t="s">
        <v>54401</v>
      </c>
      <c r="G13109" s="39">
        <v>314729.71999999997</v>
      </c>
      <c r="H13109" s="42">
        <v>211</v>
      </c>
    </row>
    <row r="13110" spans="1:8" ht="15" customHeight="1">
      <c r="A13110" s="26">
        <v>1052412461</v>
      </c>
      <c r="B13110" s="29" t="s">
        <v>15320</v>
      </c>
      <c r="C13110" s="29" t="s">
        <v>28742</v>
      </c>
      <c r="D13110" s="29" t="s">
        <v>42255</v>
      </c>
      <c r="E13110" s="29" t="s">
        <v>51092</v>
      </c>
      <c r="F13110" s="36" t="s">
        <v>54401</v>
      </c>
      <c r="G13110" s="39">
        <v>423639.57</v>
      </c>
      <c r="H13110" s="42">
        <v>211</v>
      </c>
    </row>
    <row r="13111" spans="1:8" ht="15" customHeight="1">
      <c r="A13111" s="26">
        <v>1052412472</v>
      </c>
      <c r="B13111" s="29" t="s">
        <v>15321</v>
      </c>
      <c r="C13111" s="29" t="s">
        <v>28743</v>
      </c>
      <c r="D13111" s="29" t="s">
        <v>42256</v>
      </c>
      <c r="E13111" s="29" t="s">
        <v>45808</v>
      </c>
      <c r="F13111" s="36" t="s">
        <v>54401</v>
      </c>
      <c r="G13111" s="39">
        <v>217942.41</v>
      </c>
      <c r="H13111" s="42">
        <v>211</v>
      </c>
    </row>
    <row r="13112" spans="1:8" ht="15" customHeight="1">
      <c r="A13112" s="26">
        <v>1052412481</v>
      </c>
      <c r="B13112" s="29" t="s">
        <v>15322</v>
      </c>
      <c r="C13112" s="29" t="s">
        <v>28744</v>
      </c>
      <c r="D13112" s="29" t="s">
        <v>42257</v>
      </c>
      <c r="E13112" s="29" t="s">
        <v>44724</v>
      </c>
      <c r="F13112" s="36" t="s">
        <v>54401</v>
      </c>
      <c r="G13112" s="39">
        <v>3106414.24</v>
      </c>
      <c r="H13112" s="42">
        <v>211</v>
      </c>
    </row>
    <row r="13113" spans="1:8" ht="15" customHeight="1">
      <c r="A13113" s="26">
        <v>1052412486</v>
      </c>
      <c r="B13113" s="29" t="s">
        <v>15323</v>
      </c>
      <c r="C13113" s="29" t="s">
        <v>17204</v>
      </c>
      <c r="D13113" s="29" t="s">
        <v>30349</v>
      </c>
      <c r="E13113" s="29" t="s">
        <v>43926</v>
      </c>
      <c r="F13113" s="36" t="s">
        <v>54401</v>
      </c>
      <c r="G13113" s="39">
        <v>993950.96</v>
      </c>
      <c r="H13113" s="42">
        <v>211</v>
      </c>
    </row>
    <row r="13114" spans="1:8" ht="15" customHeight="1">
      <c r="A13114" s="26">
        <v>1052412487</v>
      </c>
      <c r="B13114" s="29" t="s">
        <v>15324</v>
      </c>
      <c r="C13114" s="29" t="s">
        <v>28745</v>
      </c>
      <c r="D13114" s="29" t="s">
        <v>42258</v>
      </c>
      <c r="E13114" s="29" t="s">
        <v>45006</v>
      </c>
      <c r="F13114" s="36" t="s">
        <v>54401</v>
      </c>
      <c r="G13114" s="39">
        <v>2892190.49</v>
      </c>
      <c r="H13114" s="42">
        <v>211</v>
      </c>
    </row>
    <row r="13115" spans="1:8" ht="15" customHeight="1">
      <c r="A13115" s="26">
        <v>1052412489</v>
      </c>
      <c r="B13115" s="29" t="s">
        <v>15325</v>
      </c>
      <c r="C13115" s="26" t="s">
        <v>28746</v>
      </c>
      <c r="D13115" s="26" t="s">
        <v>42259</v>
      </c>
      <c r="E13115" s="26" t="s">
        <v>43926</v>
      </c>
      <c r="F13115" s="37" t="s">
        <v>54401</v>
      </c>
      <c r="G13115" s="39">
        <v>424513.48</v>
      </c>
      <c r="H13115" s="42">
        <v>211</v>
      </c>
    </row>
    <row r="13116" spans="1:8" ht="15" customHeight="1">
      <c r="A13116" s="26">
        <v>1052412492</v>
      </c>
      <c r="B13116" s="29" t="s">
        <v>15326</v>
      </c>
      <c r="C13116" s="26" t="s">
        <v>28747</v>
      </c>
      <c r="D13116" s="26" t="s">
        <v>42260</v>
      </c>
      <c r="E13116" s="26" t="s">
        <v>53322</v>
      </c>
      <c r="F13116" s="37" t="s">
        <v>54401</v>
      </c>
      <c r="G13116" s="39">
        <v>3160837.03</v>
      </c>
      <c r="H13116" s="42">
        <v>211</v>
      </c>
    </row>
    <row r="13117" spans="1:8" ht="15" customHeight="1">
      <c r="A13117" s="26">
        <v>1052412502</v>
      </c>
      <c r="B13117" s="29" t="s">
        <v>15327</v>
      </c>
      <c r="C13117" s="29" t="s">
        <v>28748</v>
      </c>
      <c r="D13117" s="29" t="s">
        <v>42261</v>
      </c>
      <c r="E13117" s="29" t="s">
        <v>43926</v>
      </c>
      <c r="F13117" s="36" t="s">
        <v>54401</v>
      </c>
      <c r="G13117" s="39">
        <v>1400328.88</v>
      </c>
      <c r="H13117" s="42">
        <v>211</v>
      </c>
    </row>
    <row r="13118" spans="1:8" ht="15" customHeight="1">
      <c r="A13118" s="26">
        <v>1052412510</v>
      </c>
      <c r="B13118" s="29" t="s">
        <v>15328</v>
      </c>
      <c r="C13118" s="29" t="s">
        <v>28749</v>
      </c>
      <c r="D13118" s="29" t="s">
        <v>42262</v>
      </c>
      <c r="E13118" s="29" t="s">
        <v>53323</v>
      </c>
      <c r="F13118" s="36" t="s">
        <v>54401</v>
      </c>
      <c r="G13118" s="39">
        <v>907057.01</v>
      </c>
      <c r="H13118" s="42">
        <v>211</v>
      </c>
    </row>
    <row r="13119" spans="1:8" ht="15" customHeight="1">
      <c r="A13119" s="26">
        <v>1052412516</v>
      </c>
      <c r="B13119" s="29" t="s">
        <v>15329</v>
      </c>
      <c r="C13119" s="29" t="s">
        <v>24642</v>
      </c>
      <c r="D13119" s="29" t="s">
        <v>37937</v>
      </c>
      <c r="E13119" s="29" t="s">
        <v>46924</v>
      </c>
      <c r="F13119" s="36" t="s">
        <v>54401</v>
      </c>
      <c r="G13119" s="39">
        <v>75301.789999999994</v>
      </c>
      <c r="H13119" s="42">
        <v>211</v>
      </c>
    </row>
    <row r="13120" spans="1:8" ht="15" customHeight="1">
      <c r="A13120" s="26">
        <v>1052412538</v>
      </c>
      <c r="B13120" s="29" t="s">
        <v>15330</v>
      </c>
      <c r="C13120" s="29" t="s">
        <v>17204</v>
      </c>
      <c r="D13120" s="29" t="s">
        <v>30349</v>
      </c>
      <c r="E13120" s="29" t="s">
        <v>43926</v>
      </c>
      <c r="F13120" s="36" t="s">
        <v>54401</v>
      </c>
      <c r="G13120" s="39">
        <v>805230.81</v>
      </c>
      <c r="H13120" s="42">
        <v>211</v>
      </c>
    </row>
    <row r="13121" spans="1:8" ht="15" customHeight="1">
      <c r="A13121" s="26">
        <v>1052412546</v>
      </c>
      <c r="B13121" s="29" t="s">
        <v>15331</v>
      </c>
      <c r="C13121" s="29" t="s">
        <v>28750</v>
      </c>
      <c r="D13121" s="29" t="s">
        <v>42263</v>
      </c>
      <c r="E13121" s="29" t="s">
        <v>51234</v>
      </c>
      <c r="F13121" s="36" t="s">
        <v>54401</v>
      </c>
      <c r="G13121" s="39">
        <v>5785369.1799999997</v>
      </c>
      <c r="H13121" s="42">
        <v>211</v>
      </c>
    </row>
    <row r="13122" spans="1:8" ht="15" customHeight="1">
      <c r="A13122" s="26">
        <v>1052412563</v>
      </c>
      <c r="B13122" s="29" t="s">
        <v>15332</v>
      </c>
      <c r="C13122" s="29" t="s">
        <v>28751</v>
      </c>
      <c r="D13122" s="29" t="s">
        <v>42264</v>
      </c>
      <c r="E13122" s="29" t="s">
        <v>53324</v>
      </c>
      <c r="F13122" s="36" t="s">
        <v>54401</v>
      </c>
      <c r="G13122" s="39">
        <v>1997600</v>
      </c>
      <c r="H13122" s="42">
        <v>211</v>
      </c>
    </row>
    <row r="13123" spans="1:8" ht="15" customHeight="1">
      <c r="A13123" s="26">
        <v>1052412577</v>
      </c>
      <c r="B13123" s="29" t="s">
        <v>15333</v>
      </c>
      <c r="C13123" s="29" t="s">
        <v>28752</v>
      </c>
      <c r="D13123" s="29" t="s">
        <v>42265</v>
      </c>
      <c r="E13123" s="29" t="s">
        <v>53325</v>
      </c>
      <c r="F13123" s="36" t="s">
        <v>54401</v>
      </c>
      <c r="G13123" s="39">
        <v>3801261.76</v>
      </c>
      <c r="H13123" s="42">
        <v>211</v>
      </c>
    </row>
    <row r="13124" spans="1:8" ht="15" customHeight="1">
      <c r="A13124" s="26">
        <v>1052412619</v>
      </c>
      <c r="B13124" s="29" t="s">
        <v>15334</v>
      </c>
      <c r="C13124" s="29" t="s">
        <v>28753</v>
      </c>
      <c r="D13124" s="29" t="s">
        <v>42266</v>
      </c>
      <c r="E13124" s="29" t="s">
        <v>53326</v>
      </c>
      <c r="F13124" s="36" t="s">
        <v>54401</v>
      </c>
      <c r="G13124" s="39">
        <v>3065582</v>
      </c>
      <c r="H13124" s="42">
        <v>211</v>
      </c>
    </row>
    <row r="13125" spans="1:8" ht="15" customHeight="1">
      <c r="A13125" s="26">
        <v>1052412626</v>
      </c>
      <c r="B13125" s="29" t="s">
        <v>15335</v>
      </c>
      <c r="C13125" s="29" t="s">
        <v>28754</v>
      </c>
      <c r="D13125" s="29" t="s">
        <v>42267</v>
      </c>
      <c r="E13125" s="29" t="s">
        <v>53327</v>
      </c>
      <c r="F13125" s="36" t="s">
        <v>54401</v>
      </c>
      <c r="G13125" s="39">
        <v>3288659.44</v>
      </c>
      <c r="H13125" s="42">
        <v>211</v>
      </c>
    </row>
    <row r="13126" spans="1:8" ht="15" customHeight="1">
      <c r="A13126" s="26">
        <v>1052412657</v>
      </c>
      <c r="B13126" s="29" t="s">
        <v>15336</v>
      </c>
      <c r="C13126" s="26" t="s">
        <v>28755</v>
      </c>
      <c r="D13126" s="26" t="s">
        <v>42268</v>
      </c>
      <c r="E13126" s="26" t="s">
        <v>53328</v>
      </c>
      <c r="F13126" s="37" t="s">
        <v>54401</v>
      </c>
      <c r="G13126" s="39">
        <v>347266.33</v>
      </c>
      <c r="H13126" s="42">
        <v>211</v>
      </c>
    </row>
    <row r="13127" spans="1:8" ht="15" customHeight="1">
      <c r="A13127" s="26">
        <v>1052412678</v>
      </c>
      <c r="B13127" s="29" t="s">
        <v>15337</v>
      </c>
      <c r="C13127" s="29" t="s">
        <v>28756</v>
      </c>
      <c r="D13127" s="29" t="s">
        <v>42269</v>
      </c>
      <c r="E13127" s="29" t="s">
        <v>53329</v>
      </c>
      <c r="F13127" s="36" t="s">
        <v>54401</v>
      </c>
      <c r="G13127" s="39">
        <v>60727.86</v>
      </c>
      <c r="H13127" s="42">
        <v>211</v>
      </c>
    </row>
    <row r="13128" spans="1:8" ht="15" customHeight="1">
      <c r="A13128" s="26">
        <v>1052412687</v>
      </c>
      <c r="B13128" s="29" t="s">
        <v>15338</v>
      </c>
      <c r="C13128" s="29" t="s">
        <v>28757</v>
      </c>
      <c r="D13128" s="29" t="s">
        <v>42270</v>
      </c>
      <c r="E13128" s="29" t="s">
        <v>53330</v>
      </c>
      <c r="F13128" s="36" t="s">
        <v>54401</v>
      </c>
      <c r="G13128" s="39">
        <v>141638.29</v>
      </c>
      <c r="H13128" s="42">
        <v>211</v>
      </c>
    </row>
    <row r="13129" spans="1:8" ht="15" customHeight="1">
      <c r="A13129" s="26">
        <v>1052412720</v>
      </c>
      <c r="B13129" s="29" t="s">
        <v>15339</v>
      </c>
      <c r="C13129" s="29" t="s">
        <v>28758</v>
      </c>
      <c r="D13129" s="29" t="s">
        <v>42271</v>
      </c>
      <c r="E13129" s="29" t="s">
        <v>53331</v>
      </c>
      <c r="F13129" s="36" t="s">
        <v>54401</v>
      </c>
      <c r="G13129" s="39">
        <v>575060.12</v>
      </c>
      <c r="H13129" s="42">
        <v>211</v>
      </c>
    </row>
    <row r="13130" spans="1:8" ht="15" customHeight="1">
      <c r="A13130" s="26">
        <v>1052412741</v>
      </c>
      <c r="B13130" s="29" t="s">
        <v>15340</v>
      </c>
      <c r="C13130" s="29" t="s">
        <v>17204</v>
      </c>
      <c r="D13130" s="29" t="s">
        <v>30349</v>
      </c>
      <c r="E13130" s="29" t="s">
        <v>43926</v>
      </c>
      <c r="F13130" s="36" t="s">
        <v>54401</v>
      </c>
      <c r="G13130" s="39">
        <v>404264.94</v>
      </c>
      <c r="H13130" s="42">
        <v>211</v>
      </c>
    </row>
    <row r="13131" spans="1:8" ht="15" customHeight="1">
      <c r="A13131" s="26">
        <v>1052412745</v>
      </c>
      <c r="B13131" s="29" t="s">
        <v>15341</v>
      </c>
      <c r="C13131" s="29" t="s">
        <v>28759</v>
      </c>
      <c r="D13131" s="29" t="s">
        <v>42272</v>
      </c>
      <c r="E13131" s="29" t="s">
        <v>53332</v>
      </c>
      <c r="F13131" s="36" t="s">
        <v>54401</v>
      </c>
      <c r="G13131" s="39">
        <v>700774.86</v>
      </c>
      <c r="H13131" s="42">
        <v>211</v>
      </c>
    </row>
    <row r="13132" spans="1:8" ht="15" customHeight="1">
      <c r="A13132" s="26">
        <v>1052412762</v>
      </c>
      <c r="B13132" s="29" t="s">
        <v>15342</v>
      </c>
      <c r="C13132" s="29" t="s">
        <v>21829</v>
      </c>
      <c r="D13132" s="29" t="s">
        <v>42273</v>
      </c>
      <c r="E13132" s="29" t="s">
        <v>53333</v>
      </c>
      <c r="F13132" s="36" t="s">
        <v>54401</v>
      </c>
      <c r="G13132" s="39">
        <v>263661.33</v>
      </c>
      <c r="H13132" s="42">
        <v>211</v>
      </c>
    </row>
    <row r="13133" spans="1:8" ht="15" customHeight="1">
      <c r="A13133" s="26">
        <v>1052412789</v>
      </c>
      <c r="B13133" s="29" t="s">
        <v>15343</v>
      </c>
      <c r="C13133" s="29" t="s">
        <v>28760</v>
      </c>
      <c r="D13133" s="29" t="s">
        <v>42274</v>
      </c>
      <c r="E13133" s="29" t="s">
        <v>45280</v>
      </c>
      <c r="F13133" s="36" t="s">
        <v>54401</v>
      </c>
      <c r="G13133" s="39">
        <v>1205799.8899999999</v>
      </c>
      <c r="H13133" s="42">
        <v>211</v>
      </c>
    </row>
    <row r="13134" spans="1:8" ht="15" customHeight="1">
      <c r="A13134" s="26">
        <v>1052412809</v>
      </c>
      <c r="B13134" s="29" t="s">
        <v>15344</v>
      </c>
      <c r="C13134" s="29" t="s">
        <v>28761</v>
      </c>
      <c r="D13134" s="29" t="s">
        <v>42275</v>
      </c>
      <c r="E13134" s="29" t="s">
        <v>47350</v>
      </c>
      <c r="F13134" s="36" t="s">
        <v>54401</v>
      </c>
      <c r="G13134" s="39">
        <v>6224848.2300000004</v>
      </c>
      <c r="H13134" s="42">
        <v>211</v>
      </c>
    </row>
    <row r="13135" spans="1:8" ht="15" customHeight="1">
      <c r="A13135" s="26">
        <v>1052412822</v>
      </c>
      <c r="B13135" s="29" t="s">
        <v>15345</v>
      </c>
      <c r="C13135" s="29" t="s">
        <v>28762</v>
      </c>
      <c r="D13135" s="29" t="s">
        <v>42276</v>
      </c>
      <c r="E13135" s="29" t="s">
        <v>53334</v>
      </c>
      <c r="F13135" s="36" t="s">
        <v>54401</v>
      </c>
      <c r="G13135" s="39">
        <v>346656.87</v>
      </c>
      <c r="H13135" s="42">
        <v>211</v>
      </c>
    </row>
    <row r="13136" spans="1:8" ht="15" customHeight="1">
      <c r="A13136" s="26">
        <v>1052412837</v>
      </c>
      <c r="B13136" s="29" t="s">
        <v>15346</v>
      </c>
      <c r="C13136" s="29" t="s">
        <v>28763</v>
      </c>
      <c r="D13136" s="29" t="s">
        <v>42277</v>
      </c>
      <c r="E13136" s="29" t="s">
        <v>43926</v>
      </c>
      <c r="F13136" s="36" t="s">
        <v>54401</v>
      </c>
      <c r="G13136" s="39">
        <v>1457609.37</v>
      </c>
      <c r="H13136" s="42">
        <v>211</v>
      </c>
    </row>
    <row r="13137" spans="1:8" ht="15" customHeight="1">
      <c r="A13137" s="26">
        <v>1052412889</v>
      </c>
      <c r="B13137" s="29" t="s">
        <v>15347</v>
      </c>
      <c r="C13137" s="29" t="s">
        <v>28764</v>
      </c>
      <c r="D13137" s="29" t="s">
        <v>42278</v>
      </c>
      <c r="E13137" s="29" t="s">
        <v>53335</v>
      </c>
      <c r="F13137" s="36" t="s">
        <v>54401</v>
      </c>
      <c r="G13137" s="39">
        <v>1598770</v>
      </c>
      <c r="H13137" s="42">
        <v>211</v>
      </c>
    </row>
    <row r="13138" spans="1:8" ht="15" customHeight="1">
      <c r="A13138" s="26">
        <v>1052412893</v>
      </c>
      <c r="B13138" s="29" t="s">
        <v>15348</v>
      </c>
      <c r="C13138" s="29" t="s">
        <v>28765</v>
      </c>
      <c r="D13138" s="29" t="s">
        <v>42279</v>
      </c>
      <c r="E13138" s="29" t="s">
        <v>53336</v>
      </c>
      <c r="F13138" s="36" t="s">
        <v>54401</v>
      </c>
      <c r="G13138" s="39">
        <v>1458993.99</v>
      </c>
      <c r="H13138" s="42">
        <v>211</v>
      </c>
    </row>
    <row r="13139" spans="1:8" ht="15" customHeight="1">
      <c r="A13139" s="26">
        <v>1052412901</v>
      </c>
      <c r="B13139" s="29" t="s">
        <v>15349</v>
      </c>
      <c r="C13139" s="29" t="s">
        <v>28766</v>
      </c>
      <c r="D13139" s="29" t="s">
        <v>42280</v>
      </c>
      <c r="E13139" s="29" t="s">
        <v>53047</v>
      </c>
      <c r="F13139" s="36" t="s">
        <v>54401</v>
      </c>
      <c r="G13139" s="39">
        <v>371322.56</v>
      </c>
      <c r="H13139" s="42">
        <v>211</v>
      </c>
    </row>
    <row r="13140" spans="1:8" ht="15" customHeight="1">
      <c r="A13140" s="26">
        <v>1052412947</v>
      </c>
      <c r="B13140" s="29" t="s">
        <v>15350</v>
      </c>
      <c r="C13140" s="26" t="s">
        <v>28767</v>
      </c>
      <c r="D13140" s="26" t="s">
        <v>42281</v>
      </c>
      <c r="E13140" s="26" t="s">
        <v>43926</v>
      </c>
      <c r="F13140" s="37" t="s">
        <v>54401</v>
      </c>
      <c r="G13140" s="39">
        <v>72011.06</v>
      </c>
      <c r="H13140" s="42">
        <v>211</v>
      </c>
    </row>
    <row r="13141" spans="1:8" ht="15" customHeight="1">
      <c r="A13141" s="26">
        <v>1052412951</v>
      </c>
      <c r="B13141" s="29" t="s">
        <v>15351</v>
      </c>
      <c r="C13141" s="29" t="s">
        <v>28768</v>
      </c>
      <c r="D13141" s="29" t="s">
        <v>42282</v>
      </c>
      <c r="E13141" s="29" t="s">
        <v>53337</v>
      </c>
      <c r="F13141" s="36" t="s">
        <v>54401</v>
      </c>
      <c r="G13141" s="39">
        <v>2680294.13</v>
      </c>
      <c r="H13141" s="42">
        <v>211</v>
      </c>
    </row>
    <row r="13142" spans="1:8" ht="15" customHeight="1">
      <c r="A13142" s="26">
        <v>1052412953</v>
      </c>
      <c r="B13142" s="29" t="s">
        <v>15352</v>
      </c>
      <c r="C13142" s="29" t="s">
        <v>28769</v>
      </c>
      <c r="D13142" s="29" t="s">
        <v>42283</v>
      </c>
      <c r="E13142" s="29" t="s">
        <v>53338</v>
      </c>
      <c r="F13142" s="36" t="s">
        <v>54401</v>
      </c>
      <c r="G13142" s="39">
        <v>848701.97</v>
      </c>
      <c r="H13142" s="42">
        <v>211</v>
      </c>
    </row>
    <row r="13143" spans="1:8" ht="15" customHeight="1">
      <c r="A13143" s="26">
        <v>1052412976</v>
      </c>
      <c r="B13143" s="29" t="s">
        <v>15353</v>
      </c>
      <c r="C13143" s="29" t="s">
        <v>28770</v>
      </c>
      <c r="D13143" s="29" t="s">
        <v>42284</v>
      </c>
      <c r="E13143" s="29" t="s">
        <v>53339</v>
      </c>
      <c r="F13143" s="36" t="s">
        <v>54412</v>
      </c>
      <c r="G13143" s="39">
        <v>537350.26</v>
      </c>
      <c r="H13143" s="42">
        <v>211</v>
      </c>
    </row>
    <row r="13144" spans="1:8" ht="15" customHeight="1">
      <c r="A13144" s="26">
        <v>1052412985</v>
      </c>
      <c r="B13144" s="29" t="s">
        <v>15354</v>
      </c>
      <c r="C13144" s="29" t="s">
        <v>17204</v>
      </c>
      <c r="D13144" s="29" t="s">
        <v>30349</v>
      </c>
      <c r="E13144" s="29" t="s">
        <v>43926</v>
      </c>
      <c r="F13144" s="36" t="s">
        <v>54401</v>
      </c>
      <c r="G13144" s="39">
        <v>427474.62</v>
      </c>
      <c r="H13144" s="42">
        <v>211</v>
      </c>
    </row>
    <row r="13145" spans="1:8" ht="15" customHeight="1">
      <c r="A13145" s="26">
        <v>1052413009</v>
      </c>
      <c r="B13145" s="29" t="s">
        <v>15355</v>
      </c>
      <c r="C13145" s="29" t="s">
        <v>28771</v>
      </c>
      <c r="D13145" s="29" t="s">
        <v>42285</v>
      </c>
      <c r="E13145" s="29" t="s">
        <v>43926</v>
      </c>
      <c r="F13145" s="36" t="s">
        <v>54401</v>
      </c>
      <c r="G13145" s="39">
        <v>593050.11</v>
      </c>
      <c r="H13145" s="42">
        <v>211</v>
      </c>
    </row>
    <row r="13146" spans="1:8" ht="15" customHeight="1">
      <c r="A13146" s="26">
        <v>1052413010</v>
      </c>
      <c r="B13146" s="29" t="s">
        <v>15356</v>
      </c>
      <c r="C13146" s="29" t="s">
        <v>28772</v>
      </c>
      <c r="D13146" s="29" t="s">
        <v>42286</v>
      </c>
      <c r="E13146" s="29" t="s">
        <v>53340</v>
      </c>
      <c r="F13146" s="36" t="s">
        <v>54401</v>
      </c>
      <c r="G13146" s="39">
        <v>1690165.62</v>
      </c>
      <c r="H13146" s="42">
        <v>211</v>
      </c>
    </row>
    <row r="13147" spans="1:8" ht="15" customHeight="1">
      <c r="A13147" s="26">
        <v>1052413019</v>
      </c>
      <c r="B13147" s="29" t="s">
        <v>15357</v>
      </c>
      <c r="C13147" s="26" t="s">
        <v>28773</v>
      </c>
      <c r="D13147" s="26" t="s">
        <v>42287</v>
      </c>
      <c r="E13147" s="26" t="s">
        <v>53341</v>
      </c>
      <c r="F13147" s="37" t="s">
        <v>54401</v>
      </c>
      <c r="G13147" s="39">
        <v>321394.98</v>
      </c>
      <c r="H13147" s="42">
        <v>211</v>
      </c>
    </row>
    <row r="13148" spans="1:8" ht="15" customHeight="1">
      <c r="A13148" s="26">
        <v>1052413026</v>
      </c>
      <c r="B13148" s="29" t="s">
        <v>15358</v>
      </c>
      <c r="C13148" s="29" t="s">
        <v>28774</v>
      </c>
      <c r="D13148" s="29" t="s">
        <v>42288</v>
      </c>
      <c r="E13148" s="29" t="s">
        <v>47226</v>
      </c>
      <c r="F13148" s="36" t="s">
        <v>54401</v>
      </c>
      <c r="G13148" s="39">
        <v>7815.12</v>
      </c>
      <c r="H13148" s="42">
        <v>211</v>
      </c>
    </row>
    <row r="13149" spans="1:8" ht="15" customHeight="1">
      <c r="A13149" s="26">
        <v>1052413030</v>
      </c>
      <c r="B13149" s="29" t="s">
        <v>15359</v>
      </c>
      <c r="C13149" s="29" t="s">
        <v>17204</v>
      </c>
      <c r="D13149" s="29" t="s">
        <v>30349</v>
      </c>
      <c r="E13149" s="29" t="s">
        <v>43926</v>
      </c>
      <c r="F13149" s="36" t="s">
        <v>54401</v>
      </c>
      <c r="G13149" s="39">
        <v>2392577</v>
      </c>
      <c r="H13149" s="42">
        <v>211</v>
      </c>
    </row>
    <row r="13150" spans="1:8" ht="15" customHeight="1">
      <c r="A13150" s="26">
        <v>1052413042</v>
      </c>
      <c r="B13150" s="29" t="s">
        <v>15360</v>
      </c>
      <c r="C13150" s="29" t="s">
        <v>28775</v>
      </c>
      <c r="D13150" s="29" t="s">
        <v>42289</v>
      </c>
      <c r="E13150" s="29" t="s">
        <v>53342</v>
      </c>
      <c r="F13150" s="36" t="s">
        <v>54401</v>
      </c>
      <c r="G13150" s="39">
        <v>1748702.09</v>
      </c>
      <c r="H13150" s="42">
        <v>211</v>
      </c>
    </row>
    <row r="13151" spans="1:8" ht="15" customHeight="1">
      <c r="A13151" s="26">
        <v>1052413049</v>
      </c>
      <c r="B13151" s="29" t="s">
        <v>15361</v>
      </c>
      <c r="C13151" s="29" t="s">
        <v>17204</v>
      </c>
      <c r="D13151" s="29" t="s">
        <v>30349</v>
      </c>
      <c r="E13151" s="29" t="s">
        <v>43926</v>
      </c>
      <c r="F13151" s="36" t="s">
        <v>54401</v>
      </c>
      <c r="G13151" s="39">
        <v>260174.03</v>
      </c>
      <c r="H13151" s="42">
        <v>211</v>
      </c>
    </row>
    <row r="13152" spans="1:8" ht="15" customHeight="1">
      <c r="A13152" s="26">
        <v>1052413078</v>
      </c>
      <c r="B13152" s="29" t="s">
        <v>15362</v>
      </c>
      <c r="C13152" s="29" t="s">
        <v>28776</v>
      </c>
      <c r="D13152" s="29" t="s">
        <v>42290</v>
      </c>
      <c r="E13152" s="29" t="s">
        <v>53343</v>
      </c>
      <c r="F13152" s="36" t="s">
        <v>54401</v>
      </c>
      <c r="G13152" s="39">
        <v>934590.09</v>
      </c>
      <c r="H13152" s="42">
        <v>211</v>
      </c>
    </row>
    <row r="13153" spans="1:8" ht="15" customHeight="1">
      <c r="A13153" s="26">
        <v>1052413084</v>
      </c>
      <c r="B13153" s="29" t="s">
        <v>15363</v>
      </c>
      <c r="C13153" s="26" t="s">
        <v>28777</v>
      </c>
      <c r="D13153" s="26" t="s">
        <v>42291</v>
      </c>
      <c r="E13153" s="26" t="s">
        <v>53344</v>
      </c>
      <c r="F13153" s="37" t="s">
        <v>54401</v>
      </c>
      <c r="G13153" s="39">
        <v>4037367.73</v>
      </c>
      <c r="H13153" s="42">
        <v>211</v>
      </c>
    </row>
    <row r="13154" spans="1:8" ht="15" customHeight="1">
      <c r="A13154" s="26">
        <v>1052413108</v>
      </c>
      <c r="B13154" s="29" t="s">
        <v>15364</v>
      </c>
      <c r="C13154" s="29" t="s">
        <v>28778</v>
      </c>
      <c r="D13154" s="29" t="s">
        <v>42292</v>
      </c>
      <c r="E13154" s="29" t="s">
        <v>53345</v>
      </c>
      <c r="F13154" s="36" t="s">
        <v>54401</v>
      </c>
      <c r="G13154" s="39">
        <v>392638.71999999997</v>
      </c>
      <c r="H13154" s="42">
        <v>211</v>
      </c>
    </row>
    <row r="13155" spans="1:8" ht="15" customHeight="1">
      <c r="A13155" s="26">
        <v>1052413124</v>
      </c>
      <c r="B13155" s="29" t="s">
        <v>15365</v>
      </c>
      <c r="C13155" s="29" t="s">
        <v>28779</v>
      </c>
      <c r="D13155" s="29" t="s">
        <v>42293</v>
      </c>
      <c r="E13155" s="29" t="s">
        <v>53346</v>
      </c>
      <c r="F13155" s="36" t="s">
        <v>54401</v>
      </c>
      <c r="G13155" s="39">
        <v>369193.78</v>
      </c>
      <c r="H13155" s="42">
        <v>211</v>
      </c>
    </row>
    <row r="13156" spans="1:8" ht="15" customHeight="1">
      <c r="A13156" s="26">
        <v>1052413136</v>
      </c>
      <c r="B13156" s="29" t="s">
        <v>15366</v>
      </c>
      <c r="C13156" s="29" t="s">
        <v>21653</v>
      </c>
      <c r="D13156" s="29" t="s">
        <v>42294</v>
      </c>
      <c r="E13156" s="29" t="s">
        <v>53347</v>
      </c>
      <c r="F13156" s="36" t="s">
        <v>54401</v>
      </c>
      <c r="G13156" s="39">
        <v>2469699</v>
      </c>
      <c r="H13156" s="42">
        <v>211</v>
      </c>
    </row>
    <row r="13157" spans="1:8" ht="15" customHeight="1">
      <c r="A13157" s="26">
        <v>1052413145</v>
      </c>
      <c r="B13157" s="29" t="s">
        <v>15367</v>
      </c>
      <c r="C13157" s="26" t="s">
        <v>28780</v>
      </c>
      <c r="D13157" s="26" t="s">
        <v>42295</v>
      </c>
      <c r="E13157" s="26" t="s">
        <v>53348</v>
      </c>
      <c r="F13157" s="37" t="s">
        <v>54401</v>
      </c>
      <c r="G13157" s="39">
        <v>424256.32</v>
      </c>
      <c r="H13157" s="42">
        <v>211</v>
      </c>
    </row>
    <row r="13158" spans="1:8" ht="15" customHeight="1">
      <c r="A13158" s="26">
        <v>1052413163</v>
      </c>
      <c r="B13158" s="29" t="s">
        <v>15368</v>
      </c>
      <c r="C13158" s="29" t="s">
        <v>17204</v>
      </c>
      <c r="D13158" s="29" t="s">
        <v>30349</v>
      </c>
      <c r="E13158" s="29" t="s">
        <v>43926</v>
      </c>
      <c r="F13158" s="36" t="s">
        <v>54401</v>
      </c>
      <c r="G13158" s="39">
        <v>411448.41</v>
      </c>
      <c r="H13158" s="42">
        <v>211</v>
      </c>
    </row>
    <row r="13159" spans="1:8" ht="15" customHeight="1">
      <c r="A13159" s="26">
        <v>1052413188</v>
      </c>
      <c r="B13159" s="29" t="s">
        <v>15369</v>
      </c>
      <c r="C13159" s="29" t="s">
        <v>28781</v>
      </c>
      <c r="D13159" s="29" t="s">
        <v>42296</v>
      </c>
      <c r="E13159" s="29" t="s">
        <v>53349</v>
      </c>
      <c r="F13159" s="36" t="s">
        <v>54401</v>
      </c>
      <c r="G13159" s="39">
        <v>285333.31</v>
      </c>
      <c r="H13159" s="42">
        <v>211</v>
      </c>
    </row>
    <row r="13160" spans="1:8" ht="15" customHeight="1">
      <c r="A13160" s="26">
        <v>1052413209</v>
      </c>
      <c r="B13160" s="29" t="s">
        <v>15370</v>
      </c>
      <c r="C13160" s="29" t="s">
        <v>28782</v>
      </c>
      <c r="D13160" s="29" t="s">
        <v>42297</v>
      </c>
      <c r="E13160" s="29" t="s">
        <v>53350</v>
      </c>
      <c r="F13160" s="36" t="s">
        <v>54401</v>
      </c>
      <c r="G13160" s="39">
        <v>2144783</v>
      </c>
      <c r="H13160" s="42">
        <v>211</v>
      </c>
    </row>
    <row r="13161" spans="1:8" ht="15" customHeight="1">
      <c r="A13161" s="26">
        <v>1052413211</v>
      </c>
      <c r="B13161" s="29" t="s">
        <v>15371</v>
      </c>
      <c r="C13161" s="29" t="s">
        <v>28783</v>
      </c>
      <c r="D13161" s="29" t="s">
        <v>42298</v>
      </c>
      <c r="E13161" s="29" t="s">
        <v>43926</v>
      </c>
      <c r="F13161" s="36" t="s">
        <v>54401</v>
      </c>
      <c r="G13161" s="39">
        <v>307694.62</v>
      </c>
      <c r="H13161" s="42">
        <v>211</v>
      </c>
    </row>
    <row r="13162" spans="1:8" ht="15" customHeight="1">
      <c r="A13162" s="26">
        <v>1052413226</v>
      </c>
      <c r="B13162" s="29" t="s">
        <v>15372</v>
      </c>
      <c r="C13162" s="29" t="s">
        <v>28784</v>
      </c>
      <c r="D13162" s="29" t="s">
        <v>42299</v>
      </c>
      <c r="E13162" s="29" t="s">
        <v>45257</v>
      </c>
      <c r="F13162" s="36" t="s">
        <v>54401</v>
      </c>
      <c r="G13162" s="39">
        <v>2483224.62</v>
      </c>
      <c r="H13162" s="42">
        <v>211</v>
      </c>
    </row>
    <row r="13163" spans="1:8" ht="15" customHeight="1">
      <c r="A13163" s="26">
        <v>1052413235</v>
      </c>
      <c r="B13163" s="29" t="s">
        <v>15373</v>
      </c>
      <c r="C13163" s="29" t="s">
        <v>28584</v>
      </c>
      <c r="D13163" s="29" t="s">
        <v>42300</v>
      </c>
      <c r="E13163" s="29" t="s">
        <v>52515</v>
      </c>
      <c r="F13163" s="36" t="s">
        <v>54401</v>
      </c>
      <c r="G13163" s="39">
        <v>5906579.3200000003</v>
      </c>
      <c r="H13163" s="42">
        <v>211</v>
      </c>
    </row>
    <row r="13164" spans="1:8" ht="15" customHeight="1">
      <c r="A13164" s="26">
        <v>1052413237</v>
      </c>
      <c r="B13164" s="29" t="s">
        <v>15374</v>
      </c>
      <c r="C13164" s="29" t="s">
        <v>28785</v>
      </c>
      <c r="D13164" s="29" t="s">
        <v>42301</v>
      </c>
      <c r="E13164" s="29" t="s">
        <v>53351</v>
      </c>
      <c r="F13164" s="36" t="s">
        <v>54401</v>
      </c>
      <c r="G13164" s="39">
        <v>197890.02</v>
      </c>
      <c r="H13164" s="42">
        <v>211</v>
      </c>
    </row>
    <row r="13165" spans="1:8" ht="15" customHeight="1">
      <c r="A13165" s="26">
        <v>1052413281</v>
      </c>
      <c r="B13165" s="29" t="s">
        <v>15375</v>
      </c>
      <c r="C13165" s="29" t="s">
        <v>28786</v>
      </c>
      <c r="D13165" s="29" t="s">
        <v>42302</v>
      </c>
      <c r="E13165" s="29" t="s">
        <v>53352</v>
      </c>
      <c r="F13165" s="36" t="s">
        <v>54409</v>
      </c>
      <c r="G13165" s="39">
        <v>426069.41</v>
      </c>
      <c r="H13165" s="42">
        <v>211</v>
      </c>
    </row>
    <row r="13166" spans="1:8" ht="15" customHeight="1">
      <c r="A13166" s="26">
        <v>1052413346</v>
      </c>
      <c r="B13166" s="29" t="s">
        <v>15376</v>
      </c>
      <c r="C13166" s="29" t="s">
        <v>28787</v>
      </c>
      <c r="D13166" s="29" t="s">
        <v>42303</v>
      </c>
      <c r="E13166" s="29" t="s">
        <v>53353</v>
      </c>
      <c r="F13166" s="36" t="s">
        <v>54401</v>
      </c>
      <c r="G13166" s="39">
        <v>292202.26</v>
      </c>
      <c r="H13166" s="42">
        <v>211</v>
      </c>
    </row>
    <row r="13167" spans="1:8" ht="15" customHeight="1">
      <c r="A13167" s="26">
        <v>1052413350</v>
      </c>
      <c r="B13167" s="29" t="s">
        <v>15377</v>
      </c>
      <c r="C13167" s="29" t="s">
        <v>28788</v>
      </c>
      <c r="D13167" s="29" t="s">
        <v>42304</v>
      </c>
      <c r="E13167" s="29" t="s">
        <v>53354</v>
      </c>
      <c r="F13167" s="36" t="s">
        <v>54401</v>
      </c>
      <c r="G13167" s="39">
        <v>738395.72</v>
      </c>
      <c r="H13167" s="42">
        <v>211</v>
      </c>
    </row>
    <row r="13168" spans="1:8" ht="15" customHeight="1">
      <c r="A13168" s="26">
        <v>1052413375</v>
      </c>
      <c r="B13168" s="29" t="s">
        <v>15378</v>
      </c>
      <c r="C13168" s="29" t="s">
        <v>17204</v>
      </c>
      <c r="D13168" s="29" t="s">
        <v>42305</v>
      </c>
      <c r="E13168" s="29" t="s">
        <v>44005</v>
      </c>
      <c r="F13168" s="36" t="s">
        <v>54401</v>
      </c>
      <c r="G13168" s="39">
        <v>26487.39</v>
      </c>
      <c r="H13168" s="42">
        <v>211</v>
      </c>
    </row>
    <row r="13169" spans="1:8" ht="15" customHeight="1">
      <c r="A13169" s="26">
        <v>1052413398</v>
      </c>
      <c r="B13169" s="29" t="s">
        <v>15379</v>
      </c>
      <c r="C13169" s="29" t="s">
        <v>28789</v>
      </c>
      <c r="D13169" s="29" t="s">
        <v>42306</v>
      </c>
      <c r="E13169" s="29" t="s">
        <v>53355</v>
      </c>
      <c r="F13169" s="36" t="s">
        <v>54401</v>
      </c>
      <c r="G13169" s="39">
        <v>1293531.74</v>
      </c>
      <c r="H13169" s="42">
        <v>211</v>
      </c>
    </row>
    <row r="13170" spans="1:8" ht="15" customHeight="1">
      <c r="A13170" s="26">
        <v>1052413439</v>
      </c>
      <c r="B13170" s="29" t="s">
        <v>15380</v>
      </c>
      <c r="C13170" s="26" t="s">
        <v>17204</v>
      </c>
      <c r="D13170" s="26" t="s">
        <v>30349</v>
      </c>
      <c r="E13170" s="26" t="s">
        <v>43926</v>
      </c>
      <c r="F13170" s="37" t="s">
        <v>54401</v>
      </c>
      <c r="G13170" s="39">
        <v>2502361</v>
      </c>
      <c r="H13170" s="42">
        <v>211</v>
      </c>
    </row>
    <row r="13171" spans="1:8" ht="15" customHeight="1">
      <c r="A13171" s="26">
        <v>1052413445</v>
      </c>
      <c r="B13171" s="29" t="s">
        <v>15381</v>
      </c>
      <c r="C13171" s="29" t="s">
        <v>28790</v>
      </c>
      <c r="D13171" s="29" t="s">
        <v>42307</v>
      </c>
      <c r="E13171" s="29" t="s">
        <v>53356</v>
      </c>
      <c r="F13171" s="36" t="s">
        <v>54401</v>
      </c>
      <c r="G13171" s="39">
        <v>560165.31000000006</v>
      </c>
      <c r="H13171" s="42">
        <v>211</v>
      </c>
    </row>
    <row r="13172" spans="1:8" ht="15" customHeight="1">
      <c r="A13172" s="26">
        <v>1052413465</v>
      </c>
      <c r="B13172" s="29" t="s">
        <v>15382</v>
      </c>
      <c r="C13172" s="29" t="s">
        <v>28791</v>
      </c>
      <c r="D13172" s="29" t="s">
        <v>42308</v>
      </c>
      <c r="E13172" s="29" t="s">
        <v>53357</v>
      </c>
      <c r="F13172" s="36" t="s">
        <v>54401</v>
      </c>
      <c r="G13172" s="39">
        <v>219587.87</v>
      </c>
      <c r="H13172" s="42">
        <v>211</v>
      </c>
    </row>
    <row r="13173" spans="1:8" ht="15" customHeight="1">
      <c r="A13173" s="26">
        <v>1052413466</v>
      </c>
      <c r="B13173" s="29" t="s">
        <v>15383</v>
      </c>
      <c r="C13173" s="29" t="s">
        <v>28792</v>
      </c>
      <c r="D13173" s="29" t="s">
        <v>42309</v>
      </c>
      <c r="E13173" s="29" t="s">
        <v>53358</v>
      </c>
      <c r="F13173" s="36" t="s">
        <v>54401</v>
      </c>
      <c r="G13173" s="39">
        <v>4118479.15</v>
      </c>
      <c r="H13173" s="42">
        <v>211</v>
      </c>
    </row>
    <row r="13174" spans="1:8" ht="15" customHeight="1">
      <c r="A13174" s="26">
        <v>1052413488</v>
      </c>
      <c r="B13174" s="29" t="s">
        <v>15384</v>
      </c>
      <c r="C13174" s="29" t="s">
        <v>28793</v>
      </c>
      <c r="D13174" s="29" t="s">
        <v>42310</v>
      </c>
      <c r="E13174" s="29" t="s">
        <v>53359</v>
      </c>
      <c r="F13174" s="36" t="s">
        <v>54401</v>
      </c>
      <c r="G13174" s="39">
        <v>2392378</v>
      </c>
      <c r="H13174" s="42">
        <v>211</v>
      </c>
    </row>
    <row r="13175" spans="1:8" ht="15" customHeight="1">
      <c r="A13175" s="26">
        <v>1052413526</v>
      </c>
      <c r="B13175" s="29" t="s">
        <v>15385</v>
      </c>
      <c r="C13175" s="29" t="s">
        <v>28794</v>
      </c>
      <c r="D13175" s="29" t="s">
        <v>42311</v>
      </c>
      <c r="E13175" s="29" t="s">
        <v>53360</v>
      </c>
      <c r="F13175" s="36" t="s">
        <v>54401</v>
      </c>
      <c r="G13175" s="39">
        <v>718122.33</v>
      </c>
      <c r="H13175" s="42">
        <v>211</v>
      </c>
    </row>
    <row r="13176" spans="1:8" ht="15" customHeight="1">
      <c r="A13176" s="26">
        <v>1052413549</v>
      </c>
      <c r="B13176" s="29" t="s">
        <v>15386</v>
      </c>
      <c r="C13176" s="29" t="s">
        <v>28795</v>
      </c>
      <c r="D13176" s="29" t="s">
        <v>42312</v>
      </c>
      <c r="E13176" s="29" t="s">
        <v>53361</v>
      </c>
      <c r="F13176" s="36" t="s">
        <v>54401</v>
      </c>
      <c r="G13176" s="39">
        <v>1546730.27</v>
      </c>
      <c r="H13176" s="42">
        <v>211</v>
      </c>
    </row>
    <row r="13177" spans="1:8" ht="15" customHeight="1">
      <c r="A13177" s="26">
        <v>1052413558</v>
      </c>
      <c r="B13177" s="29" t="s">
        <v>15387</v>
      </c>
      <c r="C13177" s="29" t="s">
        <v>28796</v>
      </c>
      <c r="D13177" s="29" t="s">
        <v>42313</v>
      </c>
      <c r="E13177" s="29" t="s">
        <v>53362</v>
      </c>
      <c r="F13177" s="36" t="s">
        <v>54401</v>
      </c>
      <c r="G13177" s="39">
        <v>710792.12</v>
      </c>
      <c r="H13177" s="42">
        <v>211</v>
      </c>
    </row>
    <row r="13178" spans="1:8" ht="15" customHeight="1">
      <c r="A13178" s="26">
        <v>1052413561</v>
      </c>
      <c r="B13178" s="29" t="s">
        <v>15388</v>
      </c>
      <c r="C13178" s="29" t="s">
        <v>28797</v>
      </c>
      <c r="D13178" s="29" t="s">
        <v>42314</v>
      </c>
      <c r="E13178" s="29" t="s">
        <v>53363</v>
      </c>
      <c r="F13178" s="36" t="s">
        <v>54401</v>
      </c>
      <c r="G13178" s="39">
        <v>3786017.82</v>
      </c>
      <c r="H13178" s="42">
        <v>211</v>
      </c>
    </row>
    <row r="13179" spans="1:8" ht="15" customHeight="1">
      <c r="A13179" s="26">
        <v>1052413598</v>
      </c>
      <c r="B13179" s="29" t="s">
        <v>15389</v>
      </c>
      <c r="C13179" s="29" t="s">
        <v>28798</v>
      </c>
      <c r="D13179" s="29" t="s">
        <v>31587</v>
      </c>
      <c r="E13179" s="29" t="s">
        <v>51024</v>
      </c>
      <c r="F13179" s="36" t="s">
        <v>54401</v>
      </c>
      <c r="G13179" s="39">
        <v>2326125.13</v>
      </c>
      <c r="H13179" s="42">
        <v>211</v>
      </c>
    </row>
    <row r="13180" spans="1:8" ht="15" customHeight="1">
      <c r="A13180" s="26">
        <v>1052413604</v>
      </c>
      <c r="B13180" s="29" t="s">
        <v>15390</v>
      </c>
      <c r="C13180" s="29" t="s">
        <v>28799</v>
      </c>
      <c r="D13180" s="29" t="s">
        <v>42315</v>
      </c>
      <c r="E13180" s="29" t="s">
        <v>53364</v>
      </c>
      <c r="F13180" s="36" t="s">
        <v>54401</v>
      </c>
      <c r="G13180" s="39">
        <v>1023255.71</v>
      </c>
      <c r="H13180" s="42">
        <v>211</v>
      </c>
    </row>
    <row r="13181" spans="1:8" ht="15" customHeight="1">
      <c r="A13181" s="26">
        <v>1052413606</v>
      </c>
      <c r="B13181" s="29" t="s">
        <v>15391</v>
      </c>
      <c r="C13181" s="29" t="s">
        <v>28800</v>
      </c>
      <c r="D13181" s="29" t="s">
        <v>42316</v>
      </c>
      <c r="E13181" s="29" t="s">
        <v>53365</v>
      </c>
      <c r="F13181" s="36" t="s">
        <v>54401</v>
      </c>
      <c r="G13181" s="39">
        <v>1689066.81</v>
      </c>
      <c r="H13181" s="42">
        <v>211</v>
      </c>
    </row>
    <row r="13182" spans="1:8" ht="15" customHeight="1">
      <c r="A13182" s="26">
        <v>1052413633</v>
      </c>
      <c r="B13182" s="29" t="s">
        <v>15392</v>
      </c>
      <c r="C13182" s="29" t="s">
        <v>28801</v>
      </c>
      <c r="D13182" s="29" t="s">
        <v>42297</v>
      </c>
      <c r="E13182" s="29" t="s">
        <v>43926</v>
      </c>
      <c r="F13182" s="36" t="s">
        <v>54401</v>
      </c>
      <c r="G13182" s="39">
        <v>879014.84</v>
      </c>
      <c r="H13182" s="42">
        <v>211</v>
      </c>
    </row>
    <row r="13183" spans="1:8" ht="15" customHeight="1">
      <c r="A13183" s="26">
        <v>1052413657</v>
      </c>
      <c r="B13183" s="29" t="s">
        <v>15393</v>
      </c>
      <c r="C13183" s="29" t="s">
        <v>28802</v>
      </c>
      <c r="D13183" s="29" t="s">
        <v>42317</v>
      </c>
      <c r="E13183" s="29" t="s">
        <v>53366</v>
      </c>
      <c r="F13183" s="36" t="s">
        <v>54401</v>
      </c>
      <c r="G13183" s="39">
        <v>2614338.87</v>
      </c>
      <c r="H13183" s="42">
        <v>211</v>
      </c>
    </row>
    <row r="13184" spans="1:8" ht="15" customHeight="1">
      <c r="A13184" s="26">
        <v>1052413681</v>
      </c>
      <c r="B13184" s="29" t="s">
        <v>15394</v>
      </c>
      <c r="C13184" s="29" t="s">
        <v>17204</v>
      </c>
      <c r="D13184" s="29" t="s">
        <v>42318</v>
      </c>
      <c r="E13184" s="29" t="s">
        <v>43926</v>
      </c>
      <c r="F13184" s="36" t="s">
        <v>54401</v>
      </c>
      <c r="G13184" s="39">
        <v>110621.86</v>
      </c>
      <c r="H13184" s="42">
        <v>211</v>
      </c>
    </row>
    <row r="13185" spans="1:8" ht="15" customHeight="1">
      <c r="A13185" s="26">
        <v>1052413723</v>
      </c>
      <c r="B13185" s="29" t="s">
        <v>15395</v>
      </c>
      <c r="C13185" s="26" t="s">
        <v>23704</v>
      </c>
      <c r="D13185" s="26" t="s">
        <v>36976</v>
      </c>
      <c r="E13185" s="26" t="s">
        <v>50995</v>
      </c>
      <c r="F13185" s="37" t="s">
        <v>54401</v>
      </c>
      <c r="G13185" s="39">
        <v>1337137.25</v>
      </c>
      <c r="H13185" s="42">
        <v>211</v>
      </c>
    </row>
    <row r="13186" spans="1:8" ht="15" customHeight="1">
      <c r="A13186" s="26">
        <v>1052413749</v>
      </c>
      <c r="B13186" s="29" t="s">
        <v>15396</v>
      </c>
      <c r="C13186" s="26" t="s">
        <v>28803</v>
      </c>
      <c r="D13186" s="26" t="s">
        <v>42319</v>
      </c>
      <c r="E13186" s="26" t="s">
        <v>53367</v>
      </c>
      <c r="F13186" s="37" t="s">
        <v>54401</v>
      </c>
      <c r="G13186" s="39">
        <v>4358351</v>
      </c>
      <c r="H13186" s="42">
        <v>211</v>
      </c>
    </row>
    <row r="13187" spans="1:8" ht="15" customHeight="1">
      <c r="A13187" s="26">
        <v>1052413758</v>
      </c>
      <c r="B13187" s="29" t="s">
        <v>15397</v>
      </c>
      <c r="C13187" s="29" t="s">
        <v>28804</v>
      </c>
      <c r="D13187" s="29" t="s">
        <v>42320</v>
      </c>
      <c r="E13187" s="29" t="s">
        <v>43926</v>
      </c>
      <c r="F13187" s="36" t="s">
        <v>54401</v>
      </c>
      <c r="G13187" s="39">
        <v>646623.86</v>
      </c>
      <c r="H13187" s="42">
        <v>211</v>
      </c>
    </row>
    <row r="13188" spans="1:8" ht="15" customHeight="1">
      <c r="A13188" s="26">
        <v>1052413768</v>
      </c>
      <c r="B13188" s="29" t="s">
        <v>15398</v>
      </c>
      <c r="C13188" s="29" t="s">
        <v>17204</v>
      </c>
      <c r="D13188" s="29" t="s">
        <v>42321</v>
      </c>
      <c r="E13188" s="29" t="s">
        <v>43926</v>
      </c>
      <c r="F13188" s="36" t="s">
        <v>54401</v>
      </c>
      <c r="G13188" s="39">
        <v>148319.34</v>
      </c>
      <c r="H13188" s="42">
        <v>211</v>
      </c>
    </row>
    <row r="13189" spans="1:8" ht="15" customHeight="1">
      <c r="A13189" s="26">
        <v>1052413773</v>
      </c>
      <c r="B13189" s="29" t="s">
        <v>15399</v>
      </c>
      <c r="C13189" s="29" t="s">
        <v>28805</v>
      </c>
      <c r="D13189" s="29" t="s">
        <v>42322</v>
      </c>
      <c r="E13189" s="29" t="s">
        <v>53368</v>
      </c>
      <c r="F13189" s="36" t="s">
        <v>54401</v>
      </c>
      <c r="G13189" s="39">
        <v>1077079.79</v>
      </c>
      <c r="H13189" s="42">
        <v>211</v>
      </c>
    </row>
    <row r="13190" spans="1:8" ht="15" customHeight="1">
      <c r="A13190" s="26">
        <v>1052413790</v>
      </c>
      <c r="B13190" s="29" t="s">
        <v>15400</v>
      </c>
      <c r="C13190" s="29" t="s">
        <v>28806</v>
      </c>
      <c r="D13190" s="29" t="s">
        <v>42323</v>
      </c>
      <c r="E13190" s="29" t="s">
        <v>43926</v>
      </c>
      <c r="F13190" s="36" t="s">
        <v>54401</v>
      </c>
      <c r="G13190" s="39">
        <v>71264.070000000007</v>
      </c>
      <c r="H13190" s="42">
        <v>211</v>
      </c>
    </row>
    <row r="13191" spans="1:8" ht="15" customHeight="1">
      <c r="A13191" s="26">
        <v>1052413819</v>
      </c>
      <c r="B13191" s="29" t="s">
        <v>15401</v>
      </c>
      <c r="C13191" s="29" t="s">
        <v>28807</v>
      </c>
      <c r="D13191" s="29" t="s">
        <v>42324</v>
      </c>
      <c r="E13191" s="29" t="s">
        <v>48793</v>
      </c>
      <c r="F13191" s="36" t="s">
        <v>54401</v>
      </c>
      <c r="G13191" s="39">
        <v>4135123.77</v>
      </c>
      <c r="H13191" s="42">
        <v>211</v>
      </c>
    </row>
    <row r="13192" spans="1:8" ht="15" customHeight="1">
      <c r="A13192" s="26">
        <v>1052413822</v>
      </c>
      <c r="B13192" s="29" t="s">
        <v>15402</v>
      </c>
      <c r="C13192" s="29" t="s">
        <v>28808</v>
      </c>
      <c r="D13192" s="29" t="s">
        <v>42325</v>
      </c>
      <c r="E13192" s="29" t="s">
        <v>53369</v>
      </c>
      <c r="F13192" s="36" t="s">
        <v>54401</v>
      </c>
      <c r="G13192" s="39">
        <v>4966404</v>
      </c>
      <c r="H13192" s="42">
        <v>211</v>
      </c>
    </row>
    <row r="13193" spans="1:8" ht="15" customHeight="1">
      <c r="A13193" s="26">
        <v>1052413833</v>
      </c>
      <c r="B13193" s="29" t="s">
        <v>15403</v>
      </c>
      <c r="C13193" s="29" t="s">
        <v>28809</v>
      </c>
      <c r="D13193" s="29" t="s">
        <v>42326</v>
      </c>
      <c r="E13193" s="29" t="s">
        <v>53370</v>
      </c>
      <c r="F13193" s="36" t="s">
        <v>54401</v>
      </c>
      <c r="G13193" s="39">
        <v>4572015.12</v>
      </c>
      <c r="H13193" s="42">
        <v>211</v>
      </c>
    </row>
    <row r="13194" spans="1:8" ht="15" customHeight="1">
      <c r="A13194" s="26">
        <v>1052413837</v>
      </c>
      <c r="B13194" s="29" t="s">
        <v>15404</v>
      </c>
      <c r="C13194" s="29" t="s">
        <v>28810</v>
      </c>
      <c r="D13194" s="29" t="s">
        <v>42327</v>
      </c>
      <c r="E13194" s="29" t="s">
        <v>53371</v>
      </c>
      <c r="F13194" s="36" t="s">
        <v>54401</v>
      </c>
      <c r="G13194" s="39">
        <v>360149.21</v>
      </c>
      <c r="H13194" s="42">
        <v>211</v>
      </c>
    </row>
    <row r="13195" spans="1:8" ht="15" customHeight="1">
      <c r="A13195" s="26">
        <v>1052413844</v>
      </c>
      <c r="B13195" s="29" t="s">
        <v>15405</v>
      </c>
      <c r="C13195" s="29" t="s">
        <v>28811</v>
      </c>
      <c r="D13195" s="29" t="s">
        <v>42328</v>
      </c>
      <c r="E13195" s="29" t="s">
        <v>53372</v>
      </c>
      <c r="F13195" s="36" t="s">
        <v>54401</v>
      </c>
      <c r="G13195" s="39">
        <v>3450250</v>
      </c>
      <c r="H13195" s="42">
        <v>211</v>
      </c>
    </row>
    <row r="13196" spans="1:8" ht="15" customHeight="1">
      <c r="A13196" s="26">
        <v>1052413885</v>
      </c>
      <c r="B13196" s="29" t="s">
        <v>15406</v>
      </c>
      <c r="C13196" s="29" t="s">
        <v>28812</v>
      </c>
      <c r="D13196" s="29" t="s">
        <v>32833</v>
      </c>
      <c r="E13196" s="29" t="s">
        <v>53373</v>
      </c>
      <c r="F13196" s="36" t="s">
        <v>54401</v>
      </c>
      <c r="G13196" s="39">
        <v>261198.32</v>
      </c>
      <c r="H13196" s="42">
        <v>211</v>
      </c>
    </row>
    <row r="13197" spans="1:8" ht="15" customHeight="1">
      <c r="A13197" s="26">
        <v>1052413886</v>
      </c>
      <c r="B13197" s="29" t="s">
        <v>15407</v>
      </c>
      <c r="C13197" s="29" t="s">
        <v>18712</v>
      </c>
      <c r="D13197" s="29" t="s">
        <v>42329</v>
      </c>
      <c r="E13197" s="29" t="s">
        <v>46045</v>
      </c>
      <c r="F13197" s="36" t="s">
        <v>54401</v>
      </c>
      <c r="G13197" s="39">
        <v>597613.31999999995</v>
      </c>
      <c r="H13197" s="42">
        <v>211</v>
      </c>
    </row>
    <row r="13198" spans="1:8" ht="15" customHeight="1">
      <c r="A13198" s="26">
        <v>1052413904</v>
      </c>
      <c r="B13198" s="29" t="s">
        <v>15408</v>
      </c>
      <c r="C13198" s="29" t="s">
        <v>28813</v>
      </c>
      <c r="D13198" s="29" t="s">
        <v>42330</v>
      </c>
      <c r="E13198" s="29" t="s">
        <v>53374</v>
      </c>
      <c r="F13198" s="36" t="s">
        <v>54423</v>
      </c>
      <c r="G13198" s="39">
        <v>509636.15</v>
      </c>
      <c r="H13198" s="42">
        <v>211</v>
      </c>
    </row>
    <row r="13199" spans="1:8" ht="15" customHeight="1">
      <c r="A13199" s="26">
        <v>1052413937</v>
      </c>
      <c r="B13199" s="29" t="s">
        <v>15409</v>
      </c>
      <c r="C13199" s="29" t="s">
        <v>28814</v>
      </c>
      <c r="D13199" s="29" t="s">
        <v>42331</v>
      </c>
      <c r="E13199" s="29" t="s">
        <v>53375</v>
      </c>
      <c r="F13199" s="36" t="s">
        <v>54401</v>
      </c>
      <c r="G13199" s="39">
        <v>272240.27</v>
      </c>
      <c r="H13199" s="42">
        <v>211</v>
      </c>
    </row>
    <row r="13200" spans="1:8" ht="15" customHeight="1">
      <c r="A13200" s="26">
        <v>1052414021</v>
      </c>
      <c r="B13200" s="29" t="s">
        <v>15410</v>
      </c>
      <c r="C13200" s="29" t="s">
        <v>17204</v>
      </c>
      <c r="D13200" s="29" t="s">
        <v>30349</v>
      </c>
      <c r="E13200" s="29" t="s">
        <v>43926</v>
      </c>
      <c r="F13200" s="36" t="s">
        <v>54401</v>
      </c>
      <c r="G13200" s="39">
        <v>48850.48</v>
      </c>
      <c r="H13200" s="42">
        <v>211</v>
      </c>
    </row>
    <row r="13201" spans="1:8" ht="15" customHeight="1">
      <c r="A13201" s="26">
        <v>1052414025</v>
      </c>
      <c r="B13201" s="29" t="s">
        <v>15411</v>
      </c>
      <c r="C13201" s="29" t="s">
        <v>28815</v>
      </c>
      <c r="D13201" s="29" t="s">
        <v>42332</v>
      </c>
      <c r="E13201" s="29" t="s">
        <v>53376</v>
      </c>
      <c r="F13201" s="36" t="s">
        <v>54401</v>
      </c>
      <c r="G13201" s="39">
        <v>5732183.8399999999</v>
      </c>
      <c r="H13201" s="42">
        <v>211</v>
      </c>
    </row>
    <row r="13202" spans="1:8" ht="15" customHeight="1">
      <c r="A13202" s="26">
        <v>1052414052</v>
      </c>
      <c r="B13202" s="29" t="s">
        <v>15412</v>
      </c>
      <c r="C13202" s="29" t="s">
        <v>28816</v>
      </c>
      <c r="D13202" s="29" t="s">
        <v>42333</v>
      </c>
      <c r="E13202" s="29" t="s">
        <v>53377</v>
      </c>
      <c r="F13202" s="36" t="s">
        <v>54401</v>
      </c>
      <c r="G13202" s="39">
        <v>4884712.6500000004</v>
      </c>
      <c r="H13202" s="42">
        <v>211</v>
      </c>
    </row>
    <row r="13203" spans="1:8" ht="15" customHeight="1">
      <c r="A13203" s="26">
        <v>1052414073</v>
      </c>
      <c r="B13203" s="29" t="s">
        <v>15413</v>
      </c>
      <c r="C13203" s="29" t="s">
        <v>28817</v>
      </c>
      <c r="D13203" s="29" t="s">
        <v>42334</v>
      </c>
      <c r="E13203" s="29" t="s">
        <v>53378</v>
      </c>
      <c r="F13203" s="36" t="s">
        <v>54401</v>
      </c>
      <c r="G13203" s="39">
        <v>3035449</v>
      </c>
      <c r="H13203" s="42">
        <v>211</v>
      </c>
    </row>
    <row r="13204" spans="1:8" ht="15" customHeight="1">
      <c r="A13204" s="26">
        <v>1052414080</v>
      </c>
      <c r="B13204" s="29" t="s">
        <v>15414</v>
      </c>
      <c r="C13204" s="29" t="s">
        <v>28818</v>
      </c>
      <c r="D13204" s="29" t="s">
        <v>42335</v>
      </c>
      <c r="E13204" s="29" t="s">
        <v>53379</v>
      </c>
      <c r="F13204" s="36" t="s">
        <v>54401</v>
      </c>
      <c r="G13204" s="39">
        <v>3665729.83</v>
      </c>
      <c r="H13204" s="42">
        <v>211</v>
      </c>
    </row>
    <row r="13205" spans="1:8" ht="15" customHeight="1">
      <c r="A13205" s="26">
        <v>1052414156</v>
      </c>
      <c r="B13205" s="29" t="s">
        <v>15415</v>
      </c>
      <c r="C13205" s="29" t="s">
        <v>28819</v>
      </c>
      <c r="D13205" s="29" t="s">
        <v>42336</v>
      </c>
      <c r="E13205" s="29" t="s">
        <v>53380</v>
      </c>
      <c r="F13205" s="36" t="s">
        <v>54401</v>
      </c>
      <c r="G13205" s="39">
        <v>170695.11</v>
      </c>
      <c r="H13205" s="42">
        <v>211</v>
      </c>
    </row>
    <row r="13206" spans="1:8" ht="15" customHeight="1">
      <c r="A13206" s="26">
        <v>1052414166</v>
      </c>
      <c r="B13206" s="29" t="s">
        <v>15416</v>
      </c>
      <c r="C13206" s="29" t="s">
        <v>28820</v>
      </c>
      <c r="D13206" s="29" t="s">
        <v>42337</v>
      </c>
      <c r="E13206" s="29" t="s">
        <v>53381</v>
      </c>
      <c r="F13206" s="36" t="s">
        <v>54401</v>
      </c>
      <c r="G13206" s="39">
        <v>4549522.12</v>
      </c>
      <c r="H13206" s="42">
        <v>211</v>
      </c>
    </row>
    <row r="13207" spans="1:8" ht="15" customHeight="1">
      <c r="A13207" s="26">
        <v>1052414191</v>
      </c>
      <c r="B13207" s="29" t="s">
        <v>15417</v>
      </c>
      <c r="C13207" s="29" t="s">
        <v>28821</v>
      </c>
      <c r="D13207" s="29" t="s">
        <v>30376</v>
      </c>
      <c r="E13207" s="29" t="s">
        <v>48889</v>
      </c>
      <c r="F13207" s="36" t="s">
        <v>54401</v>
      </c>
      <c r="G13207" s="39">
        <v>3082979.59</v>
      </c>
      <c r="H13207" s="42">
        <v>211</v>
      </c>
    </row>
    <row r="13208" spans="1:8" ht="15" customHeight="1">
      <c r="A13208" s="26">
        <v>1052414193</v>
      </c>
      <c r="B13208" s="29" t="s">
        <v>15418</v>
      </c>
      <c r="C13208" s="29" t="s">
        <v>28822</v>
      </c>
      <c r="D13208" s="29" t="s">
        <v>42338</v>
      </c>
      <c r="E13208" s="29" t="s">
        <v>53382</v>
      </c>
      <c r="F13208" s="36" t="s">
        <v>54401</v>
      </c>
      <c r="G13208" s="39">
        <v>3877032</v>
      </c>
      <c r="H13208" s="42">
        <v>211</v>
      </c>
    </row>
    <row r="13209" spans="1:8" ht="15" customHeight="1">
      <c r="A13209" s="26">
        <v>1052414202</v>
      </c>
      <c r="B13209" s="29" t="s">
        <v>15419</v>
      </c>
      <c r="C13209" s="29" t="s">
        <v>28823</v>
      </c>
      <c r="D13209" s="29" t="s">
        <v>42339</v>
      </c>
      <c r="E13209" s="29" t="s">
        <v>43926</v>
      </c>
      <c r="F13209" s="36" t="s">
        <v>54401</v>
      </c>
      <c r="G13209" s="39">
        <v>603365.03</v>
      </c>
      <c r="H13209" s="42">
        <v>211</v>
      </c>
    </row>
    <row r="13210" spans="1:8" ht="15" customHeight="1">
      <c r="A13210" s="26">
        <v>1052414205</v>
      </c>
      <c r="B13210" s="29" t="s">
        <v>15420</v>
      </c>
      <c r="C13210" s="29" t="s">
        <v>28824</v>
      </c>
      <c r="D13210" s="29" t="s">
        <v>42340</v>
      </c>
      <c r="E13210" s="29" t="s">
        <v>53383</v>
      </c>
      <c r="F13210" s="36" t="s">
        <v>54401</v>
      </c>
      <c r="G13210" s="39">
        <v>293981.36</v>
      </c>
      <c r="H13210" s="42">
        <v>211</v>
      </c>
    </row>
    <row r="13211" spans="1:8" ht="15" customHeight="1">
      <c r="A13211" s="26">
        <v>1052414220</v>
      </c>
      <c r="B13211" s="29" t="s">
        <v>15421</v>
      </c>
      <c r="C13211" s="29" t="s">
        <v>28825</v>
      </c>
      <c r="D13211" s="29" t="s">
        <v>42341</v>
      </c>
      <c r="E13211" s="29" t="s">
        <v>53384</v>
      </c>
      <c r="F13211" s="36" t="s">
        <v>54401</v>
      </c>
      <c r="G13211" s="39">
        <v>5548851</v>
      </c>
      <c r="H13211" s="42">
        <v>211</v>
      </c>
    </row>
    <row r="13212" spans="1:8" ht="15" customHeight="1">
      <c r="A13212" s="26">
        <v>1052414269</v>
      </c>
      <c r="B13212" s="29" t="s">
        <v>15422</v>
      </c>
      <c r="C13212" s="29" t="s">
        <v>28826</v>
      </c>
      <c r="D13212" s="29" t="s">
        <v>42342</v>
      </c>
      <c r="E13212" s="29" t="s">
        <v>43926</v>
      </c>
      <c r="F13212" s="36" t="s">
        <v>54401</v>
      </c>
      <c r="G13212" s="39">
        <v>243245.89</v>
      </c>
      <c r="H13212" s="42">
        <v>211</v>
      </c>
    </row>
    <row r="13213" spans="1:8" ht="15" customHeight="1">
      <c r="A13213" s="26">
        <v>1052414276</v>
      </c>
      <c r="B13213" s="29" t="s">
        <v>15423</v>
      </c>
      <c r="C13213" s="29" t="s">
        <v>17204</v>
      </c>
      <c r="D13213" s="29" t="s">
        <v>42343</v>
      </c>
      <c r="E13213" s="29" t="s">
        <v>43926</v>
      </c>
      <c r="F13213" s="36" t="s">
        <v>54401</v>
      </c>
      <c r="G13213" s="39">
        <v>153078.51</v>
      </c>
      <c r="H13213" s="42">
        <v>211</v>
      </c>
    </row>
    <row r="13214" spans="1:8" ht="15" customHeight="1">
      <c r="A13214" s="26">
        <v>1052414290</v>
      </c>
      <c r="B13214" s="29" t="s">
        <v>15424</v>
      </c>
      <c r="C13214" s="29" t="s">
        <v>28827</v>
      </c>
      <c r="D13214" s="29" t="s">
        <v>42344</v>
      </c>
      <c r="E13214" s="29" t="s">
        <v>53385</v>
      </c>
      <c r="F13214" s="36" t="s">
        <v>54401</v>
      </c>
      <c r="G13214" s="39">
        <v>9529.42</v>
      </c>
      <c r="H13214" s="42">
        <v>211</v>
      </c>
    </row>
    <row r="13215" spans="1:8" ht="15" customHeight="1">
      <c r="A13215" s="26">
        <v>1052414295</v>
      </c>
      <c r="B13215" s="29" t="s">
        <v>15425</v>
      </c>
      <c r="C13215" s="29" t="s">
        <v>28828</v>
      </c>
      <c r="D13215" s="29" t="s">
        <v>42345</v>
      </c>
      <c r="E13215" s="29" t="s">
        <v>53386</v>
      </c>
      <c r="F13215" s="36" t="s">
        <v>54401</v>
      </c>
      <c r="G13215" s="39">
        <v>453803.41</v>
      </c>
      <c r="H13215" s="42">
        <v>211</v>
      </c>
    </row>
    <row r="13216" spans="1:8" ht="15" customHeight="1">
      <c r="A13216" s="26">
        <v>1052414316</v>
      </c>
      <c r="B13216" s="29" t="s">
        <v>15426</v>
      </c>
      <c r="C13216" s="29" t="s">
        <v>28829</v>
      </c>
      <c r="D13216" s="29" t="s">
        <v>42346</v>
      </c>
      <c r="E13216" s="29" t="s">
        <v>49101</v>
      </c>
      <c r="F13216" s="36" t="s">
        <v>54401</v>
      </c>
      <c r="G13216" s="39">
        <v>1114878.2</v>
      </c>
      <c r="H13216" s="42">
        <v>211</v>
      </c>
    </row>
    <row r="13217" spans="1:8" ht="15" customHeight="1">
      <c r="A13217" s="26">
        <v>1052414320</v>
      </c>
      <c r="B13217" s="29" t="s">
        <v>15427</v>
      </c>
      <c r="C13217" s="29" t="s">
        <v>28830</v>
      </c>
      <c r="D13217" s="29" t="s">
        <v>42347</v>
      </c>
      <c r="E13217" s="29" t="s">
        <v>53387</v>
      </c>
      <c r="F13217" s="36" t="s">
        <v>54401</v>
      </c>
      <c r="G13217" s="39">
        <v>75952.87</v>
      </c>
      <c r="H13217" s="42">
        <v>211</v>
      </c>
    </row>
    <row r="13218" spans="1:8" ht="15" customHeight="1">
      <c r="A13218" s="26">
        <v>1052414357</v>
      </c>
      <c r="B13218" s="29" t="s">
        <v>15428</v>
      </c>
      <c r="C13218" s="29" t="s">
        <v>17204</v>
      </c>
      <c r="D13218" s="29" t="s">
        <v>30349</v>
      </c>
      <c r="E13218" s="29" t="s">
        <v>43926</v>
      </c>
      <c r="F13218" s="36" t="s">
        <v>54401</v>
      </c>
      <c r="G13218" s="39">
        <v>215296.63</v>
      </c>
      <c r="H13218" s="42">
        <v>211</v>
      </c>
    </row>
    <row r="13219" spans="1:8" ht="15" customHeight="1">
      <c r="A13219" s="26">
        <v>1052414367</v>
      </c>
      <c r="B13219" s="29" t="s">
        <v>15429</v>
      </c>
      <c r="C13219" s="29" t="s">
        <v>28831</v>
      </c>
      <c r="D13219" s="29" t="s">
        <v>42348</v>
      </c>
      <c r="E13219" s="29" t="s">
        <v>44413</v>
      </c>
      <c r="F13219" s="36" t="s">
        <v>54401</v>
      </c>
      <c r="G13219" s="39">
        <v>349341.24</v>
      </c>
      <c r="H13219" s="42">
        <v>211</v>
      </c>
    </row>
    <row r="13220" spans="1:8" ht="15" customHeight="1">
      <c r="A13220" s="26">
        <v>1052414384</v>
      </c>
      <c r="B13220" s="29" t="s">
        <v>15430</v>
      </c>
      <c r="C13220" s="29" t="s">
        <v>17204</v>
      </c>
      <c r="D13220" s="29" t="s">
        <v>30349</v>
      </c>
      <c r="E13220" s="29" t="s">
        <v>43926</v>
      </c>
      <c r="F13220" s="36" t="s">
        <v>54401</v>
      </c>
      <c r="G13220" s="39">
        <v>274811.52000000002</v>
      </c>
      <c r="H13220" s="42">
        <v>211</v>
      </c>
    </row>
    <row r="13221" spans="1:8" ht="15" customHeight="1">
      <c r="A13221" s="26">
        <v>1052414387</v>
      </c>
      <c r="B13221" s="29" t="s">
        <v>15431</v>
      </c>
      <c r="C13221" s="29" t="s">
        <v>28832</v>
      </c>
      <c r="D13221" s="29" t="s">
        <v>42349</v>
      </c>
      <c r="E13221" s="29" t="s">
        <v>53388</v>
      </c>
      <c r="F13221" s="36" t="s">
        <v>54401</v>
      </c>
      <c r="G13221" s="39">
        <v>3001326.53</v>
      </c>
      <c r="H13221" s="42">
        <v>211</v>
      </c>
    </row>
    <row r="13222" spans="1:8" ht="15" customHeight="1">
      <c r="A13222" s="26">
        <v>1052414390</v>
      </c>
      <c r="B13222" s="29" t="s">
        <v>15432</v>
      </c>
      <c r="C13222" s="29" t="s">
        <v>28833</v>
      </c>
      <c r="D13222" s="29" t="s">
        <v>42350</v>
      </c>
      <c r="E13222" s="29" t="s">
        <v>53389</v>
      </c>
      <c r="F13222" s="36" t="s">
        <v>54401</v>
      </c>
      <c r="G13222" s="39">
        <v>3383975.4</v>
      </c>
      <c r="H13222" s="42">
        <v>211</v>
      </c>
    </row>
    <row r="13223" spans="1:8" ht="15" customHeight="1">
      <c r="A13223" s="26">
        <v>1052414391</v>
      </c>
      <c r="B13223" s="29" t="s">
        <v>15433</v>
      </c>
      <c r="C13223" s="26" t="s">
        <v>28834</v>
      </c>
      <c r="D13223" s="26" t="s">
        <v>42351</v>
      </c>
      <c r="E13223" s="26" t="s">
        <v>43926</v>
      </c>
      <c r="F13223" s="37" t="s">
        <v>54401</v>
      </c>
      <c r="G13223" s="39">
        <v>335425.19</v>
      </c>
      <c r="H13223" s="42">
        <v>211</v>
      </c>
    </row>
    <row r="13224" spans="1:8" ht="15" customHeight="1">
      <c r="A13224" s="26">
        <v>1052414403</v>
      </c>
      <c r="B13224" s="29" t="s">
        <v>15434</v>
      </c>
      <c r="C13224" s="29" t="s">
        <v>28835</v>
      </c>
      <c r="D13224" s="29" t="s">
        <v>42352</v>
      </c>
      <c r="E13224" s="29" t="s">
        <v>45314</v>
      </c>
      <c r="F13224" s="36" t="s">
        <v>54401</v>
      </c>
      <c r="G13224" s="39">
        <v>1740582</v>
      </c>
      <c r="H13224" s="42">
        <v>211</v>
      </c>
    </row>
    <row r="13225" spans="1:8" ht="15" customHeight="1">
      <c r="A13225" s="26">
        <v>1052414411</v>
      </c>
      <c r="B13225" s="29" t="s">
        <v>15435</v>
      </c>
      <c r="C13225" s="26" t="s">
        <v>28836</v>
      </c>
      <c r="D13225" s="26" t="s">
        <v>42353</v>
      </c>
      <c r="E13225" s="26" t="s">
        <v>53390</v>
      </c>
      <c r="F13225" s="37" t="s">
        <v>54401</v>
      </c>
      <c r="G13225" s="39">
        <v>4730446.5</v>
      </c>
      <c r="H13225" s="42">
        <v>211</v>
      </c>
    </row>
    <row r="13226" spans="1:8" ht="15" customHeight="1">
      <c r="A13226" s="26">
        <v>1052414434</v>
      </c>
      <c r="B13226" s="29" t="s">
        <v>15436</v>
      </c>
      <c r="C13226" s="29" t="s">
        <v>28837</v>
      </c>
      <c r="D13226" s="29" t="s">
        <v>42354</v>
      </c>
      <c r="E13226" s="29" t="s">
        <v>53391</v>
      </c>
      <c r="F13226" s="36" t="s">
        <v>54401</v>
      </c>
      <c r="G13226" s="39">
        <v>5475815.5199999996</v>
      </c>
      <c r="H13226" s="42">
        <v>211</v>
      </c>
    </row>
    <row r="13227" spans="1:8" ht="15" customHeight="1">
      <c r="A13227" s="26">
        <v>1052414439</v>
      </c>
      <c r="B13227" s="29" t="s">
        <v>15437</v>
      </c>
      <c r="C13227" s="29" t="s">
        <v>28838</v>
      </c>
      <c r="D13227" s="29" t="s">
        <v>42355</v>
      </c>
      <c r="E13227" s="29" t="s">
        <v>44025</v>
      </c>
      <c r="F13227" s="36" t="s">
        <v>54401</v>
      </c>
      <c r="G13227" s="39">
        <v>1017334.19</v>
      </c>
      <c r="H13227" s="42">
        <v>211</v>
      </c>
    </row>
    <row r="13228" spans="1:8" ht="15" customHeight="1">
      <c r="A13228" s="26">
        <v>1052414466</v>
      </c>
      <c r="B13228" s="29" t="s">
        <v>15438</v>
      </c>
      <c r="C13228" s="29" t="s">
        <v>28839</v>
      </c>
      <c r="D13228" s="29" t="s">
        <v>42356</v>
      </c>
      <c r="E13228" s="29" t="s">
        <v>46474</v>
      </c>
      <c r="F13228" s="36" t="s">
        <v>54401</v>
      </c>
      <c r="G13228" s="39">
        <v>270639.93</v>
      </c>
      <c r="H13228" s="42">
        <v>211</v>
      </c>
    </row>
    <row r="13229" spans="1:8" ht="15" customHeight="1">
      <c r="A13229" s="26">
        <v>1052414487</v>
      </c>
      <c r="B13229" s="29" t="s">
        <v>15439</v>
      </c>
      <c r="C13229" s="29" t="s">
        <v>28840</v>
      </c>
      <c r="D13229" s="29" t="s">
        <v>42357</v>
      </c>
      <c r="E13229" s="29" t="s">
        <v>53164</v>
      </c>
      <c r="F13229" s="36" t="s">
        <v>54401</v>
      </c>
      <c r="G13229" s="39">
        <v>6251795</v>
      </c>
      <c r="H13229" s="42">
        <v>211</v>
      </c>
    </row>
    <row r="13230" spans="1:8" ht="15" customHeight="1">
      <c r="A13230" s="26">
        <v>1052414493</v>
      </c>
      <c r="B13230" s="29" t="s">
        <v>15440</v>
      </c>
      <c r="C13230" s="29" t="s">
        <v>28841</v>
      </c>
      <c r="D13230" s="29" t="s">
        <v>42358</v>
      </c>
      <c r="E13230" s="29" t="s">
        <v>53392</v>
      </c>
      <c r="F13230" s="36" t="s">
        <v>54401</v>
      </c>
      <c r="G13230" s="39">
        <v>322128.61</v>
      </c>
      <c r="H13230" s="42">
        <v>211</v>
      </c>
    </row>
    <row r="13231" spans="1:8" ht="15" customHeight="1">
      <c r="A13231" s="26">
        <v>1052414534</v>
      </c>
      <c r="B13231" s="29" t="s">
        <v>15441</v>
      </c>
      <c r="C13231" s="29" t="s">
        <v>28842</v>
      </c>
      <c r="D13231" s="29" t="s">
        <v>42359</v>
      </c>
      <c r="E13231" s="29" t="s">
        <v>53393</v>
      </c>
      <c r="F13231" s="36" t="s">
        <v>54401</v>
      </c>
      <c r="G13231" s="39">
        <v>663612.13</v>
      </c>
      <c r="H13231" s="42">
        <v>211</v>
      </c>
    </row>
    <row r="13232" spans="1:8" ht="15" customHeight="1">
      <c r="A13232" s="26">
        <v>1052414563</v>
      </c>
      <c r="B13232" s="29" t="s">
        <v>15442</v>
      </c>
      <c r="C13232" s="29" t="s">
        <v>17204</v>
      </c>
      <c r="D13232" s="29" t="s">
        <v>37333</v>
      </c>
      <c r="E13232" s="29" t="s">
        <v>43926</v>
      </c>
      <c r="F13232" s="36" t="s">
        <v>54401</v>
      </c>
      <c r="G13232" s="39">
        <v>160314.04999999999</v>
      </c>
      <c r="H13232" s="42">
        <v>211</v>
      </c>
    </row>
    <row r="13233" spans="1:8" ht="15" customHeight="1">
      <c r="A13233" s="26">
        <v>1052414564</v>
      </c>
      <c r="B13233" s="29" t="s">
        <v>15443</v>
      </c>
      <c r="C13233" s="29" t="s">
        <v>28843</v>
      </c>
      <c r="D13233" s="29" t="s">
        <v>42360</v>
      </c>
      <c r="E13233" s="29" t="s">
        <v>53394</v>
      </c>
      <c r="F13233" s="36" t="s">
        <v>54401</v>
      </c>
      <c r="G13233" s="39">
        <v>1726707</v>
      </c>
      <c r="H13233" s="42">
        <v>211</v>
      </c>
    </row>
    <row r="13234" spans="1:8" ht="15" customHeight="1">
      <c r="A13234" s="26">
        <v>1052414643</v>
      </c>
      <c r="B13234" s="29" t="s">
        <v>15444</v>
      </c>
      <c r="C13234" s="29" t="s">
        <v>28844</v>
      </c>
      <c r="D13234" s="29" t="s">
        <v>42361</v>
      </c>
      <c r="E13234" s="29" t="s">
        <v>53395</v>
      </c>
      <c r="F13234" s="36" t="s">
        <v>54401</v>
      </c>
      <c r="G13234" s="39">
        <v>331061.71999999997</v>
      </c>
      <c r="H13234" s="42">
        <v>211</v>
      </c>
    </row>
    <row r="13235" spans="1:8" ht="15" customHeight="1">
      <c r="A13235" s="26">
        <v>1052414650</v>
      </c>
      <c r="B13235" s="29" t="s">
        <v>15445</v>
      </c>
      <c r="C13235" s="29" t="s">
        <v>28845</v>
      </c>
      <c r="D13235" s="29" t="s">
        <v>34188</v>
      </c>
      <c r="E13235" s="29" t="s">
        <v>53396</v>
      </c>
      <c r="F13235" s="36" t="s">
        <v>54401</v>
      </c>
      <c r="G13235" s="39">
        <v>5547382.0099999998</v>
      </c>
      <c r="H13235" s="42">
        <v>211</v>
      </c>
    </row>
    <row r="13236" spans="1:8" ht="15" customHeight="1">
      <c r="A13236" s="26">
        <v>1052414656</v>
      </c>
      <c r="B13236" s="29" t="s">
        <v>15446</v>
      </c>
      <c r="C13236" s="29" t="s">
        <v>28846</v>
      </c>
      <c r="D13236" s="29" t="s">
        <v>42362</v>
      </c>
      <c r="E13236" s="29" t="s">
        <v>53397</v>
      </c>
      <c r="F13236" s="36" t="s">
        <v>54401</v>
      </c>
      <c r="G13236" s="39">
        <v>2780843.89</v>
      </c>
      <c r="H13236" s="42">
        <v>211</v>
      </c>
    </row>
    <row r="13237" spans="1:8" ht="15" customHeight="1">
      <c r="A13237" s="26">
        <v>1052414674</v>
      </c>
      <c r="B13237" s="29" t="s">
        <v>15447</v>
      </c>
      <c r="C13237" s="29" t="s">
        <v>28847</v>
      </c>
      <c r="D13237" s="29" t="s">
        <v>42363</v>
      </c>
      <c r="E13237" s="29" t="s">
        <v>49144</v>
      </c>
      <c r="F13237" s="36" t="s">
        <v>54401</v>
      </c>
      <c r="G13237" s="39">
        <v>2563335.06</v>
      </c>
      <c r="H13237" s="42">
        <v>211</v>
      </c>
    </row>
    <row r="13238" spans="1:8" ht="15" customHeight="1">
      <c r="A13238" s="26">
        <v>1052414687</v>
      </c>
      <c r="B13238" s="29" t="s">
        <v>15448</v>
      </c>
      <c r="C13238" s="29" t="s">
        <v>28848</v>
      </c>
      <c r="D13238" s="29" t="s">
        <v>42364</v>
      </c>
      <c r="E13238" s="29" t="s">
        <v>53398</v>
      </c>
      <c r="F13238" s="36" t="s">
        <v>54423</v>
      </c>
      <c r="G13238" s="39">
        <v>13260.5</v>
      </c>
      <c r="H13238" s="42">
        <v>211</v>
      </c>
    </row>
    <row r="13239" spans="1:8" ht="15" customHeight="1">
      <c r="A13239" s="26">
        <v>1052414690</v>
      </c>
      <c r="B13239" s="29" t="s">
        <v>15449</v>
      </c>
      <c r="C13239" s="26" t="s">
        <v>28849</v>
      </c>
      <c r="D13239" s="26" t="s">
        <v>42365</v>
      </c>
      <c r="E13239" s="26" t="s">
        <v>44133</v>
      </c>
      <c r="F13239" s="37" t="s">
        <v>54401</v>
      </c>
      <c r="G13239" s="39">
        <v>317600.98</v>
      </c>
      <c r="H13239" s="42">
        <v>211</v>
      </c>
    </row>
    <row r="13240" spans="1:8" ht="15" customHeight="1">
      <c r="A13240" s="26">
        <v>1052414709</v>
      </c>
      <c r="B13240" s="29" t="s">
        <v>15450</v>
      </c>
      <c r="C13240" s="29" t="s">
        <v>28850</v>
      </c>
      <c r="D13240" s="29" t="s">
        <v>42366</v>
      </c>
      <c r="E13240" s="29" t="s">
        <v>53399</v>
      </c>
      <c r="F13240" s="36" t="s">
        <v>54401</v>
      </c>
      <c r="G13240" s="39">
        <v>1192154.08</v>
      </c>
      <c r="H13240" s="42">
        <v>211</v>
      </c>
    </row>
    <row r="13241" spans="1:8" ht="15" customHeight="1">
      <c r="A13241" s="26">
        <v>1052414724</v>
      </c>
      <c r="B13241" s="29" t="s">
        <v>15451</v>
      </c>
      <c r="C13241" s="29" t="s">
        <v>28851</v>
      </c>
      <c r="D13241" s="29" t="s">
        <v>42367</v>
      </c>
      <c r="E13241" s="29" t="s">
        <v>46322</v>
      </c>
      <c r="F13241" s="36" t="s">
        <v>54401</v>
      </c>
      <c r="G13241" s="39">
        <v>11250</v>
      </c>
      <c r="H13241" s="42">
        <v>211</v>
      </c>
    </row>
    <row r="13242" spans="1:8" ht="15" customHeight="1">
      <c r="A13242" s="26">
        <v>1052414725</v>
      </c>
      <c r="B13242" s="29" t="s">
        <v>15452</v>
      </c>
      <c r="C13242" s="29" t="s">
        <v>28403</v>
      </c>
      <c r="D13242" s="29" t="s">
        <v>42368</v>
      </c>
      <c r="E13242" s="29" t="s">
        <v>53400</v>
      </c>
      <c r="F13242" s="36" t="s">
        <v>54401</v>
      </c>
      <c r="G13242" s="39">
        <v>4740379.12</v>
      </c>
      <c r="H13242" s="42">
        <v>211</v>
      </c>
    </row>
    <row r="13243" spans="1:8" ht="15" customHeight="1">
      <c r="A13243" s="26">
        <v>1052414750</v>
      </c>
      <c r="B13243" s="29" t="s">
        <v>15453</v>
      </c>
      <c r="C13243" s="29" t="s">
        <v>28852</v>
      </c>
      <c r="D13243" s="29" t="s">
        <v>30660</v>
      </c>
      <c r="E13243" s="29" t="s">
        <v>53401</v>
      </c>
      <c r="F13243" s="36" t="s">
        <v>54401</v>
      </c>
      <c r="G13243" s="39">
        <v>3816867</v>
      </c>
      <c r="H13243" s="42">
        <v>211</v>
      </c>
    </row>
    <row r="13244" spans="1:8" ht="15" customHeight="1">
      <c r="A13244" s="26">
        <v>1052414767</v>
      </c>
      <c r="B13244" s="29" t="s">
        <v>15454</v>
      </c>
      <c r="C13244" s="29" t="s">
        <v>28853</v>
      </c>
      <c r="D13244" s="29" t="s">
        <v>42369</v>
      </c>
      <c r="E13244" s="29" t="s">
        <v>53402</v>
      </c>
      <c r="F13244" s="36" t="s">
        <v>54401</v>
      </c>
      <c r="G13244" s="39">
        <v>816223.27</v>
      </c>
      <c r="H13244" s="42">
        <v>211</v>
      </c>
    </row>
    <row r="13245" spans="1:8" ht="15" customHeight="1">
      <c r="A13245" s="26">
        <v>1052414779</v>
      </c>
      <c r="B13245" s="29" t="s">
        <v>15455</v>
      </c>
      <c r="C13245" s="29" t="s">
        <v>28854</v>
      </c>
      <c r="D13245" s="29" t="s">
        <v>42370</v>
      </c>
      <c r="E13245" s="29" t="s">
        <v>53403</v>
      </c>
      <c r="F13245" s="36" t="s">
        <v>54401</v>
      </c>
      <c r="G13245" s="39">
        <v>612018.35</v>
      </c>
      <c r="H13245" s="42">
        <v>211</v>
      </c>
    </row>
    <row r="13246" spans="1:8" ht="15" customHeight="1">
      <c r="A13246" s="26">
        <v>1052414800</v>
      </c>
      <c r="B13246" s="29" t="s">
        <v>15456</v>
      </c>
      <c r="C13246" s="29" t="s">
        <v>28855</v>
      </c>
      <c r="D13246" s="29" t="s">
        <v>42371</v>
      </c>
      <c r="E13246" s="29" t="s">
        <v>45314</v>
      </c>
      <c r="F13246" s="36" t="s">
        <v>54401</v>
      </c>
      <c r="G13246" s="39">
        <v>3114385</v>
      </c>
      <c r="H13246" s="42">
        <v>211</v>
      </c>
    </row>
    <row r="13247" spans="1:8" ht="15" customHeight="1">
      <c r="A13247" s="26">
        <v>1052414806</v>
      </c>
      <c r="B13247" s="29" t="s">
        <v>15457</v>
      </c>
      <c r="C13247" s="29" t="s">
        <v>28856</v>
      </c>
      <c r="D13247" s="29" t="s">
        <v>42372</v>
      </c>
      <c r="E13247" s="29" t="s">
        <v>53404</v>
      </c>
      <c r="F13247" s="36" t="s">
        <v>54401</v>
      </c>
      <c r="G13247" s="39">
        <v>546268.18000000005</v>
      </c>
      <c r="H13247" s="42">
        <v>211</v>
      </c>
    </row>
    <row r="13248" spans="1:8" ht="15" customHeight="1">
      <c r="A13248" s="26">
        <v>1052414807</v>
      </c>
      <c r="B13248" s="29" t="s">
        <v>15458</v>
      </c>
      <c r="C13248" s="29" t="s">
        <v>28857</v>
      </c>
      <c r="D13248" s="29" t="s">
        <v>42373</v>
      </c>
      <c r="E13248" s="29" t="s">
        <v>53405</v>
      </c>
      <c r="F13248" s="36" t="s">
        <v>54401</v>
      </c>
      <c r="G13248" s="39">
        <v>1621457.58</v>
      </c>
      <c r="H13248" s="42">
        <v>211</v>
      </c>
    </row>
    <row r="13249" spans="1:8" ht="15" customHeight="1">
      <c r="A13249" s="26">
        <v>1052414823</v>
      </c>
      <c r="B13249" s="29" t="s">
        <v>15459</v>
      </c>
      <c r="C13249" s="29" t="s">
        <v>28858</v>
      </c>
      <c r="D13249" s="29" t="s">
        <v>42374</v>
      </c>
      <c r="E13249" s="29" t="s">
        <v>53406</v>
      </c>
      <c r="F13249" s="36" t="s">
        <v>54401</v>
      </c>
      <c r="G13249" s="39">
        <v>1758167.68</v>
      </c>
      <c r="H13249" s="42">
        <v>211</v>
      </c>
    </row>
    <row r="13250" spans="1:8" ht="15" customHeight="1">
      <c r="A13250" s="26">
        <v>1052414825</v>
      </c>
      <c r="B13250" s="29" t="s">
        <v>15460</v>
      </c>
      <c r="C13250" s="29" t="s">
        <v>28859</v>
      </c>
      <c r="D13250" s="29" t="s">
        <v>42375</v>
      </c>
      <c r="E13250" s="29" t="s">
        <v>44313</v>
      </c>
      <c r="F13250" s="36" t="s">
        <v>54401</v>
      </c>
      <c r="G13250" s="39">
        <v>542040.38</v>
      </c>
      <c r="H13250" s="42">
        <v>211</v>
      </c>
    </row>
    <row r="13251" spans="1:8" ht="15" customHeight="1">
      <c r="A13251" s="26">
        <v>1052414828</v>
      </c>
      <c r="B13251" s="29" t="s">
        <v>15461</v>
      </c>
      <c r="C13251" s="29" t="s">
        <v>28860</v>
      </c>
      <c r="D13251" s="29" t="s">
        <v>30376</v>
      </c>
      <c r="E13251" s="29" t="s">
        <v>53407</v>
      </c>
      <c r="F13251" s="36" t="s">
        <v>54401</v>
      </c>
      <c r="G13251" s="39">
        <v>611951.35</v>
      </c>
      <c r="H13251" s="42">
        <v>211</v>
      </c>
    </row>
    <row r="13252" spans="1:8" ht="15" customHeight="1">
      <c r="A13252" s="26">
        <v>1052414863</v>
      </c>
      <c r="B13252" s="29" t="s">
        <v>15462</v>
      </c>
      <c r="C13252" s="29" t="s">
        <v>28861</v>
      </c>
      <c r="D13252" s="29" t="s">
        <v>42376</v>
      </c>
      <c r="E13252" s="29" t="s">
        <v>53408</v>
      </c>
      <c r="F13252" s="36" t="s">
        <v>54401</v>
      </c>
      <c r="G13252" s="39">
        <v>2859893</v>
      </c>
      <c r="H13252" s="42">
        <v>211</v>
      </c>
    </row>
    <row r="13253" spans="1:8" ht="15" customHeight="1">
      <c r="A13253" s="26">
        <v>1052414864</v>
      </c>
      <c r="B13253" s="29" t="s">
        <v>15463</v>
      </c>
      <c r="C13253" s="29" t="s">
        <v>17204</v>
      </c>
      <c r="D13253" s="29" t="s">
        <v>30349</v>
      </c>
      <c r="E13253" s="29" t="s">
        <v>43926</v>
      </c>
      <c r="F13253" s="36" t="s">
        <v>54401</v>
      </c>
      <c r="G13253" s="39">
        <v>585783.71</v>
      </c>
      <c r="H13253" s="42">
        <v>211</v>
      </c>
    </row>
    <row r="13254" spans="1:8" ht="15" customHeight="1">
      <c r="A13254" s="26">
        <v>1052414876</v>
      </c>
      <c r="B13254" s="29" t="s">
        <v>15464</v>
      </c>
      <c r="C13254" s="29" t="s">
        <v>28862</v>
      </c>
      <c r="D13254" s="29" t="s">
        <v>42377</v>
      </c>
      <c r="E13254" s="29" t="s">
        <v>44324</v>
      </c>
      <c r="F13254" s="36" t="s">
        <v>54401</v>
      </c>
      <c r="G13254" s="39">
        <v>103744.71</v>
      </c>
      <c r="H13254" s="42">
        <v>211</v>
      </c>
    </row>
    <row r="13255" spans="1:8" ht="15" customHeight="1">
      <c r="A13255" s="26">
        <v>1052414899</v>
      </c>
      <c r="B13255" s="29" t="s">
        <v>15465</v>
      </c>
      <c r="C13255" s="29" t="s">
        <v>28863</v>
      </c>
      <c r="D13255" s="29" t="s">
        <v>42378</v>
      </c>
      <c r="E13255" s="29" t="s">
        <v>53409</v>
      </c>
      <c r="F13255" s="36" t="s">
        <v>54401</v>
      </c>
      <c r="G13255" s="39">
        <v>696669.86</v>
      </c>
      <c r="H13255" s="42">
        <v>211</v>
      </c>
    </row>
    <row r="13256" spans="1:8" ht="15" customHeight="1">
      <c r="A13256" s="26">
        <v>1052414901</v>
      </c>
      <c r="B13256" s="29" t="s">
        <v>15466</v>
      </c>
      <c r="C13256" s="29" t="s">
        <v>28864</v>
      </c>
      <c r="D13256" s="29" t="s">
        <v>42379</v>
      </c>
      <c r="E13256" s="29" t="s">
        <v>53410</v>
      </c>
      <c r="F13256" s="36" t="s">
        <v>54401</v>
      </c>
      <c r="G13256" s="39">
        <v>561536.32999999996</v>
      </c>
      <c r="H13256" s="42">
        <v>211</v>
      </c>
    </row>
    <row r="13257" spans="1:8" ht="15" customHeight="1">
      <c r="A13257" s="26">
        <v>1052414912</v>
      </c>
      <c r="B13257" s="29" t="s">
        <v>15467</v>
      </c>
      <c r="C13257" s="29" t="s">
        <v>17204</v>
      </c>
      <c r="D13257" s="29" t="s">
        <v>42380</v>
      </c>
      <c r="E13257" s="29" t="s">
        <v>43926</v>
      </c>
      <c r="F13257" s="36" t="s">
        <v>54401</v>
      </c>
      <c r="G13257" s="39">
        <v>39726.61</v>
      </c>
      <c r="H13257" s="42">
        <v>211</v>
      </c>
    </row>
    <row r="13258" spans="1:8" ht="15" customHeight="1">
      <c r="A13258" s="26">
        <v>1052414962</v>
      </c>
      <c r="B13258" s="29" t="s">
        <v>15468</v>
      </c>
      <c r="C13258" s="29" t="s">
        <v>28865</v>
      </c>
      <c r="D13258" s="29" t="s">
        <v>30349</v>
      </c>
      <c r="E13258" s="29" t="s">
        <v>53411</v>
      </c>
      <c r="F13258" s="36" t="s">
        <v>54401</v>
      </c>
      <c r="G13258" s="39">
        <v>28955.97</v>
      </c>
      <c r="H13258" s="42">
        <v>211</v>
      </c>
    </row>
    <row r="13259" spans="1:8" ht="15" customHeight="1">
      <c r="A13259" s="26">
        <v>1052414976</v>
      </c>
      <c r="B13259" s="29" t="s">
        <v>15469</v>
      </c>
      <c r="C13259" s="29" t="s">
        <v>28866</v>
      </c>
      <c r="D13259" s="29" t="s">
        <v>42381</v>
      </c>
      <c r="E13259" s="29" t="s">
        <v>53412</v>
      </c>
      <c r="F13259" s="36" t="s">
        <v>54401</v>
      </c>
      <c r="G13259" s="39">
        <v>5836377.79</v>
      </c>
      <c r="H13259" s="42">
        <v>211</v>
      </c>
    </row>
    <row r="13260" spans="1:8" ht="15" customHeight="1">
      <c r="A13260" s="26">
        <v>1052414985</v>
      </c>
      <c r="B13260" s="29" t="s">
        <v>15470</v>
      </c>
      <c r="C13260" s="29" t="s">
        <v>28867</v>
      </c>
      <c r="D13260" s="29" t="s">
        <v>42382</v>
      </c>
      <c r="E13260" s="29" t="s">
        <v>44524</v>
      </c>
      <c r="F13260" s="36" t="s">
        <v>54401</v>
      </c>
      <c r="G13260" s="39">
        <v>2837668.95</v>
      </c>
      <c r="H13260" s="42">
        <v>211</v>
      </c>
    </row>
    <row r="13261" spans="1:8" ht="15" customHeight="1">
      <c r="A13261" s="26">
        <v>1052414989</v>
      </c>
      <c r="B13261" s="29" t="s">
        <v>15471</v>
      </c>
      <c r="C13261" s="29" t="s">
        <v>28868</v>
      </c>
      <c r="D13261" s="29" t="s">
        <v>42383</v>
      </c>
      <c r="E13261" s="29" t="s">
        <v>53413</v>
      </c>
      <c r="F13261" s="36" t="s">
        <v>54401</v>
      </c>
      <c r="G13261" s="39">
        <v>1918428.2</v>
      </c>
      <c r="H13261" s="42">
        <v>211</v>
      </c>
    </row>
    <row r="13262" spans="1:8" ht="15" customHeight="1">
      <c r="A13262" s="26">
        <v>1052415016</v>
      </c>
      <c r="B13262" s="29" t="s">
        <v>15472</v>
      </c>
      <c r="C13262" s="29" t="s">
        <v>17204</v>
      </c>
      <c r="D13262" s="29" t="s">
        <v>42384</v>
      </c>
      <c r="E13262" s="29" t="s">
        <v>43926</v>
      </c>
      <c r="F13262" s="36" t="s">
        <v>54401</v>
      </c>
      <c r="G13262" s="39">
        <v>513366.31</v>
      </c>
      <c r="H13262" s="42">
        <v>211</v>
      </c>
    </row>
    <row r="13263" spans="1:8" ht="15" customHeight="1">
      <c r="A13263" s="26">
        <v>1052415042</v>
      </c>
      <c r="B13263" s="29" t="s">
        <v>15473</v>
      </c>
      <c r="C13263" s="29" t="s">
        <v>28869</v>
      </c>
      <c r="D13263" s="29" t="s">
        <v>42385</v>
      </c>
      <c r="E13263" s="29" t="s">
        <v>47926</v>
      </c>
      <c r="F13263" s="36" t="s">
        <v>54401</v>
      </c>
      <c r="G13263" s="39">
        <v>217391.54</v>
      </c>
      <c r="H13263" s="42">
        <v>211</v>
      </c>
    </row>
    <row r="13264" spans="1:8" ht="15" customHeight="1">
      <c r="A13264" s="26">
        <v>1052415076</v>
      </c>
      <c r="B13264" s="29" t="s">
        <v>15474</v>
      </c>
      <c r="C13264" s="29" t="s">
        <v>28870</v>
      </c>
      <c r="D13264" s="29" t="s">
        <v>42386</v>
      </c>
      <c r="E13264" s="29" t="s">
        <v>49479</v>
      </c>
      <c r="F13264" s="36" t="s">
        <v>54401</v>
      </c>
      <c r="G13264" s="39">
        <v>1600704.92</v>
      </c>
      <c r="H13264" s="42">
        <v>211</v>
      </c>
    </row>
    <row r="13265" spans="1:8" ht="15" customHeight="1">
      <c r="A13265" s="26">
        <v>1052415097</v>
      </c>
      <c r="B13265" s="29" t="s">
        <v>15475</v>
      </c>
      <c r="C13265" s="29" t="s">
        <v>28871</v>
      </c>
      <c r="D13265" s="29" t="s">
        <v>42387</v>
      </c>
      <c r="E13265" s="29" t="s">
        <v>53414</v>
      </c>
      <c r="F13265" s="36" t="s">
        <v>54401</v>
      </c>
      <c r="G13265" s="39">
        <v>233192.45</v>
      </c>
      <c r="H13265" s="42">
        <v>211</v>
      </c>
    </row>
    <row r="13266" spans="1:8" ht="15" customHeight="1">
      <c r="A13266" s="26">
        <v>1052415149</v>
      </c>
      <c r="B13266" s="29" t="s">
        <v>15476</v>
      </c>
      <c r="C13266" s="29" t="s">
        <v>28872</v>
      </c>
      <c r="D13266" s="29" t="s">
        <v>42388</v>
      </c>
      <c r="E13266" s="29" t="s">
        <v>53415</v>
      </c>
      <c r="F13266" s="36" t="s">
        <v>54401</v>
      </c>
      <c r="G13266" s="39">
        <v>2093033.29</v>
      </c>
      <c r="H13266" s="42">
        <v>211</v>
      </c>
    </row>
    <row r="13267" spans="1:8" ht="15" customHeight="1">
      <c r="A13267" s="26">
        <v>1052415154</v>
      </c>
      <c r="B13267" s="29" t="s">
        <v>15477</v>
      </c>
      <c r="C13267" s="29" t="s">
        <v>28873</v>
      </c>
      <c r="D13267" s="29" t="s">
        <v>42389</v>
      </c>
      <c r="E13267" s="29" t="s">
        <v>53416</v>
      </c>
      <c r="F13267" s="36" t="s">
        <v>54401</v>
      </c>
      <c r="G13267" s="39">
        <v>516723.69</v>
      </c>
      <c r="H13267" s="42">
        <v>211</v>
      </c>
    </row>
    <row r="13268" spans="1:8" ht="15" customHeight="1">
      <c r="A13268" s="26">
        <v>1052415195</v>
      </c>
      <c r="B13268" s="29" t="s">
        <v>15478</v>
      </c>
      <c r="C13268" s="29" t="s">
        <v>28874</v>
      </c>
      <c r="D13268" s="29" t="s">
        <v>42390</v>
      </c>
      <c r="E13268" s="29" t="s">
        <v>53417</v>
      </c>
      <c r="F13268" s="36" t="s">
        <v>54401</v>
      </c>
      <c r="G13268" s="39">
        <v>1558748.12</v>
      </c>
      <c r="H13268" s="42">
        <v>211</v>
      </c>
    </row>
    <row r="13269" spans="1:8" ht="15" customHeight="1">
      <c r="A13269" s="26">
        <v>1052415215</v>
      </c>
      <c r="B13269" s="29" t="s">
        <v>15479</v>
      </c>
      <c r="C13269" s="26" t="s">
        <v>28875</v>
      </c>
      <c r="D13269" s="26" t="s">
        <v>42391</v>
      </c>
      <c r="E13269" s="26" t="s">
        <v>43926</v>
      </c>
      <c r="F13269" s="37" t="s">
        <v>54401</v>
      </c>
      <c r="G13269" s="39">
        <v>1973785.16</v>
      </c>
      <c r="H13269" s="42">
        <v>211</v>
      </c>
    </row>
    <row r="13270" spans="1:8" ht="15" customHeight="1">
      <c r="A13270" s="26">
        <v>1052415217</v>
      </c>
      <c r="B13270" s="29" t="s">
        <v>15480</v>
      </c>
      <c r="C13270" s="29" t="s">
        <v>28876</v>
      </c>
      <c r="D13270" s="29" t="s">
        <v>42392</v>
      </c>
      <c r="E13270" s="29" t="s">
        <v>43926</v>
      </c>
      <c r="F13270" s="36" t="s">
        <v>54401</v>
      </c>
      <c r="G13270" s="39">
        <v>62093.63</v>
      </c>
      <c r="H13270" s="42">
        <v>211</v>
      </c>
    </row>
    <row r="13271" spans="1:8" ht="15" customHeight="1">
      <c r="A13271" s="26">
        <v>1052415226</v>
      </c>
      <c r="B13271" s="29" t="s">
        <v>15481</v>
      </c>
      <c r="C13271" s="29" t="s">
        <v>28877</v>
      </c>
      <c r="D13271" s="29" t="s">
        <v>30714</v>
      </c>
      <c r="E13271" s="29" t="s">
        <v>53418</v>
      </c>
      <c r="F13271" s="36" t="s">
        <v>54401</v>
      </c>
      <c r="G13271" s="39">
        <v>1599188.47</v>
      </c>
      <c r="H13271" s="42">
        <v>211</v>
      </c>
    </row>
    <row r="13272" spans="1:8" ht="15" customHeight="1">
      <c r="A13272" s="26">
        <v>1052415251</v>
      </c>
      <c r="B13272" s="29" t="s">
        <v>15482</v>
      </c>
      <c r="C13272" s="29" t="s">
        <v>17204</v>
      </c>
      <c r="D13272" s="29" t="s">
        <v>42393</v>
      </c>
      <c r="E13272" s="29" t="s">
        <v>43926</v>
      </c>
      <c r="F13272" s="36" t="s">
        <v>54401</v>
      </c>
      <c r="G13272" s="39">
        <v>326683.21000000002</v>
      </c>
      <c r="H13272" s="42">
        <v>211</v>
      </c>
    </row>
    <row r="13273" spans="1:8" ht="15" customHeight="1">
      <c r="A13273" s="26">
        <v>1052415257</v>
      </c>
      <c r="B13273" s="29" t="s">
        <v>15483</v>
      </c>
      <c r="C13273" s="29" t="s">
        <v>28878</v>
      </c>
      <c r="D13273" s="29" t="s">
        <v>42394</v>
      </c>
      <c r="E13273" s="29" t="s">
        <v>53419</v>
      </c>
      <c r="F13273" s="36" t="s">
        <v>54401</v>
      </c>
      <c r="G13273" s="39">
        <v>409885.9</v>
      </c>
      <c r="H13273" s="42">
        <v>211</v>
      </c>
    </row>
    <row r="13274" spans="1:8" ht="15" customHeight="1">
      <c r="A13274" s="26">
        <v>1052415266</v>
      </c>
      <c r="B13274" s="29" t="s">
        <v>15484</v>
      </c>
      <c r="C13274" s="29" t="s">
        <v>28879</v>
      </c>
      <c r="D13274" s="29" t="s">
        <v>42395</v>
      </c>
      <c r="E13274" s="29" t="s">
        <v>43926</v>
      </c>
      <c r="F13274" s="36" t="s">
        <v>54401</v>
      </c>
      <c r="G13274" s="39">
        <v>370267.39</v>
      </c>
      <c r="H13274" s="42">
        <v>211</v>
      </c>
    </row>
    <row r="13275" spans="1:8" ht="15" customHeight="1">
      <c r="A13275" s="26">
        <v>1052415292</v>
      </c>
      <c r="B13275" s="29" t="s">
        <v>15485</v>
      </c>
      <c r="C13275" s="29" t="s">
        <v>28880</v>
      </c>
      <c r="D13275" s="29" t="s">
        <v>42396</v>
      </c>
      <c r="E13275" s="29" t="s">
        <v>46308</v>
      </c>
      <c r="F13275" s="36" t="s">
        <v>54401</v>
      </c>
      <c r="G13275" s="39">
        <v>4064633.99</v>
      </c>
      <c r="H13275" s="42">
        <v>211</v>
      </c>
    </row>
    <row r="13276" spans="1:8" ht="15" customHeight="1">
      <c r="A13276" s="26">
        <v>1052415299</v>
      </c>
      <c r="B13276" s="29" t="s">
        <v>15486</v>
      </c>
      <c r="C13276" s="29" t="s">
        <v>28881</v>
      </c>
      <c r="D13276" s="29" t="s">
        <v>42397</v>
      </c>
      <c r="E13276" s="29" t="s">
        <v>53420</v>
      </c>
      <c r="F13276" s="36" t="s">
        <v>54401</v>
      </c>
      <c r="G13276" s="39">
        <v>52521.01</v>
      </c>
      <c r="H13276" s="42">
        <v>211</v>
      </c>
    </row>
    <row r="13277" spans="1:8" ht="15" customHeight="1">
      <c r="A13277" s="26">
        <v>1052415305</v>
      </c>
      <c r="B13277" s="29" t="s">
        <v>15487</v>
      </c>
      <c r="C13277" s="26" t="s">
        <v>28882</v>
      </c>
      <c r="D13277" s="26" t="s">
        <v>42398</v>
      </c>
      <c r="E13277" s="26" t="s">
        <v>44538</v>
      </c>
      <c r="F13277" s="37" t="s">
        <v>54401</v>
      </c>
      <c r="G13277" s="39">
        <v>412707.41</v>
      </c>
      <c r="H13277" s="42">
        <v>211</v>
      </c>
    </row>
    <row r="13278" spans="1:8" ht="15" customHeight="1">
      <c r="A13278" s="26">
        <v>1052415338</v>
      </c>
      <c r="B13278" s="29" t="s">
        <v>15488</v>
      </c>
      <c r="C13278" s="26" t="s">
        <v>28883</v>
      </c>
      <c r="D13278" s="26" t="s">
        <v>42399</v>
      </c>
      <c r="E13278" s="26" t="s">
        <v>53421</v>
      </c>
      <c r="F13278" s="37" t="s">
        <v>54401</v>
      </c>
      <c r="G13278" s="39">
        <v>4665044.51</v>
      </c>
      <c r="H13278" s="42">
        <v>211</v>
      </c>
    </row>
    <row r="13279" spans="1:8" ht="15" customHeight="1">
      <c r="A13279" s="26">
        <v>1052415347</v>
      </c>
      <c r="B13279" s="29" t="s">
        <v>15489</v>
      </c>
      <c r="C13279" s="26" t="s">
        <v>28884</v>
      </c>
      <c r="D13279" s="26" t="s">
        <v>42400</v>
      </c>
      <c r="E13279" s="26" t="s">
        <v>46474</v>
      </c>
      <c r="F13279" s="37" t="s">
        <v>54401</v>
      </c>
      <c r="G13279" s="39">
        <v>3435015.84</v>
      </c>
      <c r="H13279" s="42">
        <v>211</v>
      </c>
    </row>
    <row r="13280" spans="1:8" ht="15" customHeight="1">
      <c r="A13280" s="26">
        <v>1052415383</v>
      </c>
      <c r="B13280" s="29" t="s">
        <v>15490</v>
      </c>
      <c r="C13280" s="29" t="s">
        <v>28885</v>
      </c>
      <c r="D13280" s="29" t="s">
        <v>42401</v>
      </c>
      <c r="E13280" s="29" t="s">
        <v>53422</v>
      </c>
      <c r="F13280" s="36" t="s">
        <v>54401</v>
      </c>
      <c r="G13280" s="39">
        <v>2014771.57</v>
      </c>
      <c r="H13280" s="42">
        <v>211</v>
      </c>
    </row>
    <row r="13281" spans="1:8" ht="15" customHeight="1">
      <c r="A13281" s="26">
        <v>1052415384</v>
      </c>
      <c r="B13281" s="29" t="s">
        <v>15491</v>
      </c>
      <c r="C13281" s="29" t="s">
        <v>28886</v>
      </c>
      <c r="D13281" s="29" t="s">
        <v>42402</v>
      </c>
      <c r="E13281" s="29" t="s">
        <v>43926</v>
      </c>
      <c r="F13281" s="36" t="s">
        <v>54401</v>
      </c>
      <c r="G13281" s="39">
        <v>482284.9</v>
      </c>
      <c r="H13281" s="42">
        <v>211</v>
      </c>
    </row>
    <row r="13282" spans="1:8" ht="15" customHeight="1">
      <c r="A13282" s="26">
        <v>1052415387</v>
      </c>
      <c r="B13282" s="29" t="s">
        <v>15492</v>
      </c>
      <c r="C13282" s="29" t="s">
        <v>17204</v>
      </c>
      <c r="D13282" s="29" t="s">
        <v>39325</v>
      </c>
      <c r="E13282" s="29" t="s">
        <v>43926</v>
      </c>
      <c r="F13282" s="36" t="s">
        <v>54401</v>
      </c>
      <c r="G13282" s="39">
        <v>1098654.81</v>
      </c>
      <c r="H13282" s="42">
        <v>211</v>
      </c>
    </row>
    <row r="13283" spans="1:8" ht="15" customHeight="1">
      <c r="A13283" s="26">
        <v>1052415391</v>
      </c>
      <c r="B13283" s="29" t="s">
        <v>15493</v>
      </c>
      <c r="C13283" s="29" t="s">
        <v>28887</v>
      </c>
      <c r="D13283" s="29" t="s">
        <v>42403</v>
      </c>
      <c r="E13283" s="29" t="s">
        <v>53423</v>
      </c>
      <c r="F13283" s="36" t="s">
        <v>54401</v>
      </c>
      <c r="G13283" s="39">
        <v>4818910.53</v>
      </c>
      <c r="H13283" s="42">
        <v>211</v>
      </c>
    </row>
    <row r="13284" spans="1:8" ht="15" customHeight="1">
      <c r="A13284" s="26">
        <v>1052415402</v>
      </c>
      <c r="B13284" s="29" t="s">
        <v>15494</v>
      </c>
      <c r="C13284" s="29" t="s">
        <v>17204</v>
      </c>
      <c r="D13284" s="29" t="s">
        <v>30349</v>
      </c>
      <c r="E13284" s="29" t="s">
        <v>43926</v>
      </c>
      <c r="F13284" s="36" t="s">
        <v>54401</v>
      </c>
      <c r="G13284" s="39">
        <v>62930</v>
      </c>
      <c r="H13284" s="42">
        <v>211</v>
      </c>
    </row>
    <row r="13285" spans="1:8" ht="15" customHeight="1">
      <c r="A13285" s="26">
        <v>1052415407</v>
      </c>
      <c r="B13285" s="29" t="s">
        <v>15495</v>
      </c>
      <c r="C13285" s="29" t="s">
        <v>22347</v>
      </c>
      <c r="D13285" s="29" t="s">
        <v>35590</v>
      </c>
      <c r="E13285" s="29" t="s">
        <v>44178</v>
      </c>
      <c r="F13285" s="36" t="s">
        <v>54401</v>
      </c>
      <c r="G13285" s="39">
        <v>3269195</v>
      </c>
      <c r="H13285" s="42">
        <v>211</v>
      </c>
    </row>
    <row r="13286" spans="1:8" ht="15" customHeight="1">
      <c r="A13286" s="26">
        <v>1052415409</v>
      </c>
      <c r="B13286" s="29" t="s">
        <v>15496</v>
      </c>
      <c r="C13286" s="29" t="s">
        <v>17204</v>
      </c>
      <c r="D13286" s="29" t="s">
        <v>30349</v>
      </c>
      <c r="E13286" s="29" t="s">
        <v>43926</v>
      </c>
      <c r="F13286" s="36" t="s">
        <v>54401</v>
      </c>
      <c r="G13286" s="39">
        <v>165710.45000000001</v>
      </c>
      <c r="H13286" s="42">
        <v>211</v>
      </c>
    </row>
    <row r="13287" spans="1:8" ht="15" customHeight="1">
      <c r="A13287" s="26">
        <v>1052415453</v>
      </c>
      <c r="B13287" s="29" t="s">
        <v>15497</v>
      </c>
      <c r="C13287" s="29" t="s">
        <v>28888</v>
      </c>
      <c r="D13287" s="29" t="s">
        <v>42404</v>
      </c>
      <c r="E13287" s="29" t="s">
        <v>53424</v>
      </c>
      <c r="F13287" s="36" t="s">
        <v>54401</v>
      </c>
      <c r="G13287" s="39">
        <v>92415.66</v>
      </c>
      <c r="H13287" s="42">
        <v>211</v>
      </c>
    </row>
    <row r="13288" spans="1:8" ht="15" customHeight="1">
      <c r="A13288" s="26">
        <v>1052415457</v>
      </c>
      <c r="B13288" s="29" t="s">
        <v>15498</v>
      </c>
      <c r="C13288" s="29" t="s">
        <v>28889</v>
      </c>
      <c r="D13288" s="29" t="s">
        <v>42405</v>
      </c>
      <c r="E13288" s="29" t="s">
        <v>53425</v>
      </c>
      <c r="F13288" s="36" t="s">
        <v>54401</v>
      </c>
      <c r="G13288" s="39">
        <v>2760859.72</v>
      </c>
      <c r="H13288" s="42">
        <v>211</v>
      </c>
    </row>
    <row r="13289" spans="1:8" ht="15" customHeight="1">
      <c r="A13289" s="26">
        <v>1052415584</v>
      </c>
      <c r="B13289" s="29" t="s">
        <v>15499</v>
      </c>
      <c r="C13289" s="29" t="s">
        <v>28890</v>
      </c>
      <c r="D13289" s="29" t="s">
        <v>42406</v>
      </c>
      <c r="E13289" s="29" t="s">
        <v>53426</v>
      </c>
      <c r="F13289" s="36" t="s">
        <v>54401</v>
      </c>
      <c r="G13289" s="39">
        <v>2306374.08</v>
      </c>
      <c r="H13289" s="42">
        <v>211</v>
      </c>
    </row>
    <row r="13290" spans="1:8" ht="15" customHeight="1">
      <c r="A13290" s="26">
        <v>1052415590</v>
      </c>
      <c r="B13290" s="29" t="s">
        <v>15500</v>
      </c>
      <c r="C13290" s="29" t="s">
        <v>17204</v>
      </c>
      <c r="D13290" s="29" t="s">
        <v>30349</v>
      </c>
      <c r="E13290" s="29" t="s">
        <v>43926</v>
      </c>
      <c r="F13290" s="36" t="s">
        <v>54401</v>
      </c>
      <c r="G13290" s="39">
        <v>243379.41</v>
      </c>
      <c r="H13290" s="42">
        <v>211</v>
      </c>
    </row>
    <row r="13291" spans="1:8" ht="15" customHeight="1">
      <c r="A13291" s="26">
        <v>1052415641</v>
      </c>
      <c r="B13291" s="29" t="s">
        <v>15501</v>
      </c>
      <c r="C13291" s="29" t="s">
        <v>28891</v>
      </c>
      <c r="D13291" s="29" t="s">
        <v>42407</v>
      </c>
      <c r="E13291" s="29" t="s">
        <v>53427</v>
      </c>
      <c r="F13291" s="36" t="s">
        <v>54401</v>
      </c>
      <c r="G13291" s="39">
        <v>319634.57</v>
      </c>
      <c r="H13291" s="42">
        <v>211</v>
      </c>
    </row>
    <row r="13292" spans="1:8" ht="15" customHeight="1">
      <c r="A13292" s="26">
        <v>1052415662</v>
      </c>
      <c r="B13292" s="29" t="s">
        <v>15502</v>
      </c>
      <c r="C13292" s="29" t="s">
        <v>17204</v>
      </c>
      <c r="D13292" s="29" t="s">
        <v>42408</v>
      </c>
      <c r="E13292" s="29" t="s">
        <v>43926</v>
      </c>
      <c r="F13292" s="36" t="s">
        <v>54401</v>
      </c>
      <c r="G13292" s="39">
        <v>13454.2</v>
      </c>
      <c r="H13292" s="42">
        <v>211</v>
      </c>
    </row>
    <row r="13293" spans="1:8" ht="15" customHeight="1">
      <c r="A13293" s="26">
        <v>1052415700</v>
      </c>
      <c r="B13293" s="29" t="s">
        <v>15503</v>
      </c>
      <c r="C13293" s="26" t="s">
        <v>28892</v>
      </c>
      <c r="D13293" s="26" t="s">
        <v>42409</v>
      </c>
      <c r="E13293" s="26" t="s">
        <v>45178</v>
      </c>
      <c r="F13293" s="37" t="s">
        <v>54401</v>
      </c>
      <c r="G13293" s="39">
        <v>1776877.18</v>
      </c>
      <c r="H13293" s="42">
        <v>211</v>
      </c>
    </row>
    <row r="13294" spans="1:8" ht="15" customHeight="1">
      <c r="A13294" s="26">
        <v>1052415717</v>
      </c>
      <c r="B13294" s="29" t="s">
        <v>15504</v>
      </c>
      <c r="C13294" s="29" t="s">
        <v>28893</v>
      </c>
      <c r="D13294" s="29" t="s">
        <v>42410</v>
      </c>
      <c r="E13294" s="29" t="s">
        <v>50389</v>
      </c>
      <c r="F13294" s="36" t="s">
        <v>54401</v>
      </c>
      <c r="G13294" s="39">
        <v>1232962.51</v>
      </c>
      <c r="H13294" s="42">
        <v>211</v>
      </c>
    </row>
    <row r="13295" spans="1:8" ht="15" customHeight="1">
      <c r="A13295" s="26">
        <v>1052415718</v>
      </c>
      <c r="B13295" s="29" t="s">
        <v>15505</v>
      </c>
      <c r="C13295" s="29" t="s">
        <v>28894</v>
      </c>
      <c r="D13295" s="29" t="s">
        <v>42411</v>
      </c>
      <c r="E13295" s="29" t="s">
        <v>53428</v>
      </c>
      <c r="F13295" s="36" t="s">
        <v>54401</v>
      </c>
      <c r="G13295" s="39">
        <v>98250</v>
      </c>
      <c r="H13295" s="42">
        <v>211</v>
      </c>
    </row>
    <row r="13296" spans="1:8" ht="15" customHeight="1">
      <c r="A13296" s="26">
        <v>1052415761</v>
      </c>
      <c r="B13296" s="29" t="s">
        <v>15506</v>
      </c>
      <c r="C13296" s="29" t="s">
        <v>28895</v>
      </c>
      <c r="D13296" s="29" t="s">
        <v>42412</v>
      </c>
      <c r="E13296" s="29" t="s">
        <v>53429</v>
      </c>
      <c r="F13296" s="36" t="s">
        <v>54401</v>
      </c>
      <c r="G13296" s="39">
        <v>422088.51</v>
      </c>
      <c r="H13296" s="42">
        <v>211</v>
      </c>
    </row>
    <row r="13297" spans="1:8" ht="15" customHeight="1">
      <c r="A13297" s="26">
        <v>1052415783</v>
      </c>
      <c r="B13297" s="29" t="s">
        <v>15507</v>
      </c>
      <c r="C13297" s="29" t="s">
        <v>28896</v>
      </c>
      <c r="D13297" s="29" t="s">
        <v>42413</v>
      </c>
      <c r="E13297" s="29" t="s">
        <v>53430</v>
      </c>
      <c r="F13297" s="36" t="s">
        <v>54401</v>
      </c>
      <c r="G13297" s="39">
        <v>4714.29</v>
      </c>
      <c r="H13297" s="42">
        <v>211</v>
      </c>
    </row>
    <row r="13298" spans="1:8" ht="15" customHeight="1">
      <c r="A13298" s="26">
        <v>1052415784</v>
      </c>
      <c r="B13298" s="29" t="s">
        <v>15508</v>
      </c>
      <c r="C13298" s="29" t="s">
        <v>28897</v>
      </c>
      <c r="D13298" s="29" t="s">
        <v>42414</v>
      </c>
      <c r="E13298" s="29" t="s">
        <v>53431</v>
      </c>
      <c r="F13298" s="36" t="s">
        <v>54401</v>
      </c>
      <c r="G13298" s="39">
        <v>518054.34</v>
      </c>
      <c r="H13298" s="42">
        <v>211</v>
      </c>
    </row>
    <row r="13299" spans="1:8" ht="15" customHeight="1">
      <c r="A13299" s="26">
        <v>1052415797</v>
      </c>
      <c r="B13299" s="29" t="s">
        <v>15509</v>
      </c>
      <c r="C13299" s="29" t="s">
        <v>28898</v>
      </c>
      <c r="D13299" s="29" t="s">
        <v>42415</v>
      </c>
      <c r="E13299" s="29" t="s">
        <v>53432</v>
      </c>
      <c r="F13299" s="36" t="s">
        <v>54401</v>
      </c>
      <c r="G13299" s="39">
        <v>5539135.4100000001</v>
      </c>
      <c r="H13299" s="42">
        <v>211</v>
      </c>
    </row>
    <row r="13300" spans="1:8" ht="15" customHeight="1">
      <c r="A13300" s="26">
        <v>1052415806</v>
      </c>
      <c r="B13300" s="29" t="s">
        <v>15510</v>
      </c>
      <c r="C13300" s="29" t="s">
        <v>28899</v>
      </c>
      <c r="D13300" s="29" t="s">
        <v>42416</v>
      </c>
      <c r="E13300" s="29" t="s">
        <v>47203</v>
      </c>
      <c r="F13300" s="36" t="s">
        <v>54401</v>
      </c>
      <c r="G13300" s="39">
        <v>486745.41</v>
      </c>
      <c r="H13300" s="42">
        <v>211</v>
      </c>
    </row>
    <row r="13301" spans="1:8" ht="15" customHeight="1">
      <c r="A13301" s="26">
        <v>1052415818</v>
      </c>
      <c r="B13301" s="29" t="s">
        <v>15511</v>
      </c>
      <c r="C13301" s="26" t="s">
        <v>28900</v>
      </c>
      <c r="D13301" s="26" t="s">
        <v>42417</v>
      </c>
      <c r="E13301" s="26" t="s">
        <v>53433</v>
      </c>
      <c r="F13301" s="37" t="s">
        <v>54401</v>
      </c>
      <c r="G13301" s="39">
        <v>793707.15</v>
      </c>
      <c r="H13301" s="42">
        <v>211</v>
      </c>
    </row>
    <row r="13302" spans="1:8" ht="15" customHeight="1">
      <c r="A13302" s="26">
        <v>1052415843</v>
      </c>
      <c r="B13302" s="29" t="s">
        <v>15512</v>
      </c>
      <c r="C13302" s="26" t="s">
        <v>28901</v>
      </c>
      <c r="D13302" s="26" t="s">
        <v>42418</v>
      </c>
      <c r="E13302" s="26" t="s">
        <v>53434</v>
      </c>
      <c r="F13302" s="37" t="s">
        <v>54401</v>
      </c>
      <c r="G13302" s="39">
        <v>4000524.97</v>
      </c>
      <c r="H13302" s="42">
        <v>211</v>
      </c>
    </row>
    <row r="13303" spans="1:8" ht="15" customHeight="1">
      <c r="A13303" s="26">
        <v>1052415851</v>
      </c>
      <c r="B13303" s="29" t="s">
        <v>15513</v>
      </c>
      <c r="C13303" s="26" t="s">
        <v>28902</v>
      </c>
      <c r="D13303" s="26" t="s">
        <v>42419</v>
      </c>
      <c r="E13303" s="26" t="s">
        <v>53435</v>
      </c>
      <c r="F13303" s="37" t="s">
        <v>54401</v>
      </c>
      <c r="G13303" s="39">
        <v>2739759.35</v>
      </c>
      <c r="H13303" s="42">
        <v>211</v>
      </c>
    </row>
    <row r="13304" spans="1:8" ht="15" customHeight="1">
      <c r="A13304" s="26">
        <v>1052415855</v>
      </c>
      <c r="B13304" s="29" t="s">
        <v>15514</v>
      </c>
      <c r="C13304" s="29" t="s">
        <v>17204</v>
      </c>
      <c r="D13304" s="29" t="s">
        <v>42420</v>
      </c>
      <c r="E13304" s="29" t="s">
        <v>43926</v>
      </c>
      <c r="F13304" s="36" t="s">
        <v>54401</v>
      </c>
      <c r="G13304" s="39">
        <v>1696289</v>
      </c>
      <c r="H13304" s="42">
        <v>211</v>
      </c>
    </row>
    <row r="13305" spans="1:8" ht="15" customHeight="1">
      <c r="A13305" s="26">
        <v>1052415874</v>
      </c>
      <c r="B13305" s="29" t="s">
        <v>15515</v>
      </c>
      <c r="C13305" s="29" t="s">
        <v>28903</v>
      </c>
      <c r="D13305" s="29" t="s">
        <v>42421</v>
      </c>
      <c r="E13305" s="29" t="s">
        <v>53436</v>
      </c>
      <c r="F13305" s="36" t="s">
        <v>54401</v>
      </c>
      <c r="G13305" s="39">
        <v>111820.51</v>
      </c>
      <c r="H13305" s="42">
        <v>211</v>
      </c>
    </row>
    <row r="13306" spans="1:8" ht="15" customHeight="1">
      <c r="A13306" s="26">
        <v>1052415878</v>
      </c>
      <c r="B13306" s="29" t="s">
        <v>15516</v>
      </c>
      <c r="C13306" s="26" t="s">
        <v>28904</v>
      </c>
      <c r="D13306" s="26" t="s">
        <v>32029</v>
      </c>
      <c r="E13306" s="26" t="s">
        <v>52437</v>
      </c>
      <c r="F13306" s="37" t="s">
        <v>54401</v>
      </c>
      <c r="G13306" s="39">
        <v>2866347.69</v>
      </c>
      <c r="H13306" s="42">
        <v>211</v>
      </c>
    </row>
    <row r="13307" spans="1:8" ht="15" customHeight="1">
      <c r="A13307" s="26">
        <v>1052415879</v>
      </c>
      <c r="B13307" s="29" t="s">
        <v>15517</v>
      </c>
      <c r="C13307" s="29" t="s">
        <v>28905</v>
      </c>
      <c r="D13307" s="29" t="s">
        <v>42422</v>
      </c>
      <c r="E13307" s="29" t="s">
        <v>49474</v>
      </c>
      <c r="F13307" s="36" t="s">
        <v>54401</v>
      </c>
      <c r="G13307" s="39">
        <v>1358262.98</v>
      </c>
      <c r="H13307" s="42">
        <v>211</v>
      </c>
    </row>
    <row r="13308" spans="1:8" ht="15" customHeight="1">
      <c r="A13308" s="26">
        <v>1052415884</v>
      </c>
      <c r="B13308" s="29" t="s">
        <v>15518</v>
      </c>
      <c r="C13308" s="29" t="s">
        <v>28906</v>
      </c>
      <c r="D13308" s="29" t="s">
        <v>42423</v>
      </c>
      <c r="E13308" s="29" t="s">
        <v>53069</v>
      </c>
      <c r="F13308" s="36" t="s">
        <v>54401</v>
      </c>
      <c r="G13308" s="39">
        <v>5084081</v>
      </c>
      <c r="H13308" s="42">
        <v>211</v>
      </c>
    </row>
    <row r="13309" spans="1:8" ht="15" customHeight="1">
      <c r="A13309" s="26">
        <v>1052415907</v>
      </c>
      <c r="B13309" s="29" t="s">
        <v>15519</v>
      </c>
      <c r="C13309" s="29" t="s">
        <v>28907</v>
      </c>
      <c r="D13309" s="29" t="s">
        <v>42424</v>
      </c>
      <c r="E13309" s="29" t="s">
        <v>53437</v>
      </c>
      <c r="F13309" s="36" t="s">
        <v>54401</v>
      </c>
      <c r="G13309" s="39">
        <v>50699.03</v>
      </c>
      <c r="H13309" s="42">
        <v>211</v>
      </c>
    </row>
    <row r="13310" spans="1:8" ht="15" customHeight="1">
      <c r="A13310" s="26">
        <v>1052415915</v>
      </c>
      <c r="B13310" s="29" t="s">
        <v>15520</v>
      </c>
      <c r="C13310" s="29" t="s">
        <v>28908</v>
      </c>
      <c r="D13310" s="29" t="s">
        <v>42425</v>
      </c>
      <c r="E13310" s="29" t="s">
        <v>51123</v>
      </c>
      <c r="F13310" s="36" t="s">
        <v>54401</v>
      </c>
      <c r="G13310" s="39">
        <v>2035847.62</v>
      </c>
      <c r="H13310" s="42">
        <v>211</v>
      </c>
    </row>
    <row r="13311" spans="1:8" ht="15" customHeight="1">
      <c r="A13311" s="26">
        <v>1052415921</v>
      </c>
      <c r="B13311" s="29" t="s">
        <v>15521</v>
      </c>
      <c r="C13311" s="29" t="s">
        <v>28909</v>
      </c>
      <c r="D13311" s="29" t="s">
        <v>42426</v>
      </c>
      <c r="E13311" s="29" t="s">
        <v>53438</v>
      </c>
      <c r="F13311" s="36" t="s">
        <v>54401</v>
      </c>
      <c r="G13311" s="39">
        <v>2007472.74</v>
      </c>
      <c r="H13311" s="42">
        <v>211</v>
      </c>
    </row>
    <row r="13312" spans="1:8" ht="15" customHeight="1">
      <c r="A13312" s="26">
        <v>1052415945</v>
      </c>
      <c r="B13312" s="29" t="s">
        <v>15522</v>
      </c>
      <c r="C13312" s="29" t="s">
        <v>28910</v>
      </c>
      <c r="D13312" s="29" t="s">
        <v>41963</v>
      </c>
      <c r="E13312" s="29" t="s">
        <v>53032</v>
      </c>
      <c r="F13312" s="36" t="s">
        <v>54401</v>
      </c>
      <c r="G13312" s="39">
        <v>518991.61</v>
      </c>
      <c r="H13312" s="42">
        <v>211</v>
      </c>
    </row>
    <row r="13313" spans="1:8" ht="15" customHeight="1">
      <c r="A13313" s="26">
        <v>1052415947</v>
      </c>
      <c r="B13313" s="29" t="s">
        <v>15523</v>
      </c>
      <c r="C13313" s="29" t="s">
        <v>28911</v>
      </c>
      <c r="D13313" s="29" t="s">
        <v>42427</v>
      </c>
      <c r="E13313" s="29" t="s">
        <v>53439</v>
      </c>
      <c r="F13313" s="36" t="s">
        <v>54401</v>
      </c>
      <c r="G13313" s="39">
        <v>381387.1</v>
      </c>
      <c r="H13313" s="42">
        <v>211</v>
      </c>
    </row>
    <row r="13314" spans="1:8" ht="15" customHeight="1">
      <c r="A13314" s="26">
        <v>1052415980</v>
      </c>
      <c r="B13314" s="29" t="s">
        <v>15524</v>
      </c>
      <c r="C13314" s="29" t="s">
        <v>28912</v>
      </c>
      <c r="D13314" s="29" t="s">
        <v>42428</v>
      </c>
      <c r="E13314" s="29" t="s">
        <v>53440</v>
      </c>
      <c r="F13314" s="36" t="s">
        <v>54401</v>
      </c>
      <c r="G13314" s="39">
        <v>2028268</v>
      </c>
      <c r="H13314" s="42">
        <v>211</v>
      </c>
    </row>
    <row r="13315" spans="1:8" ht="15" customHeight="1">
      <c r="A13315" s="26">
        <v>1052415990</v>
      </c>
      <c r="B13315" s="29" t="s">
        <v>15525</v>
      </c>
      <c r="C13315" s="26" t="s">
        <v>28913</v>
      </c>
      <c r="D13315" s="26" t="s">
        <v>42429</v>
      </c>
      <c r="E13315" s="26" t="s">
        <v>49101</v>
      </c>
      <c r="F13315" s="37" t="s">
        <v>54401</v>
      </c>
      <c r="G13315" s="39">
        <v>2833564</v>
      </c>
      <c r="H13315" s="42">
        <v>211</v>
      </c>
    </row>
    <row r="13316" spans="1:8" ht="15" customHeight="1">
      <c r="A13316" s="26">
        <v>1052415991</v>
      </c>
      <c r="B13316" s="29" t="s">
        <v>15526</v>
      </c>
      <c r="C13316" s="29" t="s">
        <v>28914</v>
      </c>
      <c r="D13316" s="29" t="s">
        <v>42430</v>
      </c>
      <c r="E13316" s="29" t="s">
        <v>53441</v>
      </c>
      <c r="F13316" s="36" t="s">
        <v>54401</v>
      </c>
      <c r="G13316" s="39">
        <v>210589.02</v>
      </c>
      <c r="H13316" s="42">
        <v>211</v>
      </c>
    </row>
    <row r="13317" spans="1:8" ht="15" customHeight="1">
      <c r="A13317" s="26">
        <v>1052416019</v>
      </c>
      <c r="B13317" s="29" t="s">
        <v>15527</v>
      </c>
      <c r="C13317" s="29" t="s">
        <v>17204</v>
      </c>
      <c r="D13317" s="29" t="s">
        <v>30349</v>
      </c>
      <c r="E13317" s="29" t="s">
        <v>43926</v>
      </c>
      <c r="F13317" s="36" t="s">
        <v>54401</v>
      </c>
      <c r="G13317" s="39">
        <v>145525.54</v>
      </c>
      <c r="H13317" s="42">
        <v>211</v>
      </c>
    </row>
    <row r="13318" spans="1:8" ht="15" customHeight="1">
      <c r="A13318" s="26">
        <v>1052416078</v>
      </c>
      <c r="B13318" s="29" t="s">
        <v>15528</v>
      </c>
      <c r="C13318" s="29" t="s">
        <v>17204</v>
      </c>
      <c r="D13318" s="29" t="s">
        <v>30349</v>
      </c>
      <c r="E13318" s="29" t="s">
        <v>43926</v>
      </c>
      <c r="F13318" s="36" t="s">
        <v>54401</v>
      </c>
      <c r="G13318" s="39">
        <v>35936.74</v>
      </c>
      <c r="H13318" s="42">
        <v>211</v>
      </c>
    </row>
    <row r="13319" spans="1:8" ht="15" customHeight="1">
      <c r="A13319" s="26">
        <v>1052416088</v>
      </c>
      <c r="B13319" s="29" t="s">
        <v>15529</v>
      </c>
      <c r="C13319" s="29" t="s">
        <v>20285</v>
      </c>
      <c r="D13319" s="29" t="s">
        <v>42431</v>
      </c>
      <c r="E13319" s="29" t="s">
        <v>53442</v>
      </c>
      <c r="F13319" s="36" t="s">
        <v>54401</v>
      </c>
      <c r="G13319" s="39">
        <v>5154072.22</v>
      </c>
      <c r="H13319" s="42">
        <v>211</v>
      </c>
    </row>
    <row r="13320" spans="1:8" ht="15" customHeight="1">
      <c r="A13320" s="26">
        <v>1052416137</v>
      </c>
      <c r="B13320" s="29" t="s">
        <v>15530</v>
      </c>
      <c r="C13320" s="29" t="s">
        <v>28915</v>
      </c>
      <c r="D13320" s="29" t="s">
        <v>42432</v>
      </c>
      <c r="E13320" s="29" t="s">
        <v>53443</v>
      </c>
      <c r="F13320" s="36" t="s">
        <v>54401</v>
      </c>
      <c r="G13320" s="39">
        <v>1226222.1100000001</v>
      </c>
      <c r="H13320" s="42">
        <v>211</v>
      </c>
    </row>
    <row r="13321" spans="1:8" ht="15" customHeight="1">
      <c r="A13321" s="26">
        <v>1052416142</v>
      </c>
      <c r="B13321" s="29" t="s">
        <v>15531</v>
      </c>
      <c r="C13321" s="29" t="s">
        <v>28916</v>
      </c>
      <c r="D13321" s="29" t="s">
        <v>42433</v>
      </c>
      <c r="E13321" s="29" t="s">
        <v>51132</v>
      </c>
      <c r="F13321" s="36" t="s">
        <v>54413</v>
      </c>
      <c r="G13321" s="39">
        <v>716843.75</v>
      </c>
      <c r="H13321" s="42">
        <v>211</v>
      </c>
    </row>
    <row r="13322" spans="1:8" ht="15" customHeight="1">
      <c r="A13322" s="26">
        <v>1052416181</v>
      </c>
      <c r="B13322" s="29" t="s">
        <v>15532</v>
      </c>
      <c r="C13322" s="29" t="s">
        <v>28917</v>
      </c>
      <c r="D13322" s="29" t="s">
        <v>42434</v>
      </c>
      <c r="E13322" s="29" t="s">
        <v>53444</v>
      </c>
      <c r="F13322" s="36" t="s">
        <v>54401</v>
      </c>
      <c r="G13322" s="39">
        <v>4044431</v>
      </c>
      <c r="H13322" s="42">
        <v>211</v>
      </c>
    </row>
    <row r="13323" spans="1:8" ht="15" customHeight="1">
      <c r="A13323" s="26">
        <v>1052416211</v>
      </c>
      <c r="B13323" s="29" t="s">
        <v>15533</v>
      </c>
      <c r="C13323" s="29" t="s">
        <v>28918</v>
      </c>
      <c r="D13323" s="29" t="s">
        <v>30376</v>
      </c>
      <c r="E13323" s="29" t="s">
        <v>43926</v>
      </c>
      <c r="F13323" s="36" t="s">
        <v>54401</v>
      </c>
      <c r="G13323" s="39">
        <v>2336008.6800000002</v>
      </c>
      <c r="H13323" s="42">
        <v>211</v>
      </c>
    </row>
    <row r="13324" spans="1:8" ht="15" customHeight="1">
      <c r="A13324" s="26">
        <v>1052416214</v>
      </c>
      <c r="B13324" s="29" t="s">
        <v>15534</v>
      </c>
      <c r="C13324" s="29" t="s">
        <v>28919</v>
      </c>
      <c r="D13324" s="29" t="s">
        <v>42435</v>
      </c>
      <c r="E13324" s="29" t="s">
        <v>53445</v>
      </c>
      <c r="F13324" s="36" t="s">
        <v>54401</v>
      </c>
      <c r="G13324" s="39">
        <v>1116629.96</v>
      </c>
      <c r="H13324" s="42">
        <v>211</v>
      </c>
    </row>
    <row r="13325" spans="1:8" ht="15" customHeight="1">
      <c r="A13325" s="26">
        <v>1052416242</v>
      </c>
      <c r="B13325" s="29" t="s">
        <v>15535</v>
      </c>
      <c r="C13325" s="29" t="s">
        <v>28920</v>
      </c>
      <c r="D13325" s="29" t="s">
        <v>42436</v>
      </c>
      <c r="E13325" s="29" t="s">
        <v>53446</v>
      </c>
      <c r="F13325" s="36" t="s">
        <v>54401</v>
      </c>
      <c r="G13325" s="39">
        <v>4182404.68</v>
      </c>
      <c r="H13325" s="42">
        <v>211</v>
      </c>
    </row>
    <row r="13326" spans="1:8" ht="15" customHeight="1">
      <c r="A13326" s="26">
        <v>1052416255</v>
      </c>
      <c r="B13326" s="29" t="s">
        <v>15536</v>
      </c>
      <c r="C13326" s="29" t="s">
        <v>28921</v>
      </c>
      <c r="D13326" s="29" t="s">
        <v>42437</v>
      </c>
      <c r="E13326" s="29" t="s">
        <v>43926</v>
      </c>
      <c r="F13326" s="36" t="s">
        <v>54401</v>
      </c>
      <c r="G13326" s="39">
        <v>662817.1</v>
      </c>
      <c r="H13326" s="42">
        <v>211</v>
      </c>
    </row>
    <row r="13327" spans="1:8" ht="15" customHeight="1">
      <c r="A13327" s="26">
        <v>1052416285</v>
      </c>
      <c r="B13327" s="29" t="s">
        <v>15537</v>
      </c>
      <c r="C13327" s="26" t="s">
        <v>17204</v>
      </c>
      <c r="D13327" s="26" t="s">
        <v>30349</v>
      </c>
      <c r="E13327" s="26" t="s">
        <v>43926</v>
      </c>
      <c r="F13327" s="37" t="s">
        <v>54401</v>
      </c>
      <c r="G13327" s="39">
        <v>230527.18</v>
      </c>
      <c r="H13327" s="42">
        <v>211</v>
      </c>
    </row>
    <row r="13328" spans="1:8" ht="15" customHeight="1">
      <c r="A13328" s="26">
        <v>1052416305</v>
      </c>
      <c r="B13328" s="29" t="s">
        <v>15538</v>
      </c>
      <c r="C13328" s="29" t="s">
        <v>28922</v>
      </c>
      <c r="D13328" s="29" t="s">
        <v>42438</v>
      </c>
      <c r="E13328" s="29" t="s">
        <v>53447</v>
      </c>
      <c r="F13328" s="36" t="s">
        <v>54401</v>
      </c>
      <c r="G13328" s="39">
        <v>3360096</v>
      </c>
      <c r="H13328" s="42">
        <v>211</v>
      </c>
    </row>
    <row r="13329" spans="1:8" ht="15" customHeight="1">
      <c r="A13329" s="26">
        <v>1052416307</v>
      </c>
      <c r="B13329" s="29" t="s">
        <v>15539</v>
      </c>
      <c r="C13329" s="29" t="s">
        <v>28923</v>
      </c>
      <c r="D13329" s="29" t="s">
        <v>42439</v>
      </c>
      <c r="E13329" s="29" t="s">
        <v>53448</v>
      </c>
      <c r="F13329" s="36" t="s">
        <v>54401</v>
      </c>
      <c r="G13329" s="39">
        <v>520347.61</v>
      </c>
      <c r="H13329" s="42">
        <v>211</v>
      </c>
    </row>
    <row r="13330" spans="1:8" ht="15" customHeight="1">
      <c r="A13330" s="26">
        <v>1052416334</v>
      </c>
      <c r="B13330" s="29" t="s">
        <v>15540</v>
      </c>
      <c r="C13330" s="29" t="s">
        <v>17204</v>
      </c>
      <c r="D13330" s="29" t="s">
        <v>30349</v>
      </c>
      <c r="E13330" s="29" t="s">
        <v>43926</v>
      </c>
      <c r="F13330" s="36" t="s">
        <v>54401</v>
      </c>
      <c r="G13330" s="39">
        <v>518863.18</v>
      </c>
      <c r="H13330" s="42">
        <v>211</v>
      </c>
    </row>
    <row r="13331" spans="1:8" ht="15" customHeight="1">
      <c r="A13331" s="26">
        <v>1052416380</v>
      </c>
      <c r="B13331" s="29" t="s">
        <v>15541</v>
      </c>
      <c r="C13331" s="29" t="s">
        <v>28924</v>
      </c>
      <c r="D13331" s="29" t="s">
        <v>42440</v>
      </c>
      <c r="E13331" s="29" t="s">
        <v>53449</v>
      </c>
      <c r="F13331" s="36" t="s">
        <v>54401</v>
      </c>
      <c r="G13331" s="39">
        <v>3015461</v>
      </c>
      <c r="H13331" s="42">
        <v>211</v>
      </c>
    </row>
    <row r="13332" spans="1:8" ht="15" customHeight="1">
      <c r="A13332" s="26">
        <v>1052416388</v>
      </c>
      <c r="B13332" s="29" t="s">
        <v>15542</v>
      </c>
      <c r="C13332" s="29" t="s">
        <v>28925</v>
      </c>
      <c r="D13332" s="29" t="s">
        <v>42441</v>
      </c>
      <c r="E13332" s="29" t="s">
        <v>53166</v>
      </c>
      <c r="F13332" s="36" t="s">
        <v>54401</v>
      </c>
      <c r="G13332" s="39">
        <v>163324.38</v>
      </c>
      <c r="H13332" s="42">
        <v>211</v>
      </c>
    </row>
    <row r="13333" spans="1:8" ht="15" customHeight="1">
      <c r="A13333" s="26">
        <v>1052416414</v>
      </c>
      <c r="B13333" s="29" t="s">
        <v>15543</v>
      </c>
      <c r="C13333" s="29" t="s">
        <v>28926</v>
      </c>
      <c r="D13333" s="29" t="s">
        <v>42442</v>
      </c>
      <c r="E13333" s="29" t="s">
        <v>43926</v>
      </c>
      <c r="F13333" s="36" t="s">
        <v>54401</v>
      </c>
      <c r="G13333" s="39">
        <v>2247988.94</v>
      </c>
      <c r="H13333" s="42">
        <v>211</v>
      </c>
    </row>
    <row r="13334" spans="1:8" ht="15" customHeight="1">
      <c r="A13334" s="26">
        <v>1052416423</v>
      </c>
      <c r="B13334" s="29" t="s">
        <v>15544</v>
      </c>
      <c r="C13334" s="29" t="s">
        <v>28927</v>
      </c>
      <c r="D13334" s="29" t="s">
        <v>42443</v>
      </c>
      <c r="E13334" s="29" t="s">
        <v>53450</v>
      </c>
      <c r="F13334" s="36" t="s">
        <v>54401</v>
      </c>
      <c r="G13334" s="39">
        <v>15952.19</v>
      </c>
      <c r="H13334" s="42">
        <v>211</v>
      </c>
    </row>
    <row r="13335" spans="1:8" ht="15" customHeight="1">
      <c r="A13335" s="26">
        <v>1052416478</v>
      </c>
      <c r="B13335" s="29" t="s">
        <v>15545</v>
      </c>
      <c r="C13335" s="29" t="s">
        <v>28928</v>
      </c>
      <c r="D13335" s="29" t="s">
        <v>30376</v>
      </c>
      <c r="E13335" s="29" t="s">
        <v>53451</v>
      </c>
      <c r="F13335" s="36" t="s">
        <v>54401</v>
      </c>
      <c r="G13335" s="39">
        <v>277654.34999999998</v>
      </c>
      <c r="H13335" s="42">
        <v>211</v>
      </c>
    </row>
    <row r="13336" spans="1:8" ht="15" customHeight="1">
      <c r="A13336" s="26">
        <v>1052416488</v>
      </c>
      <c r="B13336" s="29" t="s">
        <v>15546</v>
      </c>
      <c r="C13336" s="29" t="s">
        <v>28929</v>
      </c>
      <c r="D13336" s="29" t="s">
        <v>42444</v>
      </c>
      <c r="E13336" s="29" t="s">
        <v>45232</v>
      </c>
      <c r="F13336" s="36" t="s">
        <v>54401</v>
      </c>
      <c r="G13336" s="39">
        <v>30752.18</v>
      </c>
      <c r="H13336" s="42">
        <v>211</v>
      </c>
    </row>
    <row r="13337" spans="1:8" ht="15" customHeight="1">
      <c r="A13337" s="26">
        <v>1052416496</v>
      </c>
      <c r="B13337" s="29" t="s">
        <v>15547</v>
      </c>
      <c r="C13337" s="29" t="s">
        <v>28930</v>
      </c>
      <c r="D13337" s="29" t="s">
        <v>42445</v>
      </c>
      <c r="E13337" s="29" t="s">
        <v>53452</v>
      </c>
      <c r="F13337" s="36" t="s">
        <v>54401</v>
      </c>
      <c r="G13337" s="39">
        <v>582880.68000000005</v>
      </c>
      <c r="H13337" s="42">
        <v>211</v>
      </c>
    </row>
    <row r="13338" spans="1:8" ht="15" customHeight="1">
      <c r="A13338" s="26">
        <v>1052416507</v>
      </c>
      <c r="B13338" s="29" t="s">
        <v>15548</v>
      </c>
      <c r="C13338" s="29" t="s">
        <v>17204</v>
      </c>
      <c r="D13338" s="29" t="s">
        <v>30349</v>
      </c>
      <c r="E13338" s="29" t="s">
        <v>43926</v>
      </c>
      <c r="F13338" s="36" t="s">
        <v>54401</v>
      </c>
      <c r="G13338" s="39">
        <v>51400.42</v>
      </c>
      <c r="H13338" s="42">
        <v>211</v>
      </c>
    </row>
    <row r="13339" spans="1:8" ht="15" customHeight="1">
      <c r="A13339" s="26">
        <v>1052416512</v>
      </c>
      <c r="B13339" s="29" t="s">
        <v>15549</v>
      </c>
      <c r="C13339" s="29" t="s">
        <v>17204</v>
      </c>
      <c r="D13339" s="29" t="s">
        <v>42446</v>
      </c>
      <c r="E13339" s="29" t="s">
        <v>43926</v>
      </c>
      <c r="F13339" s="36" t="s">
        <v>54401</v>
      </c>
      <c r="G13339" s="39">
        <v>391657.62</v>
      </c>
      <c r="H13339" s="42">
        <v>211</v>
      </c>
    </row>
    <row r="13340" spans="1:8" ht="15" customHeight="1">
      <c r="A13340" s="26">
        <v>1052416519</v>
      </c>
      <c r="B13340" s="29" t="s">
        <v>15550</v>
      </c>
      <c r="C13340" s="29" t="s">
        <v>28931</v>
      </c>
      <c r="D13340" s="29" t="s">
        <v>42447</v>
      </c>
      <c r="E13340" s="29" t="s">
        <v>43926</v>
      </c>
      <c r="F13340" s="36" t="s">
        <v>54401</v>
      </c>
      <c r="G13340" s="39">
        <v>252534.48</v>
      </c>
      <c r="H13340" s="42">
        <v>211</v>
      </c>
    </row>
    <row r="13341" spans="1:8" ht="15" customHeight="1">
      <c r="A13341" s="26">
        <v>1052416528</v>
      </c>
      <c r="B13341" s="29" t="s">
        <v>15551</v>
      </c>
      <c r="C13341" s="26" t="s">
        <v>28932</v>
      </c>
      <c r="D13341" s="26" t="s">
        <v>42448</v>
      </c>
      <c r="E13341" s="26" t="s">
        <v>53453</v>
      </c>
      <c r="F13341" s="37" t="s">
        <v>54401</v>
      </c>
      <c r="G13341" s="39">
        <v>335286.44</v>
      </c>
      <c r="H13341" s="42">
        <v>211</v>
      </c>
    </row>
    <row r="13342" spans="1:8" ht="15" customHeight="1">
      <c r="A13342" s="26">
        <v>1052416552</v>
      </c>
      <c r="B13342" s="29" t="s">
        <v>15552</v>
      </c>
      <c r="C13342" s="29" t="s">
        <v>28933</v>
      </c>
      <c r="D13342" s="29" t="s">
        <v>42449</v>
      </c>
      <c r="E13342" s="29" t="s">
        <v>53454</v>
      </c>
      <c r="F13342" s="36" t="s">
        <v>54401</v>
      </c>
      <c r="G13342" s="39">
        <v>150533.13</v>
      </c>
      <c r="H13342" s="42">
        <v>211</v>
      </c>
    </row>
    <row r="13343" spans="1:8" ht="15" customHeight="1">
      <c r="A13343" s="26">
        <v>1052416574</v>
      </c>
      <c r="B13343" s="29" t="s">
        <v>15553</v>
      </c>
      <c r="C13343" s="29" t="s">
        <v>28934</v>
      </c>
      <c r="D13343" s="29" t="s">
        <v>42450</v>
      </c>
      <c r="E13343" s="29" t="s">
        <v>44324</v>
      </c>
      <c r="F13343" s="36" t="s">
        <v>54401</v>
      </c>
      <c r="G13343" s="39">
        <v>153784.75</v>
      </c>
      <c r="H13343" s="42">
        <v>211</v>
      </c>
    </row>
    <row r="13344" spans="1:8" ht="15" customHeight="1">
      <c r="A13344" s="26">
        <v>1052416583</v>
      </c>
      <c r="B13344" s="29" t="s">
        <v>15554</v>
      </c>
      <c r="C13344" s="26" t="s">
        <v>28935</v>
      </c>
      <c r="D13344" s="26" t="s">
        <v>42451</v>
      </c>
      <c r="E13344" s="26" t="s">
        <v>43926</v>
      </c>
      <c r="F13344" s="37" t="s">
        <v>54401</v>
      </c>
      <c r="G13344" s="39">
        <v>593470.28</v>
      </c>
      <c r="H13344" s="42">
        <v>211</v>
      </c>
    </row>
    <row r="13345" spans="1:8" ht="15" customHeight="1">
      <c r="A13345" s="26">
        <v>1052416589</v>
      </c>
      <c r="B13345" s="29" t="s">
        <v>15555</v>
      </c>
      <c r="C13345" s="29" t="s">
        <v>28936</v>
      </c>
      <c r="D13345" s="29" t="s">
        <v>42452</v>
      </c>
      <c r="E13345" s="29" t="s">
        <v>51198</v>
      </c>
      <c r="F13345" s="36" t="s">
        <v>54401</v>
      </c>
      <c r="G13345" s="39">
        <v>3286009</v>
      </c>
      <c r="H13345" s="42">
        <v>211</v>
      </c>
    </row>
    <row r="13346" spans="1:8" ht="15" customHeight="1">
      <c r="A13346" s="26">
        <v>1052416599</v>
      </c>
      <c r="B13346" s="29" t="s">
        <v>15556</v>
      </c>
      <c r="C13346" s="29" t="s">
        <v>28937</v>
      </c>
      <c r="D13346" s="29" t="s">
        <v>30760</v>
      </c>
      <c r="E13346" s="29" t="s">
        <v>53455</v>
      </c>
      <c r="F13346" s="36" t="s">
        <v>54401</v>
      </c>
      <c r="G13346" s="39">
        <v>862676.36</v>
      </c>
      <c r="H13346" s="42">
        <v>211</v>
      </c>
    </row>
    <row r="13347" spans="1:8" ht="15" customHeight="1">
      <c r="A13347" s="26">
        <v>1052416612</v>
      </c>
      <c r="B13347" s="29" t="s">
        <v>15557</v>
      </c>
      <c r="C13347" s="29" t="s">
        <v>28938</v>
      </c>
      <c r="D13347" s="29" t="s">
        <v>42453</v>
      </c>
      <c r="E13347" s="29" t="s">
        <v>53456</v>
      </c>
      <c r="F13347" s="36" t="s">
        <v>54401</v>
      </c>
      <c r="G13347" s="39">
        <v>590029.19999999995</v>
      </c>
      <c r="H13347" s="42">
        <v>211</v>
      </c>
    </row>
    <row r="13348" spans="1:8" ht="15" customHeight="1">
      <c r="A13348" s="26">
        <v>1052416626</v>
      </c>
      <c r="B13348" s="29" t="s">
        <v>15558</v>
      </c>
      <c r="C13348" s="29" t="s">
        <v>28939</v>
      </c>
      <c r="D13348" s="29" t="s">
        <v>42454</v>
      </c>
      <c r="E13348" s="29" t="s">
        <v>53457</v>
      </c>
      <c r="F13348" s="36" t="s">
        <v>54401</v>
      </c>
      <c r="G13348" s="39">
        <v>267250.12</v>
      </c>
      <c r="H13348" s="42">
        <v>211</v>
      </c>
    </row>
    <row r="13349" spans="1:8" ht="15" customHeight="1">
      <c r="A13349" s="26">
        <v>1052416627</v>
      </c>
      <c r="B13349" s="29" t="s">
        <v>15559</v>
      </c>
      <c r="C13349" s="29" t="s">
        <v>28940</v>
      </c>
      <c r="D13349" s="29" t="s">
        <v>42455</v>
      </c>
      <c r="E13349" s="29" t="s">
        <v>53458</v>
      </c>
      <c r="F13349" s="36" t="s">
        <v>54401</v>
      </c>
      <c r="G13349" s="39">
        <v>370006.73</v>
      </c>
      <c r="H13349" s="42">
        <v>211</v>
      </c>
    </row>
    <row r="13350" spans="1:8" ht="15" customHeight="1">
      <c r="A13350" s="26">
        <v>1052416633</v>
      </c>
      <c r="B13350" s="29" t="s">
        <v>15560</v>
      </c>
      <c r="C13350" s="29" t="s">
        <v>28941</v>
      </c>
      <c r="D13350" s="29" t="s">
        <v>42456</v>
      </c>
      <c r="E13350" s="29" t="s">
        <v>53459</v>
      </c>
      <c r="F13350" s="36" t="s">
        <v>54401</v>
      </c>
      <c r="G13350" s="39">
        <v>3646722</v>
      </c>
      <c r="H13350" s="42">
        <v>211</v>
      </c>
    </row>
    <row r="13351" spans="1:8" ht="15" customHeight="1">
      <c r="A13351" s="26">
        <v>1052416634</v>
      </c>
      <c r="B13351" s="29" t="s">
        <v>15561</v>
      </c>
      <c r="C13351" s="29" t="s">
        <v>28942</v>
      </c>
      <c r="D13351" s="29" t="s">
        <v>42457</v>
      </c>
      <c r="E13351" s="29" t="s">
        <v>53460</v>
      </c>
      <c r="F13351" s="36" t="s">
        <v>54401</v>
      </c>
      <c r="G13351" s="39">
        <v>709543.02</v>
      </c>
      <c r="H13351" s="42">
        <v>211</v>
      </c>
    </row>
    <row r="13352" spans="1:8" ht="15" customHeight="1">
      <c r="A13352" s="26">
        <v>1052416638</v>
      </c>
      <c r="B13352" s="29" t="s">
        <v>15562</v>
      </c>
      <c r="C13352" s="29" t="s">
        <v>28943</v>
      </c>
      <c r="D13352" s="29" t="s">
        <v>42458</v>
      </c>
      <c r="E13352" s="29" t="s">
        <v>53461</v>
      </c>
      <c r="F13352" s="36" t="s">
        <v>54401</v>
      </c>
      <c r="G13352" s="39">
        <v>301887.27</v>
      </c>
      <c r="H13352" s="42">
        <v>211</v>
      </c>
    </row>
    <row r="13353" spans="1:8" ht="15" customHeight="1">
      <c r="A13353" s="26">
        <v>1052416705</v>
      </c>
      <c r="B13353" s="29" t="s">
        <v>15563</v>
      </c>
      <c r="C13353" s="29" t="s">
        <v>28944</v>
      </c>
      <c r="D13353" s="29" t="s">
        <v>42459</v>
      </c>
      <c r="E13353" s="29" t="s">
        <v>53462</v>
      </c>
      <c r="F13353" s="36" t="s">
        <v>54401</v>
      </c>
      <c r="G13353" s="39">
        <v>2051704.41</v>
      </c>
      <c r="H13353" s="42">
        <v>211</v>
      </c>
    </row>
    <row r="13354" spans="1:8" ht="15" customHeight="1">
      <c r="A13354" s="26">
        <v>1052416727</v>
      </c>
      <c r="B13354" s="29" t="s">
        <v>15564</v>
      </c>
      <c r="C13354" s="29" t="s">
        <v>28945</v>
      </c>
      <c r="D13354" s="29" t="s">
        <v>42460</v>
      </c>
      <c r="E13354" s="29" t="s">
        <v>53463</v>
      </c>
      <c r="F13354" s="36" t="s">
        <v>54401</v>
      </c>
      <c r="G13354" s="39">
        <v>34571.360000000001</v>
      </c>
      <c r="H13354" s="42">
        <v>211</v>
      </c>
    </row>
    <row r="13355" spans="1:8" ht="15" customHeight="1">
      <c r="A13355" s="26">
        <v>1052416734</v>
      </c>
      <c r="B13355" s="29" t="s">
        <v>15565</v>
      </c>
      <c r="C13355" s="26" t="s">
        <v>28946</v>
      </c>
      <c r="D13355" s="26" t="s">
        <v>42461</v>
      </c>
      <c r="E13355" s="26" t="s">
        <v>43926</v>
      </c>
      <c r="F13355" s="37" t="s">
        <v>54401</v>
      </c>
      <c r="G13355" s="39">
        <v>44031.53</v>
      </c>
      <c r="H13355" s="42">
        <v>211</v>
      </c>
    </row>
    <row r="13356" spans="1:8" ht="15" customHeight="1">
      <c r="A13356" s="26">
        <v>1052416782</v>
      </c>
      <c r="B13356" s="29" t="s">
        <v>15566</v>
      </c>
      <c r="C13356" s="29" t="s">
        <v>28947</v>
      </c>
      <c r="D13356" s="29" t="s">
        <v>42462</v>
      </c>
      <c r="E13356" s="29" t="s">
        <v>43926</v>
      </c>
      <c r="F13356" s="36" t="s">
        <v>54401</v>
      </c>
      <c r="G13356" s="39">
        <v>45764.959999999999</v>
      </c>
      <c r="H13356" s="42">
        <v>211</v>
      </c>
    </row>
    <row r="13357" spans="1:8" ht="15" customHeight="1">
      <c r="A13357" s="26">
        <v>1052416789</v>
      </c>
      <c r="B13357" s="29" t="s">
        <v>15567</v>
      </c>
      <c r="C13357" s="29" t="s">
        <v>25442</v>
      </c>
      <c r="D13357" s="29" t="s">
        <v>42463</v>
      </c>
      <c r="E13357" s="29" t="s">
        <v>53464</v>
      </c>
      <c r="F13357" s="36" t="s">
        <v>54420</v>
      </c>
      <c r="G13357" s="39">
        <v>874265.19</v>
      </c>
      <c r="H13357" s="42">
        <v>211</v>
      </c>
    </row>
    <row r="13358" spans="1:8" ht="15" customHeight="1">
      <c r="A13358" s="26">
        <v>1052416791</v>
      </c>
      <c r="B13358" s="29" t="s">
        <v>15568</v>
      </c>
      <c r="C13358" s="29" t="s">
        <v>17204</v>
      </c>
      <c r="D13358" s="29" t="s">
        <v>42464</v>
      </c>
      <c r="E13358" s="29" t="s">
        <v>43926</v>
      </c>
      <c r="F13358" s="36" t="s">
        <v>54401</v>
      </c>
      <c r="G13358" s="39">
        <v>255539.25</v>
      </c>
      <c r="H13358" s="42">
        <v>211</v>
      </c>
    </row>
    <row r="13359" spans="1:8" ht="15" customHeight="1">
      <c r="A13359" s="26">
        <v>1052416794</v>
      </c>
      <c r="B13359" s="29" t="s">
        <v>15569</v>
      </c>
      <c r="C13359" s="29" t="s">
        <v>28948</v>
      </c>
      <c r="D13359" s="29" t="s">
        <v>42465</v>
      </c>
      <c r="E13359" s="29" t="s">
        <v>53465</v>
      </c>
      <c r="F13359" s="36" t="s">
        <v>54401</v>
      </c>
      <c r="G13359" s="39">
        <v>1654214.45</v>
      </c>
      <c r="H13359" s="42">
        <v>211</v>
      </c>
    </row>
    <row r="13360" spans="1:8" ht="15" customHeight="1">
      <c r="A13360" s="26">
        <v>1052416796</v>
      </c>
      <c r="B13360" s="29" t="s">
        <v>15570</v>
      </c>
      <c r="C13360" s="29" t="s">
        <v>28949</v>
      </c>
      <c r="D13360" s="29" t="s">
        <v>31547</v>
      </c>
      <c r="E13360" s="29" t="s">
        <v>53466</v>
      </c>
      <c r="F13360" s="36" t="s">
        <v>54401</v>
      </c>
      <c r="G13360" s="39">
        <v>2160272.75</v>
      </c>
      <c r="H13360" s="42">
        <v>211</v>
      </c>
    </row>
    <row r="13361" spans="1:8" ht="15" customHeight="1">
      <c r="A13361" s="26">
        <v>1052416802</v>
      </c>
      <c r="B13361" s="29" t="s">
        <v>15571</v>
      </c>
      <c r="C13361" s="29" t="s">
        <v>17204</v>
      </c>
      <c r="D13361" s="29" t="s">
        <v>42466</v>
      </c>
      <c r="E13361" s="29" t="s">
        <v>43926</v>
      </c>
      <c r="F13361" s="36" t="s">
        <v>54401</v>
      </c>
      <c r="G13361" s="39">
        <v>455060.49</v>
      </c>
      <c r="H13361" s="42">
        <v>211</v>
      </c>
    </row>
    <row r="13362" spans="1:8" ht="15" customHeight="1">
      <c r="A13362" s="26">
        <v>1052416811</v>
      </c>
      <c r="B13362" s="29" t="s">
        <v>15572</v>
      </c>
      <c r="C13362" s="29" t="s">
        <v>28950</v>
      </c>
      <c r="D13362" s="29" t="s">
        <v>42467</v>
      </c>
      <c r="E13362" s="29" t="s">
        <v>53467</v>
      </c>
      <c r="F13362" s="36" t="s">
        <v>54401</v>
      </c>
      <c r="G13362" s="39">
        <v>611749.48</v>
      </c>
      <c r="H13362" s="42">
        <v>211</v>
      </c>
    </row>
    <row r="13363" spans="1:8" ht="15" customHeight="1">
      <c r="A13363" s="26">
        <v>1052416857</v>
      </c>
      <c r="B13363" s="29" t="s">
        <v>15573</v>
      </c>
      <c r="C13363" s="29" t="s">
        <v>28951</v>
      </c>
      <c r="D13363" s="29" t="s">
        <v>42468</v>
      </c>
      <c r="E13363" s="29" t="s">
        <v>53060</v>
      </c>
      <c r="F13363" s="36" t="s">
        <v>54409</v>
      </c>
      <c r="G13363" s="39">
        <v>141946.9</v>
      </c>
      <c r="H13363" s="42">
        <v>211</v>
      </c>
    </row>
    <row r="13364" spans="1:8" ht="15" customHeight="1">
      <c r="A13364" s="26">
        <v>1052416862</v>
      </c>
      <c r="B13364" s="29" t="s">
        <v>15574</v>
      </c>
      <c r="C13364" s="29" t="s">
        <v>28952</v>
      </c>
      <c r="D13364" s="29" t="s">
        <v>42469</v>
      </c>
      <c r="E13364" s="29" t="s">
        <v>53468</v>
      </c>
      <c r="F13364" s="36" t="s">
        <v>54401</v>
      </c>
      <c r="G13364" s="39">
        <v>182368.62</v>
      </c>
      <c r="H13364" s="42">
        <v>211</v>
      </c>
    </row>
    <row r="13365" spans="1:8" ht="15" customHeight="1">
      <c r="A13365" s="26">
        <v>1052416909</v>
      </c>
      <c r="B13365" s="29" t="s">
        <v>15575</v>
      </c>
      <c r="C13365" s="29" t="s">
        <v>28953</v>
      </c>
      <c r="D13365" s="29" t="s">
        <v>42470</v>
      </c>
      <c r="E13365" s="29" t="s">
        <v>53469</v>
      </c>
      <c r="F13365" s="36" t="s">
        <v>54401</v>
      </c>
      <c r="G13365" s="39">
        <v>484915.12</v>
      </c>
      <c r="H13365" s="42">
        <v>211</v>
      </c>
    </row>
    <row r="13366" spans="1:8" ht="15" customHeight="1">
      <c r="A13366" s="26">
        <v>1052416929</v>
      </c>
      <c r="B13366" s="29" t="s">
        <v>15576</v>
      </c>
      <c r="C13366" s="29" t="s">
        <v>17204</v>
      </c>
      <c r="D13366" s="29" t="s">
        <v>30349</v>
      </c>
      <c r="E13366" s="29" t="s">
        <v>43926</v>
      </c>
      <c r="F13366" s="36" t="s">
        <v>54401</v>
      </c>
      <c r="G13366" s="39">
        <v>102428.57</v>
      </c>
      <c r="H13366" s="42">
        <v>211</v>
      </c>
    </row>
    <row r="13367" spans="1:8" ht="15" customHeight="1">
      <c r="A13367" s="26">
        <v>1052416955</v>
      </c>
      <c r="B13367" s="29" t="s">
        <v>15577</v>
      </c>
      <c r="C13367" s="29" t="s">
        <v>28954</v>
      </c>
      <c r="D13367" s="29" t="s">
        <v>42471</v>
      </c>
      <c r="E13367" s="29" t="s">
        <v>53470</v>
      </c>
      <c r="F13367" s="36" t="s">
        <v>54401</v>
      </c>
      <c r="G13367" s="39">
        <v>496169.98</v>
      </c>
      <c r="H13367" s="42">
        <v>211</v>
      </c>
    </row>
    <row r="13368" spans="1:8" ht="15" customHeight="1">
      <c r="A13368" s="26">
        <v>1052416957</v>
      </c>
      <c r="B13368" s="29" t="s">
        <v>15578</v>
      </c>
      <c r="C13368" s="29" t="s">
        <v>28955</v>
      </c>
      <c r="D13368" s="29" t="s">
        <v>42472</v>
      </c>
      <c r="E13368" s="29" t="s">
        <v>43926</v>
      </c>
      <c r="F13368" s="36" t="s">
        <v>54401</v>
      </c>
      <c r="G13368" s="39">
        <v>94581.64</v>
      </c>
      <c r="H13368" s="42">
        <v>211</v>
      </c>
    </row>
    <row r="13369" spans="1:8" ht="15" customHeight="1">
      <c r="A13369" s="26">
        <v>1052416977</v>
      </c>
      <c r="B13369" s="29" t="s">
        <v>15579</v>
      </c>
      <c r="C13369" s="29" t="s">
        <v>28955</v>
      </c>
      <c r="D13369" s="29" t="s">
        <v>42473</v>
      </c>
      <c r="E13369" s="29" t="s">
        <v>53471</v>
      </c>
      <c r="F13369" s="36" t="s">
        <v>54401</v>
      </c>
      <c r="G13369" s="39">
        <v>13030</v>
      </c>
      <c r="H13369" s="42">
        <v>211</v>
      </c>
    </row>
    <row r="13370" spans="1:8" ht="15" customHeight="1">
      <c r="A13370" s="26">
        <v>1052416979</v>
      </c>
      <c r="B13370" s="29" t="s">
        <v>15580</v>
      </c>
      <c r="C13370" s="29" t="s">
        <v>28956</v>
      </c>
      <c r="D13370" s="29" t="s">
        <v>42474</v>
      </c>
      <c r="E13370" s="29" t="s">
        <v>53472</v>
      </c>
      <c r="F13370" s="36" t="s">
        <v>54401</v>
      </c>
      <c r="G13370" s="39">
        <v>557384.36</v>
      </c>
      <c r="H13370" s="42">
        <v>211</v>
      </c>
    </row>
    <row r="13371" spans="1:8" ht="15" customHeight="1">
      <c r="A13371" s="26">
        <v>1052417056</v>
      </c>
      <c r="B13371" s="29" t="s">
        <v>15581</v>
      </c>
      <c r="C13371" s="29" t="s">
        <v>28957</v>
      </c>
      <c r="D13371" s="29" t="s">
        <v>42475</v>
      </c>
      <c r="E13371" s="29" t="s">
        <v>53473</v>
      </c>
      <c r="F13371" s="36" t="s">
        <v>54401</v>
      </c>
      <c r="G13371" s="39">
        <v>206584.68</v>
      </c>
      <c r="H13371" s="42">
        <v>211</v>
      </c>
    </row>
    <row r="13372" spans="1:8" ht="15" customHeight="1">
      <c r="A13372" s="26">
        <v>1052417066</v>
      </c>
      <c r="B13372" s="29" t="s">
        <v>15582</v>
      </c>
      <c r="C13372" s="29" t="s">
        <v>28958</v>
      </c>
      <c r="D13372" s="29" t="s">
        <v>42476</v>
      </c>
      <c r="E13372" s="29" t="s">
        <v>43926</v>
      </c>
      <c r="F13372" s="36" t="s">
        <v>54401</v>
      </c>
      <c r="G13372" s="39">
        <v>173079.14</v>
      </c>
      <c r="H13372" s="42">
        <v>211</v>
      </c>
    </row>
    <row r="13373" spans="1:8" ht="15" customHeight="1">
      <c r="A13373" s="26">
        <v>1052417170</v>
      </c>
      <c r="B13373" s="29" t="s">
        <v>15583</v>
      </c>
      <c r="C13373" s="29" t="s">
        <v>25453</v>
      </c>
      <c r="D13373" s="29" t="s">
        <v>42477</v>
      </c>
      <c r="E13373" s="29" t="s">
        <v>53474</v>
      </c>
      <c r="F13373" s="36" t="s">
        <v>54401</v>
      </c>
      <c r="G13373" s="39">
        <v>1406111.44</v>
      </c>
      <c r="H13373" s="42">
        <v>211</v>
      </c>
    </row>
    <row r="13374" spans="1:8" ht="15" customHeight="1">
      <c r="A13374" s="26">
        <v>1052417191</v>
      </c>
      <c r="B13374" s="29" t="s">
        <v>15584</v>
      </c>
      <c r="C13374" s="29" t="s">
        <v>28959</v>
      </c>
      <c r="D13374" s="29" t="s">
        <v>42478</v>
      </c>
      <c r="E13374" s="29" t="s">
        <v>53475</v>
      </c>
      <c r="F13374" s="36" t="s">
        <v>54401</v>
      </c>
      <c r="G13374" s="39">
        <v>1178954</v>
      </c>
      <c r="H13374" s="42">
        <v>211</v>
      </c>
    </row>
    <row r="13375" spans="1:8" ht="15" customHeight="1">
      <c r="A13375" s="26">
        <v>1052417284</v>
      </c>
      <c r="B13375" s="29" t="s">
        <v>15585</v>
      </c>
      <c r="C13375" s="29" t="s">
        <v>28960</v>
      </c>
      <c r="D13375" s="29" t="s">
        <v>42479</v>
      </c>
      <c r="E13375" s="29" t="s">
        <v>53476</v>
      </c>
      <c r="F13375" s="36" t="s">
        <v>54401</v>
      </c>
      <c r="G13375" s="39">
        <v>147865.57</v>
      </c>
      <c r="H13375" s="42">
        <v>211</v>
      </c>
    </row>
    <row r="13376" spans="1:8" ht="15" customHeight="1">
      <c r="A13376" s="26">
        <v>1052417329</v>
      </c>
      <c r="B13376" s="29" t="s">
        <v>15586</v>
      </c>
      <c r="C13376" s="29" t="s">
        <v>28961</v>
      </c>
      <c r="D13376" s="29" t="s">
        <v>42480</v>
      </c>
      <c r="E13376" s="29" t="s">
        <v>53477</v>
      </c>
      <c r="F13376" s="36" t="s">
        <v>54401</v>
      </c>
      <c r="G13376" s="39">
        <v>5473244.9699999997</v>
      </c>
      <c r="H13376" s="42">
        <v>211</v>
      </c>
    </row>
    <row r="13377" spans="1:8" ht="15" customHeight="1">
      <c r="A13377" s="26">
        <v>1052417379</v>
      </c>
      <c r="B13377" s="29" t="s">
        <v>15587</v>
      </c>
      <c r="C13377" s="26" t="s">
        <v>28962</v>
      </c>
      <c r="D13377" s="26" t="s">
        <v>42481</v>
      </c>
      <c r="E13377" s="26" t="s">
        <v>43926</v>
      </c>
      <c r="F13377" s="37" t="s">
        <v>54401</v>
      </c>
      <c r="G13377" s="39">
        <v>144227.32</v>
      </c>
      <c r="H13377" s="42">
        <v>211</v>
      </c>
    </row>
    <row r="13378" spans="1:8" ht="15" customHeight="1">
      <c r="A13378" s="26">
        <v>1052417405</v>
      </c>
      <c r="B13378" s="29" t="s">
        <v>15588</v>
      </c>
      <c r="C13378" s="29" t="s">
        <v>28963</v>
      </c>
      <c r="D13378" s="29" t="s">
        <v>42482</v>
      </c>
      <c r="E13378" s="29" t="s">
        <v>53478</v>
      </c>
      <c r="F13378" s="36" t="s">
        <v>54401</v>
      </c>
      <c r="G13378" s="39">
        <v>2278617.94</v>
      </c>
      <c r="H13378" s="42">
        <v>211</v>
      </c>
    </row>
    <row r="13379" spans="1:8" ht="15" customHeight="1">
      <c r="A13379" s="26">
        <v>1052417406</v>
      </c>
      <c r="B13379" s="29" t="s">
        <v>15589</v>
      </c>
      <c r="C13379" s="29" t="s">
        <v>28964</v>
      </c>
      <c r="D13379" s="29" t="s">
        <v>30376</v>
      </c>
      <c r="E13379" s="29" t="s">
        <v>53479</v>
      </c>
      <c r="F13379" s="36" t="s">
        <v>54401</v>
      </c>
      <c r="G13379" s="39">
        <v>3870965.05</v>
      </c>
      <c r="H13379" s="42">
        <v>211</v>
      </c>
    </row>
    <row r="13380" spans="1:8" ht="15" customHeight="1">
      <c r="A13380" s="26">
        <v>1052417441</v>
      </c>
      <c r="B13380" s="29" t="s">
        <v>15590</v>
      </c>
      <c r="C13380" s="29" t="s">
        <v>28965</v>
      </c>
      <c r="D13380" s="29" t="s">
        <v>42483</v>
      </c>
      <c r="E13380" s="29" t="s">
        <v>53480</v>
      </c>
      <c r="F13380" s="36" t="s">
        <v>54401</v>
      </c>
      <c r="G13380" s="39">
        <v>894032.93</v>
      </c>
      <c r="H13380" s="42">
        <v>211</v>
      </c>
    </row>
    <row r="13381" spans="1:8" ht="15" customHeight="1">
      <c r="A13381" s="26">
        <v>1052417496</v>
      </c>
      <c r="B13381" s="29" t="s">
        <v>15591</v>
      </c>
      <c r="C13381" s="29" t="s">
        <v>28966</v>
      </c>
      <c r="D13381" s="29" t="s">
        <v>42484</v>
      </c>
      <c r="E13381" s="29" t="s">
        <v>53481</v>
      </c>
      <c r="F13381" s="36" t="s">
        <v>54401</v>
      </c>
      <c r="G13381" s="39">
        <v>1977691</v>
      </c>
      <c r="H13381" s="42">
        <v>211</v>
      </c>
    </row>
    <row r="13382" spans="1:8" ht="15" customHeight="1">
      <c r="A13382" s="26">
        <v>1052419929</v>
      </c>
      <c r="B13382" s="29" t="s">
        <v>15592</v>
      </c>
      <c r="C13382" s="29" t="s">
        <v>28967</v>
      </c>
      <c r="D13382" s="29" t="s">
        <v>42485</v>
      </c>
      <c r="E13382" s="29" t="s">
        <v>53482</v>
      </c>
      <c r="F13382" s="36" t="s">
        <v>54401</v>
      </c>
      <c r="G13382" s="39">
        <v>25658.79</v>
      </c>
      <c r="H13382" s="42">
        <v>211</v>
      </c>
    </row>
    <row r="13383" spans="1:8" ht="15" customHeight="1">
      <c r="A13383" s="26">
        <v>1052498120</v>
      </c>
      <c r="B13383" s="29" t="s">
        <v>15593</v>
      </c>
      <c r="C13383" s="26" t="s">
        <v>28968</v>
      </c>
      <c r="D13383" s="26" t="s">
        <v>42486</v>
      </c>
      <c r="E13383" s="26" t="s">
        <v>53483</v>
      </c>
      <c r="F13383" s="37" t="s">
        <v>54401</v>
      </c>
      <c r="G13383" s="39">
        <v>57964.54</v>
      </c>
      <c r="H13383" s="42">
        <v>211</v>
      </c>
    </row>
    <row r="13384" spans="1:8" ht="15" customHeight="1">
      <c r="A13384" s="26">
        <v>1052498588</v>
      </c>
      <c r="B13384" s="29" t="s">
        <v>15594</v>
      </c>
      <c r="C13384" s="29" t="s">
        <v>28969</v>
      </c>
      <c r="D13384" s="29" t="s">
        <v>42487</v>
      </c>
      <c r="E13384" s="29" t="s">
        <v>44512</v>
      </c>
      <c r="F13384" s="36" t="s">
        <v>54401</v>
      </c>
      <c r="G13384" s="39">
        <v>6250663</v>
      </c>
      <c r="H13384" s="42">
        <v>211</v>
      </c>
    </row>
    <row r="13385" spans="1:8" ht="15" customHeight="1">
      <c r="A13385" s="26">
        <v>1052499148</v>
      </c>
      <c r="B13385" s="29" t="s">
        <v>15595</v>
      </c>
      <c r="C13385" s="29" t="s">
        <v>28970</v>
      </c>
      <c r="D13385" s="29" t="s">
        <v>30623</v>
      </c>
      <c r="E13385" s="29" t="s">
        <v>53484</v>
      </c>
      <c r="F13385" s="36" t="s">
        <v>54401</v>
      </c>
      <c r="G13385" s="39">
        <v>107654.64</v>
      </c>
      <c r="H13385" s="42">
        <v>211</v>
      </c>
    </row>
    <row r="13386" spans="1:8" ht="15" customHeight="1">
      <c r="A13386" s="26">
        <v>1052701469</v>
      </c>
      <c r="B13386" s="29" t="s">
        <v>15596</v>
      </c>
      <c r="C13386" s="29" t="s">
        <v>17204</v>
      </c>
      <c r="D13386" s="29" t="s">
        <v>42488</v>
      </c>
      <c r="E13386" s="29" t="s">
        <v>43926</v>
      </c>
      <c r="F13386" s="36" t="s">
        <v>54401</v>
      </c>
      <c r="G13386" s="39">
        <v>540635.81999999995</v>
      </c>
      <c r="H13386" s="42">
        <v>211</v>
      </c>
    </row>
    <row r="13387" spans="1:8" ht="15" customHeight="1">
      <c r="A13387" s="26">
        <v>1052790123</v>
      </c>
      <c r="B13387" s="29" t="s">
        <v>15597</v>
      </c>
      <c r="C13387" s="29" t="s">
        <v>28971</v>
      </c>
      <c r="D13387" s="29" t="s">
        <v>42489</v>
      </c>
      <c r="E13387" s="29" t="s">
        <v>53485</v>
      </c>
      <c r="F13387" s="36" t="s">
        <v>54401</v>
      </c>
      <c r="G13387" s="39">
        <v>3275419.44</v>
      </c>
      <c r="H13387" s="42">
        <v>211</v>
      </c>
    </row>
    <row r="13388" spans="1:8" ht="15" customHeight="1">
      <c r="A13388" s="26">
        <v>1052790214</v>
      </c>
      <c r="B13388" s="29" t="s">
        <v>15598</v>
      </c>
      <c r="C13388" s="26" t="s">
        <v>28972</v>
      </c>
      <c r="D13388" s="26" t="s">
        <v>42490</v>
      </c>
      <c r="E13388" s="26" t="s">
        <v>53486</v>
      </c>
      <c r="F13388" s="37" t="s">
        <v>54401</v>
      </c>
      <c r="G13388" s="39">
        <v>586679.19999999995</v>
      </c>
      <c r="H13388" s="42">
        <v>211</v>
      </c>
    </row>
    <row r="13389" spans="1:8" ht="15" customHeight="1">
      <c r="A13389" s="26">
        <v>1052836032</v>
      </c>
      <c r="B13389" s="29" t="s">
        <v>15599</v>
      </c>
      <c r="C13389" s="29" t="s">
        <v>28973</v>
      </c>
      <c r="D13389" s="29" t="s">
        <v>42491</v>
      </c>
      <c r="E13389" s="29" t="s">
        <v>53487</v>
      </c>
      <c r="F13389" s="36" t="s">
        <v>54401</v>
      </c>
      <c r="G13389" s="39">
        <v>25918.21</v>
      </c>
      <c r="H13389" s="42">
        <v>211</v>
      </c>
    </row>
    <row r="13390" spans="1:8" ht="15" customHeight="1">
      <c r="A13390" s="26">
        <v>1052836072</v>
      </c>
      <c r="B13390" s="29" t="s">
        <v>15600</v>
      </c>
      <c r="C13390" s="26" t="s">
        <v>28974</v>
      </c>
      <c r="D13390" s="26" t="s">
        <v>42492</v>
      </c>
      <c r="E13390" s="26" t="s">
        <v>43926</v>
      </c>
      <c r="F13390" s="37" t="s">
        <v>54401</v>
      </c>
      <c r="G13390" s="39">
        <v>464116.53</v>
      </c>
      <c r="H13390" s="42">
        <v>211</v>
      </c>
    </row>
    <row r="13391" spans="1:8" ht="15" customHeight="1">
      <c r="A13391" s="26">
        <v>1052836078</v>
      </c>
      <c r="B13391" s="29" t="s">
        <v>15601</v>
      </c>
      <c r="C13391" s="29" t="s">
        <v>28975</v>
      </c>
      <c r="D13391" s="29" t="s">
        <v>42493</v>
      </c>
      <c r="E13391" s="29" t="s">
        <v>44250</v>
      </c>
      <c r="F13391" s="36" t="s">
        <v>54420</v>
      </c>
      <c r="G13391" s="39">
        <v>209178.23</v>
      </c>
      <c r="H13391" s="42">
        <v>211</v>
      </c>
    </row>
    <row r="13392" spans="1:8" ht="15" customHeight="1">
      <c r="A13392" s="26">
        <v>1052836099</v>
      </c>
      <c r="B13392" s="29" t="s">
        <v>15602</v>
      </c>
      <c r="C13392" s="29" t="s">
        <v>17204</v>
      </c>
      <c r="D13392" s="29" t="s">
        <v>30349</v>
      </c>
      <c r="E13392" s="29" t="s">
        <v>43926</v>
      </c>
      <c r="F13392" s="36" t="s">
        <v>54401</v>
      </c>
      <c r="G13392" s="39">
        <v>1516035.83</v>
      </c>
      <c r="H13392" s="42">
        <v>211</v>
      </c>
    </row>
    <row r="13393" spans="1:8" ht="15" customHeight="1">
      <c r="A13393" s="26">
        <v>1052836150</v>
      </c>
      <c r="B13393" s="29" t="s">
        <v>15603</v>
      </c>
      <c r="C13393" s="29" t="s">
        <v>28976</v>
      </c>
      <c r="D13393" s="29" t="s">
        <v>36570</v>
      </c>
      <c r="E13393" s="29" t="s">
        <v>45432</v>
      </c>
      <c r="F13393" s="36" t="s">
        <v>54401</v>
      </c>
      <c r="G13393" s="39">
        <v>5451465.5199999996</v>
      </c>
      <c r="H13393" s="42">
        <v>211</v>
      </c>
    </row>
    <row r="13394" spans="1:8" ht="15" customHeight="1">
      <c r="A13394" s="26">
        <v>1052836172</v>
      </c>
      <c r="B13394" s="29" t="s">
        <v>15604</v>
      </c>
      <c r="C13394" s="26" t="s">
        <v>17204</v>
      </c>
      <c r="D13394" s="26" t="s">
        <v>33329</v>
      </c>
      <c r="E13394" s="26" t="s">
        <v>43926</v>
      </c>
      <c r="F13394" s="37" t="s">
        <v>54401</v>
      </c>
      <c r="G13394" s="39">
        <v>199211.87</v>
      </c>
      <c r="H13394" s="42">
        <v>211</v>
      </c>
    </row>
    <row r="13395" spans="1:8" ht="15" customHeight="1">
      <c r="A13395" s="26">
        <v>1052836267</v>
      </c>
      <c r="B13395" s="29" t="s">
        <v>15605</v>
      </c>
      <c r="C13395" s="29" t="s">
        <v>17204</v>
      </c>
      <c r="D13395" s="29" t="s">
        <v>30349</v>
      </c>
      <c r="E13395" s="29" t="s">
        <v>43926</v>
      </c>
      <c r="F13395" s="36" t="s">
        <v>54401</v>
      </c>
      <c r="G13395" s="39">
        <v>167921.51</v>
      </c>
      <c r="H13395" s="42">
        <v>211</v>
      </c>
    </row>
    <row r="13396" spans="1:8" ht="15" customHeight="1">
      <c r="A13396" s="26">
        <v>1052836270</v>
      </c>
      <c r="B13396" s="29" t="s">
        <v>15606</v>
      </c>
      <c r="C13396" s="29" t="s">
        <v>28977</v>
      </c>
      <c r="D13396" s="29" t="s">
        <v>42494</v>
      </c>
      <c r="E13396" s="29" t="s">
        <v>43926</v>
      </c>
      <c r="F13396" s="36" t="s">
        <v>54401</v>
      </c>
      <c r="G13396" s="39">
        <v>105816.48</v>
      </c>
      <c r="H13396" s="42">
        <v>211</v>
      </c>
    </row>
    <row r="13397" spans="1:8" ht="15" customHeight="1">
      <c r="A13397" s="26">
        <v>1052836297</v>
      </c>
      <c r="B13397" s="29" t="s">
        <v>15607</v>
      </c>
      <c r="C13397" s="29" t="s">
        <v>17204</v>
      </c>
      <c r="D13397" s="29" t="s">
        <v>42495</v>
      </c>
      <c r="E13397" s="29" t="s">
        <v>43926</v>
      </c>
      <c r="F13397" s="36" t="s">
        <v>54401</v>
      </c>
      <c r="G13397" s="39">
        <v>41740.92</v>
      </c>
      <c r="H13397" s="42">
        <v>211</v>
      </c>
    </row>
    <row r="13398" spans="1:8" ht="15" customHeight="1">
      <c r="A13398" s="26">
        <v>1052836371</v>
      </c>
      <c r="B13398" s="29" t="s">
        <v>15608</v>
      </c>
      <c r="C13398" s="29" t="s">
        <v>28978</v>
      </c>
      <c r="D13398" s="29" t="s">
        <v>42496</v>
      </c>
      <c r="E13398" s="29" t="s">
        <v>43926</v>
      </c>
      <c r="F13398" s="36" t="s">
        <v>54401</v>
      </c>
      <c r="G13398" s="39">
        <v>971112.64</v>
      </c>
      <c r="H13398" s="42">
        <v>211</v>
      </c>
    </row>
    <row r="13399" spans="1:8" ht="15" customHeight="1">
      <c r="A13399" s="26">
        <v>1052836521</v>
      </c>
      <c r="B13399" s="29" t="s">
        <v>15609</v>
      </c>
      <c r="C13399" s="29" t="s">
        <v>28979</v>
      </c>
      <c r="D13399" s="29" t="s">
        <v>42497</v>
      </c>
      <c r="E13399" s="29" t="s">
        <v>53488</v>
      </c>
      <c r="F13399" s="36" t="s">
        <v>54401</v>
      </c>
      <c r="G13399" s="39">
        <v>272622.27</v>
      </c>
      <c r="H13399" s="42">
        <v>211</v>
      </c>
    </row>
    <row r="13400" spans="1:8" ht="15" customHeight="1">
      <c r="A13400" s="26">
        <v>1052836552</v>
      </c>
      <c r="B13400" s="29" t="s">
        <v>15610</v>
      </c>
      <c r="C13400" s="29" t="s">
        <v>28980</v>
      </c>
      <c r="D13400" s="29" t="s">
        <v>42498</v>
      </c>
      <c r="E13400" s="29" t="s">
        <v>53489</v>
      </c>
      <c r="F13400" s="36" t="s">
        <v>54401</v>
      </c>
      <c r="G13400" s="39">
        <v>386776.84</v>
      </c>
      <c r="H13400" s="42">
        <v>211</v>
      </c>
    </row>
    <row r="13401" spans="1:8" ht="15" customHeight="1">
      <c r="A13401" s="26">
        <v>1052836581</v>
      </c>
      <c r="B13401" s="29" t="s">
        <v>15611</v>
      </c>
      <c r="C13401" s="29" t="s">
        <v>28981</v>
      </c>
      <c r="D13401" s="29" t="s">
        <v>42499</v>
      </c>
      <c r="E13401" s="29" t="s">
        <v>43926</v>
      </c>
      <c r="F13401" s="36" t="s">
        <v>54401</v>
      </c>
      <c r="G13401" s="39">
        <v>122267.84</v>
      </c>
      <c r="H13401" s="42">
        <v>211</v>
      </c>
    </row>
    <row r="13402" spans="1:8" ht="15" customHeight="1">
      <c r="A13402" s="26">
        <v>1052836583</v>
      </c>
      <c r="B13402" s="29" t="s">
        <v>15612</v>
      </c>
      <c r="C13402" s="29" t="s">
        <v>28982</v>
      </c>
      <c r="D13402" s="29" t="s">
        <v>42500</v>
      </c>
      <c r="E13402" s="29" t="s">
        <v>53490</v>
      </c>
      <c r="F13402" s="36" t="s">
        <v>54401</v>
      </c>
      <c r="G13402" s="39">
        <v>3620908</v>
      </c>
      <c r="H13402" s="42">
        <v>211</v>
      </c>
    </row>
    <row r="13403" spans="1:8" ht="15" customHeight="1">
      <c r="A13403" s="26">
        <v>1052836851</v>
      </c>
      <c r="B13403" s="29" t="s">
        <v>15613</v>
      </c>
      <c r="C13403" s="29" t="s">
        <v>28983</v>
      </c>
      <c r="D13403" s="29" t="s">
        <v>42501</v>
      </c>
      <c r="E13403" s="29" t="s">
        <v>53491</v>
      </c>
      <c r="F13403" s="36" t="s">
        <v>54401</v>
      </c>
      <c r="G13403" s="39">
        <v>225781.14</v>
      </c>
      <c r="H13403" s="42">
        <v>211</v>
      </c>
    </row>
    <row r="13404" spans="1:8" ht="15" customHeight="1">
      <c r="A13404" s="26">
        <v>1052836885</v>
      </c>
      <c r="B13404" s="29" t="s">
        <v>15614</v>
      </c>
      <c r="C13404" s="29" t="s">
        <v>28984</v>
      </c>
      <c r="D13404" s="29" t="s">
        <v>42502</v>
      </c>
      <c r="E13404" s="29" t="s">
        <v>53492</v>
      </c>
      <c r="F13404" s="36" t="s">
        <v>54401</v>
      </c>
      <c r="G13404" s="39">
        <v>21522.02</v>
      </c>
      <c r="H13404" s="42">
        <v>211</v>
      </c>
    </row>
    <row r="13405" spans="1:8" ht="15" customHeight="1">
      <c r="A13405" s="26">
        <v>1052836903</v>
      </c>
      <c r="B13405" s="29" t="s">
        <v>15615</v>
      </c>
      <c r="C13405" s="29" t="s">
        <v>28985</v>
      </c>
      <c r="D13405" s="29" t="s">
        <v>34838</v>
      </c>
      <c r="E13405" s="29" t="s">
        <v>47735</v>
      </c>
      <c r="F13405" s="36" t="s">
        <v>54401</v>
      </c>
      <c r="G13405" s="39">
        <v>2566281</v>
      </c>
      <c r="H13405" s="42">
        <v>211</v>
      </c>
    </row>
    <row r="13406" spans="1:8" ht="15" customHeight="1">
      <c r="A13406" s="26">
        <v>1052836975</v>
      </c>
      <c r="B13406" s="29" t="s">
        <v>9689</v>
      </c>
      <c r="C13406" s="29" t="s">
        <v>28986</v>
      </c>
      <c r="D13406" s="29" t="s">
        <v>42503</v>
      </c>
      <c r="E13406" s="29" t="s">
        <v>44084</v>
      </c>
      <c r="F13406" s="36" t="s">
        <v>54401</v>
      </c>
      <c r="G13406" s="39">
        <v>59251.55</v>
      </c>
      <c r="H13406" s="42">
        <v>211</v>
      </c>
    </row>
    <row r="13407" spans="1:8" ht="15" customHeight="1">
      <c r="A13407" s="26">
        <v>1052836981</v>
      </c>
      <c r="B13407" s="29" t="s">
        <v>15616</v>
      </c>
      <c r="C13407" s="26" t="s">
        <v>17204</v>
      </c>
      <c r="D13407" s="26" t="s">
        <v>30349</v>
      </c>
      <c r="E13407" s="26" t="s">
        <v>43926</v>
      </c>
      <c r="F13407" s="37" t="s">
        <v>54401</v>
      </c>
      <c r="G13407" s="39">
        <v>251590.51</v>
      </c>
      <c r="H13407" s="42">
        <v>211</v>
      </c>
    </row>
    <row r="13408" spans="1:8" ht="15" customHeight="1">
      <c r="A13408" s="26">
        <v>1052837043</v>
      </c>
      <c r="B13408" s="29" t="s">
        <v>15617</v>
      </c>
      <c r="C13408" s="26" t="s">
        <v>17204</v>
      </c>
      <c r="D13408" s="26" t="s">
        <v>42504</v>
      </c>
      <c r="E13408" s="26" t="s">
        <v>43926</v>
      </c>
      <c r="F13408" s="37" t="s">
        <v>54401</v>
      </c>
      <c r="G13408" s="39">
        <v>2883108.44</v>
      </c>
      <c r="H13408" s="42">
        <v>211</v>
      </c>
    </row>
    <row r="13409" spans="1:8" ht="15" customHeight="1">
      <c r="A13409" s="26">
        <v>1052837074</v>
      </c>
      <c r="B13409" s="29" t="s">
        <v>15618</v>
      </c>
      <c r="C13409" s="29" t="s">
        <v>17204</v>
      </c>
      <c r="D13409" s="29" t="s">
        <v>30349</v>
      </c>
      <c r="E13409" s="29" t="s">
        <v>43926</v>
      </c>
      <c r="F13409" s="36" t="s">
        <v>54401</v>
      </c>
      <c r="G13409" s="39">
        <v>427692.98</v>
      </c>
      <c r="H13409" s="42">
        <v>211</v>
      </c>
    </row>
    <row r="13410" spans="1:8" ht="15" customHeight="1">
      <c r="A13410" s="26">
        <v>1052837137</v>
      </c>
      <c r="B13410" s="29" t="s">
        <v>15619</v>
      </c>
      <c r="C13410" s="29" t="s">
        <v>28987</v>
      </c>
      <c r="D13410" s="29" t="s">
        <v>42505</v>
      </c>
      <c r="E13410" s="29" t="s">
        <v>43926</v>
      </c>
      <c r="F13410" s="36" t="s">
        <v>54401</v>
      </c>
      <c r="G13410" s="39">
        <v>307911.15999999997</v>
      </c>
      <c r="H13410" s="42">
        <v>211</v>
      </c>
    </row>
    <row r="13411" spans="1:8" ht="15" customHeight="1">
      <c r="A13411" s="26">
        <v>1052837150</v>
      </c>
      <c r="B13411" s="29" t="s">
        <v>15620</v>
      </c>
      <c r="C13411" s="29" t="s">
        <v>28988</v>
      </c>
      <c r="D13411" s="29" t="s">
        <v>42506</v>
      </c>
      <c r="E13411" s="29" t="s">
        <v>53493</v>
      </c>
      <c r="F13411" s="36" t="s">
        <v>54401</v>
      </c>
      <c r="G13411" s="39">
        <v>2306037.02</v>
      </c>
      <c r="H13411" s="42">
        <v>211</v>
      </c>
    </row>
    <row r="13412" spans="1:8" ht="15" customHeight="1">
      <c r="A13412" s="26">
        <v>1052837360</v>
      </c>
      <c r="B13412" s="29" t="s">
        <v>15621</v>
      </c>
      <c r="C13412" s="29" t="s">
        <v>28521</v>
      </c>
      <c r="D13412" s="29" t="s">
        <v>42027</v>
      </c>
      <c r="E13412" s="29" t="s">
        <v>53494</v>
      </c>
      <c r="F13412" s="36" t="s">
        <v>54401</v>
      </c>
      <c r="G13412" s="39">
        <v>1102238.69</v>
      </c>
      <c r="H13412" s="42">
        <v>211</v>
      </c>
    </row>
    <row r="13413" spans="1:8" ht="15" customHeight="1">
      <c r="A13413" s="26">
        <v>1052837377</v>
      </c>
      <c r="B13413" s="29" t="s">
        <v>15622</v>
      </c>
      <c r="C13413" s="29" t="s">
        <v>17204</v>
      </c>
      <c r="D13413" s="29" t="s">
        <v>42507</v>
      </c>
      <c r="E13413" s="29" t="s">
        <v>43926</v>
      </c>
      <c r="F13413" s="36" t="s">
        <v>54401</v>
      </c>
      <c r="G13413" s="39">
        <v>10336.129999999999</v>
      </c>
      <c r="H13413" s="42">
        <v>211</v>
      </c>
    </row>
    <row r="13414" spans="1:8" ht="15" customHeight="1">
      <c r="A13414" s="26">
        <v>1052837401</v>
      </c>
      <c r="B13414" s="29" t="s">
        <v>15623</v>
      </c>
      <c r="C13414" s="29" t="s">
        <v>28989</v>
      </c>
      <c r="D13414" s="29" t="s">
        <v>42508</v>
      </c>
      <c r="E13414" s="29" t="s">
        <v>53495</v>
      </c>
      <c r="F13414" s="36" t="s">
        <v>54401</v>
      </c>
      <c r="G13414" s="39">
        <v>4328795.41</v>
      </c>
      <c r="H13414" s="42">
        <v>211</v>
      </c>
    </row>
    <row r="13415" spans="1:8" ht="15" customHeight="1">
      <c r="A13415" s="26">
        <v>1052837453</v>
      </c>
      <c r="B13415" s="29" t="s">
        <v>15624</v>
      </c>
      <c r="C13415" s="29" t="s">
        <v>23914</v>
      </c>
      <c r="D13415" s="29" t="s">
        <v>37186</v>
      </c>
      <c r="E13415" s="29" t="s">
        <v>53496</v>
      </c>
      <c r="F13415" s="36" t="s">
        <v>54401</v>
      </c>
      <c r="G13415" s="39">
        <v>1718032.73</v>
      </c>
      <c r="H13415" s="42">
        <v>211</v>
      </c>
    </row>
    <row r="13416" spans="1:8" ht="15" customHeight="1">
      <c r="A13416" s="26">
        <v>1052837481</v>
      </c>
      <c r="B13416" s="29" t="s">
        <v>15625</v>
      </c>
      <c r="C13416" s="29" t="s">
        <v>28990</v>
      </c>
      <c r="D13416" s="29" t="s">
        <v>42509</v>
      </c>
      <c r="E13416" s="29" t="s">
        <v>45516</v>
      </c>
      <c r="F13416" s="36" t="s">
        <v>54401</v>
      </c>
      <c r="G13416" s="39">
        <v>811120.12</v>
      </c>
      <c r="H13416" s="42">
        <v>211</v>
      </c>
    </row>
    <row r="13417" spans="1:8" ht="15" customHeight="1">
      <c r="A13417" s="26">
        <v>1052837502</v>
      </c>
      <c r="B13417" s="29" t="s">
        <v>15626</v>
      </c>
      <c r="C13417" s="29" t="s">
        <v>28991</v>
      </c>
      <c r="D13417" s="29" t="s">
        <v>42510</v>
      </c>
      <c r="E13417" s="29" t="s">
        <v>53497</v>
      </c>
      <c r="F13417" s="36" t="s">
        <v>54401</v>
      </c>
      <c r="G13417" s="39">
        <v>307160.68</v>
      </c>
      <c r="H13417" s="42">
        <v>211</v>
      </c>
    </row>
    <row r="13418" spans="1:8" ht="15" customHeight="1">
      <c r="A13418" s="26">
        <v>1052837521</v>
      </c>
      <c r="B13418" s="29" t="s">
        <v>15627</v>
      </c>
      <c r="C13418" s="29" t="s">
        <v>28992</v>
      </c>
      <c r="D13418" s="29" t="s">
        <v>42511</v>
      </c>
      <c r="E13418" s="29" t="s">
        <v>53498</v>
      </c>
      <c r="F13418" s="36" t="s">
        <v>54401</v>
      </c>
      <c r="G13418" s="39">
        <v>2046288</v>
      </c>
      <c r="H13418" s="42">
        <v>211</v>
      </c>
    </row>
    <row r="13419" spans="1:8" ht="15" customHeight="1">
      <c r="A13419" s="26">
        <v>1052837612</v>
      </c>
      <c r="B13419" s="29" t="s">
        <v>15628</v>
      </c>
      <c r="C13419" s="29" t="s">
        <v>17204</v>
      </c>
      <c r="D13419" s="29" t="s">
        <v>42512</v>
      </c>
      <c r="E13419" s="29" t="s">
        <v>43926</v>
      </c>
      <c r="F13419" s="36" t="s">
        <v>54401</v>
      </c>
      <c r="G13419" s="39">
        <v>166750.82999999999</v>
      </c>
      <c r="H13419" s="42">
        <v>211</v>
      </c>
    </row>
    <row r="13420" spans="1:8" ht="15" customHeight="1">
      <c r="A13420" s="26">
        <v>1052837651</v>
      </c>
      <c r="B13420" s="29" t="s">
        <v>15629</v>
      </c>
      <c r="C13420" s="29" t="s">
        <v>28993</v>
      </c>
      <c r="D13420" s="29" t="s">
        <v>42513</v>
      </c>
      <c r="E13420" s="29" t="s">
        <v>45006</v>
      </c>
      <c r="F13420" s="36" t="s">
        <v>54401</v>
      </c>
      <c r="G13420" s="39">
        <v>311616.46000000002</v>
      </c>
      <c r="H13420" s="42">
        <v>211</v>
      </c>
    </row>
    <row r="13421" spans="1:8" ht="15" customHeight="1">
      <c r="A13421" s="26">
        <v>1052837676</v>
      </c>
      <c r="B13421" s="29" t="s">
        <v>15630</v>
      </c>
      <c r="C13421" s="26" t="s">
        <v>28994</v>
      </c>
      <c r="D13421" s="26" t="s">
        <v>42514</v>
      </c>
      <c r="E13421" s="26" t="s">
        <v>43926</v>
      </c>
      <c r="F13421" s="37" t="s">
        <v>54401</v>
      </c>
      <c r="G13421" s="39">
        <v>169786.92</v>
      </c>
      <c r="H13421" s="42">
        <v>211</v>
      </c>
    </row>
    <row r="13422" spans="1:8" ht="15" customHeight="1">
      <c r="A13422" s="26">
        <v>1052837936</v>
      </c>
      <c r="B13422" s="29" t="s">
        <v>15631</v>
      </c>
      <c r="C13422" s="29" t="s">
        <v>17204</v>
      </c>
      <c r="D13422" s="29" t="s">
        <v>30349</v>
      </c>
      <c r="E13422" s="29" t="s">
        <v>43926</v>
      </c>
      <c r="F13422" s="36" t="s">
        <v>54401</v>
      </c>
      <c r="G13422" s="39">
        <v>420481.63</v>
      </c>
      <c r="H13422" s="42">
        <v>211</v>
      </c>
    </row>
    <row r="13423" spans="1:8" ht="15" customHeight="1">
      <c r="A13423" s="26">
        <v>1052837952</v>
      </c>
      <c r="B13423" s="29" t="s">
        <v>15632</v>
      </c>
      <c r="C13423" s="29" t="s">
        <v>28995</v>
      </c>
      <c r="D13423" s="29" t="s">
        <v>30376</v>
      </c>
      <c r="E13423" s="29" t="s">
        <v>47239</v>
      </c>
      <c r="F13423" s="36" t="s">
        <v>54401</v>
      </c>
      <c r="G13423" s="39">
        <v>224317.96</v>
      </c>
      <c r="H13423" s="42">
        <v>211</v>
      </c>
    </row>
    <row r="13424" spans="1:8" ht="15" customHeight="1">
      <c r="A13424" s="26">
        <v>1052838114</v>
      </c>
      <c r="B13424" s="29" t="s">
        <v>15633</v>
      </c>
      <c r="C13424" s="29" t="s">
        <v>17204</v>
      </c>
      <c r="D13424" s="29" t="s">
        <v>42515</v>
      </c>
      <c r="E13424" s="29" t="s">
        <v>43926</v>
      </c>
      <c r="F13424" s="36" t="s">
        <v>54401</v>
      </c>
      <c r="G13424" s="39">
        <v>1373343.9</v>
      </c>
      <c r="H13424" s="42">
        <v>211</v>
      </c>
    </row>
    <row r="13425" spans="1:8" ht="15" customHeight="1">
      <c r="A13425" s="26">
        <v>1052838310</v>
      </c>
      <c r="B13425" s="29" t="s">
        <v>15634</v>
      </c>
      <c r="C13425" s="29" t="s">
        <v>28996</v>
      </c>
      <c r="D13425" s="29" t="s">
        <v>42516</v>
      </c>
      <c r="E13425" s="29" t="s">
        <v>53499</v>
      </c>
      <c r="F13425" s="36" t="s">
        <v>54401</v>
      </c>
      <c r="G13425" s="39">
        <v>2353811.7599999998</v>
      </c>
      <c r="H13425" s="42">
        <v>211</v>
      </c>
    </row>
    <row r="13426" spans="1:8" ht="15" customHeight="1">
      <c r="A13426" s="26">
        <v>1052838362</v>
      </c>
      <c r="B13426" s="29" t="s">
        <v>15635</v>
      </c>
      <c r="C13426" s="29" t="s">
        <v>28997</v>
      </c>
      <c r="D13426" s="29" t="s">
        <v>42517</v>
      </c>
      <c r="E13426" s="29" t="s">
        <v>46971</v>
      </c>
      <c r="F13426" s="36" t="s">
        <v>54401</v>
      </c>
      <c r="G13426" s="39">
        <v>90634.19</v>
      </c>
      <c r="H13426" s="42">
        <v>211</v>
      </c>
    </row>
    <row r="13427" spans="1:8" ht="15" customHeight="1">
      <c r="A13427" s="26">
        <v>1052838384</v>
      </c>
      <c r="B13427" s="29" t="s">
        <v>15636</v>
      </c>
      <c r="C13427" s="29" t="s">
        <v>28998</v>
      </c>
      <c r="D13427" s="29" t="s">
        <v>42518</v>
      </c>
      <c r="E13427" s="29" t="s">
        <v>53500</v>
      </c>
      <c r="F13427" s="36" t="s">
        <v>54401</v>
      </c>
      <c r="G13427" s="39">
        <v>6695346.4699999997</v>
      </c>
      <c r="H13427" s="42">
        <v>211</v>
      </c>
    </row>
    <row r="13428" spans="1:8" ht="15" customHeight="1">
      <c r="A13428" s="26">
        <v>1052838459</v>
      </c>
      <c r="B13428" s="29" t="s">
        <v>15637</v>
      </c>
      <c r="C13428" s="29" t="s">
        <v>17204</v>
      </c>
      <c r="D13428" s="29" t="s">
        <v>42519</v>
      </c>
      <c r="E13428" s="29" t="s">
        <v>43926</v>
      </c>
      <c r="F13428" s="36" t="s">
        <v>54401</v>
      </c>
      <c r="G13428" s="39">
        <v>28042.74</v>
      </c>
      <c r="H13428" s="42">
        <v>211</v>
      </c>
    </row>
    <row r="13429" spans="1:8" ht="15" customHeight="1">
      <c r="A13429" s="26">
        <v>1052838715</v>
      </c>
      <c r="B13429" s="29" t="s">
        <v>15638</v>
      </c>
      <c r="C13429" s="29" t="s">
        <v>17204</v>
      </c>
      <c r="D13429" s="29" t="s">
        <v>42520</v>
      </c>
      <c r="E13429" s="29" t="s">
        <v>43926</v>
      </c>
      <c r="F13429" s="36" t="s">
        <v>54401</v>
      </c>
      <c r="G13429" s="39">
        <v>13378.16</v>
      </c>
      <c r="H13429" s="42">
        <v>211</v>
      </c>
    </row>
    <row r="13430" spans="1:8" ht="15" customHeight="1">
      <c r="A13430" s="26">
        <v>1052838786</v>
      </c>
      <c r="B13430" s="29" t="s">
        <v>15639</v>
      </c>
      <c r="C13430" s="29" t="s">
        <v>17204</v>
      </c>
      <c r="D13430" s="29" t="s">
        <v>42521</v>
      </c>
      <c r="E13430" s="29" t="s">
        <v>43926</v>
      </c>
      <c r="F13430" s="36" t="s">
        <v>54401</v>
      </c>
      <c r="G13430" s="39">
        <v>162096.84</v>
      </c>
      <c r="H13430" s="42">
        <v>211</v>
      </c>
    </row>
    <row r="13431" spans="1:8" ht="15" customHeight="1">
      <c r="A13431" s="26">
        <v>1052839319</v>
      </c>
      <c r="B13431" s="29" t="s">
        <v>15640</v>
      </c>
      <c r="C13431" s="26" t="s">
        <v>28999</v>
      </c>
      <c r="D13431" s="26" t="s">
        <v>42522</v>
      </c>
      <c r="E13431" s="26" t="s">
        <v>43926</v>
      </c>
      <c r="F13431" s="37" t="s">
        <v>54401</v>
      </c>
      <c r="G13431" s="39">
        <v>265450.45</v>
      </c>
      <c r="H13431" s="42">
        <v>211</v>
      </c>
    </row>
    <row r="13432" spans="1:8" ht="15" customHeight="1">
      <c r="A13432" s="26">
        <v>1052839571</v>
      </c>
      <c r="B13432" s="29" t="s">
        <v>15641</v>
      </c>
      <c r="C13432" s="29" t="s">
        <v>29000</v>
      </c>
      <c r="D13432" s="29" t="s">
        <v>42523</v>
      </c>
      <c r="E13432" s="29" t="s">
        <v>53501</v>
      </c>
      <c r="F13432" s="36" t="s">
        <v>54401</v>
      </c>
      <c r="G13432" s="39">
        <v>283051.39</v>
      </c>
      <c r="H13432" s="42">
        <v>211</v>
      </c>
    </row>
    <row r="13433" spans="1:8" ht="15" customHeight="1">
      <c r="A13433" s="26">
        <v>1052948246</v>
      </c>
      <c r="B13433" s="29" t="s">
        <v>15642</v>
      </c>
      <c r="C13433" s="29" t="s">
        <v>29001</v>
      </c>
      <c r="D13433" s="29" t="s">
        <v>42524</v>
      </c>
      <c r="E13433" s="29" t="s">
        <v>51926</v>
      </c>
      <c r="F13433" s="36" t="s">
        <v>54401</v>
      </c>
      <c r="G13433" s="39">
        <v>5391005.54</v>
      </c>
      <c r="H13433" s="42">
        <v>211</v>
      </c>
    </row>
    <row r="13434" spans="1:8" ht="15" customHeight="1">
      <c r="A13434" s="26">
        <v>1053302098</v>
      </c>
      <c r="B13434" s="29" t="s">
        <v>15643</v>
      </c>
      <c r="C13434" s="29" t="s">
        <v>29002</v>
      </c>
      <c r="D13434" s="29" t="s">
        <v>42525</v>
      </c>
      <c r="E13434" s="29" t="s">
        <v>53502</v>
      </c>
      <c r="F13434" s="36" t="s">
        <v>54401</v>
      </c>
      <c r="G13434" s="39">
        <v>4241443.5599999996</v>
      </c>
      <c r="H13434" s="42">
        <v>211</v>
      </c>
    </row>
    <row r="13435" spans="1:8" ht="15" customHeight="1">
      <c r="A13435" s="26">
        <v>1053302102</v>
      </c>
      <c r="B13435" s="29" t="s">
        <v>15644</v>
      </c>
      <c r="C13435" s="29" t="s">
        <v>29003</v>
      </c>
      <c r="D13435" s="29" t="s">
        <v>42526</v>
      </c>
      <c r="E13435" s="29" t="s">
        <v>53503</v>
      </c>
      <c r="F13435" s="36" t="s">
        <v>54419</v>
      </c>
      <c r="G13435" s="39">
        <v>3823569.51</v>
      </c>
      <c r="H13435" s="42">
        <v>211</v>
      </c>
    </row>
    <row r="13436" spans="1:8" ht="15" customHeight="1">
      <c r="A13436" s="26">
        <v>1053302157</v>
      </c>
      <c r="B13436" s="29" t="s">
        <v>15645</v>
      </c>
      <c r="C13436" s="29" t="s">
        <v>29004</v>
      </c>
      <c r="D13436" s="29" t="s">
        <v>42527</v>
      </c>
      <c r="E13436" s="29" t="s">
        <v>53504</v>
      </c>
      <c r="F13436" s="36" t="s">
        <v>54401</v>
      </c>
      <c r="G13436" s="39">
        <v>667328.82999999996</v>
      </c>
      <c r="H13436" s="42">
        <v>211</v>
      </c>
    </row>
    <row r="13437" spans="1:8" ht="15" customHeight="1">
      <c r="A13437" s="26">
        <v>1053302180</v>
      </c>
      <c r="B13437" s="29" t="s">
        <v>15646</v>
      </c>
      <c r="C13437" s="29" t="s">
        <v>29005</v>
      </c>
      <c r="D13437" s="29" t="s">
        <v>42528</v>
      </c>
      <c r="E13437" s="29" t="s">
        <v>53505</v>
      </c>
      <c r="F13437" s="36" t="s">
        <v>54401</v>
      </c>
      <c r="G13437" s="39">
        <v>858897.33</v>
      </c>
      <c r="H13437" s="42">
        <v>211</v>
      </c>
    </row>
    <row r="13438" spans="1:8" ht="15" customHeight="1">
      <c r="A13438" s="26">
        <v>1053302335</v>
      </c>
      <c r="B13438" s="29" t="s">
        <v>15647</v>
      </c>
      <c r="C13438" s="29" t="s">
        <v>29006</v>
      </c>
      <c r="D13438" s="29" t="s">
        <v>42529</v>
      </c>
      <c r="E13438" s="29" t="s">
        <v>729</v>
      </c>
      <c r="F13438" s="36" t="s">
        <v>54401</v>
      </c>
      <c r="G13438" s="39">
        <v>303535.78999999998</v>
      </c>
      <c r="H13438" s="42">
        <v>211</v>
      </c>
    </row>
    <row r="13439" spans="1:8" ht="15" customHeight="1">
      <c r="A13439" s="26">
        <v>1053302369</v>
      </c>
      <c r="B13439" s="29" t="s">
        <v>15648</v>
      </c>
      <c r="C13439" s="29" t="s">
        <v>29007</v>
      </c>
      <c r="D13439" s="29" t="s">
        <v>42530</v>
      </c>
      <c r="E13439" s="29" t="s">
        <v>53506</v>
      </c>
      <c r="F13439" s="36" t="s">
        <v>54401</v>
      </c>
      <c r="G13439" s="39">
        <v>2253328.91</v>
      </c>
      <c r="H13439" s="42">
        <v>211</v>
      </c>
    </row>
    <row r="13440" spans="1:8" ht="15" customHeight="1">
      <c r="A13440" s="26">
        <v>1053302449</v>
      </c>
      <c r="B13440" s="29" t="s">
        <v>15649</v>
      </c>
      <c r="C13440" s="29" t="s">
        <v>29008</v>
      </c>
      <c r="D13440" s="29" t="s">
        <v>42530</v>
      </c>
      <c r="E13440" s="29" t="s">
        <v>53507</v>
      </c>
      <c r="F13440" s="36" t="s">
        <v>54401</v>
      </c>
      <c r="G13440" s="39">
        <v>1038802.34</v>
      </c>
      <c r="H13440" s="42">
        <v>211</v>
      </c>
    </row>
    <row r="13441" spans="1:8" ht="15" customHeight="1">
      <c r="A13441" s="26">
        <v>1053302531</v>
      </c>
      <c r="B13441" s="29" t="s">
        <v>15650</v>
      </c>
      <c r="C13441" s="29" t="s">
        <v>17204</v>
      </c>
      <c r="D13441" s="29" t="s">
        <v>30349</v>
      </c>
      <c r="E13441" s="29" t="s">
        <v>43926</v>
      </c>
      <c r="F13441" s="36" t="s">
        <v>54401</v>
      </c>
      <c r="G13441" s="39">
        <v>57771.82</v>
      </c>
      <c r="H13441" s="42">
        <v>211</v>
      </c>
    </row>
    <row r="13442" spans="1:8" ht="15" customHeight="1">
      <c r="A13442" s="26">
        <v>1053302552</v>
      </c>
      <c r="B13442" s="29" t="s">
        <v>15651</v>
      </c>
      <c r="C13442" s="29" t="s">
        <v>29009</v>
      </c>
      <c r="D13442" s="29" t="s">
        <v>42531</v>
      </c>
      <c r="E13442" s="29" t="s">
        <v>53508</v>
      </c>
      <c r="F13442" s="36" t="s">
        <v>54419</v>
      </c>
      <c r="G13442" s="39">
        <v>207670.83</v>
      </c>
      <c r="H13442" s="42">
        <v>211</v>
      </c>
    </row>
    <row r="13443" spans="1:8" ht="15" customHeight="1">
      <c r="A13443" s="26">
        <v>1053302554</v>
      </c>
      <c r="B13443" s="29" t="s">
        <v>15652</v>
      </c>
      <c r="C13443" s="29" t="s">
        <v>29010</v>
      </c>
      <c r="D13443" s="29" t="s">
        <v>42532</v>
      </c>
      <c r="E13443" s="29" t="s">
        <v>53509</v>
      </c>
      <c r="F13443" s="36" t="s">
        <v>54401</v>
      </c>
      <c r="G13443" s="39">
        <v>198033.38</v>
      </c>
      <c r="H13443" s="42">
        <v>211</v>
      </c>
    </row>
    <row r="13444" spans="1:8" ht="15" customHeight="1">
      <c r="A13444" s="26">
        <v>1053326396</v>
      </c>
      <c r="B13444" s="29" t="s">
        <v>15653</v>
      </c>
      <c r="C13444" s="29" t="s">
        <v>29011</v>
      </c>
      <c r="D13444" s="29" t="s">
        <v>42533</v>
      </c>
      <c r="E13444" s="29" t="s">
        <v>53510</v>
      </c>
      <c r="F13444" s="36" t="s">
        <v>54401</v>
      </c>
      <c r="G13444" s="39">
        <v>1762822</v>
      </c>
      <c r="H13444" s="42">
        <v>211</v>
      </c>
    </row>
    <row r="13445" spans="1:8" ht="15" customHeight="1">
      <c r="A13445" s="26">
        <v>1053327048</v>
      </c>
      <c r="B13445" s="29" t="s">
        <v>15654</v>
      </c>
      <c r="C13445" s="29" t="s">
        <v>29012</v>
      </c>
      <c r="D13445" s="29" t="s">
        <v>42534</v>
      </c>
      <c r="E13445" s="29" t="s">
        <v>53511</v>
      </c>
      <c r="F13445" s="36" t="s">
        <v>54401</v>
      </c>
      <c r="G13445" s="39">
        <v>3527919</v>
      </c>
      <c r="H13445" s="42">
        <v>211</v>
      </c>
    </row>
    <row r="13446" spans="1:8" ht="15" customHeight="1">
      <c r="A13446" s="26">
        <v>1053327694</v>
      </c>
      <c r="B13446" s="29" t="s">
        <v>15655</v>
      </c>
      <c r="C13446" s="29" t="s">
        <v>29013</v>
      </c>
      <c r="D13446" s="29" t="s">
        <v>36824</v>
      </c>
      <c r="E13446" s="29" t="s">
        <v>53512</v>
      </c>
      <c r="F13446" s="36" t="s">
        <v>54401</v>
      </c>
      <c r="G13446" s="39">
        <v>26446.84</v>
      </c>
      <c r="H13446" s="42">
        <v>211</v>
      </c>
    </row>
    <row r="13447" spans="1:8" ht="15" customHeight="1">
      <c r="A13447" s="26">
        <v>1053327697</v>
      </c>
      <c r="B13447" s="29" t="s">
        <v>15656</v>
      </c>
      <c r="C13447" s="29" t="s">
        <v>29014</v>
      </c>
      <c r="D13447" s="29" t="s">
        <v>42535</v>
      </c>
      <c r="E13447" s="29" t="s">
        <v>44413</v>
      </c>
      <c r="F13447" s="36" t="s">
        <v>54401</v>
      </c>
      <c r="G13447" s="39">
        <v>1041195.79</v>
      </c>
      <c r="H13447" s="42">
        <v>211</v>
      </c>
    </row>
    <row r="13448" spans="1:8" ht="15" customHeight="1">
      <c r="A13448" s="26">
        <v>1053330087</v>
      </c>
      <c r="B13448" s="29" t="s">
        <v>15657</v>
      </c>
      <c r="C13448" s="29" t="s">
        <v>29015</v>
      </c>
      <c r="D13448" s="29" t="s">
        <v>42536</v>
      </c>
      <c r="E13448" s="29" t="s">
        <v>52056</v>
      </c>
      <c r="F13448" s="36" t="s">
        <v>54401</v>
      </c>
      <c r="G13448" s="39">
        <v>972943.39</v>
      </c>
      <c r="H13448" s="42">
        <v>211</v>
      </c>
    </row>
    <row r="13449" spans="1:8" ht="15" customHeight="1">
      <c r="A13449" s="26">
        <v>1053331516</v>
      </c>
      <c r="B13449" s="29" t="s">
        <v>15658</v>
      </c>
      <c r="C13449" s="29" t="s">
        <v>29016</v>
      </c>
      <c r="D13449" s="29" t="s">
        <v>42537</v>
      </c>
      <c r="E13449" s="29" t="s">
        <v>53513</v>
      </c>
      <c r="F13449" s="36" t="s">
        <v>54401</v>
      </c>
      <c r="G13449" s="39">
        <v>876475.33</v>
      </c>
      <c r="H13449" s="42">
        <v>211</v>
      </c>
    </row>
    <row r="13450" spans="1:8" ht="15" customHeight="1">
      <c r="A13450" s="26">
        <v>1053333477</v>
      </c>
      <c r="B13450" s="29" t="s">
        <v>15659</v>
      </c>
      <c r="C13450" s="29" t="s">
        <v>29017</v>
      </c>
      <c r="D13450" s="29" t="s">
        <v>42538</v>
      </c>
      <c r="E13450" s="29" t="s">
        <v>44324</v>
      </c>
      <c r="F13450" s="36" t="s">
        <v>54401</v>
      </c>
      <c r="G13450" s="39">
        <v>2386363.63</v>
      </c>
      <c r="H13450" s="42">
        <v>211</v>
      </c>
    </row>
    <row r="13451" spans="1:8" ht="15" customHeight="1">
      <c r="A13451" s="26">
        <v>1053337595</v>
      </c>
      <c r="B13451" s="29" t="s">
        <v>15660</v>
      </c>
      <c r="C13451" s="29" t="s">
        <v>29018</v>
      </c>
      <c r="D13451" s="29" t="s">
        <v>42539</v>
      </c>
      <c r="E13451" s="29" t="s">
        <v>53514</v>
      </c>
      <c r="F13451" s="36" t="s">
        <v>54401</v>
      </c>
      <c r="G13451" s="39">
        <v>790761.8</v>
      </c>
      <c r="H13451" s="42">
        <v>211</v>
      </c>
    </row>
    <row r="13452" spans="1:8" ht="15" customHeight="1">
      <c r="A13452" s="26">
        <v>1053338377</v>
      </c>
      <c r="B13452" s="29" t="s">
        <v>15661</v>
      </c>
      <c r="C13452" s="29" t="s">
        <v>29019</v>
      </c>
      <c r="D13452" s="29" t="s">
        <v>42540</v>
      </c>
      <c r="E13452" s="29" t="s">
        <v>53515</v>
      </c>
      <c r="F13452" s="36" t="s">
        <v>54401</v>
      </c>
      <c r="G13452" s="39">
        <v>1716481.32</v>
      </c>
      <c r="H13452" s="42">
        <v>211</v>
      </c>
    </row>
    <row r="13453" spans="1:8" ht="15" customHeight="1">
      <c r="A13453" s="26">
        <v>1053339688</v>
      </c>
      <c r="B13453" s="29" t="s">
        <v>15662</v>
      </c>
      <c r="C13453" s="29" t="s">
        <v>17204</v>
      </c>
      <c r="D13453" s="29" t="s">
        <v>30349</v>
      </c>
      <c r="E13453" s="29" t="s">
        <v>43926</v>
      </c>
      <c r="F13453" s="36" t="s">
        <v>54401</v>
      </c>
      <c r="G13453" s="39">
        <v>205191.01</v>
      </c>
      <c r="H13453" s="42">
        <v>211</v>
      </c>
    </row>
    <row r="13454" spans="1:8" ht="15" customHeight="1">
      <c r="A13454" s="26">
        <v>1053341838</v>
      </c>
      <c r="B13454" s="29" t="s">
        <v>15663</v>
      </c>
      <c r="C13454" s="29" t="s">
        <v>29020</v>
      </c>
      <c r="D13454" s="29" t="s">
        <v>42541</v>
      </c>
      <c r="E13454" s="29" t="s">
        <v>45285</v>
      </c>
      <c r="F13454" s="36" t="s">
        <v>54401</v>
      </c>
      <c r="G13454" s="39">
        <v>2941292.9</v>
      </c>
      <c r="H13454" s="42">
        <v>211</v>
      </c>
    </row>
    <row r="13455" spans="1:8" ht="15" customHeight="1">
      <c r="A13455" s="26">
        <v>1053343912</v>
      </c>
      <c r="B13455" s="29" t="s">
        <v>15664</v>
      </c>
      <c r="C13455" s="29" t="s">
        <v>29021</v>
      </c>
      <c r="D13455" s="29" t="s">
        <v>42542</v>
      </c>
      <c r="E13455" s="29" t="s">
        <v>53516</v>
      </c>
      <c r="F13455" s="36" t="s">
        <v>54401</v>
      </c>
      <c r="G13455" s="39">
        <v>230006.61</v>
      </c>
      <c r="H13455" s="42">
        <v>211</v>
      </c>
    </row>
    <row r="13456" spans="1:8" ht="15" customHeight="1">
      <c r="A13456" s="26">
        <v>1053344418</v>
      </c>
      <c r="B13456" s="29" t="s">
        <v>15665</v>
      </c>
      <c r="C13456" s="29" t="s">
        <v>29022</v>
      </c>
      <c r="D13456" s="29" t="s">
        <v>31098</v>
      </c>
      <c r="E13456" s="29" t="s">
        <v>44637</v>
      </c>
      <c r="F13456" s="36" t="s">
        <v>54401</v>
      </c>
      <c r="G13456" s="39">
        <v>1676141.22</v>
      </c>
      <c r="H13456" s="42">
        <v>211</v>
      </c>
    </row>
    <row r="13457" spans="1:8" ht="15" customHeight="1">
      <c r="A13457" s="26">
        <v>1053347587</v>
      </c>
      <c r="B13457" s="29" t="s">
        <v>15666</v>
      </c>
      <c r="C13457" s="29" t="s">
        <v>29023</v>
      </c>
      <c r="D13457" s="29" t="s">
        <v>42543</v>
      </c>
      <c r="E13457" s="29" t="s">
        <v>53517</v>
      </c>
      <c r="F13457" s="36" t="s">
        <v>54401</v>
      </c>
      <c r="G13457" s="39">
        <v>395858.26</v>
      </c>
      <c r="H13457" s="42">
        <v>211</v>
      </c>
    </row>
    <row r="13458" spans="1:8" ht="15" customHeight="1">
      <c r="A13458" s="26">
        <v>1053347870</v>
      </c>
      <c r="B13458" s="29" t="s">
        <v>15667</v>
      </c>
      <c r="C13458" s="29" t="s">
        <v>17204</v>
      </c>
      <c r="D13458" s="29" t="s">
        <v>42544</v>
      </c>
      <c r="E13458" s="29" t="s">
        <v>43926</v>
      </c>
      <c r="F13458" s="36" t="s">
        <v>54401</v>
      </c>
      <c r="G13458" s="39">
        <v>47552.91</v>
      </c>
      <c r="H13458" s="42">
        <v>211</v>
      </c>
    </row>
    <row r="13459" spans="1:8" ht="15" customHeight="1">
      <c r="A13459" s="26">
        <v>1053442081</v>
      </c>
      <c r="B13459" s="29" t="s">
        <v>15668</v>
      </c>
      <c r="C13459" s="29" t="s">
        <v>29024</v>
      </c>
      <c r="D13459" s="29" t="s">
        <v>42545</v>
      </c>
      <c r="E13459" s="29" t="s">
        <v>53518</v>
      </c>
      <c r="F13459" s="36" t="s">
        <v>54401</v>
      </c>
      <c r="G13459" s="39">
        <v>2090932</v>
      </c>
      <c r="H13459" s="42">
        <v>211</v>
      </c>
    </row>
    <row r="13460" spans="1:8" ht="15" customHeight="1">
      <c r="A13460" s="26">
        <v>1053442127</v>
      </c>
      <c r="B13460" s="29" t="s">
        <v>15669</v>
      </c>
      <c r="C13460" s="26" t="s">
        <v>17204</v>
      </c>
      <c r="D13460" s="26" t="s">
        <v>42546</v>
      </c>
      <c r="E13460" s="26" t="s">
        <v>43926</v>
      </c>
      <c r="F13460" s="37" t="s">
        <v>54401</v>
      </c>
      <c r="G13460" s="39">
        <v>400110.12</v>
      </c>
      <c r="H13460" s="42">
        <v>211</v>
      </c>
    </row>
    <row r="13461" spans="1:8" ht="15" customHeight="1">
      <c r="A13461" s="26">
        <v>1053442144</v>
      </c>
      <c r="B13461" s="29" t="s">
        <v>15670</v>
      </c>
      <c r="C13461" s="26" t="s">
        <v>29025</v>
      </c>
      <c r="D13461" s="26" t="s">
        <v>42399</v>
      </c>
      <c r="E13461" s="26" t="s">
        <v>53519</v>
      </c>
      <c r="F13461" s="37" t="s">
        <v>54401</v>
      </c>
      <c r="G13461" s="39">
        <v>691958.22</v>
      </c>
      <c r="H13461" s="42">
        <v>211</v>
      </c>
    </row>
    <row r="13462" spans="1:8" ht="15" customHeight="1">
      <c r="A13462" s="26">
        <v>1053442366</v>
      </c>
      <c r="B13462" s="29" t="s">
        <v>15671</v>
      </c>
      <c r="C13462" s="29" t="s">
        <v>29026</v>
      </c>
      <c r="D13462" s="29" t="s">
        <v>42547</v>
      </c>
      <c r="E13462" s="29" t="s">
        <v>53029</v>
      </c>
      <c r="F13462" s="36" t="s">
        <v>54401</v>
      </c>
      <c r="G13462" s="39">
        <v>304230.71999999997</v>
      </c>
      <c r="H13462" s="42">
        <v>211</v>
      </c>
    </row>
    <row r="13463" spans="1:8" ht="15" customHeight="1">
      <c r="A13463" s="26">
        <v>1053442381</v>
      </c>
      <c r="B13463" s="29" t="s">
        <v>15672</v>
      </c>
      <c r="C13463" s="29" t="s">
        <v>29027</v>
      </c>
      <c r="D13463" s="29" t="s">
        <v>42548</v>
      </c>
      <c r="E13463" s="29" t="s">
        <v>49820</v>
      </c>
      <c r="F13463" s="36" t="s">
        <v>54401</v>
      </c>
      <c r="G13463" s="39">
        <v>46436.98</v>
      </c>
      <c r="H13463" s="42">
        <v>211</v>
      </c>
    </row>
    <row r="13464" spans="1:8" ht="15" customHeight="1">
      <c r="A13464" s="26">
        <v>1053442416</v>
      </c>
      <c r="B13464" s="29" t="s">
        <v>15673</v>
      </c>
      <c r="C13464" s="29" t="s">
        <v>29028</v>
      </c>
      <c r="D13464" s="29" t="s">
        <v>42549</v>
      </c>
      <c r="E13464" s="29" t="s">
        <v>53520</v>
      </c>
      <c r="F13464" s="36" t="s">
        <v>54401</v>
      </c>
      <c r="G13464" s="39">
        <v>111994.26</v>
      </c>
      <c r="H13464" s="42">
        <v>211</v>
      </c>
    </row>
    <row r="13465" spans="1:8" ht="15" customHeight="1">
      <c r="A13465" s="26">
        <v>1053442450</v>
      </c>
      <c r="B13465" s="29" t="s">
        <v>15674</v>
      </c>
      <c r="C13465" s="29" t="s">
        <v>29029</v>
      </c>
      <c r="D13465" s="29" t="s">
        <v>42550</v>
      </c>
      <c r="E13465" s="29" t="s">
        <v>53521</v>
      </c>
      <c r="F13465" s="36" t="s">
        <v>54401</v>
      </c>
      <c r="G13465" s="39">
        <v>193417.36</v>
      </c>
      <c r="H13465" s="42">
        <v>211</v>
      </c>
    </row>
    <row r="13466" spans="1:8" ht="15" customHeight="1">
      <c r="A13466" s="26">
        <v>1053442458</v>
      </c>
      <c r="B13466" s="29" t="s">
        <v>15675</v>
      </c>
      <c r="C13466" s="29" t="s">
        <v>29030</v>
      </c>
      <c r="D13466" s="29" t="s">
        <v>42551</v>
      </c>
      <c r="E13466" s="29" t="s">
        <v>53522</v>
      </c>
      <c r="F13466" s="36" t="s">
        <v>54401</v>
      </c>
      <c r="G13466" s="39">
        <v>314275.84999999998</v>
      </c>
      <c r="H13466" s="42">
        <v>211</v>
      </c>
    </row>
    <row r="13467" spans="1:8" ht="15" customHeight="1">
      <c r="A13467" s="26">
        <v>1053442482</v>
      </c>
      <c r="B13467" s="29" t="s">
        <v>15676</v>
      </c>
      <c r="C13467" s="29" t="s">
        <v>17204</v>
      </c>
      <c r="D13467" s="29" t="s">
        <v>42552</v>
      </c>
      <c r="E13467" s="29" t="s">
        <v>43926</v>
      </c>
      <c r="F13467" s="36" t="s">
        <v>54401</v>
      </c>
      <c r="G13467" s="39">
        <v>189460.84</v>
      </c>
      <c r="H13467" s="42">
        <v>211</v>
      </c>
    </row>
    <row r="13468" spans="1:8" ht="15" customHeight="1">
      <c r="A13468" s="26">
        <v>1053442512</v>
      </c>
      <c r="B13468" s="29" t="s">
        <v>15677</v>
      </c>
      <c r="C13468" s="29" t="s">
        <v>29031</v>
      </c>
      <c r="D13468" s="29" t="s">
        <v>42553</v>
      </c>
      <c r="E13468" s="29" t="s">
        <v>53523</v>
      </c>
      <c r="F13468" s="36" t="s">
        <v>54401</v>
      </c>
      <c r="G13468" s="39">
        <v>886621.76</v>
      </c>
      <c r="H13468" s="42">
        <v>211</v>
      </c>
    </row>
    <row r="13469" spans="1:8" ht="15" customHeight="1">
      <c r="A13469" s="26">
        <v>1053442773</v>
      </c>
      <c r="B13469" s="29" t="s">
        <v>15678</v>
      </c>
      <c r="C13469" s="29" t="s">
        <v>29032</v>
      </c>
      <c r="D13469" s="29" t="s">
        <v>42554</v>
      </c>
      <c r="E13469" s="29" t="s">
        <v>53524</v>
      </c>
      <c r="F13469" s="36" t="s">
        <v>54401</v>
      </c>
      <c r="G13469" s="39">
        <v>162254.35999999999</v>
      </c>
      <c r="H13469" s="42">
        <v>211</v>
      </c>
    </row>
    <row r="13470" spans="1:8" ht="15" customHeight="1">
      <c r="A13470" s="26">
        <v>1053442826</v>
      </c>
      <c r="B13470" s="29" t="s">
        <v>15679</v>
      </c>
      <c r="C13470" s="29" t="s">
        <v>29033</v>
      </c>
      <c r="D13470" s="29" t="s">
        <v>42555</v>
      </c>
      <c r="E13470" s="29" t="s">
        <v>53525</v>
      </c>
      <c r="F13470" s="36" t="s">
        <v>54401</v>
      </c>
      <c r="G13470" s="39">
        <v>369594.03</v>
      </c>
      <c r="H13470" s="42">
        <v>211</v>
      </c>
    </row>
    <row r="13471" spans="1:8" ht="15" customHeight="1">
      <c r="A13471" s="26">
        <v>1053442871</v>
      </c>
      <c r="B13471" s="29" t="s">
        <v>15680</v>
      </c>
      <c r="C13471" s="29" t="s">
        <v>17204</v>
      </c>
      <c r="D13471" s="29" t="s">
        <v>42556</v>
      </c>
      <c r="E13471" s="29" t="s">
        <v>43926</v>
      </c>
      <c r="F13471" s="36" t="s">
        <v>54401</v>
      </c>
      <c r="G13471" s="39">
        <v>502450.22</v>
      </c>
      <c r="H13471" s="42">
        <v>211</v>
      </c>
    </row>
    <row r="13472" spans="1:8" ht="15" customHeight="1">
      <c r="A13472" s="26">
        <v>1053442888</v>
      </c>
      <c r="B13472" s="29" t="s">
        <v>15681</v>
      </c>
      <c r="C13472" s="29" t="s">
        <v>29034</v>
      </c>
      <c r="D13472" s="29" t="s">
        <v>42557</v>
      </c>
      <c r="E13472" s="29" t="s">
        <v>53526</v>
      </c>
      <c r="F13472" s="36" t="s">
        <v>54401</v>
      </c>
      <c r="G13472" s="39">
        <v>5664070</v>
      </c>
      <c r="H13472" s="42">
        <v>211</v>
      </c>
    </row>
    <row r="13473" spans="1:8" ht="15" customHeight="1">
      <c r="A13473" s="26">
        <v>1053442920</v>
      </c>
      <c r="B13473" s="29" t="s">
        <v>15682</v>
      </c>
      <c r="C13473" s="29" t="s">
        <v>29035</v>
      </c>
      <c r="D13473" s="29" t="s">
        <v>42558</v>
      </c>
      <c r="E13473" s="29" t="s">
        <v>53527</v>
      </c>
      <c r="F13473" s="36" t="s">
        <v>54401</v>
      </c>
      <c r="G13473" s="39">
        <v>821766.27</v>
      </c>
      <c r="H13473" s="42">
        <v>211</v>
      </c>
    </row>
    <row r="13474" spans="1:8" ht="15" customHeight="1">
      <c r="A13474" s="26">
        <v>1053442925</v>
      </c>
      <c r="B13474" s="29" t="s">
        <v>15683</v>
      </c>
      <c r="C13474" s="29" t="s">
        <v>29036</v>
      </c>
      <c r="D13474" s="29" t="s">
        <v>42559</v>
      </c>
      <c r="E13474" s="29" t="s">
        <v>53528</v>
      </c>
      <c r="F13474" s="36" t="s">
        <v>54401</v>
      </c>
      <c r="G13474" s="39">
        <v>351587.47</v>
      </c>
      <c r="H13474" s="42">
        <v>211</v>
      </c>
    </row>
    <row r="13475" spans="1:8" ht="15" customHeight="1">
      <c r="A13475" s="26">
        <v>1053442965</v>
      </c>
      <c r="B13475" s="29" t="s">
        <v>15684</v>
      </c>
      <c r="C13475" s="29" t="s">
        <v>17204</v>
      </c>
      <c r="D13475" s="29" t="s">
        <v>42560</v>
      </c>
      <c r="E13475" s="29" t="s">
        <v>43926</v>
      </c>
      <c r="F13475" s="36" t="s">
        <v>54401</v>
      </c>
      <c r="G13475" s="39">
        <v>14994.25</v>
      </c>
      <c r="H13475" s="42">
        <v>211</v>
      </c>
    </row>
    <row r="13476" spans="1:8" ht="15" customHeight="1">
      <c r="A13476" s="26">
        <v>1053443185</v>
      </c>
      <c r="B13476" s="29" t="s">
        <v>15685</v>
      </c>
      <c r="C13476" s="29" t="s">
        <v>29037</v>
      </c>
      <c r="D13476" s="29" t="s">
        <v>42561</v>
      </c>
      <c r="E13476" s="29" t="s">
        <v>53529</v>
      </c>
      <c r="F13476" s="36" t="s">
        <v>54401</v>
      </c>
      <c r="G13476" s="39">
        <v>324776.71000000002</v>
      </c>
      <c r="H13476" s="42">
        <v>211</v>
      </c>
    </row>
    <row r="13477" spans="1:8" ht="15" customHeight="1">
      <c r="A13477" s="26">
        <v>1053443207</v>
      </c>
      <c r="B13477" s="29" t="s">
        <v>15686</v>
      </c>
      <c r="C13477" s="29" t="s">
        <v>29038</v>
      </c>
      <c r="D13477" s="29" t="s">
        <v>42562</v>
      </c>
      <c r="E13477" s="29" t="s">
        <v>43926</v>
      </c>
      <c r="F13477" s="36" t="s">
        <v>54401</v>
      </c>
      <c r="G13477" s="39">
        <v>1849423.76</v>
      </c>
      <c r="H13477" s="42">
        <v>211</v>
      </c>
    </row>
    <row r="13478" spans="1:8" ht="15" customHeight="1">
      <c r="A13478" s="26">
        <v>1053443291</v>
      </c>
      <c r="B13478" s="29" t="s">
        <v>15687</v>
      </c>
      <c r="C13478" s="29" t="s">
        <v>29039</v>
      </c>
      <c r="D13478" s="29" t="s">
        <v>42563</v>
      </c>
      <c r="E13478" s="29" t="s">
        <v>53530</v>
      </c>
      <c r="F13478" s="36" t="s">
        <v>54401</v>
      </c>
      <c r="G13478" s="39">
        <v>49261.93</v>
      </c>
      <c r="H13478" s="42">
        <v>211</v>
      </c>
    </row>
    <row r="13479" spans="1:8" ht="15" customHeight="1">
      <c r="A13479" s="26">
        <v>1053443384</v>
      </c>
      <c r="B13479" s="29" t="s">
        <v>15688</v>
      </c>
      <c r="C13479" s="29" t="s">
        <v>17204</v>
      </c>
      <c r="D13479" s="29" t="s">
        <v>42564</v>
      </c>
      <c r="E13479" s="29" t="s">
        <v>43926</v>
      </c>
      <c r="F13479" s="36" t="s">
        <v>54401</v>
      </c>
      <c r="G13479" s="39">
        <v>13469.57</v>
      </c>
      <c r="H13479" s="42">
        <v>211</v>
      </c>
    </row>
    <row r="13480" spans="1:8" ht="15" customHeight="1">
      <c r="A13480" s="26">
        <v>1053443510</v>
      </c>
      <c r="B13480" s="29" t="s">
        <v>15689</v>
      </c>
      <c r="C13480" s="29" t="s">
        <v>29040</v>
      </c>
      <c r="D13480" s="29" t="s">
        <v>42565</v>
      </c>
      <c r="E13480" s="29" t="s">
        <v>44019</v>
      </c>
      <c r="F13480" s="36" t="s">
        <v>54401</v>
      </c>
      <c r="G13480" s="39">
        <v>465635.63</v>
      </c>
      <c r="H13480" s="42">
        <v>211</v>
      </c>
    </row>
    <row r="13481" spans="1:8" ht="15" customHeight="1">
      <c r="A13481" s="26">
        <v>1053443531</v>
      </c>
      <c r="B13481" s="29" t="s">
        <v>15690</v>
      </c>
      <c r="C13481" s="29" t="s">
        <v>29041</v>
      </c>
      <c r="D13481" s="29" t="s">
        <v>42566</v>
      </c>
      <c r="E13481" s="29" t="s">
        <v>43926</v>
      </c>
      <c r="F13481" s="36" t="s">
        <v>54401</v>
      </c>
      <c r="G13481" s="39">
        <v>223214.73</v>
      </c>
      <c r="H13481" s="42">
        <v>211</v>
      </c>
    </row>
    <row r="13482" spans="1:8" ht="15" customHeight="1">
      <c r="A13482" s="26">
        <v>1053444030</v>
      </c>
      <c r="B13482" s="29" t="s">
        <v>15691</v>
      </c>
      <c r="C13482" s="29" t="s">
        <v>29042</v>
      </c>
      <c r="D13482" s="29" t="s">
        <v>42567</v>
      </c>
      <c r="E13482" s="29" t="s">
        <v>53531</v>
      </c>
      <c r="F13482" s="36" t="s">
        <v>54401</v>
      </c>
      <c r="G13482" s="39">
        <v>245418.64</v>
      </c>
      <c r="H13482" s="42">
        <v>211</v>
      </c>
    </row>
    <row r="13483" spans="1:8" ht="15" customHeight="1">
      <c r="A13483" s="26">
        <v>1053444170</v>
      </c>
      <c r="B13483" s="29" t="s">
        <v>15692</v>
      </c>
      <c r="C13483" s="29" t="s">
        <v>29043</v>
      </c>
      <c r="D13483" s="29" t="s">
        <v>42568</v>
      </c>
      <c r="E13483" s="29" t="s">
        <v>2095</v>
      </c>
      <c r="F13483" s="36" t="s">
        <v>54401</v>
      </c>
      <c r="G13483" s="39">
        <v>24852.51</v>
      </c>
      <c r="H13483" s="42">
        <v>211</v>
      </c>
    </row>
    <row r="13484" spans="1:8" ht="15" customHeight="1">
      <c r="A13484" s="26">
        <v>1053444228</v>
      </c>
      <c r="B13484" s="29" t="s">
        <v>15693</v>
      </c>
      <c r="C13484" s="29" t="s">
        <v>17204</v>
      </c>
      <c r="D13484" s="29" t="s">
        <v>42569</v>
      </c>
      <c r="E13484" s="29" t="s">
        <v>43926</v>
      </c>
      <c r="F13484" s="36" t="s">
        <v>54401</v>
      </c>
      <c r="G13484" s="39">
        <v>259149.59</v>
      </c>
      <c r="H13484" s="42">
        <v>211</v>
      </c>
    </row>
    <row r="13485" spans="1:8" ht="15" customHeight="1">
      <c r="A13485" s="26">
        <v>1053444254</v>
      </c>
      <c r="B13485" s="29" t="s">
        <v>15694</v>
      </c>
      <c r="C13485" s="26" t="s">
        <v>29044</v>
      </c>
      <c r="D13485" s="26" t="s">
        <v>42570</v>
      </c>
      <c r="E13485" s="26" t="s">
        <v>53532</v>
      </c>
      <c r="F13485" s="37" t="s">
        <v>54401</v>
      </c>
      <c r="G13485" s="39">
        <v>854607.71</v>
      </c>
      <c r="H13485" s="42">
        <v>211</v>
      </c>
    </row>
    <row r="13486" spans="1:8" ht="15" customHeight="1">
      <c r="A13486" s="26">
        <v>1053444803</v>
      </c>
      <c r="B13486" s="29" t="s">
        <v>15695</v>
      </c>
      <c r="C13486" s="29" t="s">
        <v>17204</v>
      </c>
      <c r="D13486" s="29" t="s">
        <v>42571</v>
      </c>
      <c r="E13486" s="29" t="s">
        <v>43926</v>
      </c>
      <c r="F13486" s="36" t="s">
        <v>54401</v>
      </c>
      <c r="G13486" s="39">
        <v>10773.1</v>
      </c>
      <c r="H13486" s="42">
        <v>211</v>
      </c>
    </row>
    <row r="13487" spans="1:8" ht="15" customHeight="1">
      <c r="A13487" s="26">
        <v>1053512149</v>
      </c>
      <c r="B13487" s="29" t="s">
        <v>15696</v>
      </c>
      <c r="C13487" s="29" t="s">
        <v>29045</v>
      </c>
      <c r="D13487" s="29" t="s">
        <v>42572</v>
      </c>
      <c r="E13487" s="29" t="s">
        <v>53533</v>
      </c>
      <c r="F13487" s="36" t="s">
        <v>54402</v>
      </c>
      <c r="G13487" s="39">
        <v>9104828</v>
      </c>
      <c r="H13487" s="42">
        <v>211</v>
      </c>
    </row>
    <row r="13488" spans="1:8" ht="15" customHeight="1">
      <c r="A13488" s="26">
        <v>1053512819</v>
      </c>
      <c r="B13488" s="29" t="s">
        <v>15697</v>
      </c>
      <c r="C13488" s="29" t="s">
        <v>29046</v>
      </c>
      <c r="D13488" s="29" t="s">
        <v>42573</v>
      </c>
      <c r="E13488" s="29" t="s">
        <v>53534</v>
      </c>
      <c r="F13488" s="36" t="s">
        <v>54402</v>
      </c>
      <c r="G13488" s="39">
        <v>20018791</v>
      </c>
      <c r="H13488" s="42">
        <v>211</v>
      </c>
    </row>
    <row r="13489" spans="1:8" ht="15" customHeight="1">
      <c r="A13489" s="26">
        <v>1053538234</v>
      </c>
      <c r="B13489" s="29" t="s">
        <v>15698</v>
      </c>
      <c r="C13489" s="29" t="s">
        <v>29047</v>
      </c>
      <c r="D13489" s="29" t="s">
        <v>42574</v>
      </c>
      <c r="E13489" s="29" t="s">
        <v>53535</v>
      </c>
      <c r="F13489" s="36" t="s">
        <v>54401</v>
      </c>
      <c r="G13489" s="39">
        <v>446873.23</v>
      </c>
      <c r="H13489" s="42">
        <v>211</v>
      </c>
    </row>
    <row r="13490" spans="1:8" ht="15" customHeight="1">
      <c r="A13490" s="26">
        <v>1053538279</v>
      </c>
      <c r="B13490" s="29" t="s">
        <v>15699</v>
      </c>
      <c r="C13490" s="29" t="s">
        <v>29048</v>
      </c>
      <c r="D13490" s="29" t="s">
        <v>42575</v>
      </c>
      <c r="E13490" s="29" t="s">
        <v>53536</v>
      </c>
      <c r="F13490" s="36" t="s">
        <v>54401</v>
      </c>
      <c r="G13490" s="39">
        <v>3885248.1</v>
      </c>
      <c r="H13490" s="42">
        <v>211</v>
      </c>
    </row>
    <row r="13491" spans="1:8" ht="15" customHeight="1">
      <c r="A13491" s="26">
        <v>1053538320</v>
      </c>
      <c r="B13491" s="29" t="s">
        <v>15700</v>
      </c>
      <c r="C13491" s="29" t="s">
        <v>29049</v>
      </c>
      <c r="D13491" s="29" t="s">
        <v>42576</v>
      </c>
      <c r="E13491" s="29" t="s">
        <v>52909</v>
      </c>
      <c r="F13491" s="36" t="s">
        <v>54401</v>
      </c>
      <c r="G13491" s="39">
        <v>821378.86</v>
      </c>
      <c r="H13491" s="42">
        <v>211</v>
      </c>
    </row>
    <row r="13492" spans="1:8" ht="15" customHeight="1">
      <c r="A13492" s="26">
        <v>1053538343</v>
      </c>
      <c r="B13492" s="29" t="s">
        <v>15701</v>
      </c>
      <c r="C13492" s="29" t="s">
        <v>29050</v>
      </c>
      <c r="D13492" s="29" t="s">
        <v>42577</v>
      </c>
      <c r="E13492" s="29" t="s">
        <v>53537</v>
      </c>
      <c r="F13492" s="36" t="s">
        <v>54443</v>
      </c>
      <c r="G13492" s="39">
        <v>8909466.0800000001</v>
      </c>
      <c r="H13492" s="42">
        <v>211</v>
      </c>
    </row>
    <row r="13493" spans="1:8" ht="15" customHeight="1">
      <c r="A13493" s="26">
        <v>1053559955</v>
      </c>
      <c r="B13493" s="29" t="s">
        <v>15702</v>
      </c>
      <c r="C13493" s="29" t="s">
        <v>17204</v>
      </c>
      <c r="D13493" s="29" t="s">
        <v>30349</v>
      </c>
      <c r="E13493" s="29" t="s">
        <v>43926</v>
      </c>
      <c r="F13493" s="36" t="s">
        <v>54401</v>
      </c>
      <c r="G13493" s="39">
        <v>138443.46</v>
      </c>
      <c r="H13493" s="42">
        <v>211</v>
      </c>
    </row>
    <row r="13494" spans="1:8" ht="15" customHeight="1">
      <c r="A13494" s="26">
        <v>1053582499</v>
      </c>
      <c r="B13494" s="29" t="s">
        <v>15703</v>
      </c>
      <c r="C13494" s="29" t="s">
        <v>29051</v>
      </c>
      <c r="D13494" s="29" t="s">
        <v>42578</v>
      </c>
      <c r="E13494" s="29" t="s">
        <v>43926</v>
      </c>
      <c r="F13494" s="36" t="s">
        <v>54401</v>
      </c>
      <c r="G13494" s="39">
        <v>503509.71</v>
      </c>
      <c r="H13494" s="42">
        <v>211</v>
      </c>
    </row>
    <row r="13495" spans="1:8" ht="15" customHeight="1">
      <c r="A13495" s="26">
        <v>1053584097</v>
      </c>
      <c r="B13495" s="29" t="s">
        <v>15704</v>
      </c>
      <c r="C13495" s="29" t="s">
        <v>29052</v>
      </c>
      <c r="D13495" s="29" t="s">
        <v>42579</v>
      </c>
      <c r="E13495" s="29" t="s">
        <v>53538</v>
      </c>
      <c r="F13495" s="36" t="s">
        <v>54406</v>
      </c>
      <c r="G13495" s="39">
        <v>3421087</v>
      </c>
      <c r="H13495" s="42">
        <v>211</v>
      </c>
    </row>
    <row r="13496" spans="1:8" ht="15" customHeight="1">
      <c r="A13496" s="26">
        <v>1053584183</v>
      </c>
      <c r="B13496" s="29" t="s">
        <v>15705</v>
      </c>
      <c r="C13496" s="29" t="s">
        <v>29053</v>
      </c>
      <c r="D13496" s="29" t="s">
        <v>42580</v>
      </c>
      <c r="E13496" s="29" t="s">
        <v>53539</v>
      </c>
      <c r="F13496" s="36" t="s">
        <v>54401</v>
      </c>
      <c r="G13496" s="39">
        <v>344397.41</v>
      </c>
      <c r="H13496" s="42">
        <v>211</v>
      </c>
    </row>
    <row r="13497" spans="1:8" ht="15" customHeight="1">
      <c r="A13497" s="26">
        <v>1053584242</v>
      </c>
      <c r="B13497" s="29" t="s">
        <v>15706</v>
      </c>
      <c r="C13497" s="29" t="s">
        <v>29054</v>
      </c>
      <c r="D13497" s="29" t="s">
        <v>42581</v>
      </c>
      <c r="E13497" s="29" t="s">
        <v>53540</v>
      </c>
      <c r="F13497" s="36" t="s">
        <v>54401</v>
      </c>
      <c r="G13497" s="39">
        <v>861352.58</v>
      </c>
      <c r="H13497" s="42">
        <v>211</v>
      </c>
    </row>
    <row r="13498" spans="1:8" ht="15" customHeight="1">
      <c r="A13498" s="26">
        <v>1053584369</v>
      </c>
      <c r="B13498" s="29" t="s">
        <v>15707</v>
      </c>
      <c r="C13498" s="29" t="s">
        <v>29055</v>
      </c>
      <c r="D13498" s="29" t="s">
        <v>42582</v>
      </c>
      <c r="E13498" s="29" t="s">
        <v>43926</v>
      </c>
      <c r="F13498" s="36" t="s">
        <v>54401</v>
      </c>
      <c r="G13498" s="39">
        <v>1186049.57</v>
      </c>
      <c r="H13498" s="42">
        <v>211</v>
      </c>
    </row>
    <row r="13499" spans="1:8" ht="15" customHeight="1">
      <c r="A13499" s="26">
        <v>1053584397</v>
      </c>
      <c r="B13499" s="29" t="s">
        <v>15708</v>
      </c>
      <c r="C13499" s="29" t="s">
        <v>29056</v>
      </c>
      <c r="D13499" s="29" t="s">
        <v>42583</v>
      </c>
      <c r="E13499" s="29" t="s">
        <v>53541</v>
      </c>
      <c r="F13499" s="36" t="s">
        <v>54401</v>
      </c>
      <c r="G13499" s="39">
        <v>1342046.6599999999</v>
      </c>
      <c r="H13499" s="42">
        <v>211</v>
      </c>
    </row>
    <row r="13500" spans="1:8" ht="15" customHeight="1">
      <c r="A13500" s="26">
        <v>1053584452</v>
      </c>
      <c r="B13500" s="29" t="s">
        <v>15709</v>
      </c>
      <c r="C13500" s="29" t="s">
        <v>21258</v>
      </c>
      <c r="D13500" s="29" t="s">
        <v>34486</v>
      </c>
      <c r="E13500" s="29" t="s">
        <v>44853</v>
      </c>
      <c r="F13500" s="36" t="s">
        <v>54406</v>
      </c>
      <c r="G13500" s="39">
        <v>4339244.71</v>
      </c>
      <c r="H13500" s="42">
        <v>211</v>
      </c>
    </row>
    <row r="13501" spans="1:8" ht="15" customHeight="1">
      <c r="A13501" s="26">
        <v>1053584561</v>
      </c>
      <c r="B13501" s="29" t="s">
        <v>15710</v>
      </c>
      <c r="C13501" s="26" t="s">
        <v>29057</v>
      </c>
      <c r="D13501" s="26" t="s">
        <v>42584</v>
      </c>
      <c r="E13501" s="26" t="s">
        <v>53542</v>
      </c>
      <c r="F13501" s="37" t="s">
        <v>54401</v>
      </c>
      <c r="G13501" s="39">
        <v>165215.79</v>
      </c>
      <c r="H13501" s="42">
        <v>211</v>
      </c>
    </row>
    <row r="13502" spans="1:8" ht="15" customHeight="1">
      <c r="A13502" s="26">
        <v>1053584578</v>
      </c>
      <c r="B13502" s="29" t="s">
        <v>15711</v>
      </c>
      <c r="C13502" s="29" t="s">
        <v>29058</v>
      </c>
      <c r="D13502" s="29" t="s">
        <v>42585</v>
      </c>
      <c r="E13502" s="29" t="s">
        <v>44187</v>
      </c>
      <c r="F13502" s="36" t="s">
        <v>54401</v>
      </c>
      <c r="G13502" s="39">
        <v>1041303.06</v>
      </c>
      <c r="H13502" s="42">
        <v>211</v>
      </c>
    </row>
    <row r="13503" spans="1:8" ht="15" customHeight="1">
      <c r="A13503" s="26">
        <v>1053584619</v>
      </c>
      <c r="B13503" s="29" t="s">
        <v>15712</v>
      </c>
      <c r="C13503" s="29" t="s">
        <v>29059</v>
      </c>
      <c r="D13503" s="29" t="s">
        <v>42586</v>
      </c>
      <c r="E13503" s="29" t="s">
        <v>48897</v>
      </c>
      <c r="F13503" s="36" t="s">
        <v>54401</v>
      </c>
      <c r="G13503" s="39">
        <v>1383158.82</v>
      </c>
      <c r="H13503" s="42">
        <v>211</v>
      </c>
    </row>
    <row r="13504" spans="1:8" ht="15" customHeight="1">
      <c r="A13504" s="26">
        <v>1053584632</v>
      </c>
      <c r="B13504" s="29" t="s">
        <v>15713</v>
      </c>
      <c r="C13504" s="29" t="s">
        <v>29060</v>
      </c>
      <c r="D13504" s="29" t="s">
        <v>42587</v>
      </c>
      <c r="E13504" s="29" t="s">
        <v>45218</v>
      </c>
      <c r="F13504" s="36" t="s">
        <v>54401</v>
      </c>
      <c r="G13504" s="39">
        <v>4024039</v>
      </c>
      <c r="H13504" s="42">
        <v>211</v>
      </c>
    </row>
    <row r="13505" spans="1:8" ht="15" customHeight="1">
      <c r="A13505" s="26">
        <v>1053584683</v>
      </c>
      <c r="B13505" s="29" t="s">
        <v>15714</v>
      </c>
      <c r="C13505" s="29" t="s">
        <v>29061</v>
      </c>
      <c r="D13505" s="29" t="s">
        <v>30387</v>
      </c>
      <c r="E13505" s="29" t="s">
        <v>44923</v>
      </c>
      <c r="F13505" s="36" t="s">
        <v>54401</v>
      </c>
      <c r="G13505" s="39">
        <v>1014124.67</v>
      </c>
      <c r="H13505" s="42">
        <v>211</v>
      </c>
    </row>
    <row r="13506" spans="1:8" ht="15" customHeight="1">
      <c r="A13506" s="26">
        <v>1053584764</v>
      </c>
      <c r="B13506" s="29" t="s">
        <v>15715</v>
      </c>
      <c r="C13506" s="29" t="s">
        <v>29062</v>
      </c>
      <c r="D13506" s="29" t="s">
        <v>42588</v>
      </c>
      <c r="E13506" s="29" t="s">
        <v>44923</v>
      </c>
      <c r="F13506" s="36" t="s">
        <v>54406</v>
      </c>
      <c r="G13506" s="39">
        <v>399037.11</v>
      </c>
      <c r="H13506" s="42">
        <v>211</v>
      </c>
    </row>
    <row r="13507" spans="1:8" ht="15" customHeight="1">
      <c r="A13507" s="26">
        <v>1053584795</v>
      </c>
      <c r="B13507" s="29" t="s">
        <v>15716</v>
      </c>
      <c r="C13507" s="29" t="s">
        <v>29063</v>
      </c>
      <c r="D13507" s="29" t="s">
        <v>42589</v>
      </c>
      <c r="E13507" s="29" t="s">
        <v>44545</v>
      </c>
      <c r="F13507" s="36" t="s">
        <v>54401</v>
      </c>
      <c r="G13507" s="39">
        <v>1540221.58</v>
      </c>
      <c r="H13507" s="42">
        <v>211</v>
      </c>
    </row>
    <row r="13508" spans="1:8" ht="15" customHeight="1">
      <c r="A13508" s="26">
        <v>1053584818</v>
      </c>
      <c r="B13508" s="29" t="s">
        <v>15717</v>
      </c>
      <c r="C13508" s="29" t="s">
        <v>29064</v>
      </c>
      <c r="D13508" s="29" t="s">
        <v>42590</v>
      </c>
      <c r="E13508" s="29" t="s">
        <v>46622</v>
      </c>
      <c r="F13508" s="36" t="s">
        <v>54401</v>
      </c>
      <c r="G13508" s="39">
        <v>16483755</v>
      </c>
      <c r="H13508" s="42">
        <v>211</v>
      </c>
    </row>
    <row r="13509" spans="1:8" ht="15" customHeight="1">
      <c r="A13509" s="26">
        <v>1053584836</v>
      </c>
      <c r="B13509" s="29" t="s">
        <v>15718</v>
      </c>
      <c r="C13509" s="29" t="s">
        <v>29065</v>
      </c>
      <c r="D13509" s="29" t="s">
        <v>42591</v>
      </c>
      <c r="E13509" s="29" t="s">
        <v>53543</v>
      </c>
      <c r="F13509" s="36" t="s">
        <v>54401</v>
      </c>
      <c r="G13509" s="39">
        <v>4670016</v>
      </c>
      <c r="H13509" s="42">
        <v>211</v>
      </c>
    </row>
    <row r="13510" spans="1:8" ht="15" customHeight="1">
      <c r="A13510" s="26">
        <v>1053584892</v>
      </c>
      <c r="B13510" s="29" t="s">
        <v>15719</v>
      </c>
      <c r="C13510" s="29" t="s">
        <v>29066</v>
      </c>
      <c r="D13510" s="29" t="s">
        <v>32914</v>
      </c>
      <c r="E13510" s="29" t="s">
        <v>43926</v>
      </c>
      <c r="F13510" s="36" t="s">
        <v>54401</v>
      </c>
      <c r="G13510" s="39">
        <v>429681.43</v>
      </c>
      <c r="H13510" s="42">
        <v>211</v>
      </c>
    </row>
    <row r="13511" spans="1:8" ht="15" customHeight="1">
      <c r="A13511" s="26">
        <v>1053584997</v>
      </c>
      <c r="B13511" s="29" t="s">
        <v>15720</v>
      </c>
      <c r="C13511" s="29" t="s">
        <v>29067</v>
      </c>
      <c r="D13511" s="29" t="s">
        <v>42592</v>
      </c>
      <c r="E13511" s="29" t="s">
        <v>49239</v>
      </c>
      <c r="F13511" s="36" t="s">
        <v>54401</v>
      </c>
      <c r="G13511" s="39">
        <v>6810865.8600000003</v>
      </c>
      <c r="H13511" s="42">
        <v>211</v>
      </c>
    </row>
    <row r="13512" spans="1:8" ht="15" customHeight="1">
      <c r="A13512" s="26">
        <v>1053585069</v>
      </c>
      <c r="B13512" s="29" t="s">
        <v>15721</v>
      </c>
      <c r="C13512" s="29" t="s">
        <v>29068</v>
      </c>
      <c r="D13512" s="29" t="s">
        <v>42593</v>
      </c>
      <c r="E13512" s="29" t="s">
        <v>43926</v>
      </c>
      <c r="F13512" s="36" t="s">
        <v>54401</v>
      </c>
      <c r="G13512" s="39">
        <v>4930831</v>
      </c>
      <c r="H13512" s="42">
        <v>211</v>
      </c>
    </row>
    <row r="13513" spans="1:8" ht="15" customHeight="1">
      <c r="A13513" s="26">
        <v>1053585138</v>
      </c>
      <c r="B13513" s="29" t="s">
        <v>15722</v>
      </c>
      <c r="C13513" s="29" t="s">
        <v>29069</v>
      </c>
      <c r="D13513" s="29" t="s">
        <v>42594</v>
      </c>
      <c r="E13513" s="29" t="s">
        <v>53544</v>
      </c>
      <c r="F13513" s="36" t="s">
        <v>54406</v>
      </c>
      <c r="G13513" s="39">
        <v>81346.179999999993</v>
      </c>
      <c r="H13513" s="42">
        <v>211</v>
      </c>
    </row>
    <row r="13514" spans="1:8" ht="15" customHeight="1">
      <c r="A13514" s="26">
        <v>1053585318</v>
      </c>
      <c r="B13514" s="29" t="s">
        <v>15723</v>
      </c>
      <c r="C13514" s="29" t="s">
        <v>29070</v>
      </c>
      <c r="D13514" s="29" t="s">
        <v>42595</v>
      </c>
      <c r="E13514" s="29" t="s">
        <v>47080</v>
      </c>
      <c r="F13514" s="36" t="s">
        <v>54406</v>
      </c>
      <c r="G13514" s="39">
        <v>372664.6</v>
      </c>
      <c r="H13514" s="42">
        <v>211</v>
      </c>
    </row>
    <row r="13515" spans="1:8" ht="15" customHeight="1">
      <c r="A13515" s="26">
        <v>1053585330</v>
      </c>
      <c r="B13515" s="29" t="s">
        <v>15724</v>
      </c>
      <c r="C13515" s="29" t="s">
        <v>29071</v>
      </c>
      <c r="D13515" s="29" t="s">
        <v>42596</v>
      </c>
      <c r="E13515" s="29" t="s">
        <v>53545</v>
      </c>
      <c r="F13515" s="36" t="s">
        <v>54401</v>
      </c>
      <c r="G13515" s="39">
        <v>451800.11</v>
      </c>
      <c r="H13515" s="42">
        <v>211</v>
      </c>
    </row>
    <row r="13516" spans="1:8" ht="15" customHeight="1">
      <c r="A13516" s="26">
        <v>1053585362</v>
      </c>
      <c r="B13516" s="29" t="s">
        <v>15725</v>
      </c>
      <c r="C13516" s="29" t="s">
        <v>29072</v>
      </c>
      <c r="D13516" s="29" t="s">
        <v>42597</v>
      </c>
      <c r="E13516" s="29" t="s">
        <v>53546</v>
      </c>
      <c r="F13516" s="36" t="s">
        <v>54401</v>
      </c>
      <c r="G13516" s="39">
        <v>1703872.08</v>
      </c>
      <c r="H13516" s="42">
        <v>211</v>
      </c>
    </row>
    <row r="13517" spans="1:8" ht="15" customHeight="1">
      <c r="A13517" s="26">
        <v>1053585367</v>
      </c>
      <c r="B13517" s="29" t="s">
        <v>15726</v>
      </c>
      <c r="C13517" s="26" t="s">
        <v>29073</v>
      </c>
      <c r="D13517" s="26" t="s">
        <v>42598</v>
      </c>
      <c r="E13517" s="26" t="s">
        <v>53547</v>
      </c>
      <c r="F13517" s="37" t="s">
        <v>54406</v>
      </c>
      <c r="G13517" s="39">
        <v>886254.55</v>
      </c>
      <c r="H13517" s="42">
        <v>211</v>
      </c>
    </row>
    <row r="13518" spans="1:8" ht="15" customHeight="1">
      <c r="A13518" s="26">
        <v>1053585369</v>
      </c>
      <c r="B13518" s="29" t="s">
        <v>15727</v>
      </c>
      <c r="C13518" s="29" t="s">
        <v>29074</v>
      </c>
      <c r="D13518" s="29" t="s">
        <v>42599</v>
      </c>
      <c r="E13518" s="29" t="s">
        <v>45093</v>
      </c>
      <c r="F13518" s="36" t="s">
        <v>54406</v>
      </c>
      <c r="G13518" s="39">
        <v>112934.57</v>
      </c>
      <c r="H13518" s="42">
        <v>211</v>
      </c>
    </row>
    <row r="13519" spans="1:8" ht="15" customHeight="1">
      <c r="A13519" s="26">
        <v>1053585395</v>
      </c>
      <c r="B13519" s="29" t="s">
        <v>15728</v>
      </c>
      <c r="C13519" s="29" t="s">
        <v>29075</v>
      </c>
      <c r="D13519" s="29" t="s">
        <v>42600</v>
      </c>
      <c r="E13519" s="29" t="s">
        <v>49944</v>
      </c>
      <c r="F13519" s="36" t="s">
        <v>54401</v>
      </c>
      <c r="G13519" s="39">
        <v>1709176</v>
      </c>
      <c r="H13519" s="42">
        <v>211</v>
      </c>
    </row>
    <row r="13520" spans="1:8" ht="15" customHeight="1">
      <c r="A13520" s="26">
        <v>1053585435</v>
      </c>
      <c r="B13520" s="29" t="s">
        <v>15729</v>
      </c>
      <c r="C13520" s="26" t="s">
        <v>29076</v>
      </c>
      <c r="D13520" s="26" t="s">
        <v>42601</v>
      </c>
      <c r="E13520" s="26" t="s">
        <v>51181</v>
      </c>
      <c r="F13520" s="37" t="s">
        <v>54401</v>
      </c>
      <c r="G13520" s="39">
        <v>297168.46000000002</v>
      </c>
      <c r="H13520" s="42">
        <v>211</v>
      </c>
    </row>
    <row r="13521" spans="1:8" ht="15" customHeight="1">
      <c r="A13521" s="26">
        <v>1053585564</v>
      </c>
      <c r="B13521" s="29" t="s">
        <v>15730</v>
      </c>
      <c r="C13521" s="26" t="s">
        <v>29077</v>
      </c>
      <c r="D13521" s="26" t="s">
        <v>42602</v>
      </c>
      <c r="E13521" s="26" t="s">
        <v>53548</v>
      </c>
      <c r="F13521" s="37" t="s">
        <v>54401</v>
      </c>
      <c r="G13521" s="39">
        <v>371584.72</v>
      </c>
      <c r="H13521" s="42">
        <v>211</v>
      </c>
    </row>
    <row r="13522" spans="1:8" ht="15" customHeight="1">
      <c r="A13522" s="26">
        <v>1053585581</v>
      </c>
      <c r="B13522" s="29" t="s">
        <v>15731</v>
      </c>
      <c r="C13522" s="26" t="s">
        <v>29078</v>
      </c>
      <c r="D13522" s="26" t="s">
        <v>42603</v>
      </c>
      <c r="E13522" s="26" t="s">
        <v>47561</v>
      </c>
      <c r="F13522" s="37" t="s">
        <v>54406</v>
      </c>
      <c r="G13522" s="39">
        <v>6096610.0599999996</v>
      </c>
      <c r="H13522" s="42">
        <v>211</v>
      </c>
    </row>
    <row r="13523" spans="1:8" ht="15" customHeight="1">
      <c r="A13523" s="26">
        <v>1053585615</v>
      </c>
      <c r="B13523" s="29" t="s">
        <v>15732</v>
      </c>
      <c r="C13523" s="29" t="s">
        <v>29079</v>
      </c>
      <c r="D13523" s="29" t="s">
        <v>42604</v>
      </c>
      <c r="E13523" s="29" t="s">
        <v>53549</v>
      </c>
      <c r="F13523" s="36" t="s">
        <v>54406</v>
      </c>
      <c r="G13523" s="39">
        <v>1037055.3</v>
      </c>
      <c r="H13523" s="42">
        <v>211</v>
      </c>
    </row>
    <row r="13524" spans="1:8" ht="15" customHeight="1">
      <c r="A13524" s="26">
        <v>1053585678</v>
      </c>
      <c r="B13524" s="29" t="s">
        <v>15733</v>
      </c>
      <c r="C13524" s="29" t="s">
        <v>29080</v>
      </c>
      <c r="D13524" s="29" t="s">
        <v>42605</v>
      </c>
      <c r="E13524" s="29" t="s">
        <v>711</v>
      </c>
      <c r="F13524" s="36" t="s">
        <v>54401</v>
      </c>
      <c r="G13524" s="39">
        <v>341559.8</v>
      </c>
      <c r="H13524" s="42">
        <v>211</v>
      </c>
    </row>
    <row r="13525" spans="1:8" ht="15" customHeight="1">
      <c r="A13525" s="26">
        <v>1053585681</v>
      </c>
      <c r="B13525" s="29" t="s">
        <v>15734</v>
      </c>
      <c r="C13525" s="29" t="s">
        <v>29081</v>
      </c>
      <c r="D13525" s="29" t="s">
        <v>42606</v>
      </c>
      <c r="E13525" s="29" t="s">
        <v>43926</v>
      </c>
      <c r="F13525" s="36" t="s">
        <v>54401</v>
      </c>
      <c r="G13525" s="39">
        <v>212314.94</v>
      </c>
      <c r="H13525" s="42">
        <v>211</v>
      </c>
    </row>
    <row r="13526" spans="1:8" ht="15" customHeight="1">
      <c r="A13526" s="26">
        <v>1053585687</v>
      </c>
      <c r="B13526" s="29" t="s">
        <v>15735</v>
      </c>
      <c r="C13526" s="29" t="s">
        <v>29082</v>
      </c>
      <c r="D13526" s="29" t="s">
        <v>42607</v>
      </c>
      <c r="E13526" s="29" t="s">
        <v>53550</v>
      </c>
      <c r="F13526" s="36" t="s">
        <v>54401</v>
      </c>
      <c r="G13526" s="39">
        <v>227107.96</v>
      </c>
      <c r="H13526" s="42">
        <v>211</v>
      </c>
    </row>
    <row r="13527" spans="1:8" ht="15" customHeight="1">
      <c r="A13527" s="26">
        <v>1053585695</v>
      </c>
      <c r="B13527" s="29" t="s">
        <v>15736</v>
      </c>
      <c r="C13527" s="29" t="s">
        <v>29083</v>
      </c>
      <c r="D13527" s="29" t="s">
        <v>42608</v>
      </c>
      <c r="E13527" s="29" t="s">
        <v>46635</v>
      </c>
      <c r="F13527" s="36" t="s">
        <v>54409</v>
      </c>
      <c r="G13527" s="39">
        <v>2878254.46</v>
      </c>
      <c r="H13527" s="42">
        <v>211</v>
      </c>
    </row>
    <row r="13528" spans="1:8" ht="15" customHeight="1">
      <c r="A13528" s="26">
        <v>1053585752</v>
      </c>
      <c r="B13528" s="29" t="s">
        <v>15737</v>
      </c>
      <c r="C13528" s="29" t="s">
        <v>29084</v>
      </c>
      <c r="D13528" s="29" t="s">
        <v>42609</v>
      </c>
      <c r="E13528" s="29" t="s">
        <v>53551</v>
      </c>
      <c r="F13528" s="36" t="s">
        <v>54406</v>
      </c>
      <c r="G13528" s="39">
        <v>363440.34</v>
      </c>
      <c r="H13528" s="42">
        <v>211</v>
      </c>
    </row>
    <row r="13529" spans="1:8" ht="15" customHeight="1">
      <c r="A13529" s="26">
        <v>1053585776</v>
      </c>
      <c r="B13529" s="29" t="s">
        <v>15738</v>
      </c>
      <c r="C13529" s="29" t="s">
        <v>29085</v>
      </c>
      <c r="D13529" s="29" t="s">
        <v>42610</v>
      </c>
      <c r="E13529" s="29" t="s">
        <v>44108</v>
      </c>
      <c r="F13529" s="36" t="s">
        <v>54406</v>
      </c>
      <c r="G13529" s="39">
        <v>354842.22</v>
      </c>
      <c r="H13529" s="42">
        <v>211</v>
      </c>
    </row>
    <row r="13530" spans="1:8" ht="15" customHeight="1">
      <c r="A13530" s="26">
        <v>1053585818</v>
      </c>
      <c r="B13530" s="29" t="s">
        <v>15739</v>
      </c>
      <c r="C13530" s="29" t="s">
        <v>29086</v>
      </c>
      <c r="D13530" s="29" t="s">
        <v>42611</v>
      </c>
      <c r="E13530" s="29" t="s">
        <v>53552</v>
      </c>
      <c r="F13530" s="36" t="s">
        <v>54401</v>
      </c>
      <c r="G13530" s="39">
        <v>547258.16</v>
      </c>
      <c r="H13530" s="42">
        <v>211</v>
      </c>
    </row>
    <row r="13531" spans="1:8" ht="15" customHeight="1">
      <c r="A13531" s="26">
        <v>1053585824</v>
      </c>
      <c r="B13531" s="29" t="s">
        <v>15740</v>
      </c>
      <c r="C13531" s="29" t="s">
        <v>29087</v>
      </c>
      <c r="D13531" s="29" t="s">
        <v>42612</v>
      </c>
      <c r="E13531" s="29" t="s">
        <v>53553</v>
      </c>
      <c r="F13531" s="36" t="s">
        <v>54401</v>
      </c>
      <c r="G13531" s="39">
        <v>88029.23</v>
      </c>
      <c r="H13531" s="42">
        <v>211</v>
      </c>
    </row>
    <row r="13532" spans="1:8" ht="15" customHeight="1">
      <c r="A13532" s="26">
        <v>1053585956</v>
      </c>
      <c r="B13532" s="29" t="s">
        <v>15741</v>
      </c>
      <c r="C13532" s="29" t="s">
        <v>29088</v>
      </c>
      <c r="D13532" s="29" t="s">
        <v>42613</v>
      </c>
      <c r="E13532" s="29" t="s">
        <v>45145</v>
      </c>
      <c r="F13532" s="36" t="s">
        <v>54401</v>
      </c>
      <c r="G13532" s="39">
        <v>198442.04</v>
      </c>
      <c r="H13532" s="42">
        <v>211</v>
      </c>
    </row>
    <row r="13533" spans="1:8" ht="15" customHeight="1">
      <c r="A13533" s="26">
        <v>1053586020</v>
      </c>
      <c r="B13533" s="29" t="s">
        <v>15742</v>
      </c>
      <c r="C13533" s="29" t="s">
        <v>29089</v>
      </c>
      <c r="D13533" s="29" t="s">
        <v>42614</v>
      </c>
      <c r="E13533" s="29" t="s">
        <v>53554</v>
      </c>
      <c r="F13533" s="36" t="s">
        <v>54401</v>
      </c>
      <c r="G13533" s="39">
        <v>4900550.5</v>
      </c>
      <c r="H13533" s="42">
        <v>211</v>
      </c>
    </row>
    <row r="13534" spans="1:8" ht="15" customHeight="1">
      <c r="A13534" s="26">
        <v>1053586053</v>
      </c>
      <c r="B13534" s="29" t="s">
        <v>15743</v>
      </c>
      <c r="C13534" s="29" t="s">
        <v>29090</v>
      </c>
      <c r="D13534" s="29" t="s">
        <v>42615</v>
      </c>
      <c r="E13534" s="29" t="s">
        <v>711</v>
      </c>
      <c r="F13534" s="36" t="s">
        <v>54406</v>
      </c>
      <c r="G13534" s="39">
        <v>540013.76</v>
      </c>
      <c r="H13534" s="42">
        <v>211</v>
      </c>
    </row>
    <row r="13535" spans="1:8" ht="15" customHeight="1">
      <c r="A13535" s="26">
        <v>1053586085</v>
      </c>
      <c r="B13535" s="29" t="s">
        <v>15744</v>
      </c>
      <c r="C13535" s="29" t="s">
        <v>29091</v>
      </c>
      <c r="D13535" s="29" t="s">
        <v>42616</v>
      </c>
      <c r="E13535" s="29" t="s">
        <v>53555</v>
      </c>
      <c r="F13535" s="36" t="s">
        <v>54406</v>
      </c>
      <c r="G13535" s="39">
        <v>4556235</v>
      </c>
      <c r="H13535" s="42">
        <v>211</v>
      </c>
    </row>
    <row r="13536" spans="1:8" ht="15" customHeight="1">
      <c r="A13536" s="26">
        <v>1053586098</v>
      </c>
      <c r="B13536" s="29" t="s">
        <v>15745</v>
      </c>
      <c r="C13536" s="29" t="s">
        <v>17204</v>
      </c>
      <c r="D13536" s="29" t="s">
        <v>42617</v>
      </c>
      <c r="E13536" s="29" t="s">
        <v>53556</v>
      </c>
      <c r="F13536" s="36" t="s">
        <v>54401</v>
      </c>
      <c r="G13536" s="39">
        <v>1208950.48</v>
      </c>
      <c r="H13536" s="42">
        <v>211</v>
      </c>
    </row>
    <row r="13537" spans="1:8" ht="15" customHeight="1">
      <c r="A13537" s="26">
        <v>1053586135</v>
      </c>
      <c r="B13537" s="29" t="s">
        <v>15746</v>
      </c>
      <c r="C13537" s="29" t="s">
        <v>29092</v>
      </c>
      <c r="D13537" s="29" t="s">
        <v>42618</v>
      </c>
      <c r="E13537" s="29" t="s">
        <v>53557</v>
      </c>
      <c r="F13537" s="36" t="s">
        <v>54401</v>
      </c>
      <c r="G13537" s="39">
        <v>3652666</v>
      </c>
      <c r="H13537" s="42">
        <v>211</v>
      </c>
    </row>
    <row r="13538" spans="1:8" ht="15" customHeight="1">
      <c r="A13538" s="26">
        <v>1053586152</v>
      </c>
      <c r="B13538" s="29" t="s">
        <v>15747</v>
      </c>
      <c r="C13538" s="29" t="s">
        <v>29093</v>
      </c>
      <c r="D13538" s="29" t="s">
        <v>42619</v>
      </c>
      <c r="E13538" s="29" t="s">
        <v>53558</v>
      </c>
      <c r="F13538" s="36" t="s">
        <v>54406</v>
      </c>
      <c r="G13538" s="39">
        <v>11834521</v>
      </c>
      <c r="H13538" s="42">
        <v>211</v>
      </c>
    </row>
    <row r="13539" spans="1:8" ht="15" customHeight="1">
      <c r="A13539" s="26">
        <v>1053586173</v>
      </c>
      <c r="B13539" s="29" t="s">
        <v>15748</v>
      </c>
      <c r="C13539" s="29" t="s">
        <v>29094</v>
      </c>
      <c r="D13539" s="29" t="s">
        <v>42620</v>
      </c>
      <c r="E13539" s="29" t="s">
        <v>715</v>
      </c>
      <c r="F13539" s="36" t="s">
        <v>54401</v>
      </c>
      <c r="G13539" s="39">
        <v>300331.76</v>
      </c>
      <c r="H13539" s="42">
        <v>211</v>
      </c>
    </row>
    <row r="13540" spans="1:8" ht="15" customHeight="1">
      <c r="A13540" s="26">
        <v>1053586224</v>
      </c>
      <c r="B13540" s="29" t="s">
        <v>15749</v>
      </c>
      <c r="C13540" s="29" t="s">
        <v>29095</v>
      </c>
      <c r="D13540" s="29" t="s">
        <v>42621</v>
      </c>
      <c r="E13540" s="29" t="s">
        <v>53559</v>
      </c>
      <c r="F13540" s="36" t="s">
        <v>54401</v>
      </c>
      <c r="G13540" s="39">
        <v>3501938</v>
      </c>
      <c r="H13540" s="42">
        <v>211</v>
      </c>
    </row>
    <row r="13541" spans="1:8" ht="15" customHeight="1">
      <c r="A13541" s="26">
        <v>1053586225</v>
      </c>
      <c r="B13541" s="29" t="s">
        <v>15750</v>
      </c>
      <c r="C13541" s="26" t="s">
        <v>29096</v>
      </c>
      <c r="D13541" s="26" t="s">
        <v>30376</v>
      </c>
      <c r="E13541" s="26" t="s">
        <v>46622</v>
      </c>
      <c r="F13541" s="37" t="s">
        <v>54406</v>
      </c>
      <c r="G13541" s="39">
        <v>3422053.84</v>
      </c>
      <c r="H13541" s="42">
        <v>211</v>
      </c>
    </row>
    <row r="13542" spans="1:8" ht="15" customHeight="1">
      <c r="A13542" s="26">
        <v>1053586242</v>
      </c>
      <c r="B13542" s="29" t="s">
        <v>15751</v>
      </c>
      <c r="C13542" s="29" t="s">
        <v>29097</v>
      </c>
      <c r="D13542" s="29" t="s">
        <v>42622</v>
      </c>
      <c r="E13542" s="29" t="s">
        <v>711</v>
      </c>
      <c r="F13542" s="36" t="s">
        <v>54406</v>
      </c>
      <c r="G13542" s="39">
        <v>341046.47</v>
      </c>
      <c r="H13542" s="42">
        <v>211</v>
      </c>
    </row>
    <row r="13543" spans="1:8" ht="15" customHeight="1">
      <c r="A13543" s="26">
        <v>1053586290</v>
      </c>
      <c r="B13543" s="29" t="s">
        <v>15752</v>
      </c>
      <c r="C13543" s="29" t="s">
        <v>29098</v>
      </c>
      <c r="D13543" s="29" t="s">
        <v>42623</v>
      </c>
      <c r="E13543" s="29" t="s">
        <v>711</v>
      </c>
      <c r="F13543" s="36" t="s">
        <v>54401</v>
      </c>
      <c r="G13543" s="39">
        <v>574363.4</v>
      </c>
      <c r="H13543" s="42">
        <v>211</v>
      </c>
    </row>
    <row r="13544" spans="1:8" ht="15" customHeight="1">
      <c r="A13544" s="26">
        <v>1053586295</v>
      </c>
      <c r="B13544" s="29" t="s">
        <v>15753</v>
      </c>
      <c r="C13544" s="26" t="s">
        <v>17204</v>
      </c>
      <c r="D13544" s="26" t="s">
        <v>42624</v>
      </c>
      <c r="E13544" s="26" t="s">
        <v>43926</v>
      </c>
      <c r="F13544" s="37" t="s">
        <v>54401</v>
      </c>
      <c r="G13544" s="39">
        <v>160678.18</v>
      </c>
      <c r="H13544" s="42">
        <v>211</v>
      </c>
    </row>
    <row r="13545" spans="1:8" ht="15" customHeight="1">
      <c r="A13545" s="26">
        <v>1053586320</v>
      </c>
      <c r="B13545" s="29" t="s">
        <v>15754</v>
      </c>
      <c r="C13545" s="29" t="s">
        <v>29099</v>
      </c>
      <c r="D13545" s="29" t="s">
        <v>42625</v>
      </c>
      <c r="E13545" s="29" t="s">
        <v>45093</v>
      </c>
      <c r="F13545" s="36" t="s">
        <v>54406</v>
      </c>
      <c r="G13545" s="39">
        <v>1709685.07</v>
      </c>
      <c r="H13545" s="42">
        <v>211</v>
      </c>
    </row>
    <row r="13546" spans="1:8" ht="15" customHeight="1">
      <c r="A13546" s="26">
        <v>1053586370</v>
      </c>
      <c r="B13546" s="29" t="s">
        <v>15755</v>
      </c>
      <c r="C13546" s="26" t="s">
        <v>29100</v>
      </c>
      <c r="D13546" s="26" t="s">
        <v>42626</v>
      </c>
      <c r="E13546" s="26" t="s">
        <v>45093</v>
      </c>
      <c r="F13546" s="37" t="s">
        <v>54401</v>
      </c>
      <c r="G13546" s="39">
        <v>2919440.6</v>
      </c>
      <c r="H13546" s="42">
        <v>211</v>
      </c>
    </row>
    <row r="13547" spans="1:8" ht="15" customHeight="1">
      <c r="A13547" s="26">
        <v>1053586401</v>
      </c>
      <c r="B13547" s="29" t="s">
        <v>15756</v>
      </c>
      <c r="C13547" s="29" t="s">
        <v>29101</v>
      </c>
      <c r="D13547" s="29" t="s">
        <v>42627</v>
      </c>
      <c r="E13547" s="29" t="s">
        <v>53560</v>
      </c>
      <c r="F13547" s="36" t="s">
        <v>54401</v>
      </c>
      <c r="G13547" s="39">
        <v>247478.98</v>
      </c>
      <c r="H13547" s="42">
        <v>211</v>
      </c>
    </row>
    <row r="13548" spans="1:8" ht="15" customHeight="1">
      <c r="A13548" s="26">
        <v>1053586448</v>
      </c>
      <c r="B13548" s="29" t="s">
        <v>15757</v>
      </c>
      <c r="C13548" s="29" t="s">
        <v>29102</v>
      </c>
      <c r="D13548" s="29" t="s">
        <v>42628</v>
      </c>
      <c r="E13548" s="29" t="s">
        <v>53561</v>
      </c>
      <c r="F13548" s="36" t="s">
        <v>54401</v>
      </c>
      <c r="G13548" s="39">
        <v>839658.26</v>
      </c>
      <c r="H13548" s="42">
        <v>211</v>
      </c>
    </row>
    <row r="13549" spans="1:8" ht="15" customHeight="1">
      <c r="A13549" s="26">
        <v>1053586460</v>
      </c>
      <c r="B13549" s="29" t="s">
        <v>15758</v>
      </c>
      <c r="C13549" s="26" t="s">
        <v>29103</v>
      </c>
      <c r="D13549" s="26" t="s">
        <v>42629</v>
      </c>
      <c r="E13549" s="26" t="s">
        <v>47869</v>
      </c>
      <c r="F13549" s="37" t="s">
        <v>54406</v>
      </c>
      <c r="G13549" s="39">
        <v>427446.18</v>
      </c>
      <c r="H13549" s="42">
        <v>211</v>
      </c>
    </row>
    <row r="13550" spans="1:8" ht="15" customHeight="1">
      <c r="A13550" s="26">
        <v>1053586469</v>
      </c>
      <c r="B13550" s="29" t="s">
        <v>15759</v>
      </c>
      <c r="C13550" s="29" t="s">
        <v>29104</v>
      </c>
      <c r="D13550" s="29" t="s">
        <v>42630</v>
      </c>
      <c r="E13550" s="29" t="s">
        <v>53562</v>
      </c>
      <c r="F13550" s="36" t="s">
        <v>54401</v>
      </c>
      <c r="G13550" s="39">
        <v>8091918.1699999999</v>
      </c>
      <c r="H13550" s="42">
        <v>211</v>
      </c>
    </row>
    <row r="13551" spans="1:8" ht="15" customHeight="1">
      <c r="A13551" s="26">
        <v>1053586547</v>
      </c>
      <c r="B13551" s="29" t="s">
        <v>15760</v>
      </c>
      <c r="C13551" s="29" t="s">
        <v>17204</v>
      </c>
      <c r="D13551" s="29" t="s">
        <v>30349</v>
      </c>
      <c r="E13551" s="29" t="s">
        <v>43926</v>
      </c>
      <c r="F13551" s="36" t="s">
        <v>54401</v>
      </c>
      <c r="G13551" s="39">
        <v>511773.96</v>
      </c>
      <c r="H13551" s="42">
        <v>211</v>
      </c>
    </row>
    <row r="13552" spans="1:8" ht="15" customHeight="1">
      <c r="A13552" s="26">
        <v>1053586682</v>
      </c>
      <c r="B13552" s="29" t="s">
        <v>15761</v>
      </c>
      <c r="C13552" s="29" t="s">
        <v>29105</v>
      </c>
      <c r="D13552" s="29" t="s">
        <v>42631</v>
      </c>
      <c r="E13552" s="29" t="s">
        <v>45006</v>
      </c>
      <c r="F13552" s="36" t="s">
        <v>54401</v>
      </c>
      <c r="G13552" s="39">
        <v>171368.05</v>
      </c>
      <c r="H13552" s="42">
        <v>211</v>
      </c>
    </row>
    <row r="13553" spans="1:8" ht="15" customHeight="1">
      <c r="A13553" s="26">
        <v>1053586791</v>
      </c>
      <c r="B13553" s="29" t="s">
        <v>15762</v>
      </c>
      <c r="C13553" s="29" t="s">
        <v>29106</v>
      </c>
      <c r="D13553" s="29" t="s">
        <v>42632</v>
      </c>
      <c r="E13553" s="29" t="s">
        <v>44264</v>
      </c>
      <c r="F13553" s="36" t="s">
        <v>54401</v>
      </c>
      <c r="G13553" s="39">
        <v>3507340</v>
      </c>
      <c r="H13553" s="42">
        <v>211</v>
      </c>
    </row>
    <row r="13554" spans="1:8" ht="15" customHeight="1">
      <c r="A13554" s="26">
        <v>1053586821</v>
      </c>
      <c r="B13554" s="29" t="s">
        <v>15763</v>
      </c>
      <c r="C13554" s="29" t="s">
        <v>19102</v>
      </c>
      <c r="D13554" s="29" t="s">
        <v>42633</v>
      </c>
      <c r="E13554" s="29" t="s">
        <v>53563</v>
      </c>
      <c r="F13554" s="36" t="s">
        <v>54401</v>
      </c>
      <c r="G13554" s="39">
        <v>508688.22</v>
      </c>
      <c r="H13554" s="42">
        <v>211</v>
      </c>
    </row>
    <row r="13555" spans="1:8" ht="15" customHeight="1">
      <c r="A13555" s="26">
        <v>1053586868</v>
      </c>
      <c r="B13555" s="29" t="s">
        <v>15764</v>
      </c>
      <c r="C13555" s="29" t="s">
        <v>29107</v>
      </c>
      <c r="D13555" s="29" t="s">
        <v>42634</v>
      </c>
      <c r="E13555" s="29" t="s">
        <v>53564</v>
      </c>
      <c r="F13555" s="36" t="s">
        <v>54401</v>
      </c>
      <c r="G13555" s="39">
        <v>2610780.29</v>
      </c>
      <c r="H13555" s="42">
        <v>211</v>
      </c>
    </row>
    <row r="13556" spans="1:8" ht="15" customHeight="1">
      <c r="A13556" s="26">
        <v>1053586924</v>
      </c>
      <c r="B13556" s="29" t="s">
        <v>15765</v>
      </c>
      <c r="C13556" s="29" t="s">
        <v>29108</v>
      </c>
      <c r="D13556" s="29" t="s">
        <v>42635</v>
      </c>
      <c r="E13556" s="29" t="s">
        <v>53565</v>
      </c>
      <c r="F13556" s="36" t="s">
        <v>54401</v>
      </c>
      <c r="G13556" s="39">
        <v>99088.09</v>
      </c>
      <c r="H13556" s="42">
        <v>211</v>
      </c>
    </row>
    <row r="13557" spans="1:8" ht="15" customHeight="1">
      <c r="A13557" s="26">
        <v>1053586935</v>
      </c>
      <c r="B13557" s="29" t="s">
        <v>15766</v>
      </c>
      <c r="C13557" s="29" t="s">
        <v>29109</v>
      </c>
      <c r="D13557" s="29" t="s">
        <v>42636</v>
      </c>
      <c r="E13557" s="29" t="s">
        <v>51193</v>
      </c>
      <c r="F13557" s="36" t="s">
        <v>54401</v>
      </c>
      <c r="G13557" s="39">
        <v>253788.91</v>
      </c>
      <c r="H13557" s="42">
        <v>211</v>
      </c>
    </row>
    <row r="13558" spans="1:8" ht="15" customHeight="1">
      <c r="A13558" s="26">
        <v>1053586947</v>
      </c>
      <c r="B13558" s="29" t="s">
        <v>15767</v>
      </c>
      <c r="C13558" s="29" t="s">
        <v>29110</v>
      </c>
      <c r="D13558" s="29" t="s">
        <v>42637</v>
      </c>
      <c r="E13558" s="29" t="s">
        <v>53566</v>
      </c>
      <c r="F13558" s="36" t="s">
        <v>54401</v>
      </c>
      <c r="G13558" s="39">
        <v>731619.72</v>
      </c>
      <c r="H13558" s="42">
        <v>211</v>
      </c>
    </row>
    <row r="13559" spans="1:8" ht="15" customHeight="1">
      <c r="A13559" s="26">
        <v>1053586948</v>
      </c>
      <c r="B13559" s="29" t="s">
        <v>15768</v>
      </c>
      <c r="C13559" s="29" t="s">
        <v>29111</v>
      </c>
      <c r="D13559" s="29" t="s">
        <v>42638</v>
      </c>
      <c r="E13559" s="29" t="s">
        <v>44187</v>
      </c>
      <c r="F13559" s="36" t="s">
        <v>54401</v>
      </c>
      <c r="G13559" s="39">
        <v>5556802.2800000003</v>
      </c>
      <c r="H13559" s="42">
        <v>211</v>
      </c>
    </row>
    <row r="13560" spans="1:8" ht="15" customHeight="1">
      <c r="A13560" s="26">
        <v>1053586976</v>
      </c>
      <c r="B13560" s="29" t="s">
        <v>15769</v>
      </c>
      <c r="C13560" s="29" t="s">
        <v>29112</v>
      </c>
      <c r="D13560" s="29" t="s">
        <v>42639</v>
      </c>
      <c r="E13560" s="29" t="s">
        <v>53567</v>
      </c>
      <c r="F13560" s="36" t="s">
        <v>54401</v>
      </c>
      <c r="G13560" s="39">
        <v>4292177.68</v>
      </c>
      <c r="H13560" s="42">
        <v>211</v>
      </c>
    </row>
    <row r="13561" spans="1:8" ht="15" customHeight="1">
      <c r="A13561" s="26">
        <v>1053586993</v>
      </c>
      <c r="B13561" s="29" t="s">
        <v>15770</v>
      </c>
      <c r="C13561" s="26" t="s">
        <v>29113</v>
      </c>
      <c r="D13561" s="26" t="s">
        <v>42640</v>
      </c>
      <c r="E13561" s="26" t="s">
        <v>53568</v>
      </c>
      <c r="F13561" s="37" t="s">
        <v>54406</v>
      </c>
      <c r="G13561" s="39">
        <v>389185.68</v>
      </c>
      <c r="H13561" s="42">
        <v>211</v>
      </c>
    </row>
    <row r="13562" spans="1:8" ht="15" customHeight="1">
      <c r="A13562" s="26">
        <v>1053587035</v>
      </c>
      <c r="B13562" s="29" t="s">
        <v>15771</v>
      </c>
      <c r="C13562" s="29" t="s">
        <v>29114</v>
      </c>
      <c r="D13562" s="29" t="s">
        <v>42641</v>
      </c>
      <c r="E13562" s="29" t="s">
        <v>53569</v>
      </c>
      <c r="F13562" s="36" t="s">
        <v>54401</v>
      </c>
      <c r="G13562" s="39">
        <v>22327.73</v>
      </c>
      <c r="H13562" s="42">
        <v>211</v>
      </c>
    </row>
    <row r="13563" spans="1:8" ht="15" customHeight="1">
      <c r="A13563" s="26">
        <v>1053587116</v>
      </c>
      <c r="B13563" s="29" t="s">
        <v>15772</v>
      </c>
      <c r="C13563" s="29" t="s">
        <v>29115</v>
      </c>
      <c r="D13563" s="29" t="s">
        <v>42642</v>
      </c>
      <c r="E13563" s="29" t="s">
        <v>53570</v>
      </c>
      <c r="F13563" s="36" t="s">
        <v>54401</v>
      </c>
      <c r="G13563" s="39">
        <v>787215.71</v>
      </c>
      <c r="H13563" s="42">
        <v>211</v>
      </c>
    </row>
    <row r="13564" spans="1:8" ht="15" customHeight="1">
      <c r="A13564" s="26">
        <v>1053587117</v>
      </c>
      <c r="B13564" s="29" t="s">
        <v>15773</v>
      </c>
      <c r="C13564" s="29" t="s">
        <v>29116</v>
      </c>
      <c r="D13564" s="29" t="s">
        <v>42643</v>
      </c>
      <c r="E13564" s="29" t="s">
        <v>53571</v>
      </c>
      <c r="F13564" s="36" t="s">
        <v>54401</v>
      </c>
      <c r="G13564" s="39">
        <v>13663.86</v>
      </c>
      <c r="H13564" s="42">
        <v>211</v>
      </c>
    </row>
    <row r="13565" spans="1:8" ht="15" customHeight="1">
      <c r="A13565" s="26">
        <v>1053587150</v>
      </c>
      <c r="B13565" s="29" t="s">
        <v>15774</v>
      </c>
      <c r="C13565" s="29" t="s">
        <v>29117</v>
      </c>
      <c r="D13565" s="29" t="s">
        <v>42644</v>
      </c>
      <c r="E13565" s="29" t="s">
        <v>47294</v>
      </c>
      <c r="F13565" s="36" t="s">
        <v>54401</v>
      </c>
      <c r="G13565" s="39">
        <v>683790.46</v>
      </c>
      <c r="H13565" s="42">
        <v>211</v>
      </c>
    </row>
    <row r="13566" spans="1:8" ht="15" customHeight="1">
      <c r="A13566" s="26">
        <v>1053587163</v>
      </c>
      <c r="B13566" s="29" t="s">
        <v>15775</v>
      </c>
      <c r="C13566" s="29" t="s">
        <v>29118</v>
      </c>
      <c r="D13566" s="29" t="s">
        <v>42645</v>
      </c>
      <c r="E13566" s="29" t="s">
        <v>53572</v>
      </c>
      <c r="F13566" s="36" t="s">
        <v>54401</v>
      </c>
      <c r="G13566" s="39">
        <v>393777.13</v>
      </c>
      <c r="H13566" s="42">
        <v>211</v>
      </c>
    </row>
    <row r="13567" spans="1:8" ht="15" customHeight="1">
      <c r="A13567" s="26">
        <v>1053587181</v>
      </c>
      <c r="B13567" s="29" t="s">
        <v>15776</v>
      </c>
      <c r="C13567" s="29" t="s">
        <v>29119</v>
      </c>
      <c r="D13567" s="29" t="s">
        <v>42646</v>
      </c>
      <c r="E13567" s="29" t="s">
        <v>53573</v>
      </c>
      <c r="F13567" s="36" t="s">
        <v>54406</v>
      </c>
      <c r="G13567" s="39">
        <v>1551754.37</v>
      </c>
      <c r="H13567" s="42">
        <v>211</v>
      </c>
    </row>
    <row r="13568" spans="1:8" ht="15" customHeight="1">
      <c r="A13568" s="26">
        <v>1053587229</v>
      </c>
      <c r="B13568" s="29" t="s">
        <v>15777</v>
      </c>
      <c r="C13568" s="29" t="s">
        <v>29120</v>
      </c>
      <c r="D13568" s="29" t="s">
        <v>42647</v>
      </c>
      <c r="E13568" s="29" t="s">
        <v>43926</v>
      </c>
      <c r="F13568" s="36" t="s">
        <v>54401</v>
      </c>
      <c r="G13568" s="39">
        <v>961315.65</v>
      </c>
      <c r="H13568" s="42">
        <v>211</v>
      </c>
    </row>
    <row r="13569" spans="1:8" ht="15" customHeight="1">
      <c r="A13569" s="26">
        <v>1053587320</v>
      </c>
      <c r="B13569" s="29" t="s">
        <v>15778</v>
      </c>
      <c r="C13569" s="29" t="s">
        <v>29121</v>
      </c>
      <c r="D13569" s="29" t="s">
        <v>39158</v>
      </c>
      <c r="E13569" s="29" t="s">
        <v>53574</v>
      </c>
      <c r="F13569" s="36" t="s">
        <v>54406</v>
      </c>
      <c r="G13569" s="39">
        <v>706531.77</v>
      </c>
      <c r="H13569" s="42">
        <v>211</v>
      </c>
    </row>
    <row r="13570" spans="1:8" ht="15" customHeight="1">
      <c r="A13570" s="26">
        <v>1053587544</v>
      </c>
      <c r="B13570" s="29" t="s">
        <v>15779</v>
      </c>
      <c r="C13570" s="29" t="s">
        <v>17204</v>
      </c>
      <c r="D13570" s="29" t="s">
        <v>30349</v>
      </c>
      <c r="E13570" s="29" t="s">
        <v>43926</v>
      </c>
      <c r="F13570" s="36" t="s">
        <v>54401</v>
      </c>
      <c r="G13570" s="39">
        <v>320469.26</v>
      </c>
      <c r="H13570" s="42">
        <v>211</v>
      </c>
    </row>
    <row r="13571" spans="1:8" ht="15" customHeight="1">
      <c r="A13571" s="26">
        <v>1053587568</v>
      </c>
      <c r="B13571" s="29" t="s">
        <v>15780</v>
      </c>
      <c r="C13571" s="29" t="s">
        <v>29122</v>
      </c>
      <c r="D13571" s="29" t="s">
        <v>42648</v>
      </c>
      <c r="E13571" s="29" t="s">
        <v>53575</v>
      </c>
      <c r="F13571" s="36" t="s">
        <v>54401</v>
      </c>
      <c r="G13571" s="39">
        <v>842659</v>
      </c>
      <c r="H13571" s="42">
        <v>211</v>
      </c>
    </row>
    <row r="13572" spans="1:8" ht="15" customHeight="1">
      <c r="A13572" s="26">
        <v>1053587617</v>
      </c>
      <c r="B13572" s="29" t="s">
        <v>15781</v>
      </c>
      <c r="C13572" s="29" t="s">
        <v>29123</v>
      </c>
      <c r="D13572" s="29" t="s">
        <v>42649</v>
      </c>
      <c r="E13572" s="29" t="s">
        <v>53576</v>
      </c>
      <c r="F13572" s="36" t="s">
        <v>54401</v>
      </c>
      <c r="G13572" s="39">
        <v>152781.51</v>
      </c>
      <c r="H13572" s="42">
        <v>211</v>
      </c>
    </row>
    <row r="13573" spans="1:8" ht="15" customHeight="1">
      <c r="A13573" s="26">
        <v>1053587683</v>
      </c>
      <c r="B13573" s="29" t="s">
        <v>15782</v>
      </c>
      <c r="C13573" s="29" t="s">
        <v>29124</v>
      </c>
      <c r="D13573" s="29" t="s">
        <v>42650</v>
      </c>
      <c r="E13573" s="29" t="s">
        <v>53577</v>
      </c>
      <c r="F13573" s="36" t="s">
        <v>54401</v>
      </c>
      <c r="G13573" s="39">
        <v>713194.58</v>
      </c>
      <c r="H13573" s="42">
        <v>211</v>
      </c>
    </row>
    <row r="13574" spans="1:8" ht="15" customHeight="1">
      <c r="A13574" s="26">
        <v>1053587730</v>
      </c>
      <c r="B13574" s="29" t="s">
        <v>15783</v>
      </c>
      <c r="C13574" s="29" t="s">
        <v>29125</v>
      </c>
      <c r="D13574" s="29" t="s">
        <v>36541</v>
      </c>
      <c r="E13574" s="29" t="s">
        <v>53568</v>
      </c>
      <c r="F13574" s="36" t="s">
        <v>54401</v>
      </c>
      <c r="G13574" s="39">
        <v>569247.35</v>
      </c>
      <c r="H13574" s="42">
        <v>211</v>
      </c>
    </row>
    <row r="13575" spans="1:8" ht="15" customHeight="1">
      <c r="A13575" s="26">
        <v>1053587823</v>
      </c>
      <c r="B13575" s="29" t="s">
        <v>15784</v>
      </c>
      <c r="C13575" s="29" t="s">
        <v>29126</v>
      </c>
      <c r="D13575" s="29" t="s">
        <v>42651</v>
      </c>
      <c r="E13575" s="29" t="s">
        <v>53578</v>
      </c>
      <c r="F13575" s="36" t="s">
        <v>54406</v>
      </c>
      <c r="G13575" s="39">
        <v>856376.18</v>
      </c>
      <c r="H13575" s="42">
        <v>211</v>
      </c>
    </row>
    <row r="13576" spans="1:8" ht="15" customHeight="1">
      <c r="A13576" s="26">
        <v>1053587830</v>
      </c>
      <c r="B13576" s="29" t="s">
        <v>15785</v>
      </c>
      <c r="C13576" s="29" t="s">
        <v>29127</v>
      </c>
      <c r="D13576" s="29" t="s">
        <v>42652</v>
      </c>
      <c r="E13576" s="29" t="s">
        <v>51181</v>
      </c>
      <c r="F13576" s="36" t="s">
        <v>54406</v>
      </c>
      <c r="G13576" s="39">
        <v>247429.36</v>
      </c>
      <c r="H13576" s="42">
        <v>211</v>
      </c>
    </row>
    <row r="13577" spans="1:8" ht="15" customHeight="1">
      <c r="A13577" s="26">
        <v>1053587899</v>
      </c>
      <c r="B13577" s="29" t="s">
        <v>15786</v>
      </c>
      <c r="C13577" s="29" t="s">
        <v>29128</v>
      </c>
      <c r="D13577" s="29" t="s">
        <v>42653</v>
      </c>
      <c r="E13577" s="29" t="s">
        <v>53579</v>
      </c>
      <c r="F13577" s="36" t="s">
        <v>54401</v>
      </c>
      <c r="G13577" s="39">
        <v>392285.71</v>
      </c>
      <c r="H13577" s="42">
        <v>211</v>
      </c>
    </row>
    <row r="13578" spans="1:8" ht="15" customHeight="1">
      <c r="A13578" s="26">
        <v>1053587958</v>
      </c>
      <c r="B13578" s="29" t="s">
        <v>15787</v>
      </c>
      <c r="C13578" s="29" t="s">
        <v>29061</v>
      </c>
      <c r="D13578" s="29" t="s">
        <v>30387</v>
      </c>
      <c r="E13578" s="29" t="s">
        <v>44923</v>
      </c>
      <c r="F13578" s="36" t="s">
        <v>54401</v>
      </c>
      <c r="G13578" s="39">
        <v>2178809.9500000002</v>
      </c>
      <c r="H13578" s="42">
        <v>211</v>
      </c>
    </row>
    <row r="13579" spans="1:8" ht="15" customHeight="1">
      <c r="A13579" s="26">
        <v>1053587974</v>
      </c>
      <c r="B13579" s="29" t="s">
        <v>15788</v>
      </c>
      <c r="C13579" s="29" t="s">
        <v>29129</v>
      </c>
      <c r="D13579" s="29" t="s">
        <v>42654</v>
      </c>
      <c r="E13579" s="29" t="s">
        <v>52539</v>
      </c>
      <c r="F13579" s="36" t="s">
        <v>54401</v>
      </c>
      <c r="G13579" s="39">
        <v>369645.68</v>
      </c>
      <c r="H13579" s="42">
        <v>211</v>
      </c>
    </row>
    <row r="13580" spans="1:8" ht="15" customHeight="1">
      <c r="A13580" s="26">
        <v>1053588065</v>
      </c>
      <c r="B13580" s="29" t="s">
        <v>15789</v>
      </c>
      <c r="C13580" s="29" t="s">
        <v>29122</v>
      </c>
      <c r="D13580" s="29" t="s">
        <v>42655</v>
      </c>
      <c r="E13580" s="29" t="s">
        <v>46622</v>
      </c>
      <c r="F13580" s="36" t="s">
        <v>54406</v>
      </c>
      <c r="G13580" s="39">
        <v>1468786.43</v>
      </c>
      <c r="H13580" s="42">
        <v>211</v>
      </c>
    </row>
    <row r="13581" spans="1:8" ht="15" customHeight="1">
      <c r="A13581" s="26">
        <v>1053588189</v>
      </c>
      <c r="B13581" s="29" t="s">
        <v>15790</v>
      </c>
      <c r="C13581" s="29" t="s">
        <v>29130</v>
      </c>
      <c r="D13581" s="29" t="s">
        <v>42656</v>
      </c>
      <c r="E13581" s="29" t="s">
        <v>53580</v>
      </c>
      <c r="F13581" s="36" t="s">
        <v>54401</v>
      </c>
      <c r="G13581" s="39">
        <v>832377.58</v>
      </c>
      <c r="H13581" s="42">
        <v>211</v>
      </c>
    </row>
    <row r="13582" spans="1:8" ht="15" customHeight="1">
      <c r="A13582" s="26">
        <v>1053604118</v>
      </c>
      <c r="B13582" s="29" t="s">
        <v>15791</v>
      </c>
      <c r="C13582" s="29" t="s">
        <v>29131</v>
      </c>
      <c r="D13582" s="29" t="s">
        <v>42657</v>
      </c>
      <c r="E13582" s="29" t="s">
        <v>53581</v>
      </c>
      <c r="F13582" s="36" t="s">
        <v>54401</v>
      </c>
      <c r="G13582" s="39">
        <v>857450.51</v>
      </c>
      <c r="H13582" s="42">
        <v>211</v>
      </c>
    </row>
    <row r="13583" spans="1:8" ht="15" customHeight="1">
      <c r="A13583" s="26">
        <v>1053604127</v>
      </c>
      <c r="B13583" s="29" t="s">
        <v>15792</v>
      </c>
      <c r="C13583" s="29" t="s">
        <v>29132</v>
      </c>
      <c r="D13583" s="29" t="s">
        <v>42658</v>
      </c>
      <c r="E13583" s="29" t="s">
        <v>47326</v>
      </c>
      <c r="F13583" s="36" t="s">
        <v>54401</v>
      </c>
      <c r="G13583" s="39">
        <v>1168832.6100000001</v>
      </c>
      <c r="H13583" s="42">
        <v>211</v>
      </c>
    </row>
    <row r="13584" spans="1:8" ht="15" customHeight="1">
      <c r="A13584" s="26">
        <v>1053604210</v>
      </c>
      <c r="B13584" s="29" t="s">
        <v>15793</v>
      </c>
      <c r="C13584" s="29" t="s">
        <v>29133</v>
      </c>
      <c r="D13584" s="29" t="s">
        <v>42659</v>
      </c>
      <c r="E13584" s="29" t="s">
        <v>53582</v>
      </c>
      <c r="F13584" s="36" t="s">
        <v>54401</v>
      </c>
      <c r="G13584" s="39">
        <v>542058.81999999995</v>
      </c>
      <c r="H13584" s="42">
        <v>211</v>
      </c>
    </row>
    <row r="13585" spans="1:8" ht="15" customHeight="1">
      <c r="A13585" s="26">
        <v>1053604357</v>
      </c>
      <c r="B13585" s="29" t="s">
        <v>15794</v>
      </c>
      <c r="C13585" s="29" t="s">
        <v>29134</v>
      </c>
      <c r="D13585" s="29" t="s">
        <v>42660</v>
      </c>
      <c r="E13585" s="29" t="s">
        <v>53583</v>
      </c>
      <c r="F13585" s="36" t="s">
        <v>54413</v>
      </c>
      <c r="G13585" s="39">
        <v>7662355.8899999997</v>
      </c>
      <c r="H13585" s="42">
        <v>211</v>
      </c>
    </row>
    <row r="13586" spans="1:8" ht="15" customHeight="1">
      <c r="A13586" s="26">
        <v>1053604455</v>
      </c>
      <c r="B13586" s="29" t="s">
        <v>15795</v>
      </c>
      <c r="C13586" s="29" t="s">
        <v>29135</v>
      </c>
      <c r="D13586" s="29" t="s">
        <v>42661</v>
      </c>
      <c r="E13586" s="29" t="s">
        <v>53584</v>
      </c>
      <c r="F13586" s="36" t="s">
        <v>54401</v>
      </c>
      <c r="G13586" s="39">
        <v>815428.92</v>
      </c>
      <c r="H13586" s="42">
        <v>211</v>
      </c>
    </row>
    <row r="13587" spans="1:8" ht="15" customHeight="1">
      <c r="A13587" s="26">
        <v>1053604466</v>
      </c>
      <c r="B13587" s="29" t="s">
        <v>15796</v>
      </c>
      <c r="C13587" s="29" t="s">
        <v>29136</v>
      </c>
      <c r="D13587" s="29" t="s">
        <v>42662</v>
      </c>
      <c r="E13587" s="29" t="s">
        <v>53585</v>
      </c>
      <c r="F13587" s="36" t="s">
        <v>54401</v>
      </c>
      <c r="G13587" s="39">
        <v>6448626</v>
      </c>
      <c r="H13587" s="42">
        <v>211</v>
      </c>
    </row>
    <row r="13588" spans="1:8" ht="15" customHeight="1">
      <c r="A13588" s="26">
        <v>1053604677</v>
      </c>
      <c r="B13588" s="29" t="s">
        <v>15797</v>
      </c>
      <c r="C13588" s="29" t="s">
        <v>29137</v>
      </c>
      <c r="D13588" s="29" t="s">
        <v>42663</v>
      </c>
      <c r="E13588" s="29" t="s">
        <v>46929</v>
      </c>
      <c r="F13588" s="36" t="s">
        <v>54401</v>
      </c>
      <c r="G13588" s="39">
        <v>297457.81</v>
      </c>
      <c r="H13588" s="42">
        <v>211</v>
      </c>
    </row>
    <row r="13589" spans="1:8" ht="15" customHeight="1">
      <c r="A13589" s="26">
        <v>1053604743</v>
      </c>
      <c r="B13589" s="29" t="s">
        <v>15798</v>
      </c>
      <c r="C13589" s="29" t="s">
        <v>17204</v>
      </c>
      <c r="D13589" s="29" t="s">
        <v>30349</v>
      </c>
      <c r="E13589" s="29" t="s">
        <v>43926</v>
      </c>
      <c r="F13589" s="36" t="s">
        <v>54401</v>
      </c>
      <c r="G13589" s="39">
        <v>296830.78999999998</v>
      </c>
      <c r="H13589" s="42">
        <v>211</v>
      </c>
    </row>
    <row r="13590" spans="1:8" ht="15" customHeight="1">
      <c r="A13590" s="26">
        <v>1053604749</v>
      </c>
      <c r="B13590" s="29" t="s">
        <v>15799</v>
      </c>
      <c r="C13590" s="29" t="s">
        <v>29138</v>
      </c>
      <c r="D13590" s="29" t="s">
        <v>42664</v>
      </c>
      <c r="E13590" s="29" t="s">
        <v>53586</v>
      </c>
      <c r="F13590" s="36" t="s">
        <v>54413</v>
      </c>
      <c r="G13590" s="39">
        <v>2941980</v>
      </c>
      <c r="H13590" s="42">
        <v>211</v>
      </c>
    </row>
    <row r="13591" spans="1:8" ht="15" customHeight="1">
      <c r="A13591" s="26">
        <v>1053604810</v>
      </c>
      <c r="B13591" s="29" t="s">
        <v>15800</v>
      </c>
      <c r="C13591" s="29" t="s">
        <v>29139</v>
      </c>
      <c r="D13591" s="29" t="s">
        <v>42665</v>
      </c>
      <c r="E13591" s="29" t="s">
        <v>53587</v>
      </c>
      <c r="F13591" s="36" t="s">
        <v>54401</v>
      </c>
      <c r="G13591" s="39">
        <v>292310.92</v>
      </c>
      <c r="H13591" s="42">
        <v>211</v>
      </c>
    </row>
    <row r="13592" spans="1:8" ht="15" customHeight="1">
      <c r="A13592" s="26">
        <v>1053604824</v>
      </c>
      <c r="B13592" s="29" t="s">
        <v>15801</v>
      </c>
      <c r="C13592" s="29" t="s">
        <v>17528</v>
      </c>
      <c r="D13592" s="29" t="s">
        <v>30681</v>
      </c>
      <c r="E13592" s="29" t="s">
        <v>53588</v>
      </c>
      <c r="F13592" s="36" t="s">
        <v>54413</v>
      </c>
      <c r="G13592" s="39">
        <v>1180092.68</v>
      </c>
      <c r="H13592" s="42">
        <v>211</v>
      </c>
    </row>
    <row r="13593" spans="1:8" ht="15" customHeight="1">
      <c r="A13593" s="26">
        <v>1053604974</v>
      </c>
      <c r="B13593" s="29" t="s">
        <v>15802</v>
      </c>
      <c r="C13593" s="29" t="s">
        <v>29140</v>
      </c>
      <c r="D13593" s="29" t="s">
        <v>42666</v>
      </c>
      <c r="E13593" s="29" t="s">
        <v>49289</v>
      </c>
      <c r="F13593" s="36" t="s">
        <v>54401</v>
      </c>
      <c r="G13593" s="39">
        <v>572681.84</v>
      </c>
      <c r="H13593" s="42">
        <v>211</v>
      </c>
    </row>
    <row r="13594" spans="1:8" ht="15" customHeight="1">
      <c r="A13594" s="26">
        <v>1053604996</v>
      </c>
      <c r="B13594" s="29" t="s">
        <v>15803</v>
      </c>
      <c r="C13594" s="29" t="s">
        <v>29141</v>
      </c>
      <c r="D13594" s="29" t="s">
        <v>42667</v>
      </c>
      <c r="E13594" s="29" t="s">
        <v>43926</v>
      </c>
      <c r="F13594" s="36" t="s">
        <v>54401</v>
      </c>
      <c r="G13594" s="39">
        <v>176080.03</v>
      </c>
      <c r="H13594" s="42">
        <v>211</v>
      </c>
    </row>
    <row r="13595" spans="1:8" ht="15" customHeight="1">
      <c r="A13595" s="26">
        <v>1053605013</v>
      </c>
      <c r="B13595" s="29" t="s">
        <v>15804</v>
      </c>
      <c r="C13595" s="29" t="s">
        <v>29142</v>
      </c>
      <c r="D13595" s="29" t="s">
        <v>42668</v>
      </c>
      <c r="E13595" s="29" t="s">
        <v>45331</v>
      </c>
      <c r="F13595" s="36" t="s">
        <v>54401</v>
      </c>
      <c r="G13595" s="39">
        <v>135811.47</v>
      </c>
      <c r="H13595" s="42">
        <v>211</v>
      </c>
    </row>
    <row r="13596" spans="1:8" ht="15" customHeight="1">
      <c r="A13596" s="26">
        <v>1053605021</v>
      </c>
      <c r="B13596" s="29" t="s">
        <v>15805</v>
      </c>
      <c r="C13596" s="29" t="s">
        <v>29143</v>
      </c>
      <c r="D13596" s="29" t="s">
        <v>42669</v>
      </c>
      <c r="E13596" s="29" t="s">
        <v>53589</v>
      </c>
      <c r="F13596" s="36" t="s">
        <v>54401</v>
      </c>
      <c r="G13596" s="39">
        <v>2519871.5</v>
      </c>
      <c r="H13596" s="42">
        <v>211</v>
      </c>
    </row>
    <row r="13597" spans="1:8" ht="15" customHeight="1">
      <c r="A13597" s="26">
        <v>1053605098</v>
      </c>
      <c r="B13597" s="29" t="s">
        <v>15806</v>
      </c>
      <c r="C13597" s="29" t="s">
        <v>29144</v>
      </c>
      <c r="D13597" s="29" t="s">
        <v>42670</v>
      </c>
      <c r="E13597" s="29" t="s">
        <v>43926</v>
      </c>
      <c r="F13597" s="36" t="s">
        <v>54401</v>
      </c>
      <c r="G13597" s="39">
        <v>3437030</v>
      </c>
      <c r="H13597" s="42">
        <v>211</v>
      </c>
    </row>
    <row r="13598" spans="1:8" ht="15" customHeight="1">
      <c r="A13598" s="26">
        <v>1053605161</v>
      </c>
      <c r="B13598" s="29" t="s">
        <v>15807</v>
      </c>
      <c r="C13598" s="29" t="s">
        <v>29145</v>
      </c>
      <c r="D13598" s="29" t="s">
        <v>42671</v>
      </c>
      <c r="E13598" s="29" t="s">
        <v>44023</v>
      </c>
      <c r="F13598" s="36" t="s">
        <v>54401</v>
      </c>
      <c r="G13598" s="39">
        <v>5583996.1200000001</v>
      </c>
      <c r="H13598" s="42">
        <v>211</v>
      </c>
    </row>
    <row r="13599" spans="1:8" ht="15" customHeight="1">
      <c r="A13599" s="26">
        <v>1053605197</v>
      </c>
      <c r="B13599" s="29" t="s">
        <v>15808</v>
      </c>
      <c r="C13599" s="29" t="s">
        <v>29146</v>
      </c>
      <c r="D13599" s="29" t="s">
        <v>42672</v>
      </c>
      <c r="E13599" s="29" t="s">
        <v>53590</v>
      </c>
      <c r="F13599" s="36" t="s">
        <v>54413</v>
      </c>
      <c r="G13599" s="39">
        <v>4227287</v>
      </c>
      <c r="H13599" s="42">
        <v>211</v>
      </c>
    </row>
    <row r="13600" spans="1:8" ht="15" customHeight="1">
      <c r="A13600" s="26">
        <v>1053605375</v>
      </c>
      <c r="B13600" s="29" t="s">
        <v>15809</v>
      </c>
      <c r="C13600" s="29" t="s">
        <v>29147</v>
      </c>
      <c r="D13600" s="29" t="s">
        <v>42673</v>
      </c>
      <c r="E13600" s="29" t="s">
        <v>49439</v>
      </c>
      <c r="F13600" s="36" t="s">
        <v>54401</v>
      </c>
      <c r="G13600" s="39">
        <v>2540885.1800000002</v>
      </c>
      <c r="H13600" s="42">
        <v>211</v>
      </c>
    </row>
    <row r="13601" spans="1:8" ht="15" customHeight="1">
      <c r="A13601" s="26">
        <v>1053605675</v>
      </c>
      <c r="B13601" s="29" t="s">
        <v>15810</v>
      </c>
      <c r="C13601" s="29" t="s">
        <v>29148</v>
      </c>
      <c r="D13601" s="29" t="s">
        <v>42674</v>
      </c>
      <c r="E13601" s="29" t="s">
        <v>53591</v>
      </c>
      <c r="F13601" s="36" t="s">
        <v>54401</v>
      </c>
      <c r="G13601" s="39">
        <v>94830.48</v>
      </c>
      <c r="H13601" s="42">
        <v>211</v>
      </c>
    </row>
    <row r="13602" spans="1:8" ht="15" customHeight="1">
      <c r="A13602" s="26">
        <v>1053605859</v>
      </c>
      <c r="B13602" s="29" t="s">
        <v>15811</v>
      </c>
      <c r="C13602" s="29" t="s">
        <v>29149</v>
      </c>
      <c r="D13602" s="29" t="s">
        <v>42675</v>
      </c>
      <c r="E13602" s="29" t="s">
        <v>44345</v>
      </c>
      <c r="F13602" s="36" t="s">
        <v>54401</v>
      </c>
      <c r="G13602" s="39">
        <v>173170.37</v>
      </c>
      <c r="H13602" s="42">
        <v>211</v>
      </c>
    </row>
    <row r="13603" spans="1:8" ht="15" customHeight="1">
      <c r="A13603" s="26">
        <v>1053605928</v>
      </c>
      <c r="B13603" s="29" t="s">
        <v>15812</v>
      </c>
      <c r="C13603" s="29" t="s">
        <v>29150</v>
      </c>
      <c r="D13603" s="29" t="s">
        <v>42676</v>
      </c>
      <c r="E13603" s="29" t="s">
        <v>44084</v>
      </c>
      <c r="F13603" s="36" t="s">
        <v>54401</v>
      </c>
      <c r="G13603" s="39">
        <v>430650</v>
      </c>
      <c r="H13603" s="42">
        <v>211</v>
      </c>
    </row>
    <row r="13604" spans="1:8" ht="15" customHeight="1">
      <c r="A13604" s="26">
        <v>1053605966</v>
      </c>
      <c r="B13604" s="29" t="s">
        <v>15813</v>
      </c>
      <c r="C13604" s="29" t="s">
        <v>29151</v>
      </c>
      <c r="D13604" s="29" t="s">
        <v>42677</v>
      </c>
      <c r="E13604" s="29" t="s">
        <v>53592</v>
      </c>
      <c r="F13604" s="36" t="s">
        <v>54413</v>
      </c>
      <c r="G13604" s="39">
        <v>76920.44</v>
      </c>
      <c r="H13604" s="42">
        <v>211</v>
      </c>
    </row>
    <row r="13605" spans="1:8" ht="15" customHeight="1">
      <c r="A13605" s="26">
        <v>1053605974</v>
      </c>
      <c r="B13605" s="29" t="s">
        <v>15814</v>
      </c>
      <c r="C13605" s="29" t="s">
        <v>17204</v>
      </c>
      <c r="D13605" s="29" t="s">
        <v>42678</v>
      </c>
      <c r="E13605" s="29" t="s">
        <v>43926</v>
      </c>
      <c r="F13605" s="36" t="s">
        <v>54401</v>
      </c>
      <c r="G13605" s="39">
        <v>1242336.69</v>
      </c>
      <c r="H13605" s="42">
        <v>211</v>
      </c>
    </row>
    <row r="13606" spans="1:8" ht="15" customHeight="1">
      <c r="A13606" s="26">
        <v>1053606001</v>
      </c>
      <c r="B13606" s="29" t="s">
        <v>15815</v>
      </c>
      <c r="C13606" s="29" t="s">
        <v>29152</v>
      </c>
      <c r="D13606" s="29" t="s">
        <v>42679</v>
      </c>
      <c r="E13606" s="29" t="s">
        <v>53593</v>
      </c>
      <c r="F13606" s="36" t="s">
        <v>54401</v>
      </c>
      <c r="G13606" s="39">
        <v>187907.15</v>
      </c>
      <c r="H13606" s="42">
        <v>211</v>
      </c>
    </row>
    <row r="13607" spans="1:8" ht="15" customHeight="1">
      <c r="A13607" s="26">
        <v>1053606103</v>
      </c>
      <c r="B13607" s="29" t="s">
        <v>15816</v>
      </c>
      <c r="C13607" s="29" t="s">
        <v>29153</v>
      </c>
      <c r="D13607" s="29" t="s">
        <v>42680</v>
      </c>
      <c r="E13607" s="29" t="s">
        <v>53594</v>
      </c>
      <c r="F13607" s="36" t="s">
        <v>54401</v>
      </c>
      <c r="G13607" s="39">
        <v>1785918.91</v>
      </c>
      <c r="H13607" s="42">
        <v>211</v>
      </c>
    </row>
    <row r="13608" spans="1:8" ht="15" customHeight="1">
      <c r="A13608" s="26">
        <v>1053606125</v>
      </c>
      <c r="B13608" s="29" t="s">
        <v>15817</v>
      </c>
      <c r="C13608" s="29" t="s">
        <v>29154</v>
      </c>
      <c r="D13608" s="29" t="s">
        <v>42681</v>
      </c>
      <c r="E13608" s="29" t="s">
        <v>53595</v>
      </c>
      <c r="F13608" s="36" t="s">
        <v>54413</v>
      </c>
      <c r="G13608" s="39">
        <v>621497.18000000005</v>
      </c>
      <c r="H13608" s="42">
        <v>211</v>
      </c>
    </row>
    <row r="13609" spans="1:8" ht="15" customHeight="1">
      <c r="A13609" s="26">
        <v>1053606133</v>
      </c>
      <c r="B13609" s="29" t="s">
        <v>15818</v>
      </c>
      <c r="C13609" s="29" t="s">
        <v>29155</v>
      </c>
      <c r="D13609" s="29" t="s">
        <v>42682</v>
      </c>
      <c r="E13609" s="29" t="s">
        <v>53596</v>
      </c>
      <c r="F13609" s="36" t="s">
        <v>54401</v>
      </c>
      <c r="G13609" s="39">
        <v>724713.02</v>
      </c>
      <c r="H13609" s="42">
        <v>211</v>
      </c>
    </row>
    <row r="13610" spans="1:8" ht="15" customHeight="1">
      <c r="A13610" s="26">
        <v>1053606161</v>
      </c>
      <c r="B13610" s="29" t="s">
        <v>15819</v>
      </c>
      <c r="C13610" s="29" t="s">
        <v>29156</v>
      </c>
      <c r="D13610" s="29" t="s">
        <v>42683</v>
      </c>
      <c r="E13610" s="29" t="s">
        <v>43926</v>
      </c>
      <c r="F13610" s="36" t="s">
        <v>54401</v>
      </c>
      <c r="G13610" s="39">
        <v>521900.72</v>
      </c>
      <c r="H13610" s="42">
        <v>211</v>
      </c>
    </row>
    <row r="13611" spans="1:8" ht="15" customHeight="1">
      <c r="A13611" s="26">
        <v>1053606233</v>
      </c>
      <c r="B13611" s="29" t="s">
        <v>15820</v>
      </c>
      <c r="C13611" s="29" t="s">
        <v>29157</v>
      </c>
      <c r="D13611" s="29" t="s">
        <v>42684</v>
      </c>
      <c r="E13611" s="29" t="s">
        <v>53597</v>
      </c>
      <c r="F13611" s="36" t="s">
        <v>54401</v>
      </c>
      <c r="G13611" s="39">
        <v>7403.36</v>
      </c>
      <c r="H13611" s="42">
        <v>211</v>
      </c>
    </row>
    <row r="13612" spans="1:8" ht="15" customHeight="1">
      <c r="A13612" s="26">
        <v>1053606307</v>
      </c>
      <c r="B13612" s="29" t="s">
        <v>15821</v>
      </c>
      <c r="C13612" s="29" t="s">
        <v>29158</v>
      </c>
      <c r="D13612" s="29" t="s">
        <v>42685</v>
      </c>
      <c r="E13612" s="29" t="s">
        <v>51050</v>
      </c>
      <c r="F13612" s="36" t="s">
        <v>54401</v>
      </c>
      <c r="G13612" s="39">
        <v>1632745</v>
      </c>
      <c r="H13612" s="42">
        <v>211</v>
      </c>
    </row>
    <row r="13613" spans="1:8" ht="15" customHeight="1">
      <c r="A13613" s="26">
        <v>1053606528</v>
      </c>
      <c r="B13613" s="29" t="s">
        <v>15822</v>
      </c>
      <c r="C13613" s="29" t="s">
        <v>29159</v>
      </c>
      <c r="D13613" s="29" t="s">
        <v>42686</v>
      </c>
      <c r="E13613" s="29" t="s">
        <v>53598</v>
      </c>
      <c r="F13613" s="36" t="s">
        <v>54401</v>
      </c>
      <c r="G13613" s="39">
        <v>532401.67000000004</v>
      </c>
      <c r="H13613" s="42">
        <v>211</v>
      </c>
    </row>
    <row r="13614" spans="1:8" ht="15" customHeight="1">
      <c r="A13614" s="26">
        <v>1053606555</v>
      </c>
      <c r="B13614" s="29" t="s">
        <v>15823</v>
      </c>
      <c r="C13614" s="29" t="s">
        <v>17204</v>
      </c>
      <c r="D13614" s="29" t="s">
        <v>30349</v>
      </c>
      <c r="E13614" s="29" t="s">
        <v>43926</v>
      </c>
      <c r="F13614" s="36" t="s">
        <v>54401</v>
      </c>
      <c r="G13614" s="39">
        <v>1001914.4</v>
      </c>
      <c r="H13614" s="42">
        <v>211</v>
      </c>
    </row>
    <row r="13615" spans="1:8" ht="15" customHeight="1">
      <c r="A13615" s="26">
        <v>1053606611</v>
      </c>
      <c r="B13615" s="29" t="s">
        <v>15824</v>
      </c>
      <c r="C13615" s="29" t="s">
        <v>29160</v>
      </c>
      <c r="D13615" s="29" t="s">
        <v>42687</v>
      </c>
      <c r="E13615" s="29" t="s">
        <v>53599</v>
      </c>
      <c r="F13615" s="36" t="s">
        <v>54481</v>
      </c>
      <c r="G13615" s="39">
        <v>3631731.16</v>
      </c>
      <c r="H13615" s="42">
        <v>211</v>
      </c>
    </row>
    <row r="13616" spans="1:8" ht="15" customHeight="1">
      <c r="A13616" s="26">
        <v>1053606666</v>
      </c>
      <c r="B13616" s="29" t="s">
        <v>15825</v>
      </c>
      <c r="C13616" s="29" t="s">
        <v>29161</v>
      </c>
      <c r="D13616" s="29" t="s">
        <v>42688</v>
      </c>
      <c r="E13616" s="29" t="s">
        <v>53600</v>
      </c>
      <c r="F13616" s="36" t="s">
        <v>54401</v>
      </c>
      <c r="G13616" s="39">
        <v>2186919.41</v>
      </c>
      <c r="H13616" s="42">
        <v>211</v>
      </c>
    </row>
    <row r="13617" spans="1:8" ht="15" customHeight="1">
      <c r="A13617" s="26">
        <v>1053606714</v>
      </c>
      <c r="B13617" s="29" t="s">
        <v>15826</v>
      </c>
      <c r="C13617" s="29" t="s">
        <v>29162</v>
      </c>
      <c r="D13617" s="29" t="s">
        <v>42689</v>
      </c>
      <c r="E13617" s="29" t="s">
        <v>53601</v>
      </c>
      <c r="F13617" s="36" t="s">
        <v>54401</v>
      </c>
      <c r="G13617" s="39">
        <v>84979.24</v>
      </c>
      <c r="H13617" s="42">
        <v>211</v>
      </c>
    </row>
    <row r="13618" spans="1:8" ht="15" customHeight="1">
      <c r="A13618" s="26">
        <v>1053606716</v>
      </c>
      <c r="B13618" s="29" t="s">
        <v>15827</v>
      </c>
      <c r="C13618" s="29" t="s">
        <v>26096</v>
      </c>
      <c r="D13618" s="29" t="s">
        <v>39540</v>
      </c>
      <c r="E13618" s="29" t="s">
        <v>53602</v>
      </c>
      <c r="F13618" s="36" t="s">
        <v>54401</v>
      </c>
      <c r="G13618" s="39">
        <v>2353356</v>
      </c>
      <c r="H13618" s="42">
        <v>211</v>
      </c>
    </row>
    <row r="13619" spans="1:8" ht="15" customHeight="1">
      <c r="A13619" s="26">
        <v>1053606788</v>
      </c>
      <c r="B13619" s="29" t="s">
        <v>15828</v>
      </c>
      <c r="C13619" s="29" t="s">
        <v>29163</v>
      </c>
      <c r="D13619" s="29" t="s">
        <v>42690</v>
      </c>
      <c r="E13619" s="29" t="s">
        <v>53603</v>
      </c>
      <c r="F13619" s="36" t="s">
        <v>54401</v>
      </c>
      <c r="G13619" s="39">
        <v>333957.8</v>
      </c>
      <c r="H13619" s="42">
        <v>211</v>
      </c>
    </row>
    <row r="13620" spans="1:8" ht="15" customHeight="1">
      <c r="A13620" s="26">
        <v>1053606907</v>
      </c>
      <c r="B13620" s="29" t="s">
        <v>15829</v>
      </c>
      <c r="C13620" s="29" t="s">
        <v>29164</v>
      </c>
      <c r="D13620" s="29" t="s">
        <v>42691</v>
      </c>
      <c r="E13620" s="29" t="s">
        <v>50716</v>
      </c>
      <c r="F13620" s="36" t="s">
        <v>54401</v>
      </c>
      <c r="G13620" s="39">
        <v>4462137.13</v>
      </c>
      <c r="H13620" s="42">
        <v>211</v>
      </c>
    </row>
    <row r="13621" spans="1:8" ht="15" customHeight="1">
      <c r="A13621" s="26">
        <v>1053606912</v>
      </c>
      <c r="B13621" s="29" t="s">
        <v>15830</v>
      </c>
      <c r="C13621" s="29" t="s">
        <v>29165</v>
      </c>
      <c r="D13621" s="29" t="s">
        <v>42692</v>
      </c>
      <c r="E13621" s="29" t="s">
        <v>44313</v>
      </c>
      <c r="F13621" s="36" t="s">
        <v>54401</v>
      </c>
      <c r="G13621" s="39">
        <v>5094569.37</v>
      </c>
      <c r="H13621" s="42">
        <v>211</v>
      </c>
    </row>
    <row r="13622" spans="1:8" ht="15" customHeight="1">
      <c r="A13622" s="26">
        <v>1053606933</v>
      </c>
      <c r="B13622" s="29" t="s">
        <v>15831</v>
      </c>
      <c r="C13622" s="29" t="s">
        <v>29166</v>
      </c>
      <c r="D13622" s="29" t="s">
        <v>42693</v>
      </c>
      <c r="E13622" s="29" t="s">
        <v>53604</v>
      </c>
      <c r="F13622" s="36" t="s">
        <v>54401</v>
      </c>
      <c r="G13622" s="39">
        <v>3458776.47</v>
      </c>
      <c r="H13622" s="42">
        <v>211</v>
      </c>
    </row>
    <row r="13623" spans="1:8" ht="15" customHeight="1">
      <c r="A13623" s="26">
        <v>1053606935</v>
      </c>
      <c r="B13623" s="29" t="s">
        <v>15832</v>
      </c>
      <c r="C13623" s="29" t="s">
        <v>17204</v>
      </c>
      <c r="D13623" s="29" t="s">
        <v>42694</v>
      </c>
      <c r="E13623" s="29" t="s">
        <v>51402</v>
      </c>
      <c r="F13623" s="36" t="s">
        <v>54401</v>
      </c>
      <c r="G13623" s="39">
        <v>1077889.96</v>
      </c>
      <c r="H13623" s="42">
        <v>211</v>
      </c>
    </row>
    <row r="13624" spans="1:8" ht="15" customHeight="1">
      <c r="A13624" s="26">
        <v>1053606939</v>
      </c>
      <c r="B13624" s="29" t="s">
        <v>15833</v>
      </c>
      <c r="C13624" s="29" t="s">
        <v>29167</v>
      </c>
      <c r="D13624" s="29" t="s">
        <v>42695</v>
      </c>
      <c r="E13624" s="29" t="s">
        <v>45230</v>
      </c>
      <c r="F13624" s="36" t="s">
        <v>54401</v>
      </c>
      <c r="G13624" s="39">
        <v>2711998</v>
      </c>
      <c r="H13624" s="42">
        <v>211</v>
      </c>
    </row>
    <row r="13625" spans="1:8" ht="15" customHeight="1">
      <c r="A13625" s="26">
        <v>1053607039</v>
      </c>
      <c r="B13625" s="29" t="s">
        <v>15834</v>
      </c>
      <c r="C13625" s="29" t="s">
        <v>29168</v>
      </c>
      <c r="D13625" s="29" t="s">
        <v>42696</v>
      </c>
      <c r="E13625" s="29" t="s">
        <v>53605</v>
      </c>
      <c r="F13625" s="36" t="s">
        <v>54401</v>
      </c>
      <c r="G13625" s="39">
        <v>378652.44</v>
      </c>
      <c r="H13625" s="42">
        <v>211</v>
      </c>
    </row>
    <row r="13626" spans="1:8" ht="15" customHeight="1">
      <c r="A13626" s="26">
        <v>1053607173</v>
      </c>
      <c r="B13626" s="29" t="s">
        <v>15835</v>
      </c>
      <c r="C13626" s="29" t="s">
        <v>29169</v>
      </c>
      <c r="D13626" s="29" t="s">
        <v>42697</v>
      </c>
      <c r="E13626" s="29" t="s">
        <v>53606</v>
      </c>
      <c r="F13626" s="36" t="s">
        <v>54401</v>
      </c>
      <c r="G13626" s="39">
        <v>368535.74</v>
      </c>
      <c r="H13626" s="42">
        <v>211</v>
      </c>
    </row>
    <row r="13627" spans="1:8" ht="15" customHeight="1">
      <c r="A13627" s="26">
        <v>1053607237</v>
      </c>
      <c r="B13627" s="29" t="s">
        <v>15836</v>
      </c>
      <c r="C13627" s="29" t="s">
        <v>29170</v>
      </c>
      <c r="D13627" s="29" t="s">
        <v>42698</v>
      </c>
      <c r="E13627" s="29" t="s">
        <v>45006</v>
      </c>
      <c r="F13627" s="36" t="s">
        <v>54401</v>
      </c>
      <c r="G13627" s="39">
        <v>69398.75</v>
      </c>
      <c r="H13627" s="42">
        <v>211</v>
      </c>
    </row>
    <row r="13628" spans="1:8" ht="15" customHeight="1">
      <c r="A13628" s="26">
        <v>1053607307</v>
      </c>
      <c r="B13628" s="29" t="s">
        <v>15837</v>
      </c>
      <c r="C13628" s="29" t="s">
        <v>29171</v>
      </c>
      <c r="D13628" s="29" t="s">
        <v>42699</v>
      </c>
      <c r="E13628" s="29" t="s">
        <v>53607</v>
      </c>
      <c r="F13628" s="36" t="s">
        <v>54401</v>
      </c>
      <c r="G13628" s="39">
        <v>5561674.4699999997</v>
      </c>
      <c r="H13628" s="42">
        <v>211</v>
      </c>
    </row>
    <row r="13629" spans="1:8" ht="15" customHeight="1">
      <c r="A13629" s="26">
        <v>1053607341</v>
      </c>
      <c r="B13629" s="29" t="s">
        <v>15838</v>
      </c>
      <c r="C13629" s="29" t="s">
        <v>29172</v>
      </c>
      <c r="D13629" s="29" t="s">
        <v>40604</v>
      </c>
      <c r="E13629" s="29" t="s">
        <v>53608</v>
      </c>
      <c r="F13629" s="36" t="s">
        <v>54401</v>
      </c>
      <c r="G13629" s="39">
        <v>1928856.26</v>
      </c>
      <c r="H13629" s="42">
        <v>211</v>
      </c>
    </row>
    <row r="13630" spans="1:8" ht="15" customHeight="1">
      <c r="A13630" s="26">
        <v>1053607346</v>
      </c>
      <c r="B13630" s="29" t="s">
        <v>15839</v>
      </c>
      <c r="C13630" s="29" t="s">
        <v>29173</v>
      </c>
      <c r="D13630" s="29" t="s">
        <v>42700</v>
      </c>
      <c r="E13630" s="29" t="s">
        <v>53609</v>
      </c>
      <c r="F13630" s="36" t="s">
        <v>54401</v>
      </c>
      <c r="G13630" s="39">
        <v>211030.07</v>
      </c>
      <c r="H13630" s="42">
        <v>211</v>
      </c>
    </row>
    <row r="13631" spans="1:8" ht="15" customHeight="1">
      <c r="A13631" s="26">
        <v>1053607350</v>
      </c>
      <c r="B13631" s="29" t="s">
        <v>15840</v>
      </c>
      <c r="C13631" s="29" t="s">
        <v>29174</v>
      </c>
      <c r="D13631" s="29" t="s">
        <v>42701</v>
      </c>
      <c r="E13631" s="29" t="s">
        <v>53610</v>
      </c>
      <c r="F13631" s="36" t="s">
        <v>54413</v>
      </c>
      <c r="G13631" s="39">
        <v>6727000</v>
      </c>
      <c r="H13631" s="42">
        <v>211</v>
      </c>
    </row>
    <row r="13632" spans="1:8" ht="15" customHeight="1">
      <c r="A13632" s="26">
        <v>1053607354</v>
      </c>
      <c r="B13632" s="29" t="s">
        <v>15841</v>
      </c>
      <c r="C13632" s="29" t="s">
        <v>29175</v>
      </c>
      <c r="D13632" s="29" t="s">
        <v>42702</v>
      </c>
      <c r="E13632" s="29" t="s">
        <v>45285</v>
      </c>
      <c r="F13632" s="36" t="s">
        <v>54401</v>
      </c>
      <c r="G13632" s="39">
        <v>12747.89</v>
      </c>
      <c r="H13632" s="42">
        <v>211</v>
      </c>
    </row>
    <row r="13633" spans="1:8" ht="15" customHeight="1">
      <c r="A13633" s="26">
        <v>1053607423</v>
      </c>
      <c r="B13633" s="29" t="s">
        <v>15842</v>
      </c>
      <c r="C13633" s="29" t="s">
        <v>25215</v>
      </c>
      <c r="D13633" s="29" t="s">
        <v>42703</v>
      </c>
      <c r="E13633" s="29" t="s">
        <v>53611</v>
      </c>
      <c r="F13633" s="36" t="s">
        <v>54401</v>
      </c>
      <c r="G13633" s="39">
        <v>282805.2</v>
      </c>
      <c r="H13633" s="42">
        <v>211</v>
      </c>
    </row>
    <row r="13634" spans="1:8" ht="15" customHeight="1">
      <c r="A13634" s="26">
        <v>1053607534</v>
      </c>
      <c r="B13634" s="29" t="s">
        <v>15843</v>
      </c>
      <c r="C13634" s="29" t="s">
        <v>29176</v>
      </c>
      <c r="D13634" s="29" t="s">
        <v>42704</v>
      </c>
      <c r="E13634" s="29" t="s">
        <v>53612</v>
      </c>
      <c r="F13634" s="36" t="s">
        <v>54401</v>
      </c>
      <c r="G13634" s="39">
        <v>42419.63</v>
      </c>
      <c r="H13634" s="42">
        <v>211</v>
      </c>
    </row>
    <row r="13635" spans="1:8" ht="15" customHeight="1">
      <c r="A13635" s="26">
        <v>1053607604</v>
      </c>
      <c r="B13635" s="29" t="s">
        <v>15844</v>
      </c>
      <c r="C13635" s="26" t="s">
        <v>29177</v>
      </c>
      <c r="D13635" s="26" t="s">
        <v>42705</v>
      </c>
      <c r="E13635" s="26" t="s">
        <v>53613</v>
      </c>
      <c r="F13635" s="37" t="s">
        <v>54401</v>
      </c>
      <c r="G13635" s="39">
        <v>2076354.12</v>
      </c>
      <c r="H13635" s="42">
        <v>211</v>
      </c>
    </row>
    <row r="13636" spans="1:8" ht="15" customHeight="1">
      <c r="A13636" s="26">
        <v>1053607831</v>
      </c>
      <c r="B13636" s="29" t="s">
        <v>15845</v>
      </c>
      <c r="C13636" s="29" t="s">
        <v>29178</v>
      </c>
      <c r="D13636" s="29" t="s">
        <v>42706</v>
      </c>
      <c r="E13636" s="29" t="s">
        <v>53614</v>
      </c>
      <c r="F13636" s="36" t="s">
        <v>54401</v>
      </c>
      <c r="G13636" s="39">
        <v>453581.43</v>
      </c>
      <c r="H13636" s="42">
        <v>211</v>
      </c>
    </row>
    <row r="13637" spans="1:8" ht="15" customHeight="1">
      <c r="A13637" s="26">
        <v>1053607835</v>
      </c>
      <c r="B13637" s="29" t="s">
        <v>15846</v>
      </c>
      <c r="C13637" s="29" t="s">
        <v>29179</v>
      </c>
      <c r="D13637" s="29" t="s">
        <v>42707</v>
      </c>
      <c r="E13637" s="29" t="s">
        <v>43926</v>
      </c>
      <c r="F13637" s="36" t="s">
        <v>54401</v>
      </c>
      <c r="G13637" s="39">
        <v>225971.87</v>
      </c>
      <c r="H13637" s="42">
        <v>211</v>
      </c>
    </row>
    <row r="13638" spans="1:8" ht="15" customHeight="1">
      <c r="A13638" s="26">
        <v>1053607838</v>
      </c>
      <c r="B13638" s="29" t="s">
        <v>15846</v>
      </c>
      <c r="C13638" s="29" t="s">
        <v>17204</v>
      </c>
      <c r="D13638" s="29" t="s">
        <v>30349</v>
      </c>
      <c r="E13638" s="29" t="s">
        <v>43926</v>
      </c>
      <c r="F13638" s="36" t="s">
        <v>54401</v>
      </c>
      <c r="G13638" s="39">
        <v>155478.82999999999</v>
      </c>
      <c r="H13638" s="42">
        <v>211</v>
      </c>
    </row>
    <row r="13639" spans="1:8" ht="15" customHeight="1">
      <c r="A13639" s="26">
        <v>1053607894</v>
      </c>
      <c r="B13639" s="29" t="s">
        <v>15847</v>
      </c>
      <c r="C13639" s="29" t="s">
        <v>29180</v>
      </c>
      <c r="D13639" s="29" t="s">
        <v>42708</v>
      </c>
      <c r="E13639" s="29" t="s">
        <v>1643</v>
      </c>
      <c r="F13639" s="36" t="s">
        <v>54401</v>
      </c>
      <c r="G13639" s="39">
        <v>100165.59</v>
      </c>
      <c r="H13639" s="42">
        <v>211</v>
      </c>
    </row>
    <row r="13640" spans="1:8" ht="15" customHeight="1">
      <c r="A13640" s="26">
        <v>1053607933</v>
      </c>
      <c r="B13640" s="29" t="s">
        <v>15848</v>
      </c>
      <c r="C13640" s="29" t="s">
        <v>17204</v>
      </c>
      <c r="D13640" s="29" t="s">
        <v>42709</v>
      </c>
      <c r="E13640" s="29" t="s">
        <v>43926</v>
      </c>
      <c r="F13640" s="36" t="s">
        <v>54401</v>
      </c>
      <c r="G13640" s="39">
        <v>264124.48</v>
      </c>
      <c r="H13640" s="42">
        <v>211</v>
      </c>
    </row>
    <row r="13641" spans="1:8" ht="15" customHeight="1">
      <c r="A13641" s="26">
        <v>1053608080</v>
      </c>
      <c r="B13641" s="29" t="s">
        <v>15849</v>
      </c>
      <c r="C13641" s="29" t="s">
        <v>29181</v>
      </c>
      <c r="D13641" s="29" t="s">
        <v>42710</v>
      </c>
      <c r="E13641" s="29" t="s">
        <v>46800</v>
      </c>
      <c r="F13641" s="36" t="s">
        <v>54401</v>
      </c>
      <c r="G13641" s="39">
        <v>794009.09</v>
      </c>
      <c r="H13641" s="42">
        <v>211</v>
      </c>
    </row>
    <row r="13642" spans="1:8" ht="15" customHeight="1">
      <c r="A13642" s="26">
        <v>1053608101</v>
      </c>
      <c r="B13642" s="29" t="s">
        <v>15850</v>
      </c>
      <c r="C13642" s="29" t="s">
        <v>29182</v>
      </c>
      <c r="D13642" s="29" t="s">
        <v>42711</v>
      </c>
      <c r="E13642" s="29" t="s">
        <v>53615</v>
      </c>
      <c r="F13642" s="36" t="s">
        <v>54401</v>
      </c>
      <c r="G13642" s="39">
        <v>68418.2</v>
      </c>
      <c r="H13642" s="42">
        <v>211</v>
      </c>
    </row>
    <row r="13643" spans="1:8" ht="15" customHeight="1">
      <c r="A13643" s="26">
        <v>1053608371</v>
      </c>
      <c r="B13643" s="29" t="s">
        <v>15851</v>
      </c>
      <c r="C13643" s="26" t="s">
        <v>29183</v>
      </c>
      <c r="D13643" s="26" t="s">
        <v>42712</v>
      </c>
      <c r="E13643" s="26" t="s">
        <v>43926</v>
      </c>
      <c r="F13643" s="37" t="s">
        <v>54401</v>
      </c>
      <c r="G13643" s="39">
        <v>184421.77</v>
      </c>
      <c r="H13643" s="42">
        <v>211</v>
      </c>
    </row>
    <row r="13644" spans="1:8" ht="15" customHeight="1">
      <c r="A13644" s="26">
        <v>1053608402</v>
      </c>
      <c r="B13644" s="29" t="s">
        <v>15852</v>
      </c>
      <c r="C13644" s="29" t="s">
        <v>29184</v>
      </c>
      <c r="D13644" s="29" t="s">
        <v>42713</v>
      </c>
      <c r="E13644" s="29" t="s">
        <v>53616</v>
      </c>
      <c r="F13644" s="36" t="s">
        <v>54401</v>
      </c>
      <c r="G13644" s="39">
        <v>5851371</v>
      </c>
      <c r="H13644" s="42">
        <v>211</v>
      </c>
    </row>
    <row r="13645" spans="1:8" ht="15" customHeight="1">
      <c r="A13645" s="26">
        <v>1053608404</v>
      </c>
      <c r="B13645" s="29" t="s">
        <v>15853</v>
      </c>
      <c r="C13645" s="26" t="s">
        <v>29185</v>
      </c>
      <c r="D13645" s="26" t="s">
        <v>42714</v>
      </c>
      <c r="E13645" s="26" t="s">
        <v>53617</v>
      </c>
      <c r="F13645" s="37" t="s">
        <v>54401</v>
      </c>
      <c r="G13645" s="39">
        <v>919699.25</v>
      </c>
      <c r="H13645" s="42">
        <v>211</v>
      </c>
    </row>
    <row r="13646" spans="1:8" ht="15" customHeight="1">
      <c r="A13646" s="26">
        <v>1053608515</v>
      </c>
      <c r="B13646" s="29" t="s">
        <v>15854</v>
      </c>
      <c r="C13646" s="29" t="s">
        <v>29186</v>
      </c>
      <c r="D13646" s="29" t="s">
        <v>42715</v>
      </c>
      <c r="E13646" s="29" t="s">
        <v>53618</v>
      </c>
      <c r="F13646" s="36" t="s">
        <v>54401</v>
      </c>
      <c r="G13646" s="39">
        <v>1695818</v>
      </c>
      <c r="H13646" s="42">
        <v>211</v>
      </c>
    </row>
    <row r="13647" spans="1:8" ht="15" customHeight="1">
      <c r="A13647" s="26">
        <v>1053608594</v>
      </c>
      <c r="B13647" s="29" t="s">
        <v>15855</v>
      </c>
      <c r="C13647" s="29" t="s">
        <v>17204</v>
      </c>
      <c r="D13647" s="29" t="s">
        <v>30349</v>
      </c>
      <c r="E13647" s="29" t="s">
        <v>43926</v>
      </c>
      <c r="F13647" s="36" t="s">
        <v>54401</v>
      </c>
      <c r="G13647" s="39">
        <v>419829.03</v>
      </c>
      <c r="H13647" s="42">
        <v>211</v>
      </c>
    </row>
    <row r="13648" spans="1:8" ht="15" customHeight="1">
      <c r="A13648" s="26">
        <v>1053608609</v>
      </c>
      <c r="B13648" s="29" t="s">
        <v>15856</v>
      </c>
      <c r="C13648" s="29" t="s">
        <v>29187</v>
      </c>
      <c r="D13648" s="29" t="s">
        <v>42716</v>
      </c>
      <c r="E13648" s="29" t="s">
        <v>53619</v>
      </c>
      <c r="F13648" s="36" t="s">
        <v>54401</v>
      </c>
      <c r="G13648" s="39">
        <v>734618.62</v>
      </c>
      <c r="H13648" s="42">
        <v>211</v>
      </c>
    </row>
    <row r="13649" spans="1:8" ht="15" customHeight="1">
      <c r="A13649" s="26">
        <v>1053608619</v>
      </c>
      <c r="B13649" s="29" t="s">
        <v>15857</v>
      </c>
      <c r="C13649" s="29" t="s">
        <v>29188</v>
      </c>
      <c r="D13649" s="29" t="s">
        <v>42717</v>
      </c>
      <c r="E13649" s="29" t="s">
        <v>53620</v>
      </c>
      <c r="F13649" s="36" t="s">
        <v>54401</v>
      </c>
      <c r="G13649" s="39">
        <v>465112.99</v>
      </c>
      <c r="H13649" s="42">
        <v>211</v>
      </c>
    </row>
    <row r="13650" spans="1:8" ht="15" customHeight="1">
      <c r="A13650" s="26">
        <v>1053608624</v>
      </c>
      <c r="B13650" s="29" t="s">
        <v>15858</v>
      </c>
      <c r="C13650" s="29" t="s">
        <v>29189</v>
      </c>
      <c r="D13650" s="29" t="s">
        <v>42718</v>
      </c>
      <c r="E13650" s="29" t="s">
        <v>53621</v>
      </c>
      <c r="F13650" s="36" t="s">
        <v>54401</v>
      </c>
      <c r="G13650" s="39">
        <v>3106581</v>
      </c>
      <c r="H13650" s="42">
        <v>211</v>
      </c>
    </row>
    <row r="13651" spans="1:8" ht="15" customHeight="1">
      <c r="A13651" s="26">
        <v>1053608636</v>
      </c>
      <c r="B13651" s="29" t="s">
        <v>15859</v>
      </c>
      <c r="C13651" s="29" t="s">
        <v>29190</v>
      </c>
      <c r="D13651" s="29" t="s">
        <v>42719</v>
      </c>
      <c r="E13651" s="29" t="s">
        <v>53622</v>
      </c>
      <c r="F13651" s="36" t="s">
        <v>54401</v>
      </c>
      <c r="G13651" s="39">
        <v>3463461.28</v>
      </c>
      <c r="H13651" s="42">
        <v>211</v>
      </c>
    </row>
    <row r="13652" spans="1:8" ht="15" customHeight="1">
      <c r="A13652" s="26">
        <v>1053608658</v>
      </c>
      <c r="B13652" s="29" t="s">
        <v>15860</v>
      </c>
      <c r="C13652" s="29" t="s">
        <v>17204</v>
      </c>
      <c r="D13652" s="29" t="s">
        <v>30349</v>
      </c>
      <c r="E13652" s="29" t="s">
        <v>43926</v>
      </c>
      <c r="F13652" s="36" t="s">
        <v>54401</v>
      </c>
      <c r="G13652" s="39">
        <v>436257.35</v>
      </c>
      <c r="H13652" s="42">
        <v>211</v>
      </c>
    </row>
    <row r="13653" spans="1:8" ht="15" customHeight="1">
      <c r="A13653" s="26">
        <v>1053608691</v>
      </c>
      <c r="B13653" s="29" t="s">
        <v>15861</v>
      </c>
      <c r="C13653" s="29" t="s">
        <v>29191</v>
      </c>
      <c r="D13653" s="29" t="s">
        <v>42720</v>
      </c>
      <c r="E13653" s="29" t="s">
        <v>53623</v>
      </c>
      <c r="F13653" s="36" t="s">
        <v>54401</v>
      </c>
      <c r="G13653" s="39">
        <v>778080.45</v>
      </c>
      <c r="H13653" s="42">
        <v>211</v>
      </c>
    </row>
    <row r="13654" spans="1:8" ht="15" customHeight="1">
      <c r="A13654" s="26">
        <v>1053608702</v>
      </c>
      <c r="B13654" s="29" t="s">
        <v>15862</v>
      </c>
      <c r="C13654" s="29" t="s">
        <v>29192</v>
      </c>
      <c r="D13654" s="29" t="s">
        <v>42721</v>
      </c>
      <c r="E13654" s="29" t="s">
        <v>53624</v>
      </c>
      <c r="F13654" s="36" t="s">
        <v>54401</v>
      </c>
      <c r="G13654" s="39">
        <v>863704.97</v>
      </c>
      <c r="H13654" s="42">
        <v>211</v>
      </c>
    </row>
    <row r="13655" spans="1:8" ht="15" customHeight="1">
      <c r="A13655" s="26">
        <v>1053608844</v>
      </c>
      <c r="B13655" s="29" t="s">
        <v>15863</v>
      </c>
      <c r="C13655" s="29" t="s">
        <v>29193</v>
      </c>
      <c r="D13655" s="29" t="s">
        <v>42722</v>
      </c>
      <c r="E13655" s="29" t="s">
        <v>53625</v>
      </c>
      <c r="F13655" s="36" t="s">
        <v>54401</v>
      </c>
      <c r="G13655" s="39">
        <v>650187.09</v>
      </c>
      <c r="H13655" s="42">
        <v>211</v>
      </c>
    </row>
    <row r="13656" spans="1:8" ht="15" customHeight="1">
      <c r="A13656" s="26">
        <v>1053608910</v>
      </c>
      <c r="B13656" s="29" t="s">
        <v>15864</v>
      </c>
      <c r="C13656" s="29" t="s">
        <v>29194</v>
      </c>
      <c r="D13656" s="29" t="s">
        <v>42723</v>
      </c>
      <c r="E13656" s="29" t="s">
        <v>43926</v>
      </c>
      <c r="F13656" s="36" t="s">
        <v>54401</v>
      </c>
      <c r="G13656" s="39">
        <v>329525.26</v>
      </c>
      <c r="H13656" s="42">
        <v>211</v>
      </c>
    </row>
    <row r="13657" spans="1:8" ht="15" customHeight="1">
      <c r="A13657" s="26">
        <v>1053608947</v>
      </c>
      <c r="B13657" s="29" t="s">
        <v>15865</v>
      </c>
      <c r="C13657" s="29" t="s">
        <v>17204</v>
      </c>
      <c r="D13657" s="29" t="s">
        <v>42724</v>
      </c>
      <c r="E13657" s="29" t="s">
        <v>43926</v>
      </c>
      <c r="F13657" s="36" t="s">
        <v>54401</v>
      </c>
      <c r="G13657" s="39">
        <v>387176.93</v>
      </c>
      <c r="H13657" s="42">
        <v>211</v>
      </c>
    </row>
    <row r="13658" spans="1:8" ht="15" customHeight="1">
      <c r="A13658" s="26">
        <v>1053609006</v>
      </c>
      <c r="B13658" s="29" t="s">
        <v>15866</v>
      </c>
      <c r="C13658" s="29" t="s">
        <v>17204</v>
      </c>
      <c r="D13658" s="29" t="s">
        <v>42725</v>
      </c>
      <c r="E13658" s="29" t="s">
        <v>43926</v>
      </c>
      <c r="F13658" s="36" t="s">
        <v>54401</v>
      </c>
      <c r="G13658" s="39">
        <v>775496.67</v>
      </c>
      <c r="H13658" s="42">
        <v>211</v>
      </c>
    </row>
    <row r="13659" spans="1:8" ht="15" customHeight="1">
      <c r="A13659" s="26">
        <v>1053609090</v>
      </c>
      <c r="B13659" s="29" t="s">
        <v>15867</v>
      </c>
      <c r="C13659" s="29" t="s">
        <v>29195</v>
      </c>
      <c r="D13659" s="29" t="s">
        <v>42726</v>
      </c>
      <c r="E13659" s="29" t="s">
        <v>50405</v>
      </c>
      <c r="F13659" s="36" t="s">
        <v>54401</v>
      </c>
      <c r="G13659" s="39">
        <v>3946954.74</v>
      </c>
      <c r="H13659" s="42">
        <v>211</v>
      </c>
    </row>
    <row r="13660" spans="1:8" ht="15" customHeight="1">
      <c r="A13660" s="26">
        <v>1053609099</v>
      </c>
      <c r="B13660" s="29" t="s">
        <v>15868</v>
      </c>
      <c r="C13660" s="29" t="s">
        <v>29196</v>
      </c>
      <c r="D13660" s="29" t="s">
        <v>42727</v>
      </c>
      <c r="E13660" s="29" t="s">
        <v>53626</v>
      </c>
      <c r="F13660" s="36" t="s">
        <v>54401</v>
      </c>
      <c r="G13660" s="39">
        <v>3182609.53</v>
      </c>
      <c r="H13660" s="42">
        <v>211</v>
      </c>
    </row>
    <row r="13661" spans="1:8" ht="15" customHeight="1">
      <c r="A13661" s="26">
        <v>1053609124</v>
      </c>
      <c r="B13661" s="29" t="s">
        <v>15869</v>
      </c>
      <c r="C13661" s="29" t="s">
        <v>29197</v>
      </c>
      <c r="D13661" s="29" t="s">
        <v>42728</v>
      </c>
      <c r="E13661" s="29" t="s">
        <v>44545</v>
      </c>
      <c r="F13661" s="36" t="s">
        <v>54401</v>
      </c>
      <c r="G13661" s="39">
        <v>547773.32999999996</v>
      </c>
      <c r="H13661" s="42">
        <v>211</v>
      </c>
    </row>
    <row r="13662" spans="1:8" ht="15" customHeight="1">
      <c r="A13662" s="26">
        <v>1053609181</v>
      </c>
      <c r="B13662" s="29" t="s">
        <v>15870</v>
      </c>
      <c r="C13662" s="29" t="s">
        <v>29198</v>
      </c>
      <c r="D13662" s="29" t="s">
        <v>42729</v>
      </c>
      <c r="E13662" s="29" t="s">
        <v>53627</v>
      </c>
      <c r="F13662" s="36" t="s">
        <v>54401</v>
      </c>
      <c r="G13662" s="39">
        <v>2203074.27</v>
      </c>
      <c r="H13662" s="42">
        <v>211</v>
      </c>
    </row>
    <row r="13663" spans="1:8" ht="15" customHeight="1">
      <c r="A13663" s="26">
        <v>1053609237</v>
      </c>
      <c r="B13663" s="29" t="s">
        <v>15871</v>
      </c>
      <c r="C13663" s="29" t="s">
        <v>29199</v>
      </c>
      <c r="D13663" s="29" t="s">
        <v>42730</v>
      </c>
      <c r="E13663" s="29" t="s">
        <v>53628</v>
      </c>
      <c r="F13663" s="36" t="s">
        <v>54401</v>
      </c>
      <c r="G13663" s="39">
        <v>229167.85</v>
      </c>
      <c r="H13663" s="42">
        <v>211</v>
      </c>
    </row>
    <row r="13664" spans="1:8" ht="15" customHeight="1">
      <c r="A13664" s="26">
        <v>1053609280</v>
      </c>
      <c r="B13664" s="29" t="s">
        <v>15872</v>
      </c>
      <c r="C13664" s="29" t="s">
        <v>29200</v>
      </c>
      <c r="D13664" s="29" t="s">
        <v>42731</v>
      </c>
      <c r="E13664" s="29" t="s">
        <v>53629</v>
      </c>
      <c r="F13664" s="36" t="s">
        <v>54401</v>
      </c>
      <c r="G13664" s="39">
        <v>267110.08</v>
      </c>
      <c r="H13664" s="42">
        <v>211</v>
      </c>
    </row>
    <row r="13665" spans="1:8" ht="15" customHeight="1">
      <c r="A13665" s="26">
        <v>1053609327</v>
      </c>
      <c r="B13665" s="29" t="s">
        <v>15873</v>
      </c>
      <c r="C13665" s="29" t="s">
        <v>29201</v>
      </c>
      <c r="D13665" s="29" t="s">
        <v>42732</v>
      </c>
      <c r="E13665" s="29" t="s">
        <v>43926</v>
      </c>
      <c r="F13665" s="36" t="s">
        <v>54401</v>
      </c>
      <c r="G13665" s="39">
        <v>9883105</v>
      </c>
      <c r="H13665" s="42">
        <v>211</v>
      </c>
    </row>
    <row r="13666" spans="1:8" ht="15" customHeight="1">
      <c r="A13666" s="26">
        <v>1053609357</v>
      </c>
      <c r="B13666" s="29" t="s">
        <v>15874</v>
      </c>
      <c r="C13666" s="29" t="s">
        <v>29202</v>
      </c>
      <c r="D13666" s="29" t="s">
        <v>42733</v>
      </c>
      <c r="E13666" s="29" t="s">
        <v>53630</v>
      </c>
      <c r="F13666" s="36" t="s">
        <v>54401</v>
      </c>
      <c r="G13666" s="39">
        <v>2279479.4900000002</v>
      </c>
      <c r="H13666" s="42">
        <v>211</v>
      </c>
    </row>
    <row r="13667" spans="1:8" ht="15" customHeight="1">
      <c r="A13667" s="26">
        <v>1053609412</v>
      </c>
      <c r="B13667" s="29" t="s">
        <v>15875</v>
      </c>
      <c r="C13667" s="29" t="s">
        <v>29203</v>
      </c>
      <c r="D13667" s="29" t="s">
        <v>42734</v>
      </c>
      <c r="E13667" s="29" t="s">
        <v>46539</v>
      </c>
      <c r="F13667" s="36" t="s">
        <v>54401</v>
      </c>
      <c r="G13667" s="39">
        <v>1925599.6</v>
      </c>
      <c r="H13667" s="42">
        <v>211</v>
      </c>
    </row>
    <row r="13668" spans="1:8" ht="15" customHeight="1">
      <c r="A13668" s="26">
        <v>1053609450</v>
      </c>
      <c r="B13668" s="29" t="s">
        <v>15876</v>
      </c>
      <c r="C13668" s="29" t="s">
        <v>29204</v>
      </c>
      <c r="D13668" s="29" t="s">
        <v>42735</v>
      </c>
      <c r="E13668" s="29" t="s">
        <v>53631</v>
      </c>
      <c r="F13668" s="36" t="s">
        <v>54413</v>
      </c>
      <c r="G13668" s="39">
        <v>39134.449999999997</v>
      </c>
      <c r="H13668" s="42">
        <v>211</v>
      </c>
    </row>
    <row r="13669" spans="1:8" ht="15" customHeight="1">
      <c r="A13669" s="26">
        <v>1053609489</v>
      </c>
      <c r="B13669" s="29" t="s">
        <v>15877</v>
      </c>
      <c r="C13669" s="29" t="s">
        <v>29205</v>
      </c>
      <c r="D13669" s="29" t="s">
        <v>42736</v>
      </c>
      <c r="E13669" s="29" t="s">
        <v>53632</v>
      </c>
      <c r="F13669" s="36" t="s">
        <v>54413</v>
      </c>
      <c r="G13669" s="39">
        <v>2008613.45</v>
      </c>
      <c r="H13669" s="42">
        <v>211</v>
      </c>
    </row>
    <row r="13670" spans="1:8" ht="15" customHeight="1">
      <c r="A13670" s="26">
        <v>1053609510</v>
      </c>
      <c r="B13670" s="29" t="s">
        <v>15878</v>
      </c>
      <c r="C13670" s="29" t="s">
        <v>29206</v>
      </c>
      <c r="D13670" s="29" t="s">
        <v>42737</v>
      </c>
      <c r="E13670" s="29" t="s">
        <v>53633</v>
      </c>
      <c r="F13670" s="36" t="s">
        <v>54401</v>
      </c>
      <c r="G13670" s="39">
        <v>656996.6</v>
      </c>
      <c r="H13670" s="42">
        <v>211</v>
      </c>
    </row>
    <row r="13671" spans="1:8" ht="15" customHeight="1">
      <c r="A13671" s="26">
        <v>1053609530</v>
      </c>
      <c r="B13671" s="29" t="s">
        <v>15879</v>
      </c>
      <c r="C13671" s="29" t="s">
        <v>29207</v>
      </c>
      <c r="D13671" s="29" t="s">
        <v>42738</v>
      </c>
      <c r="E13671" s="29" t="s">
        <v>43926</v>
      </c>
      <c r="F13671" s="36" t="s">
        <v>54401</v>
      </c>
      <c r="G13671" s="39">
        <v>205307.43</v>
      </c>
      <c r="H13671" s="42">
        <v>211</v>
      </c>
    </row>
    <row r="13672" spans="1:8" ht="15" customHeight="1">
      <c r="A13672" s="26">
        <v>1053609537</v>
      </c>
      <c r="B13672" s="29" t="s">
        <v>15880</v>
      </c>
      <c r="C13672" s="29" t="s">
        <v>29208</v>
      </c>
      <c r="D13672" s="29" t="s">
        <v>42739</v>
      </c>
      <c r="E13672" s="29" t="s">
        <v>53634</v>
      </c>
      <c r="F13672" s="36" t="s">
        <v>54401</v>
      </c>
      <c r="G13672" s="39">
        <v>6075626.1900000004</v>
      </c>
      <c r="H13672" s="42">
        <v>211</v>
      </c>
    </row>
    <row r="13673" spans="1:8" ht="15" customHeight="1">
      <c r="A13673" s="26">
        <v>1053609600</v>
      </c>
      <c r="B13673" s="29" t="s">
        <v>15881</v>
      </c>
      <c r="C13673" s="29" t="s">
        <v>17204</v>
      </c>
      <c r="D13673" s="29" t="s">
        <v>30349</v>
      </c>
      <c r="E13673" s="29" t="s">
        <v>43926</v>
      </c>
      <c r="F13673" s="36" t="s">
        <v>54401</v>
      </c>
      <c r="G13673" s="39">
        <v>409099.08</v>
      </c>
      <c r="H13673" s="42">
        <v>211</v>
      </c>
    </row>
    <row r="13674" spans="1:8" ht="15" customHeight="1">
      <c r="A13674" s="26">
        <v>1053609652</v>
      </c>
      <c r="B13674" s="29" t="s">
        <v>15882</v>
      </c>
      <c r="C13674" s="29" t="s">
        <v>29209</v>
      </c>
      <c r="D13674" s="29" t="s">
        <v>42740</v>
      </c>
      <c r="E13674" s="29" t="s">
        <v>43926</v>
      </c>
      <c r="F13674" s="36" t="s">
        <v>54401</v>
      </c>
      <c r="G13674" s="39">
        <v>223646.54</v>
      </c>
      <c r="H13674" s="42">
        <v>211</v>
      </c>
    </row>
    <row r="13675" spans="1:8" ht="15" customHeight="1">
      <c r="A13675" s="26">
        <v>1053609663</v>
      </c>
      <c r="B13675" s="29" t="s">
        <v>15883</v>
      </c>
      <c r="C13675" s="29" t="s">
        <v>29210</v>
      </c>
      <c r="D13675" s="29" t="s">
        <v>42741</v>
      </c>
      <c r="E13675" s="29" t="s">
        <v>44094</v>
      </c>
      <c r="F13675" s="36" t="s">
        <v>54401</v>
      </c>
      <c r="G13675" s="39">
        <v>242868.64</v>
      </c>
      <c r="H13675" s="42">
        <v>211</v>
      </c>
    </row>
    <row r="13676" spans="1:8" ht="15" customHeight="1">
      <c r="A13676" s="26">
        <v>1053609766</v>
      </c>
      <c r="B13676" s="29" t="s">
        <v>15884</v>
      </c>
      <c r="C13676" s="29" t="s">
        <v>29211</v>
      </c>
      <c r="D13676" s="29" t="s">
        <v>42742</v>
      </c>
      <c r="E13676" s="29" t="s">
        <v>47625</v>
      </c>
      <c r="F13676" s="36" t="s">
        <v>54401</v>
      </c>
      <c r="G13676" s="39">
        <v>479517.22</v>
      </c>
      <c r="H13676" s="42">
        <v>211</v>
      </c>
    </row>
    <row r="13677" spans="1:8" ht="15" customHeight="1">
      <c r="A13677" s="26">
        <v>1053609778</v>
      </c>
      <c r="B13677" s="29" t="s">
        <v>15885</v>
      </c>
      <c r="C13677" s="29" t="s">
        <v>29212</v>
      </c>
      <c r="D13677" s="29" t="s">
        <v>42743</v>
      </c>
      <c r="E13677" s="29" t="s">
        <v>53635</v>
      </c>
      <c r="F13677" s="36" t="s">
        <v>54401</v>
      </c>
      <c r="G13677" s="39">
        <v>2651285.5299999998</v>
      </c>
      <c r="H13677" s="42">
        <v>211</v>
      </c>
    </row>
    <row r="13678" spans="1:8" ht="15" customHeight="1">
      <c r="A13678" s="26">
        <v>1053609824</v>
      </c>
      <c r="B13678" s="29" t="s">
        <v>15886</v>
      </c>
      <c r="C13678" s="29" t="s">
        <v>29213</v>
      </c>
      <c r="D13678" s="29" t="s">
        <v>42744</v>
      </c>
      <c r="E13678" s="29" t="s">
        <v>53636</v>
      </c>
      <c r="F13678" s="36" t="s">
        <v>54401</v>
      </c>
      <c r="G13678" s="39">
        <v>580318.14</v>
      </c>
      <c r="H13678" s="42">
        <v>211</v>
      </c>
    </row>
    <row r="13679" spans="1:8" ht="15" customHeight="1">
      <c r="A13679" s="26">
        <v>1053609851</v>
      </c>
      <c r="B13679" s="29" t="s">
        <v>15887</v>
      </c>
      <c r="C13679" s="29" t="s">
        <v>29214</v>
      </c>
      <c r="D13679" s="29" t="s">
        <v>42745</v>
      </c>
      <c r="E13679" s="29" t="s">
        <v>43926</v>
      </c>
      <c r="F13679" s="36" t="s">
        <v>54401</v>
      </c>
      <c r="G13679" s="39">
        <v>896573.98</v>
      </c>
      <c r="H13679" s="42">
        <v>211</v>
      </c>
    </row>
    <row r="13680" spans="1:8" ht="15" customHeight="1">
      <c r="A13680" s="26">
        <v>1053609908</v>
      </c>
      <c r="B13680" s="29" t="s">
        <v>15888</v>
      </c>
      <c r="C13680" s="29" t="s">
        <v>29215</v>
      </c>
      <c r="D13680" s="29" t="s">
        <v>42746</v>
      </c>
      <c r="E13680" s="29" t="s">
        <v>43926</v>
      </c>
      <c r="F13680" s="36" t="s">
        <v>54401</v>
      </c>
      <c r="G13680" s="39">
        <v>412313.15</v>
      </c>
      <c r="H13680" s="42">
        <v>211</v>
      </c>
    </row>
    <row r="13681" spans="1:8" ht="15" customHeight="1">
      <c r="A13681" s="26">
        <v>1053609928</v>
      </c>
      <c r="B13681" s="29" t="s">
        <v>15889</v>
      </c>
      <c r="C13681" s="29" t="s">
        <v>29216</v>
      </c>
      <c r="D13681" s="29" t="s">
        <v>42747</v>
      </c>
      <c r="E13681" s="29" t="s">
        <v>53637</v>
      </c>
      <c r="F13681" s="36" t="s">
        <v>54401</v>
      </c>
      <c r="G13681" s="39">
        <v>2979645.36</v>
      </c>
      <c r="H13681" s="42">
        <v>211</v>
      </c>
    </row>
    <row r="13682" spans="1:8" ht="15" customHeight="1">
      <c r="A13682" s="26">
        <v>1053610063</v>
      </c>
      <c r="B13682" s="29" t="s">
        <v>15890</v>
      </c>
      <c r="C13682" s="29" t="s">
        <v>29217</v>
      </c>
      <c r="D13682" s="29" t="s">
        <v>42748</v>
      </c>
      <c r="E13682" s="29" t="s">
        <v>53361</v>
      </c>
      <c r="F13682" s="36" t="s">
        <v>54401</v>
      </c>
      <c r="G13682" s="39">
        <v>112472.9</v>
      </c>
      <c r="H13682" s="42">
        <v>211</v>
      </c>
    </row>
    <row r="13683" spans="1:8" ht="15" customHeight="1">
      <c r="A13683" s="26">
        <v>1053610226</v>
      </c>
      <c r="B13683" s="29" t="s">
        <v>15891</v>
      </c>
      <c r="C13683" s="29" t="s">
        <v>29218</v>
      </c>
      <c r="D13683" s="29" t="s">
        <v>42749</v>
      </c>
      <c r="E13683" s="29" t="s">
        <v>53638</v>
      </c>
      <c r="F13683" s="36" t="s">
        <v>54401</v>
      </c>
      <c r="G13683" s="39">
        <v>2496039.08</v>
      </c>
      <c r="H13683" s="42">
        <v>211</v>
      </c>
    </row>
    <row r="13684" spans="1:8" ht="15" customHeight="1">
      <c r="A13684" s="26">
        <v>1053610270</v>
      </c>
      <c r="B13684" s="29" t="s">
        <v>15892</v>
      </c>
      <c r="C13684" s="29" t="s">
        <v>28736</v>
      </c>
      <c r="D13684" s="29" t="s">
        <v>42248</v>
      </c>
      <c r="E13684" s="29" t="s">
        <v>53639</v>
      </c>
      <c r="F13684" s="36" t="s">
        <v>54401</v>
      </c>
      <c r="G13684" s="39">
        <v>1763374.37</v>
      </c>
      <c r="H13684" s="42">
        <v>211</v>
      </c>
    </row>
    <row r="13685" spans="1:8" ht="15" customHeight="1">
      <c r="A13685" s="26">
        <v>1053610279</v>
      </c>
      <c r="B13685" s="29" t="s">
        <v>15893</v>
      </c>
      <c r="C13685" s="29" t="s">
        <v>29219</v>
      </c>
      <c r="D13685" s="29" t="s">
        <v>42750</v>
      </c>
      <c r="E13685" s="29" t="s">
        <v>53640</v>
      </c>
      <c r="F13685" s="36" t="s">
        <v>54401</v>
      </c>
      <c r="G13685" s="39">
        <v>80202.09</v>
      </c>
      <c r="H13685" s="42">
        <v>211</v>
      </c>
    </row>
    <row r="13686" spans="1:8" ht="15" customHeight="1">
      <c r="A13686" s="26">
        <v>1053610396</v>
      </c>
      <c r="B13686" s="29" t="s">
        <v>15894</v>
      </c>
      <c r="C13686" s="26" t="s">
        <v>29220</v>
      </c>
      <c r="D13686" s="26" t="s">
        <v>42751</v>
      </c>
      <c r="E13686" s="26" t="s">
        <v>44084</v>
      </c>
      <c r="F13686" s="37" t="s">
        <v>54401</v>
      </c>
      <c r="G13686" s="39">
        <v>292642.92</v>
      </c>
      <c r="H13686" s="42">
        <v>211</v>
      </c>
    </row>
    <row r="13687" spans="1:8" ht="15" customHeight="1">
      <c r="A13687" s="26">
        <v>1053610695</v>
      </c>
      <c r="B13687" s="29" t="s">
        <v>15895</v>
      </c>
      <c r="C13687" s="29" t="s">
        <v>29221</v>
      </c>
      <c r="D13687" s="29" t="s">
        <v>42752</v>
      </c>
      <c r="E13687" s="29" t="s">
        <v>53641</v>
      </c>
      <c r="F13687" s="36" t="s">
        <v>54401</v>
      </c>
      <c r="G13687" s="39">
        <v>2912837.79</v>
      </c>
      <c r="H13687" s="42">
        <v>211</v>
      </c>
    </row>
    <row r="13688" spans="1:8" ht="15" customHeight="1">
      <c r="A13688" s="26">
        <v>1053610702</v>
      </c>
      <c r="B13688" s="29" t="s">
        <v>15896</v>
      </c>
      <c r="C13688" s="29" t="s">
        <v>29222</v>
      </c>
      <c r="D13688" s="29" t="s">
        <v>42753</v>
      </c>
      <c r="E13688" s="29" t="s">
        <v>53642</v>
      </c>
      <c r="F13688" s="36" t="s">
        <v>54401</v>
      </c>
      <c r="G13688" s="39">
        <v>456466.86</v>
      </c>
      <c r="H13688" s="42">
        <v>211</v>
      </c>
    </row>
    <row r="13689" spans="1:8" ht="15" customHeight="1">
      <c r="A13689" s="26">
        <v>1053610707</v>
      </c>
      <c r="B13689" s="29" t="s">
        <v>15897</v>
      </c>
      <c r="C13689" s="29" t="s">
        <v>29223</v>
      </c>
      <c r="D13689" s="29" t="s">
        <v>42754</v>
      </c>
      <c r="E13689" s="29" t="s">
        <v>53643</v>
      </c>
      <c r="F13689" s="36" t="s">
        <v>54401</v>
      </c>
      <c r="G13689" s="39">
        <v>1136842.29</v>
      </c>
      <c r="H13689" s="42">
        <v>211</v>
      </c>
    </row>
    <row r="13690" spans="1:8" ht="15" customHeight="1">
      <c r="A13690" s="26">
        <v>1053610711</v>
      </c>
      <c r="B13690" s="29" t="s">
        <v>15898</v>
      </c>
      <c r="C13690" s="29" t="s">
        <v>29224</v>
      </c>
      <c r="D13690" s="29" t="s">
        <v>42755</v>
      </c>
      <c r="E13690" s="29" t="s">
        <v>53644</v>
      </c>
      <c r="F13690" s="36" t="s">
        <v>54401</v>
      </c>
      <c r="G13690" s="39">
        <v>62704.85</v>
      </c>
      <c r="H13690" s="42">
        <v>211</v>
      </c>
    </row>
    <row r="13691" spans="1:8" ht="15" customHeight="1">
      <c r="A13691" s="26">
        <v>1053610897</v>
      </c>
      <c r="B13691" s="29" t="s">
        <v>15899</v>
      </c>
      <c r="C13691" s="26" t="s">
        <v>29225</v>
      </c>
      <c r="D13691" s="26" t="s">
        <v>42756</v>
      </c>
      <c r="E13691" s="26" t="s">
        <v>53645</v>
      </c>
      <c r="F13691" s="37" t="s">
        <v>54401</v>
      </c>
      <c r="G13691" s="39">
        <v>234352.94</v>
      </c>
      <c r="H13691" s="42">
        <v>211</v>
      </c>
    </row>
    <row r="13692" spans="1:8" ht="15" customHeight="1">
      <c r="A13692" s="26">
        <v>1053610952</v>
      </c>
      <c r="B13692" s="29" t="s">
        <v>15900</v>
      </c>
      <c r="C13692" s="29" t="s">
        <v>17204</v>
      </c>
      <c r="D13692" s="29" t="s">
        <v>30349</v>
      </c>
      <c r="E13692" s="29" t="s">
        <v>43926</v>
      </c>
      <c r="F13692" s="36" t="s">
        <v>54401</v>
      </c>
      <c r="G13692" s="39">
        <v>445810.12</v>
      </c>
      <c r="H13692" s="42">
        <v>211</v>
      </c>
    </row>
    <row r="13693" spans="1:8" ht="15" customHeight="1">
      <c r="A13693" s="26">
        <v>1053610986</v>
      </c>
      <c r="B13693" s="29" t="s">
        <v>15901</v>
      </c>
      <c r="C13693" s="26" t="s">
        <v>29226</v>
      </c>
      <c r="D13693" s="26" t="s">
        <v>42757</v>
      </c>
      <c r="E13693" s="26" t="s">
        <v>53646</v>
      </c>
      <c r="F13693" s="37" t="s">
        <v>54401</v>
      </c>
      <c r="G13693" s="39">
        <v>258746.81</v>
      </c>
      <c r="H13693" s="42">
        <v>211</v>
      </c>
    </row>
    <row r="13694" spans="1:8" ht="15" customHeight="1">
      <c r="A13694" s="26">
        <v>1053611050</v>
      </c>
      <c r="B13694" s="29" t="s">
        <v>15902</v>
      </c>
      <c r="C13694" s="29" t="s">
        <v>29227</v>
      </c>
      <c r="D13694" s="29" t="s">
        <v>42758</v>
      </c>
      <c r="E13694" s="29" t="s">
        <v>47121</v>
      </c>
      <c r="F13694" s="36" t="s">
        <v>54413</v>
      </c>
      <c r="G13694" s="39">
        <v>180163.33</v>
      </c>
      <c r="H13694" s="42">
        <v>211</v>
      </c>
    </row>
    <row r="13695" spans="1:8" ht="15" customHeight="1">
      <c r="A13695" s="26">
        <v>1053611084</v>
      </c>
      <c r="B13695" s="29" t="s">
        <v>15903</v>
      </c>
      <c r="C13695" s="29" t="s">
        <v>29228</v>
      </c>
      <c r="D13695" s="29" t="s">
        <v>42759</v>
      </c>
      <c r="E13695" s="29" t="s">
        <v>53647</v>
      </c>
      <c r="F13695" s="36" t="s">
        <v>54401</v>
      </c>
      <c r="G13695" s="39">
        <v>5123396.0599999996</v>
      </c>
      <c r="H13695" s="42">
        <v>211</v>
      </c>
    </row>
    <row r="13696" spans="1:8" ht="15" customHeight="1">
      <c r="A13696" s="26">
        <v>1053611309</v>
      </c>
      <c r="B13696" s="29" t="s">
        <v>15904</v>
      </c>
      <c r="C13696" s="29" t="s">
        <v>29229</v>
      </c>
      <c r="D13696" s="29" t="s">
        <v>42760</v>
      </c>
      <c r="E13696" s="29" t="s">
        <v>53648</v>
      </c>
      <c r="F13696" s="36" t="s">
        <v>54401</v>
      </c>
      <c r="G13696" s="39">
        <v>166066.32999999999</v>
      </c>
      <c r="H13696" s="42">
        <v>211</v>
      </c>
    </row>
    <row r="13697" spans="1:8" ht="15" customHeight="1">
      <c r="A13697" s="26">
        <v>1053611360</v>
      </c>
      <c r="B13697" s="29" t="s">
        <v>15905</v>
      </c>
      <c r="C13697" s="29" t="s">
        <v>29230</v>
      </c>
      <c r="D13697" s="29" t="s">
        <v>42761</v>
      </c>
      <c r="E13697" s="29" t="s">
        <v>53649</v>
      </c>
      <c r="F13697" s="36" t="s">
        <v>54413</v>
      </c>
      <c r="G13697" s="39">
        <v>2708555</v>
      </c>
      <c r="H13697" s="42">
        <v>211</v>
      </c>
    </row>
    <row r="13698" spans="1:8" ht="15" customHeight="1">
      <c r="A13698" s="26">
        <v>1053611593</v>
      </c>
      <c r="B13698" s="29" t="s">
        <v>15906</v>
      </c>
      <c r="C13698" s="29" t="s">
        <v>29231</v>
      </c>
      <c r="D13698" s="29" t="s">
        <v>42762</v>
      </c>
      <c r="E13698" s="29" t="s">
        <v>53650</v>
      </c>
      <c r="F13698" s="36" t="s">
        <v>54401</v>
      </c>
      <c r="G13698" s="39">
        <v>408560.56</v>
      </c>
      <c r="H13698" s="42">
        <v>211</v>
      </c>
    </row>
    <row r="13699" spans="1:8" ht="15" customHeight="1">
      <c r="A13699" s="26">
        <v>1053611621</v>
      </c>
      <c r="B13699" s="29" t="s">
        <v>15907</v>
      </c>
      <c r="C13699" s="29" t="s">
        <v>29232</v>
      </c>
      <c r="D13699" s="29" t="s">
        <v>32368</v>
      </c>
      <c r="E13699" s="29" t="s">
        <v>51380</v>
      </c>
      <c r="F13699" s="36" t="s">
        <v>54413</v>
      </c>
      <c r="G13699" s="39">
        <v>716069.61</v>
      </c>
      <c r="H13699" s="42">
        <v>211</v>
      </c>
    </row>
    <row r="13700" spans="1:8" ht="15" customHeight="1">
      <c r="A13700" s="26">
        <v>1053611660</v>
      </c>
      <c r="B13700" s="29" t="s">
        <v>15908</v>
      </c>
      <c r="C13700" s="29" t="s">
        <v>29233</v>
      </c>
      <c r="D13700" s="29" t="s">
        <v>42763</v>
      </c>
      <c r="E13700" s="29" t="s">
        <v>44084</v>
      </c>
      <c r="F13700" s="36" t="s">
        <v>54401</v>
      </c>
      <c r="G13700" s="39">
        <v>29285</v>
      </c>
      <c r="H13700" s="42">
        <v>211</v>
      </c>
    </row>
    <row r="13701" spans="1:8" ht="15" customHeight="1">
      <c r="A13701" s="26">
        <v>1053611803</v>
      </c>
      <c r="B13701" s="29" t="s">
        <v>15909</v>
      </c>
      <c r="C13701" s="29" t="s">
        <v>29234</v>
      </c>
      <c r="D13701" s="29" t="s">
        <v>42764</v>
      </c>
      <c r="E13701" s="29" t="s">
        <v>53651</v>
      </c>
      <c r="F13701" s="36" t="s">
        <v>54401</v>
      </c>
      <c r="G13701" s="39">
        <v>1586977.29</v>
      </c>
      <c r="H13701" s="42">
        <v>211</v>
      </c>
    </row>
    <row r="13702" spans="1:8" ht="15" customHeight="1">
      <c r="A13702" s="26">
        <v>1053611876</v>
      </c>
      <c r="B13702" s="29" t="s">
        <v>15910</v>
      </c>
      <c r="C13702" s="29" t="s">
        <v>29235</v>
      </c>
      <c r="D13702" s="29" t="s">
        <v>42765</v>
      </c>
      <c r="E13702" s="29" t="s">
        <v>53652</v>
      </c>
      <c r="F13702" s="36" t="s">
        <v>54401</v>
      </c>
      <c r="G13702" s="39">
        <v>447176.61</v>
      </c>
      <c r="H13702" s="42">
        <v>211</v>
      </c>
    </row>
    <row r="13703" spans="1:8" ht="15" customHeight="1">
      <c r="A13703" s="26">
        <v>1053611895</v>
      </c>
      <c r="B13703" s="29" t="s">
        <v>15911</v>
      </c>
      <c r="C13703" s="29" t="s">
        <v>17204</v>
      </c>
      <c r="D13703" s="29" t="s">
        <v>30349</v>
      </c>
      <c r="E13703" s="29" t="s">
        <v>43926</v>
      </c>
      <c r="F13703" s="36" t="s">
        <v>54401</v>
      </c>
      <c r="G13703" s="39">
        <v>25385.72</v>
      </c>
      <c r="H13703" s="42">
        <v>211</v>
      </c>
    </row>
    <row r="13704" spans="1:8" ht="15" customHeight="1">
      <c r="A13704" s="26">
        <v>1053611902</v>
      </c>
      <c r="B13704" s="29" t="s">
        <v>15912</v>
      </c>
      <c r="C13704" s="29" t="s">
        <v>29236</v>
      </c>
      <c r="D13704" s="29" t="s">
        <v>42766</v>
      </c>
      <c r="E13704" s="29" t="s">
        <v>43926</v>
      </c>
      <c r="F13704" s="36" t="s">
        <v>54401</v>
      </c>
      <c r="G13704" s="39">
        <v>1569366.29</v>
      </c>
      <c r="H13704" s="42">
        <v>211</v>
      </c>
    </row>
    <row r="13705" spans="1:8" ht="15" customHeight="1">
      <c r="A13705" s="26">
        <v>1053611911</v>
      </c>
      <c r="B13705" s="29" t="s">
        <v>15913</v>
      </c>
      <c r="C13705" s="29" t="s">
        <v>29237</v>
      </c>
      <c r="D13705" s="29" t="s">
        <v>42767</v>
      </c>
      <c r="E13705" s="29" t="s">
        <v>53653</v>
      </c>
      <c r="F13705" s="36" t="s">
        <v>54401</v>
      </c>
      <c r="G13705" s="39">
        <v>284888.63</v>
      </c>
      <c r="H13705" s="42">
        <v>211</v>
      </c>
    </row>
    <row r="13706" spans="1:8" ht="15" customHeight="1">
      <c r="A13706" s="26">
        <v>1053611938</v>
      </c>
      <c r="B13706" s="29" t="s">
        <v>15914</v>
      </c>
      <c r="C13706" s="29" t="s">
        <v>29238</v>
      </c>
      <c r="D13706" s="29" t="s">
        <v>42768</v>
      </c>
      <c r="E13706" s="29" t="s">
        <v>50969</v>
      </c>
      <c r="F13706" s="36" t="s">
        <v>54401</v>
      </c>
      <c r="G13706" s="39">
        <v>326041.99</v>
      </c>
      <c r="H13706" s="42">
        <v>211</v>
      </c>
    </row>
    <row r="13707" spans="1:8" ht="15" customHeight="1">
      <c r="A13707" s="26">
        <v>1053612305</v>
      </c>
      <c r="B13707" s="29" t="s">
        <v>15915</v>
      </c>
      <c r="C13707" s="29" t="s">
        <v>29239</v>
      </c>
      <c r="D13707" s="29" t="s">
        <v>42769</v>
      </c>
      <c r="E13707" s="29" t="s">
        <v>46533</v>
      </c>
      <c r="F13707" s="36" t="s">
        <v>54401</v>
      </c>
      <c r="G13707" s="39">
        <v>557828.9</v>
      </c>
      <c r="H13707" s="42">
        <v>211</v>
      </c>
    </row>
    <row r="13708" spans="1:8" ht="15" customHeight="1">
      <c r="A13708" s="26">
        <v>1053612466</v>
      </c>
      <c r="B13708" s="29" t="s">
        <v>15916</v>
      </c>
      <c r="C13708" s="29" t="s">
        <v>29240</v>
      </c>
      <c r="D13708" s="29" t="s">
        <v>42770</v>
      </c>
      <c r="E13708" s="29" t="s">
        <v>43926</v>
      </c>
      <c r="F13708" s="36" t="s">
        <v>54401</v>
      </c>
      <c r="G13708" s="39">
        <v>253591.42</v>
      </c>
      <c r="H13708" s="42">
        <v>211</v>
      </c>
    </row>
    <row r="13709" spans="1:8" ht="15" customHeight="1">
      <c r="A13709" s="26">
        <v>1053612479</v>
      </c>
      <c r="B13709" s="29" t="s">
        <v>15917</v>
      </c>
      <c r="C13709" s="29" t="s">
        <v>29241</v>
      </c>
      <c r="D13709" s="29" t="s">
        <v>42771</v>
      </c>
      <c r="E13709" s="29" t="s">
        <v>53654</v>
      </c>
      <c r="F13709" s="36" t="s">
        <v>54401</v>
      </c>
      <c r="G13709" s="39">
        <v>1866020.09</v>
      </c>
      <c r="H13709" s="42">
        <v>211</v>
      </c>
    </row>
    <row r="13710" spans="1:8" ht="15" customHeight="1">
      <c r="A13710" s="26">
        <v>1053612772</v>
      </c>
      <c r="B13710" s="29" t="s">
        <v>15918</v>
      </c>
      <c r="C13710" s="29" t="s">
        <v>29242</v>
      </c>
      <c r="D13710" s="29" t="s">
        <v>42772</v>
      </c>
      <c r="E13710" s="29" t="s">
        <v>53655</v>
      </c>
      <c r="F13710" s="36" t="s">
        <v>54401</v>
      </c>
      <c r="G13710" s="39">
        <v>38134.1</v>
      </c>
      <c r="H13710" s="42">
        <v>211</v>
      </c>
    </row>
    <row r="13711" spans="1:8" ht="15" customHeight="1">
      <c r="A13711" s="26">
        <v>1053612779</v>
      </c>
      <c r="B13711" s="29" t="s">
        <v>15919</v>
      </c>
      <c r="C13711" s="29" t="s">
        <v>29243</v>
      </c>
      <c r="D13711" s="29" t="s">
        <v>42773</v>
      </c>
      <c r="E13711" s="29" t="s">
        <v>53656</v>
      </c>
      <c r="F13711" s="36" t="s">
        <v>54401</v>
      </c>
      <c r="G13711" s="39">
        <v>2281847.2000000002</v>
      </c>
      <c r="H13711" s="42">
        <v>211</v>
      </c>
    </row>
    <row r="13712" spans="1:8" ht="15" customHeight="1">
      <c r="A13712" s="26">
        <v>1053613033</v>
      </c>
      <c r="B13712" s="29" t="s">
        <v>15920</v>
      </c>
      <c r="C13712" s="29" t="s">
        <v>29244</v>
      </c>
      <c r="D13712" s="29" t="s">
        <v>42774</v>
      </c>
      <c r="E13712" s="29" t="s">
        <v>43926</v>
      </c>
      <c r="F13712" s="36" t="s">
        <v>54401</v>
      </c>
      <c r="G13712" s="39">
        <v>1657501.95</v>
      </c>
      <c r="H13712" s="42">
        <v>211</v>
      </c>
    </row>
    <row r="13713" spans="1:8" ht="15" customHeight="1">
      <c r="A13713" s="26">
        <v>1053613118</v>
      </c>
      <c r="B13713" s="29" t="s">
        <v>15921</v>
      </c>
      <c r="C13713" s="29" t="s">
        <v>29245</v>
      </c>
      <c r="D13713" s="29" t="s">
        <v>42775</v>
      </c>
      <c r="E13713" s="29" t="s">
        <v>53657</v>
      </c>
      <c r="F13713" s="36" t="s">
        <v>54401</v>
      </c>
      <c r="G13713" s="39">
        <v>291839.69</v>
      </c>
      <c r="H13713" s="42">
        <v>211</v>
      </c>
    </row>
    <row r="13714" spans="1:8" ht="15" customHeight="1">
      <c r="A13714" s="26">
        <v>1053613232</v>
      </c>
      <c r="B13714" s="29" t="s">
        <v>15922</v>
      </c>
      <c r="C13714" s="29" t="s">
        <v>29246</v>
      </c>
      <c r="D13714" s="29" t="s">
        <v>42776</v>
      </c>
      <c r="E13714" s="29" t="s">
        <v>44780</v>
      </c>
      <c r="F13714" s="36" t="s">
        <v>54401</v>
      </c>
      <c r="G13714" s="39">
        <v>5367599</v>
      </c>
      <c r="H13714" s="42">
        <v>211</v>
      </c>
    </row>
    <row r="13715" spans="1:8" ht="15" customHeight="1">
      <c r="A13715" s="26">
        <v>1053613483</v>
      </c>
      <c r="B13715" s="29" t="s">
        <v>15923</v>
      </c>
      <c r="C13715" s="29" t="s">
        <v>29247</v>
      </c>
      <c r="D13715" s="29" t="s">
        <v>42777</v>
      </c>
      <c r="E13715" s="29" t="s">
        <v>735</v>
      </c>
      <c r="F13715" s="36" t="s">
        <v>54413</v>
      </c>
      <c r="G13715" s="39">
        <v>342876.65</v>
      </c>
      <c r="H13715" s="42">
        <v>211</v>
      </c>
    </row>
    <row r="13716" spans="1:8" ht="15" customHeight="1">
      <c r="A13716" s="26">
        <v>1053613542</v>
      </c>
      <c r="B13716" s="29" t="s">
        <v>15924</v>
      </c>
      <c r="C13716" s="26" t="s">
        <v>29248</v>
      </c>
      <c r="D13716" s="26" t="s">
        <v>42778</v>
      </c>
      <c r="E13716" s="26" t="s">
        <v>43926</v>
      </c>
      <c r="F13716" s="37" t="s">
        <v>54401</v>
      </c>
      <c r="G13716" s="39">
        <v>603454.21</v>
      </c>
      <c r="H13716" s="42">
        <v>211</v>
      </c>
    </row>
    <row r="13717" spans="1:8" ht="15" customHeight="1">
      <c r="A13717" s="26">
        <v>1053613591</v>
      </c>
      <c r="B13717" s="29" t="s">
        <v>15925</v>
      </c>
      <c r="C13717" s="29" t="s">
        <v>29249</v>
      </c>
      <c r="D13717" s="29" t="s">
        <v>42779</v>
      </c>
      <c r="E13717" s="29" t="s">
        <v>43926</v>
      </c>
      <c r="F13717" s="36" t="s">
        <v>54401</v>
      </c>
      <c r="G13717" s="39">
        <v>552259.54</v>
      </c>
      <c r="H13717" s="42">
        <v>211</v>
      </c>
    </row>
    <row r="13718" spans="1:8" ht="15" customHeight="1">
      <c r="A13718" s="26">
        <v>1053613603</v>
      </c>
      <c r="B13718" s="29" t="s">
        <v>15926</v>
      </c>
      <c r="C13718" s="29" t="s">
        <v>29250</v>
      </c>
      <c r="D13718" s="29" t="s">
        <v>42780</v>
      </c>
      <c r="E13718" s="29" t="s">
        <v>53658</v>
      </c>
      <c r="F13718" s="36" t="s">
        <v>54401</v>
      </c>
      <c r="G13718" s="39">
        <v>455255.05</v>
      </c>
      <c r="H13718" s="42">
        <v>211</v>
      </c>
    </row>
    <row r="13719" spans="1:8" ht="15" customHeight="1">
      <c r="A13719" s="26">
        <v>1053613731</v>
      </c>
      <c r="B13719" s="29" t="s">
        <v>15927</v>
      </c>
      <c r="C13719" s="29" t="s">
        <v>29251</v>
      </c>
      <c r="D13719" s="29" t="s">
        <v>42781</v>
      </c>
      <c r="E13719" s="29" t="s">
        <v>53659</v>
      </c>
      <c r="F13719" s="36" t="s">
        <v>54401</v>
      </c>
      <c r="G13719" s="39">
        <v>169411.76</v>
      </c>
      <c r="H13719" s="42">
        <v>211</v>
      </c>
    </row>
    <row r="13720" spans="1:8" ht="15" customHeight="1">
      <c r="A13720" s="26">
        <v>1053613911</v>
      </c>
      <c r="B13720" s="29" t="s">
        <v>15928</v>
      </c>
      <c r="C13720" s="29" t="s">
        <v>29252</v>
      </c>
      <c r="D13720" s="29" t="s">
        <v>42782</v>
      </c>
      <c r="E13720" s="29" t="s">
        <v>53660</v>
      </c>
      <c r="F13720" s="36" t="s">
        <v>54401</v>
      </c>
      <c r="G13720" s="39">
        <v>2108999.56</v>
      </c>
      <c r="H13720" s="42">
        <v>211</v>
      </c>
    </row>
    <row r="13721" spans="1:8" ht="15" customHeight="1">
      <c r="A13721" s="26">
        <v>1053613944</v>
      </c>
      <c r="B13721" s="29" t="s">
        <v>15929</v>
      </c>
      <c r="C13721" s="29" t="s">
        <v>29253</v>
      </c>
      <c r="D13721" s="29" t="s">
        <v>42783</v>
      </c>
      <c r="E13721" s="29" t="s">
        <v>52141</v>
      </c>
      <c r="F13721" s="36" t="s">
        <v>54401</v>
      </c>
      <c r="G13721" s="39">
        <v>658578.69999999995</v>
      </c>
      <c r="H13721" s="42">
        <v>211</v>
      </c>
    </row>
    <row r="13722" spans="1:8" ht="15" customHeight="1">
      <c r="A13722" s="26">
        <v>1053614189</v>
      </c>
      <c r="B13722" s="29" t="s">
        <v>15930</v>
      </c>
      <c r="C13722" s="29" t="s">
        <v>29254</v>
      </c>
      <c r="D13722" s="29" t="s">
        <v>42697</v>
      </c>
      <c r="E13722" s="29" t="s">
        <v>53661</v>
      </c>
      <c r="F13722" s="36" t="s">
        <v>54401</v>
      </c>
      <c r="G13722" s="39">
        <v>616718.07999999996</v>
      </c>
      <c r="H13722" s="42">
        <v>211</v>
      </c>
    </row>
    <row r="13723" spans="1:8" ht="15" customHeight="1">
      <c r="A13723" s="26">
        <v>1053614483</v>
      </c>
      <c r="B13723" s="29" t="s">
        <v>15931</v>
      </c>
      <c r="C13723" s="29" t="s">
        <v>29255</v>
      </c>
      <c r="D13723" s="29" t="s">
        <v>42784</v>
      </c>
      <c r="E13723" s="29" t="s">
        <v>53662</v>
      </c>
      <c r="F13723" s="36" t="s">
        <v>54401</v>
      </c>
      <c r="G13723" s="39">
        <v>3080180.11</v>
      </c>
      <c r="H13723" s="42">
        <v>211</v>
      </c>
    </row>
    <row r="13724" spans="1:8" ht="15" customHeight="1">
      <c r="A13724" s="26">
        <v>1053614607</v>
      </c>
      <c r="B13724" s="29" t="s">
        <v>15932</v>
      </c>
      <c r="C13724" s="29" t="s">
        <v>17204</v>
      </c>
      <c r="D13724" s="29" t="s">
        <v>30349</v>
      </c>
      <c r="E13724" s="29" t="s">
        <v>43926</v>
      </c>
      <c r="F13724" s="36" t="s">
        <v>54401</v>
      </c>
      <c r="G13724" s="39">
        <v>575335.18999999994</v>
      </c>
      <c r="H13724" s="42">
        <v>211</v>
      </c>
    </row>
    <row r="13725" spans="1:8" ht="15" customHeight="1">
      <c r="A13725" s="26">
        <v>1053614783</v>
      </c>
      <c r="B13725" s="29" t="s">
        <v>15933</v>
      </c>
      <c r="C13725" s="29" t="s">
        <v>29256</v>
      </c>
      <c r="D13725" s="29" t="s">
        <v>42785</v>
      </c>
      <c r="E13725" s="29" t="s">
        <v>44863</v>
      </c>
      <c r="F13725" s="36" t="s">
        <v>54401</v>
      </c>
      <c r="G13725" s="39">
        <v>499220.09</v>
      </c>
      <c r="H13725" s="42">
        <v>211</v>
      </c>
    </row>
    <row r="13726" spans="1:8" ht="15" customHeight="1">
      <c r="A13726" s="26">
        <v>1053614861</v>
      </c>
      <c r="B13726" s="29" t="s">
        <v>15934</v>
      </c>
      <c r="C13726" s="29" t="s">
        <v>29257</v>
      </c>
      <c r="D13726" s="29" t="s">
        <v>42786</v>
      </c>
      <c r="E13726" s="29" t="s">
        <v>53663</v>
      </c>
      <c r="F13726" s="36" t="s">
        <v>54401</v>
      </c>
      <c r="G13726" s="39">
        <v>513748.9</v>
      </c>
      <c r="H13726" s="42">
        <v>211</v>
      </c>
    </row>
    <row r="13727" spans="1:8" ht="15" customHeight="1">
      <c r="A13727" s="26">
        <v>1053614911</v>
      </c>
      <c r="B13727" s="29" t="s">
        <v>15935</v>
      </c>
      <c r="C13727" s="29" t="s">
        <v>29258</v>
      </c>
      <c r="D13727" s="29" t="s">
        <v>42787</v>
      </c>
      <c r="E13727" s="29" t="s">
        <v>43926</v>
      </c>
      <c r="F13727" s="36" t="s">
        <v>54401</v>
      </c>
      <c r="G13727" s="39">
        <v>531226.21</v>
      </c>
      <c r="H13727" s="42">
        <v>211</v>
      </c>
    </row>
    <row r="13728" spans="1:8" ht="15" customHeight="1">
      <c r="A13728" s="26">
        <v>1053614950</v>
      </c>
      <c r="B13728" s="29" t="s">
        <v>15936</v>
      </c>
      <c r="C13728" s="29" t="s">
        <v>29259</v>
      </c>
      <c r="D13728" s="29" t="s">
        <v>42788</v>
      </c>
      <c r="E13728" s="29" t="s">
        <v>53664</v>
      </c>
      <c r="F13728" s="36" t="s">
        <v>54401</v>
      </c>
      <c r="G13728" s="39">
        <v>2022051.1</v>
      </c>
      <c r="H13728" s="42">
        <v>211</v>
      </c>
    </row>
    <row r="13729" spans="1:8" ht="15" customHeight="1">
      <c r="A13729" s="26">
        <v>1053615243</v>
      </c>
      <c r="B13729" s="29" t="s">
        <v>15937</v>
      </c>
      <c r="C13729" s="29" t="s">
        <v>29260</v>
      </c>
      <c r="D13729" s="29" t="s">
        <v>42789</v>
      </c>
      <c r="E13729" s="29" t="s">
        <v>44084</v>
      </c>
      <c r="F13729" s="36" t="s">
        <v>54401</v>
      </c>
      <c r="G13729" s="39">
        <v>1009908.24</v>
      </c>
      <c r="H13729" s="42">
        <v>211</v>
      </c>
    </row>
    <row r="13730" spans="1:8" ht="15" customHeight="1">
      <c r="A13730" s="26">
        <v>1053615244</v>
      </c>
      <c r="B13730" s="29" t="s">
        <v>15938</v>
      </c>
      <c r="C13730" s="29" t="s">
        <v>29261</v>
      </c>
      <c r="D13730" s="29" t="s">
        <v>42790</v>
      </c>
      <c r="E13730" s="29" t="s">
        <v>46476</v>
      </c>
      <c r="F13730" s="36" t="s">
        <v>54401</v>
      </c>
      <c r="G13730" s="39">
        <v>513854.32</v>
      </c>
      <c r="H13730" s="42">
        <v>211</v>
      </c>
    </row>
    <row r="13731" spans="1:8" ht="15" customHeight="1">
      <c r="A13731" s="26">
        <v>1053615594</v>
      </c>
      <c r="B13731" s="29" t="s">
        <v>15939</v>
      </c>
      <c r="C13731" s="29" t="s">
        <v>29262</v>
      </c>
      <c r="D13731" s="29" t="s">
        <v>30376</v>
      </c>
      <c r="E13731" s="29" t="s">
        <v>53665</v>
      </c>
      <c r="F13731" s="36" t="s">
        <v>54401</v>
      </c>
      <c r="G13731" s="39">
        <v>311308.21999999997</v>
      </c>
      <c r="H13731" s="42">
        <v>211</v>
      </c>
    </row>
    <row r="13732" spans="1:8" ht="15" customHeight="1">
      <c r="A13732" s="26">
        <v>1053615912</v>
      </c>
      <c r="B13732" s="29" t="s">
        <v>15940</v>
      </c>
      <c r="C13732" s="29" t="s">
        <v>29263</v>
      </c>
      <c r="D13732" s="29" t="s">
        <v>42791</v>
      </c>
      <c r="E13732" s="29" t="s">
        <v>53666</v>
      </c>
      <c r="F13732" s="36" t="s">
        <v>54401</v>
      </c>
      <c r="G13732" s="39">
        <v>3053165.14</v>
      </c>
      <c r="H13732" s="42">
        <v>211</v>
      </c>
    </row>
    <row r="13733" spans="1:8" ht="15" customHeight="1">
      <c r="A13733" s="26">
        <v>1053616184</v>
      </c>
      <c r="B13733" s="29" t="s">
        <v>15941</v>
      </c>
      <c r="C13733" s="26" t="s">
        <v>29264</v>
      </c>
      <c r="D13733" s="26" t="s">
        <v>42792</v>
      </c>
      <c r="E13733" s="26" t="s">
        <v>53667</v>
      </c>
      <c r="F13733" s="37" t="s">
        <v>54401</v>
      </c>
      <c r="G13733" s="39">
        <v>40104.25</v>
      </c>
      <c r="H13733" s="42">
        <v>211</v>
      </c>
    </row>
    <row r="13734" spans="1:8" ht="15" customHeight="1">
      <c r="A13734" s="26">
        <v>1053616442</v>
      </c>
      <c r="B13734" s="29" t="s">
        <v>15942</v>
      </c>
      <c r="C13734" s="29" t="s">
        <v>29265</v>
      </c>
      <c r="D13734" s="29" t="s">
        <v>42793</v>
      </c>
      <c r="E13734" s="29" t="s">
        <v>53668</v>
      </c>
      <c r="F13734" s="36" t="s">
        <v>54413</v>
      </c>
      <c r="G13734" s="39">
        <v>3335465</v>
      </c>
      <c r="H13734" s="42">
        <v>211</v>
      </c>
    </row>
    <row r="13735" spans="1:8" ht="15" customHeight="1">
      <c r="A13735" s="26">
        <v>1053616510</v>
      </c>
      <c r="B13735" s="29" t="s">
        <v>15943</v>
      </c>
      <c r="C13735" s="33" t="s">
        <v>29266</v>
      </c>
      <c r="D13735" s="33" t="s">
        <v>42794</v>
      </c>
      <c r="E13735" s="29" t="s">
        <v>53669</v>
      </c>
      <c r="F13735" s="36" t="s">
        <v>54401</v>
      </c>
      <c r="G13735" s="39">
        <v>289502.65999999997</v>
      </c>
      <c r="H13735" s="42">
        <v>211</v>
      </c>
    </row>
    <row r="13736" spans="1:8" ht="15" customHeight="1">
      <c r="A13736" s="26">
        <v>1053616560</v>
      </c>
      <c r="B13736" s="29" t="s">
        <v>15944</v>
      </c>
      <c r="C13736" s="34" t="s">
        <v>29267</v>
      </c>
      <c r="D13736" s="34" t="s">
        <v>42795</v>
      </c>
      <c r="E13736" s="26" t="s">
        <v>43926</v>
      </c>
      <c r="F13736" s="37" t="s">
        <v>54401</v>
      </c>
      <c r="G13736" s="39">
        <v>1286251.8500000001</v>
      </c>
      <c r="H13736" s="42">
        <v>211</v>
      </c>
    </row>
    <row r="13737" spans="1:8" ht="15" customHeight="1">
      <c r="A13737" s="26">
        <v>1053616602</v>
      </c>
      <c r="B13737" s="29" t="s">
        <v>15945</v>
      </c>
      <c r="C13737" s="33" t="s">
        <v>29268</v>
      </c>
      <c r="D13737" s="33" t="s">
        <v>42796</v>
      </c>
      <c r="E13737" s="29" t="s">
        <v>53670</v>
      </c>
      <c r="F13737" s="36" t="s">
        <v>54401</v>
      </c>
      <c r="G13737" s="39">
        <v>2279281.9700000002</v>
      </c>
      <c r="H13737" s="42">
        <v>211</v>
      </c>
    </row>
    <row r="13738" spans="1:8" ht="15" customHeight="1">
      <c r="A13738" s="26">
        <v>1053616913</v>
      </c>
      <c r="B13738" s="29" t="s">
        <v>15946</v>
      </c>
      <c r="C13738" s="33" t="s">
        <v>29269</v>
      </c>
      <c r="D13738" s="33" t="s">
        <v>30349</v>
      </c>
      <c r="E13738" s="29" t="s">
        <v>45357</v>
      </c>
      <c r="F13738" s="36" t="s">
        <v>54401</v>
      </c>
      <c r="G13738" s="39">
        <v>132663.23000000001</v>
      </c>
      <c r="H13738" s="42">
        <v>211</v>
      </c>
    </row>
    <row r="13739" spans="1:8" ht="15" customHeight="1">
      <c r="A13739" s="26">
        <v>1053617238</v>
      </c>
      <c r="B13739" s="29" t="s">
        <v>15947</v>
      </c>
      <c r="C13739" s="33" t="s">
        <v>29270</v>
      </c>
      <c r="D13739" s="33" t="s">
        <v>42797</v>
      </c>
      <c r="E13739" s="29" t="s">
        <v>53671</v>
      </c>
      <c r="F13739" s="36" t="s">
        <v>54401</v>
      </c>
      <c r="G13739" s="39">
        <v>51026.51</v>
      </c>
      <c r="H13739" s="42">
        <v>211</v>
      </c>
    </row>
    <row r="13740" spans="1:8" ht="15" customHeight="1">
      <c r="A13740" s="26">
        <v>1053664018</v>
      </c>
      <c r="B13740" s="29" t="s">
        <v>15948</v>
      </c>
      <c r="C13740" s="33" t="s">
        <v>29271</v>
      </c>
      <c r="D13740" s="33" t="s">
        <v>42798</v>
      </c>
      <c r="E13740" s="29" t="s">
        <v>53672</v>
      </c>
      <c r="F13740" s="36" t="s">
        <v>54401</v>
      </c>
      <c r="G13740" s="39">
        <v>908621.11</v>
      </c>
      <c r="H13740" s="42">
        <v>211</v>
      </c>
    </row>
    <row r="13741" spans="1:8" ht="15" customHeight="1">
      <c r="A13741" s="26">
        <v>1053664024</v>
      </c>
      <c r="B13741" s="29" t="s">
        <v>15949</v>
      </c>
      <c r="C13741" s="33" t="s">
        <v>29272</v>
      </c>
      <c r="D13741" s="33" t="s">
        <v>42799</v>
      </c>
      <c r="E13741" s="29" t="s">
        <v>53673</v>
      </c>
      <c r="F13741" s="36" t="s">
        <v>54401</v>
      </c>
      <c r="G13741" s="39">
        <v>1567882.04</v>
      </c>
      <c r="H13741" s="42">
        <v>211</v>
      </c>
    </row>
    <row r="13742" spans="1:8" ht="15" customHeight="1">
      <c r="A13742" s="26">
        <v>1053664036</v>
      </c>
      <c r="B13742" s="29" t="s">
        <v>15950</v>
      </c>
      <c r="C13742" s="33" t="s">
        <v>17204</v>
      </c>
      <c r="D13742" s="33" t="s">
        <v>30349</v>
      </c>
      <c r="E13742" s="29" t="s">
        <v>43926</v>
      </c>
      <c r="F13742" s="36" t="s">
        <v>54401</v>
      </c>
      <c r="G13742" s="39">
        <v>592967.87</v>
      </c>
      <c r="H13742" s="42">
        <v>211</v>
      </c>
    </row>
    <row r="13743" spans="1:8" ht="15" customHeight="1">
      <c r="A13743" s="26">
        <v>1053664039</v>
      </c>
      <c r="B13743" s="29" t="s">
        <v>15951</v>
      </c>
      <c r="C13743" s="33" t="s">
        <v>29271</v>
      </c>
      <c r="D13743" s="33" t="s">
        <v>42800</v>
      </c>
      <c r="E13743" s="29" t="s">
        <v>53672</v>
      </c>
      <c r="F13743" s="36" t="s">
        <v>54401</v>
      </c>
      <c r="G13743" s="39">
        <v>1431938.91</v>
      </c>
      <c r="H13743" s="42">
        <v>211</v>
      </c>
    </row>
    <row r="13744" spans="1:8" ht="15" customHeight="1">
      <c r="A13744" s="26">
        <v>1053664040</v>
      </c>
      <c r="B13744" s="29" t="s">
        <v>15952</v>
      </c>
      <c r="C13744" s="33" t="s">
        <v>29273</v>
      </c>
      <c r="D13744" s="33" t="s">
        <v>42801</v>
      </c>
      <c r="E13744" s="29" t="s">
        <v>43926</v>
      </c>
      <c r="F13744" s="36" t="s">
        <v>54401</v>
      </c>
      <c r="G13744" s="39">
        <v>5084217.2300000004</v>
      </c>
      <c r="H13744" s="42">
        <v>211</v>
      </c>
    </row>
    <row r="13745" spans="1:8" ht="15" customHeight="1">
      <c r="A13745" s="26">
        <v>1053664061</v>
      </c>
      <c r="B13745" s="29" t="s">
        <v>15953</v>
      </c>
      <c r="C13745" s="33" t="s">
        <v>29274</v>
      </c>
      <c r="D13745" s="33" t="s">
        <v>42802</v>
      </c>
      <c r="E13745" s="29" t="s">
        <v>53674</v>
      </c>
      <c r="F13745" s="36" t="s">
        <v>54401</v>
      </c>
      <c r="G13745" s="39">
        <v>5913191</v>
      </c>
      <c r="H13745" s="42">
        <v>211</v>
      </c>
    </row>
    <row r="13746" spans="1:8" ht="15" customHeight="1">
      <c r="A13746" s="26">
        <v>1053664087</v>
      </c>
      <c r="B13746" s="29" t="s">
        <v>15954</v>
      </c>
      <c r="C13746" s="33" t="s">
        <v>29275</v>
      </c>
      <c r="D13746" s="33" t="s">
        <v>42803</v>
      </c>
      <c r="E13746" s="29" t="s">
        <v>53675</v>
      </c>
      <c r="F13746" s="36" t="s">
        <v>54401</v>
      </c>
      <c r="G13746" s="39">
        <v>3482463.14</v>
      </c>
      <c r="H13746" s="42">
        <v>211</v>
      </c>
    </row>
    <row r="13747" spans="1:8" ht="15" customHeight="1">
      <c r="A13747" s="26">
        <v>1053664124</v>
      </c>
      <c r="B13747" s="29" t="s">
        <v>15955</v>
      </c>
      <c r="C13747" s="33" t="s">
        <v>29276</v>
      </c>
      <c r="D13747" s="33" t="s">
        <v>42804</v>
      </c>
      <c r="E13747" s="29" t="s">
        <v>717</v>
      </c>
      <c r="F13747" s="36" t="s">
        <v>54409</v>
      </c>
      <c r="G13747" s="39">
        <v>3651250</v>
      </c>
      <c r="H13747" s="42">
        <v>211</v>
      </c>
    </row>
    <row r="13748" spans="1:8" ht="15" customHeight="1">
      <c r="A13748" s="26">
        <v>1053664156</v>
      </c>
      <c r="B13748" s="29" t="s">
        <v>15956</v>
      </c>
      <c r="C13748" s="34" t="s">
        <v>29277</v>
      </c>
      <c r="D13748" s="34" t="s">
        <v>42805</v>
      </c>
      <c r="E13748" s="26" t="s">
        <v>43926</v>
      </c>
      <c r="F13748" s="37" t="s">
        <v>54401</v>
      </c>
      <c r="G13748" s="39">
        <v>145879.48000000001</v>
      </c>
      <c r="H13748" s="42">
        <v>211</v>
      </c>
    </row>
    <row r="13749" spans="1:8" ht="15" customHeight="1">
      <c r="A13749" s="26">
        <v>1053664165</v>
      </c>
      <c r="B13749" s="29" t="s">
        <v>15957</v>
      </c>
      <c r="C13749" s="33" t="s">
        <v>29278</v>
      </c>
      <c r="D13749" s="33" t="s">
        <v>42806</v>
      </c>
      <c r="E13749" s="29" t="s">
        <v>53676</v>
      </c>
      <c r="F13749" s="36" t="s">
        <v>54401</v>
      </c>
      <c r="G13749" s="39">
        <v>132090.31</v>
      </c>
      <c r="H13749" s="42">
        <v>211</v>
      </c>
    </row>
    <row r="13750" spans="1:8" ht="15" customHeight="1">
      <c r="A13750" s="28">
        <v>1053664194</v>
      </c>
      <c r="B13750" s="29" t="s">
        <v>15958</v>
      </c>
      <c r="C13750" s="33" t="s">
        <v>25396</v>
      </c>
      <c r="D13750" s="33" t="s">
        <v>38799</v>
      </c>
      <c r="E13750" s="29" t="s">
        <v>50879</v>
      </c>
      <c r="F13750" s="36" t="s">
        <v>54401</v>
      </c>
      <c r="G13750" s="39">
        <v>493878.33</v>
      </c>
      <c r="H13750" s="42">
        <v>211</v>
      </c>
    </row>
    <row r="13751" spans="1:8" ht="15" customHeight="1">
      <c r="A13751" s="28">
        <v>1053664213</v>
      </c>
      <c r="B13751" s="29" t="s">
        <v>15959</v>
      </c>
      <c r="C13751" s="33" t="s">
        <v>29279</v>
      </c>
      <c r="D13751" s="33" t="s">
        <v>42807</v>
      </c>
      <c r="E13751" s="29" t="s">
        <v>53677</v>
      </c>
      <c r="F13751" s="36" t="s">
        <v>54420</v>
      </c>
      <c r="G13751" s="39">
        <v>468689.42</v>
      </c>
      <c r="H13751" s="42">
        <v>211</v>
      </c>
    </row>
    <row r="13752" spans="1:8" ht="15" customHeight="1">
      <c r="A13752" s="28">
        <v>1053664285</v>
      </c>
      <c r="B13752" s="29" t="s">
        <v>15960</v>
      </c>
      <c r="C13752" s="33" t="s">
        <v>29280</v>
      </c>
      <c r="D13752" s="33" t="s">
        <v>42808</v>
      </c>
      <c r="E13752" s="29" t="s">
        <v>53678</v>
      </c>
      <c r="F13752" s="36" t="s">
        <v>54401</v>
      </c>
      <c r="G13752" s="39">
        <v>2877855.96</v>
      </c>
      <c r="H13752" s="42">
        <v>211</v>
      </c>
    </row>
    <row r="13753" spans="1:8" ht="15" customHeight="1">
      <c r="A13753" s="28">
        <v>1053664316</v>
      </c>
      <c r="B13753" s="29" t="s">
        <v>15961</v>
      </c>
      <c r="C13753" s="33" t="s">
        <v>29281</v>
      </c>
      <c r="D13753" s="33" t="s">
        <v>42809</v>
      </c>
      <c r="E13753" s="29" t="s">
        <v>47665</v>
      </c>
      <c r="F13753" s="36" t="s">
        <v>54401</v>
      </c>
      <c r="G13753" s="39">
        <v>376657.29</v>
      </c>
      <c r="H13753" s="42">
        <v>211</v>
      </c>
    </row>
    <row r="13754" spans="1:8" ht="15" customHeight="1">
      <c r="A13754" s="28">
        <v>1053664317</v>
      </c>
      <c r="B13754" s="29" t="s">
        <v>15962</v>
      </c>
      <c r="C13754" s="33" t="s">
        <v>29282</v>
      </c>
      <c r="D13754" s="33" t="s">
        <v>42810</v>
      </c>
      <c r="E13754" s="29" t="s">
        <v>43926</v>
      </c>
      <c r="F13754" s="36" t="s">
        <v>54401</v>
      </c>
      <c r="G13754" s="39">
        <v>372349.32</v>
      </c>
      <c r="H13754" s="42">
        <v>211</v>
      </c>
    </row>
    <row r="13755" spans="1:8" ht="15" customHeight="1">
      <c r="A13755" s="26">
        <v>1053664320</v>
      </c>
      <c r="B13755" s="29" t="s">
        <v>15963</v>
      </c>
      <c r="C13755" s="29" t="s">
        <v>29283</v>
      </c>
      <c r="D13755" s="29" t="s">
        <v>42811</v>
      </c>
      <c r="E13755" s="29" t="s">
        <v>53679</v>
      </c>
      <c r="F13755" s="36" t="s">
        <v>54401</v>
      </c>
      <c r="G13755" s="39">
        <v>3874847.85</v>
      </c>
      <c r="H13755" s="42">
        <v>211</v>
      </c>
    </row>
    <row r="13756" spans="1:8" ht="15" customHeight="1">
      <c r="A13756" s="26">
        <v>1053664325</v>
      </c>
      <c r="B13756" s="29" t="s">
        <v>15964</v>
      </c>
      <c r="C13756" s="29" t="s">
        <v>17204</v>
      </c>
      <c r="D13756" s="29" t="s">
        <v>30349</v>
      </c>
      <c r="E13756" s="29" t="s">
        <v>43926</v>
      </c>
      <c r="F13756" s="36" t="s">
        <v>54401</v>
      </c>
      <c r="G13756" s="39">
        <v>371795.74</v>
      </c>
      <c r="H13756" s="42">
        <v>211</v>
      </c>
    </row>
    <row r="13757" spans="1:8" ht="15" customHeight="1">
      <c r="A13757" s="26">
        <v>1053664348</v>
      </c>
      <c r="B13757" s="29" t="s">
        <v>15965</v>
      </c>
      <c r="C13757" s="29" t="s">
        <v>29284</v>
      </c>
      <c r="D13757" s="29" t="s">
        <v>42812</v>
      </c>
      <c r="E13757" s="29" t="s">
        <v>43926</v>
      </c>
      <c r="F13757" s="36" t="s">
        <v>54401</v>
      </c>
      <c r="G13757" s="39">
        <v>561045.12</v>
      </c>
      <c r="H13757" s="42">
        <v>211</v>
      </c>
    </row>
    <row r="13758" spans="1:8" ht="15" customHeight="1">
      <c r="A13758" s="26">
        <v>1053664355</v>
      </c>
      <c r="B13758" s="29" t="s">
        <v>15966</v>
      </c>
      <c r="C13758" s="29" t="s">
        <v>29285</v>
      </c>
      <c r="D13758" s="29" t="s">
        <v>42813</v>
      </c>
      <c r="E13758" s="29" t="s">
        <v>53680</v>
      </c>
      <c r="F13758" s="36" t="s">
        <v>54401</v>
      </c>
      <c r="G13758" s="39">
        <v>166516.97</v>
      </c>
      <c r="H13758" s="42">
        <v>211</v>
      </c>
    </row>
    <row r="13759" spans="1:8" ht="15" customHeight="1">
      <c r="A13759" s="26">
        <v>1053664375</v>
      </c>
      <c r="B13759" s="29" t="s">
        <v>15967</v>
      </c>
      <c r="C13759" s="29" t="s">
        <v>29286</v>
      </c>
      <c r="D13759" s="29" t="s">
        <v>35902</v>
      </c>
      <c r="E13759" s="29" t="s">
        <v>53681</v>
      </c>
      <c r="F13759" s="36" t="s">
        <v>54401</v>
      </c>
      <c r="G13759" s="39">
        <v>2459455</v>
      </c>
      <c r="H13759" s="42">
        <v>211</v>
      </c>
    </row>
    <row r="13760" spans="1:8" ht="15" customHeight="1">
      <c r="A13760" s="26">
        <v>1053664380</v>
      </c>
      <c r="B13760" s="29" t="s">
        <v>15968</v>
      </c>
      <c r="C13760" s="29" t="s">
        <v>29287</v>
      </c>
      <c r="D13760" s="29" t="s">
        <v>42814</v>
      </c>
      <c r="E13760" s="29" t="s">
        <v>752</v>
      </c>
      <c r="F13760" s="36" t="s">
        <v>54401</v>
      </c>
      <c r="G13760" s="39">
        <v>516935.78</v>
      </c>
      <c r="H13760" s="42">
        <v>211</v>
      </c>
    </row>
    <row r="13761" spans="1:8" ht="15" customHeight="1">
      <c r="A13761" s="26">
        <v>1053664399</v>
      </c>
      <c r="B13761" s="29" t="s">
        <v>15969</v>
      </c>
      <c r="C13761" s="29" t="s">
        <v>29288</v>
      </c>
      <c r="D13761" s="29" t="s">
        <v>42815</v>
      </c>
      <c r="E13761" s="29" t="s">
        <v>53682</v>
      </c>
      <c r="F13761" s="36" t="s">
        <v>54401</v>
      </c>
      <c r="G13761" s="39">
        <v>549537.86</v>
      </c>
      <c r="H13761" s="42">
        <v>211</v>
      </c>
    </row>
    <row r="13762" spans="1:8" ht="15" customHeight="1">
      <c r="A13762" s="26">
        <v>1053664400</v>
      </c>
      <c r="B13762" s="29" t="s">
        <v>15970</v>
      </c>
      <c r="C13762" s="29" t="s">
        <v>29289</v>
      </c>
      <c r="D13762" s="29" t="s">
        <v>42816</v>
      </c>
      <c r="E13762" s="29" t="s">
        <v>44310</v>
      </c>
      <c r="F13762" s="36" t="s">
        <v>54401</v>
      </c>
      <c r="G13762" s="39">
        <v>1129954.8799999999</v>
      </c>
      <c r="H13762" s="42">
        <v>211</v>
      </c>
    </row>
    <row r="13763" spans="1:8" ht="15" customHeight="1">
      <c r="A13763" s="26">
        <v>1053664468</v>
      </c>
      <c r="B13763" s="29" t="s">
        <v>15971</v>
      </c>
      <c r="C13763" s="29" t="s">
        <v>17204</v>
      </c>
      <c r="D13763" s="29" t="s">
        <v>42817</v>
      </c>
      <c r="E13763" s="29" t="s">
        <v>43926</v>
      </c>
      <c r="F13763" s="36" t="s">
        <v>54401</v>
      </c>
      <c r="G13763" s="39">
        <v>1005029.58</v>
      </c>
      <c r="H13763" s="42">
        <v>211</v>
      </c>
    </row>
    <row r="13764" spans="1:8" ht="15" customHeight="1">
      <c r="A13764" s="26">
        <v>1053664493</v>
      </c>
      <c r="B13764" s="29" t="s">
        <v>15972</v>
      </c>
      <c r="C13764" s="29" t="s">
        <v>29290</v>
      </c>
      <c r="D13764" s="29" t="s">
        <v>42818</v>
      </c>
      <c r="E13764" s="29" t="s">
        <v>53683</v>
      </c>
      <c r="F13764" s="36" t="s">
        <v>54401</v>
      </c>
      <c r="G13764" s="39">
        <v>4387908.8499999996</v>
      </c>
      <c r="H13764" s="42">
        <v>211</v>
      </c>
    </row>
    <row r="13765" spans="1:8" ht="15" customHeight="1">
      <c r="A13765" s="26">
        <v>1053664531</v>
      </c>
      <c r="B13765" s="29" t="s">
        <v>15973</v>
      </c>
      <c r="C13765" s="29" t="s">
        <v>29291</v>
      </c>
      <c r="D13765" s="29" t="s">
        <v>42819</v>
      </c>
      <c r="E13765" s="29" t="s">
        <v>53684</v>
      </c>
      <c r="F13765" s="36" t="s">
        <v>54401</v>
      </c>
      <c r="G13765" s="39">
        <v>340950.12</v>
      </c>
      <c r="H13765" s="42">
        <v>211</v>
      </c>
    </row>
    <row r="13766" spans="1:8" ht="15" customHeight="1">
      <c r="A13766" s="26">
        <v>1053664536</v>
      </c>
      <c r="B13766" s="29" t="s">
        <v>15974</v>
      </c>
      <c r="C13766" s="29" t="s">
        <v>29292</v>
      </c>
      <c r="D13766" s="29" t="s">
        <v>42820</v>
      </c>
      <c r="E13766" s="29" t="s">
        <v>53685</v>
      </c>
      <c r="F13766" s="36" t="s">
        <v>54401</v>
      </c>
      <c r="G13766" s="39">
        <v>1050754.52</v>
      </c>
      <c r="H13766" s="42">
        <v>211</v>
      </c>
    </row>
    <row r="13767" spans="1:8" ht="15" customHeight="1">
      <c r="A13767" s="26">
        <v>1053664554</v>
      </c>
      <c r="B13767" s="29" t="s">
        <v>15975</v>
      </c>
      <c r="C13767" s="29" t="s">
        <v>29293</v>
      </c>
      <c r="D13767" s="29" t="s">
        <v>42821</v>
      </c>
      <c r="E13767" s="29" t="s">
        <v>53686</v>
      </c>
      <c r="F13767" s="36" t="s">
        <v>54401</v>
      </c>
      <c r="G13767" s="39">
        <v>1332695.3</v>
      </c>
      <c r="H13767" s="42">
        <v>211</v>
      </c>
    </row>
    <row r="13768" spans="1:8" ht="15" customHeight="1">
      <c r="A13768" s="26">
        <v>1053664569</v>
      </c>
      <c r="B13768" s="29" t="s">
        <v>15976</v>
      </c>
      <c r="C13768" s="29" t="s">
        <v>29294</v>
      </c>
      <c r="D13768" s="29" t="s">
        <v>30349</v>
      </c>
      <c r="E13768" s="29" t="s">
        <v>51105</v>
      </c>
      <c r="F13768" s="36" t="s">
        <v>54401</v>
      </c>
      <c r="G13768" s="39">
        <v>4429084</v>
      </c>
      <c r="H13768" s="42">
        <v>211</v>
      </c>
    </row>
    <row r="13769" spans="1:8" ht="15" customHeight="1">
      <c r="A13769" s="26">
        <v>1053664596</v>
      </c>
      <c r="B13769" s="29" t="s">
        <v>15977</v>
      </c>
      <c r="C13769" s="29" t="s">
        <v>29295</v>
      </c>
      <c r="D13769" s="29" t="s">
        <v>42822</v>
      </c>
      <c r="E13769" s="29" t="s">
        <v>53687</v>
      </c>
      <c r="F13769" s="36" t="s">
        <v>54420</v>
      </c>
      <c r="G13769" s="39">
        <v>4118384.87</v>
      </c>
      <c r="H13769" s="42">
        <v>211</v>
      </c>
    </row>
    <row r="13770" spans="1:8" ht="15" customHeight="1">
      <c r="A13770" s="26">
        <v>1053664644</v>
      </c>
      <c r="B13770" s="29" t="s">
        <v>15978</v>
      </c>
      <c r="C13770" s="29" t="s">
        <v>29296</v>
      </c>
      <c r="D13770" s="29" t="s">
        <v>42823</v>
      </c>
      <c r="E13770" s="29" t="s">
        <v>48047</v>
      </c>
      <c r="F13770" s="36" t="s">
        <v>54401</v>
      </c>
      <c r="G13770" s="39">
        <v>22910</v>
      </c>
      <c r="H13770" s="42">
        <v>211</v>
      </c>
    </row>
    <row r="13771" spans="1:8" ht="15" customHeight="1">
      <c r="A13771" s="26">
        <v>1053664665</v>
      </c>
      <c r="B13771" s="29" t="s">
        <v>15979</v>
      </c>
      <c r="C13771" s="29" t="s">
        <v>29297</v>
      </c>
      <c r="D13771" s="29" t="s">
        <v>42824</v>
      </c>
      <c r="E13771" s="29" t="s">
        <v>53688</v>
      </c>
      <c r="F13771" s="36" t="s">
        <v>54420</v>
      </c>
      <c r="G13771" s="39">
        <v>1194661.78</v>
      </c>
      <c r="H13771" s="42">
        <v>211</v>
      </c>
    </row>
    <row r="13772" spans="1:8" ht="15" customHeight="1">
      <c r="A13772" s="26">
        <v>1053664676</v>
      </c>
      <c r="B13772" s="29" t="s">
        <v>15980</v>
      </c>
      <c r="C13772" s="29" t="s">
        <v>29298</v>
      </c>
      <c r="D13772" s="29" t="s">
        <v>42825</v>
      </c>
      <c r="E13772" s="29" t="s">
        <v>53689</v>
      </c>
      <c r="F13772" s="36" t="s">
        <v>54401</v>
      </c>
      <c r="G13772" s="39">
        <v>6361156.4000000004</v>
      </c>
      <c r="H13772" s="42">
        <v>211</v>
      </c>
    </row>
    <row r="13773" spans="1:8" ht="15" customHeight="1">
      <c r="A13773" s="26">
        <v>1053664680</v>
      </c>
      <c r="B13773" s="29" t="s">
        <v>15981</v>
      </c>
      <c r="C13773" s="29" t="s">
        <v>29299</v>
      </c>
      <c r="D13773" s="29" t="s">
        <v>42826</v>
      </c>
      <c r="E13773" s="29" t="s">
        <v>53690</v>
      </c>
      <c r="F13773" s="36" t="s">
        <v>54402</v>
      </c>
      <c r="G13773" s="39">
        <v>855972.18</v>
      </c>
      <c r="H13773" s="42">
        <v>211</v>
      </c>
    </row>
    <row r="13774" spans="1:8" ht="15" customHeight="1">
      <c r="A13774" s="26">
        <v>1053664688</v>
      </c>
      <c r="B13774" s="29" t="s">
        <v>15982</v>
      </c>
      <c r="C13774" s="29" t="s">
        <v>29300</v>
      </c>
      <c r="D13774" s="29" t="s">
        <v>42827</v>
      </c>
      <c r="E13774" s="29" t="s">
        <v>43926</v>
      </c>
      <c r="F13774" s="36" t="s">
        <v>54401</v>
      </c>
      <c r="G13774" s="39">
        <v>633331.12</v>
      </c>
      <c r="H13774" s="42">
        <v>211</v>
      </c>
    </row>
    <row r="13775" spans="1:8" ht="15" customHeight="1">
      <c r="A13775" s="26">
        <v>1053664707</v>
      </c>
      <c r="B13775" s="29" t="s">
        <v>15983</v>
      </c>
      <c r="C13775" s="29" t="s">
        <v>29301</v>
      </c>
      <c r="D13775" s="29" t="s">
        <v>42828</v>
      </c>
      <c r="E13775" s="29" t="s">
        <v>53691</v>
      </c>
      <c r="F13775" s="36" t="s">
        <v>54401</v>
      </c>
      <c r="G13775" s="39">
        <v>159193.85999999999</v>
      </c>
      <c r="H13775" s="42">
        <v>211</v>
      </c>
    </row>
    <row r="13776" spans="1:8" ht="15" customHeight="1">
      <c r="A13776" s="26">
        <v>1053664709</v>
      </c>
      <c r="B13776" s="29" t="s">
        <v>15984</v>
      </c>
      <c r="C13776" s="29" t="s">
        <v>17204</v>
      </c>
      <c r="D13776" s="29" t="s">
        <v>42829</v>
      </c>
      <c r="E13776" s="29" t="s">
        <v>43926</v>
      </c>
      <c r="F13776" s="36" t="s">
        <v>54401</v>
      </c>
      <c r="G13776" s="39">
        <v>16892.2</v>
      </c>
      <c r="H13776" s="42">
        <v>211</v>
      </c>
    </row>
    <row r="13777" spans="1:8" ht="15" customHeight="1">
      <c r="A13777" s="26">
        <v>1053664743</v>
      </c>
      <c r="B13777" s="29" t="s">
        <v>15985</v>
      </c>
      <c r="C13777" s="29" t="s">
        <v>29302</v>
      </c>
      <c r="D13777" s="29" t="s">
        <v>42830</v>
      </c>
      <c r="E13777" s="29" t="s">
        <v>43926</v>
      </c>
      <c r="F13777" s="36" t="s">
        <v>54401</v>
      </c>
      <c r="G13777" s="39">
        <v>421356.44</v>
      </c>
      <c r="H13777" s="42">
        <v>211</v>
      </c>
    </row>
    <row r="13778" spans="1:8" ht="15" customHeight="1">
      <c r="A13778" s="26">
        <v>1053664776</v>
      </c>
      <c r="B13778" s="29" t="s">
        <v>15986</v>
      </c>
      <c r="C13778" s="29" t="s">
        <v>29303</v>
      </c>
      <c r="D13778" s="29" t="s">
        <v>42831</v>
      </c>
      <c r="E13778" s="29" t="s">
        <v>53692</v>
      </c>
      <c r="F13778" s="36" t="s">
        <v>54401</v>
      </c>
      <c r="G13778" s="39">
        <v>490944.45</v>
      </c>
      <c r="H13778" s="42">
        <v>211</v>
      </c>
    </row>
    <row r="13779" spans="1:8" ht="15" customHeight="1">
      <c r="A13779" s="26">
        <v>1053664777</v>
      </c>
      <c r="B13779" s="29" t="s">
        <v>15987</v>
      </c>
      <c r="C13779" s="29" t="s">
        <v>29304</v>
      </c>
      <c r="D13779" s="29" t="s">
        <v>42832</v>
      </c>
      <c r="E13779" s="29" t="s">
        <v>44310</v>
      </c>
      <c r="F13779" s="36" t="s">
        <v>54420</v>
      </c>
      <c r="G13779" s="39">
        <v>892553.5</v>
      </c>
      <c r="H13779" s="42">
        <v>211</v>
      </c>
    </row>
    <row r="13780" spans="1:8" ht="15" customHeight="1">
      <c r="A13780" s="26">
        <v>1053664816</v>
      </c>
      <c r="B13780" s="29" t="s">
        <v>15988</v>
      </c>
      <c r="C13780" s="29" t="s">
        <v>29305</v>
      </c>
      <c r="D13780" s="29" t="s">
        <v>42833</v>
      </c>
      <c r="E13780" s="29" t="s">
        <v>53693</v>
      </c>
      <c r="F13780" s="36" t="s">
        <v>54401</v>
      </c>
      <c r="G13780" s="39">
        <v>1375742.81</v>
      </c>
      <c r="H13780" s="42">
        <v>211</v>
      </c>
    </row>
    <row r="13781" spans="1:8" ht="15" customHeight="1">
      <c r="A13781" s="26">
        <v>1053664821</v>
      </c>
      <c r="B13781" s="29" t="s">
        <v>15989</v>
      </c>
      <c r="C13781" s="29" t="s">
        <v>29306</v>
      </c>
      <c r="D13781" s="29" t="s">
        <v>42834</v>
      </c>
      <c r="E13781" s="29" t="s">
        <v>53694</v>
      </c>
      <c r="F13781" s="36" t="s">
        <v>54401</v>
      </c>
      <c r="G13781" s="39">
        <v>2092750</v>
      </c>
      <c r="H13781" s="42">
        <v>211</v>
      </c>
    </row>
    <row r="13782" spans="1:8" ht="15" customHeight="1">
      <c r="A13782" s="26">
        <v>1053664837</v>
      </c>
      <c r="B13782" s="29" t="s">
        <v>15990</v>
      </c>
      <c r="C13782" s="29" t="s">
        <v>29307</v>
      </c>
      <c r="D13782" s="29" t="s">
        <v>42835</v>
      </c>
      <c r="E13782" s="29" t="s">
        <v>53695</v>
      </c>
      <c r="F13782" s="36" t="s">
        <v>54401</v>
      </c>
      <c r="G13782" s="39">
        <v>2698368</v>
      </c>
      <c r="H13782" s="42">
        <v>211</v>
      </c>
    </row>
    <row r="13783" spans="1:8" ht="15" customHeight="1">
      <c r="A13783" s="26">
        <v>1053664858</v>
      </c>
      <c r="B13783" s="29" t="s">
        <v>15991</v>
      </c>
      <c r="C13783" s="29" t="s">
        <v>17204</v>
      </c>
      <c r="D13783" s="29" t="s">
        <v>42836</v>
      </c>
      <c r="E13783" s="29" t="s">
        <v>43926</v>
      </c>
      <c r="F13783" s="36" t="s">
        <v>54401</v>
      </c>
      <c r="G13783" s="39">
        <v>2044959.78</v>
      </c>
      <c r="H13783" s="42">
        <v>211</v>
      </c>
    </row>
    <row r="13784" spans="1:8" ht="15" customHeight="1">
      <c r="A13784" s="26">
        <v>1053664864</v>
      </c>
      <c r="B13784" s="29" t="s">
        <v>15992</v>
      </c>
      <c r="C13784" s="29" t="s">
        <v>26595</v>
      </c>
      <c r="D13784" s="29" t="s">
        <v>40517</v>
      </c>
      <c r="E13784" s="29" t="s">
        <v>53696</v>
      </c>
      <c r="F13784" s="36" t="s">
        <v>54401</v>
      </c>
      <c r="G13784" s="39">
        <v>5590619.9100000001</v>
      </c>
      <c r="H13784" s="42">
        <v>211</v>
      </c>
    </row>
    <row r="13785" spans="1:8" ht="15" customHeight="1">
      <c r="A13785" s="26">
        <v>1053664882</v>
      </c>
      <c r="B13785" s="29" t="s">
        <v>15993</v>
      </c>
      <c r="C13785" s="29" t="s">
        <v>29308</v>
      </c>
      <c r="D13785" s="29" t="s">
        <v>42837</v>
      </c>
      <c r="E13785" s="29" t="s">
        <v>53697</v>
      </c>
      <c r="F13785" s="36" t="s">
        <v>54420</v>
      </c>
      <c r="G13785" s="39">
        <v>2823513.63</v>
      </c>
      <c r="H13785" s="42">
        <v>211</v>
      </c>
    </row>
    <row r="13786" spans="1:8" ht="15" customHeight="1">
      <c r="A13786" s="26">
        <v>1053664895</v>
      </c>
      <c r="B13786" s="29" t="s">
        <v>15994</v>
      </c>
      <c r="C13786" s="29" t="s">
        <v>24706</v>
      </c>
      <c r="D13786" s="29" t="s">
        <v>42838</v>
      </c>
      <c r="E13786" s="29" t="s">
        <v>53698</v>
      </c>
      <c r="F13786" s="36" t="s">
        <v>54401</v>
      </c>
      <c r="G13786" s="39">
        <v>884722</v>
      </c>
      <c r="H13786" s="42">
        <v>211</v>
      </c>
    </row>
    <row r="13787" spans="1:8" ht="15" customHeight="1">
      <c r="A13787" s="26">
        <v>1053664905</v>
      </c>
      <c r="B13787" s="29" t="s">
        <v>15995</v>
      </c>
      <c r="C13787" s="29" t="s">
        <v>29309</v>
      </c>
      <c r="D13787" s="29" t="s">
        <v>42839</v>
      </c>
      <c r="E13787" s="29" t="s">
        <v>53699</v>
      </c>
      <c r="F13787" s="36" t="s">
        <v>54407</v>
      </c>
      <c r="G13787" s="39">
        <v>4871285.72</v>
      </c>
      <c r="H13787" s="42">
        <v>211</v>
      </c>
    </row>
    <row r="13788" spans="1:8" ht="15" customHeight="1">
      <c r="A13788" s="26">
        <v>1053664917</v>
      </c>
      <c r="B13788" s="29" t="s">
        <v>15996</v>
      </c>
      <c r="C13788" s="29" t="s">
        <v>17204</v>
      </c>
      <c r="D13788" s="29" t="s">
        <v>42840</v>
      </c>
      <c r="E13788" s="29" t="s">
        <v>46566</v>
      </c>
      <c r="F13788" s="36" t="s">
        <v>54407</v>
      </c>
      <c r="G13788" s="39">
        <v>1872258.74</v>
      </c>
      <c r="H13788" s="42">
        <v>211</v>
      </c>
    </row>
    <row r="13789" spans="1:8" ht="15" customHeight="1">
      <c r="A13789" s="26">
        <v>1053664950</v>
      </c>
      <c r="B13789" s="29" t="s">
        <v>15997</v>
      </c>
      <c r="C13789" s="29" t="s">
        <v>29310</v>
      </c>
      <c r="D13789" s="29" t="s">
        <v>42841</v>
      </c>
      <c r="E13789" s="29" t="s">
        <v>45653</v>
      </c>
      <c r="F13789" s="36" t="s">
        <v>54401</v>
      </c>
      <c r="G13789" s="39">
        <v>1051216.79</v>
      </c>
      <c r="H13789" s="42">
        <v>211</v>
      </c>
    </row>
    <row r="13790" spans="1:8" ht="15" customHeight="1">
      <c r="A13790" s="26">
        <v>1053664973</v>
      </c>
      <c r="B13790" s="29" t="s">
        <v>15998</v>
      </c>
      <c r="C13790" s="26" t="s">
        <v>29311</v>
      </c>
      <c r="D13790" s="26" t="s">
        <v>42842</v>
      </c>
      <c r="E13790" s="26" t="s">
        <v>51722</v>
      </c>
      <c r="F13790" s="37" t="s">
        <v>54401</v>
      </c>
      <c r="G13790" s="39">
        <v>2759116.46</v>
      </c>
      <c r="H13790" s="42">
        <v>211</v>
      </c>
    </row>
    <row r="13791" spans="1:8" ht="15" customHeight="1">
      <c r="A13791" s="26">
        <v>1053664981</v>
      </c>
      <c r="B13791" s="29" t="s">
        <v>15999</v>
      </c>
      <c r="C13791" s="29" t="s">
        <v>29312</v>
      </c>
      <c r="D13791" s="29" t="s">
        <v>42843</v>
      </c>
      <c r="E13791" s="29" t="s">
        <v>53700</v>
      </c>
      <c r="F13791" s="36" t="s">
        <v>54401</v>
      </c>
      <c r="G13791" s="39">
        <v>519410.54</v>
      </c>
      <c r="H13791" s="42">
        <v>211</v>
      </c>
    </row>
    <row r="13792" spans="1:8" ht="15" customHeight="1">
      <c r="A13792" s="26">
        <v>1053664982</v>
      </c>
      <c r="B13792" s="29" t="s">
        <v>16000</v>
      </c>
      <c r="C13792" s="29" t="s">
        <v>29313</v>
      </c>
      <c r="D13792" s="29" t="s">
        <v>42844</v>
      </c>
      <c r="E13792" s="29" t="s">
        <v>53701</v>
      </c>
      <c r="F13792" s="36" t="s">
        <v>54401</v>
      </c>
      <c r="G13792" s="39">
        <v>568867.55000000005</v>
      </c>
      <c r="H13792" s="42">
        <v>211</v>
      </c>
    </row>
    <row r="13793" spans="1:8" ht="15" customHeight="1">
      <c r="A13793" s="26">
        <v>1053664987</v>
      </c>
      <c r="B13793" s="29" t="s">
        <v>16001</v>
      </c>
      <c r="C13793" s="29" t="s">
        <v>29314</v>
      </c>
      <c r="D13793" s="29" t="s">
        <v>42845</v>
      </c>
      <c r="E13793" s="29" t="s">
        <v>53702</v>
      </c>
      <c r="F13793" s="36" t="s">
        <v>54420</v>
      </c>
      <c r="G13793" s="39">
        <v>5341271.63</v>
      </c>
      <c r="H13793" s="42">
        <v>211</v>
      </c>
    </row>
    <row r="13794" spans="1:8" ht="15" customHeight="1">
      <c r="A13794" s="26">
        <v>1053665011</v>
      </c>
      <c r="B13794" s="29" t="s">
        <v>16002</v>
      </c>
      <c r="C13794" s="29" t="s">
        <v>29315</v>
      </c>
      <c r="D13794" s="29" t="s">
        <v>42846</v>
      </c>
      <c r="E13794" s="29" t="s">
        <v>53703</v>
      </c>
      <c r="F13794" s="36" t="s">
        <v>54401</v>
      </c>
      <c r="G13794" s="39">
        <v>1658068.92</v>
      </c>
      <c r="H13794" s="42">
        <v>211</v>
      </c>
    </row>
    <row r="13795" spans="1:8" ht="15" customHeight="1">
      <c r="A13795" s="26">
        <v>1053665038</v>
      </c>
      <c r="B13795" s="29" t="s">
        <v>16003</v>
      </c>
      <c r="C13795" s="29" t="s">
        <v>29316</v>
      </c>
      <c r="D13795" s="29" t="s">
        <v>42847</v>
      </c>
      <c r="E13795" s="29" t="s">
        <v>53559</v>
      </c>
      <c r="F13795" s="36" t="s">
        <v>54407</v>
      </c>
      <c r="G13795" s="39">
        <v>247357.81</v>
      </c>
      <c r="H13795" s="42">
        <v>211</v>
      </c>
    </row>
    <row r="13796" spans="1:8" ht="15" customHeight="1">
      <c r="A13796" s="26">
        <v>1053665085</v>
      </c>
      <c r="B13796" s="29" t="s">
        <v>16004</v>
      </c>
      <c r="C13796" s="29" t="s">
        <v>29317</v>
      </c>
      <c r="D13796" s="29" t="s">
        <v>42848</v>
      </c>
      <c r="E13796" s="29" t="s">
        <v>46360</v>
      </c>
      <c r="F13796" s="36" t="s">
        <v>54401</v>
      </c>
      <c r="G13796" s="39">
        <v>374284.92</v>
      </c>
      <c r="H13796" s="42">
        <v>211</v>
      </c>
    </row>
    <row r="13797" spans="1:8" ht="15" customHeight="1">
      <c r="A13797" s="26">
        <v>1053665087</v>
      </c>
      <c r="B13797" s="29" t="s">
        <v>16005</v>
      </c>
      <c r="C13797" s="29" t="s">
        <v>29318</v>
      </c>
      <c r="D13797" s="29" t="s">
        <v>42849</v>
      </c>
      <c r="E13797" s="29" t="s">
        <v>53704</v>
      </c>
      <c r="F13797" s="36" t="s">
        <v>54401</v>
      </c>
      <c r="G13797" s="39">
        <v>3138510</v>
      </c>
      <c r="H13797" s="42">
        <v>211</v>
      </c>
    </row>
    <row r="13798" spans="1:8" ht="15" customHeight="1">
      <c r="A13798" s="26">
        <v>1053665099</v>
      </c>
      <c r="B13798" s="29" t="s">
        <v>16006</v>
      </c>
      <c r="C13798" s="29" t="s">
        <v>29319</v>
      </c>
      <c r="D13798" s="29" t="s">
        <v>42850</v>
      </c>
      <c r="E13798" s="29" t="s">
        <v>45285</v>
      </c>
      <c r="F13798" s="36" t="s">
        <v>54401</v>
      </c>
      <c r="G13798" s="39">
        <v>2270627.83</v>
      </c>
      <c r="H13798" s="42">
        <v>211</v>
      </c>
    </row>
    <row r="13799" spans="1:8" ht="15" customHeight="1">
      <c r="A13799" s="26">
        <v>1053665139</v>
      </c>
      <c r="B13799" s="29" t="s">
        <v>16007</v>
      </c>
      <c r="C13799" s="29" t="s">
        <v>29320</v>
      </c>
      <c r="D13799" s="29" t="s">
        <v>42851</v>
      </c>
      <c r="E13799" s="29" t="s">
        <v>748</v>
      </c>
      <c r="F13799" s="36" t="s">
        <v>54401</v>
      </c>
      <c r="G13799" s="39">
        <v>6685434.5999999996</v>
      </c>
      <c r="H13799" s="42">
        <v>211</v>
      </c>
    </row>
    <row r="13800" spans="1:8" ht="15" customHeight="1">
      <c r="A13800" s="26">
        <v>1053665224</v>
      </c>
      <c r="B13800" s="29" t="s">
        <v>16008</v>
      </c>
      <c r="C13800" s="29" t="s">
        <v>29321</v>
      </c>
      <c r="D13800" s="29" t="s">
        <v>42852</v>
      </c>
      <c r="E13800" s="29" t="s">
        <v>53705</v>
      </c>
      <c r="F13800" s="36" t="s">
        <v>54412</v>
      </c>
      <c r="G13800" s="39">
        <v>375271.23</v>
      </c>
      <c r="H13800" s="42">
        <v>211</v>
      </c>
    </row>
    <row r="13801" spans="1:8" ht="15" customHeight="1">
      <c r="A13801" s="26">
        <v>1053665241</v>
      </c>
      <c r="B13801" s="29" t="s">
        <v>16009</v>
      </c>
      <c r="C13801" s="29" t="s">
        <v>29322</v>
      </c>
      <c r="D13801" s="29" t="s">
        <v>42853</v>
      </c>
      <c r="E13801" s="29" t="s">
        <v>53706</v>
      </c>
      <c r="F13801" s="36" t="s">
        <v>54401</v>
      </c>
      <c r="G13801" s="39">
        <v>512570.38</v>
      </c>
      <c r="H13801" s="42">
        <v>211</v>
      </c>
    </row>
    <row r="13802" spans="1:8" ht="15" customHeight="1">
      <c r="A13802" s="26">
        <v>1053665358</v>
      </c>
      <c r="B13802" s="29" t="s">
        <v>16010</v>
      </c>
      <c r="C13802" s="29" t="s">
        <v>25277</v>
      </c>
      <c r="D13802" s="29" t="s">
        <v>42854</v>
      </c>
      <c r="E13802" s="29" t="s">
        <v>53707</v>
      </c>
      <c r="F13802" s="36" t="s">
        <v>54401</v>
      </c>
      <c r="G13802" s="39">
        <v>431380.44</v>
      </c>
      <c r="H13802" s="42">
        <v>211</v>
      </c>
    </row>
    <row r="13803" spans="1:8" ht="15" customHeight="1">
      <c r="A13803" s="26">
        <v>1053665382</v>
      </c>
      <c r="B13803" s="29" t="s">
        <v>16011</v>
      </c>
      <c r="C13803" s="29" t="s">
        <v>29323</v>
      </c>
      <c r="D13803" s="29" t="s">
        <v>42855</v>
      </c>
      <c r="E13803" s="29" t="s">
        <v>51652</v>
      </c>
      <c r="F13803" s="36" t="s">
        <v>54401</v>
      </c>
      <c r="G13803" s="39">
        <v>5489576</v>
      </c>
      <c r="H13803" s="42">
        <v>211</v>
      </c>
    </row>
    <row r="13804" spans="1:8" ht="15" customHeight="1">
      <c r="A13804" s="26">
        <v>1053665441</v>
      </c>
      <c r="B13804" s="29" t="s">
        <v>16012</v>
      </c>
      <c r="C13804" s="29" t="s">
        <v>29324</v>
      </c>
      <c r="D13804" s="29" t="s">
        <v>42856</v>
      </c>
      <c r="E13804" s="29" t="s">
        <v>49256</v>
      </c>
      <c r="F13804" s="36" t="s">
        <v>54401</v>
      </c>
      <c r="G13804" s="39">
        <v>6063461.3600000003</v>
      </c>
      <c r="H13804" s="42">
        <v>211</v>
      </c>
    </row>
    <row r="13805" spans="1:8" ht="15" customHeight="1">
      <c r="A13805" s="26">
        <v>1053665503</v>
      </c>
      <c r="B13805" s="29" t="s">
        <v>16013</v>
      </c>
      <c r="C13805" s="29" t="s">
        <v>29325</v>
      </c>
      <c r="D13805" s="29" t="s">
        <v>42857</v>
      </c>
      <c r="E13805" s="29" t="s">
        <v>53708</v>
      </c>
      <c r="F13805" s="36" t="s">
        <v>54401</v>
      </c>
      <c r="G13805" s="39">
        <v>2126784.4700000002</v>
      </c>
      <c r="H13805" s="42">
        <v>211</v>
      </c>
    </row>
    <row r="13806" spans="1:8" ht="15" customHeight="1">
      <c r="A13806" s="26">
        <v>1053665633</v>
      </c>
      <c r="B13806" s="29" t="s">
        <v>16014</v>
      </c>
      <c r="C13806" s="29" t="s">
        <v>29326</v>
      </c>
      <c r="D13806" s="29" t="s">
        <v>42858</v>
      </c>
      <c r="E13806" s="29" t="s">
        <v>46354</v>
      </c>
      <c r="F13806" s="36" t="s">
        <v>54420</v>
      </c>
      <c r="G13806" s="39">
        <v>404950.44</v>
      </c>
      <c r="H13806" s="42">
        <v>211</v>
      </c>
    </row>
    <row r="13807" spans="1:8" ht="15" customHeight="1">
      <c r="A13807" s="26">
        <v>1053665671</v>
      </c>
      <c r="B13807" s="29" t="s">
        <v>16015</v>
      </c>
      <c r="C13807" s="29" t="s">
        <v>29327</v>
      </c>
      <c r="D13807" s="29" t="s">
        <v>42859</v>
      </c>
      <c r="E13807" s="29" t="s">
        <v>46372</v>
      </c>
      <c r="F13807" s="36" t="s">
        <v>54401</v>
      </c>
      <c r="G13807" s="39">
        <v>1931438.43</v>
      </c>
      <c r="H13807" s="42">
        <v>211</v>
      </c>
    </row>
    <row r="13808" spans="1:8" ht="15" customHeight="1">
      <c r="A13808" s="26">
        <v>1053665675</v>
      </c>
      <c r="B13808" s="29" t="s">
        <v>16016</v>
      </c>
      <c r="C13808" s="29" t="s">
        <v>29328</v>
      </c>
      <c r="D13808" s="29" t="s">
        <v>42860</v>
      </c>
      <c r="E13808" s="29" t="s">
        <v>53709</v>
      </c>
      <c r="F13808" s="36" t="s">
        <v>54401</v>
      </c>
      <c r="G13808" s="39">
        <v>6638.66</v>
      </c>
      <c r="H13808" s="42">
        <v>211</v>
      </c>
    </row>
    <row r="13809" spans="1:8" ht="15" customHeight="1">
      <c r="A13809" s="26">
        <v>1053665720</v>
      </c>
      <c r="B13809" s="29" t="s">
        <v>16017</v>
      </c>
      <c r="C13809" s="26" t="s">
        <v>29329</v>
      </c>
      <c r="D13809" s="26" t="s">
        <v>30376</v>
      </c>
      <c r="E13809" s="26" t="s">
        <v>44250</v>
      </c>
      <c r="F13809" s="37" t="s">
        <v>54420</v>
      </c>
      <c r="G13809" s="39">
        <v>2309540</v>
      </c>
      <c r="H13809" s="42">
        <v>211</v>
      </c>
    </row>
    <row r="13810" spans="1:8" ht="15" customHeight="1">
      <c r="A13810" s="26">
        <v>1053684326</v>
      </c>
      <c r="B13810" s="29" t="s">
        <v>16018</v>
      </c>
      <c r="C13810" s="26" t="s">
        <v>17204</v>
      </c>
      <c r="D13810" s="26" t="s">
        <v>30349</v>
      </c>
      <c r="E13810" s="26" t="s">
        <v>43926</v>
      </c>
      <c r="F13810" s="37" t="s">
        <v>54401</v>
      </c>
      <c r="G13810" s="39">
        <v>81963.710000000006</v>
      </c>
      <c r="H13810" s="42">
        <v>211</v>
      </c>
    </row>
    <row r="13811" spans="1:8" ht="15" customHeight="1">
      <c r="A13811" s="26">
        <v>1053724223</v>
      </c>
      <c r="B13811" s="29" t="s">
        <v>16019</v>
      </c>
      <c r="C13811" s="29" t="s">
        <v>29330</v>
      </c>
      <c r="D13811" s="29" t="s">
        <v>42861</v>
      </c>
      <c r="E13811" s="29" t="s">
        <v>45285</v>
      </c>
      <c r="F13811" s="36" t="s">
        <v>54401</v>
      </c>
      <c r="G13811" s="39">
        <v>39839.08</v>
      </c>
      <c r="H13811" s="42">
        <v>211</v>
      </c>
    </row>
    <row r="13812" spans="1:8" ht="15" customHeight="1">
      <c r="A13812" s="26">
        <v>1053818506</v>
      </c>
      <c r="B13812" s="29" t="s">
        <v>16020</v>
      </c>
      <c r="C13812" s="29" t="s">
        <v>29331</v>
      </c>
      <c r="D13812" s="29" t="s">
        <v>42862</v>
      </c>
      <c r="E13812" s="29" t="s">
        <v>53710</v>
      </c>
      <c r="F13812" s="36" t="s">
        <v>54401</v>
      </c>
      <c r="G13812" s="39">
        <v>2039215.87</v>
      </c>
      <c r="H13812" s="42">
        <v>211</v>
      </c>
    </row>
    <row r="13813" spans="1:8" ht="15" customHeight="1">
      <c r="A13813" s="26">
        <v>1054064106</v>
      </c>
      <c r="B13813" s="29" t="s">
        <v>16021</v>
      </c>
      <c r="C13813" s="29" t="s">
        <v>29332</v>
      </c>
      <c r="D13813" s="29" t="s">
        <v>42863</v>
      </c>
      <c r="E13813" s="29" t="s">
        <v>53711</v>
      </c>
      <c r="F13813" s="36" t="s">
        <v>54401</v>
      </c>
      <c r="G13813" s="39">
        <v>347269.71</v>
      </c>
      <c r="H13813" s="42">
        <v>211</v>
      </c>
    </row>
    <row r="13814" spans="1:8" ht="15" customHeight="1">
      <c r="A13814" s="26">
        <v>1054064360</v>
      </c>
      <c r="B13814" s="29" t="s">
        <v>16022</v>
      </c>
      <c r="C13814" s="29" t="s">
        <v>29333</v>
      </c>
      <c r="D13814" s="29" t="s">
        <v>42864</v>
      </c>
      <c r="E13814" s="29" t="s">
        <v>53712</v>
      </c>
      <c r="F13814" s="36" t="s">
        <v>54421</v>
      </c>
      <c r="G13814" s="39">
        <v>208785.45</v>
      </c>
      <c r="H13814" s="42">
        <v>211</v>
      </c>
    </row>
    <row r="13815" spans="1:8" ht="15" customHeight="1">
      <c r="A13815" s="26">
        <v>1054064382</v>
      </c>
      <c r="B13815" s="29" t="s">
        <v>16023</v>
      </c>
      <c r="C13815" s="29" t="s">
        <v>29334</v>
      </c>
      <c r="D13815" s="29" t="s">
        <v>42865</v>
      </c>
      <c r="E13815" s="29" t="s">
        <v>44043</v>
      </c>
      <c r="F13815" s="36" t="s">
        <v>54401</v>
      </c>
      <c r="G13815" s="39">
        <v>1748893.3</v>
      </c>
      <c r="H13815" s="42">
        <v>211</v>
      </c>
    </row>
    <row r="13816" spans="1:8" ht="15" customHeight="1">
      <c r="A13816" s="26">
        <v>1054064392</v>
      </c>
      <c r="B13816" s="29" t="s">
        <v>16024</v>
      </c>
      <c r="C13816" s="29" t="s">
        <v>29335</v>
      </c>
      <c r="D13816" s="29" t="s">
        <v>42866</v>
      </c>
      <c r="E13816" s="29" t="s">
        <v>53713</v>
      </c>
      <c r="F13816" s="36" t="s">
        <v>54421</v>
      </c>
      <c r="G13816" s="39">
        <v>100234.73</v>
      </c>
      <c r="H13816" s="42">
        <v>211</v>
      </c>
    </row>
    <row r="13817" spans="1:8" ht="15" customHeight="1">
      <c r="A13817" s="26">
        <v>1054064485</v>
      </c>
      <c r="B13817" s="29" t="s">
        <v>16025</v>
      </c>
      <c r="C13817" s="29" t="s">
        <v>29336</v>
      </c>
      <c r="D13817" s="29" t="s">
        <v>42867</v>
      </c>
      <c r="E13817" s="29" t="s">
        <v>53714</v>
      </c>
      <c r="F13817" s="36" t="s">
        <v>54401</v>
      </c>
      <c r="G13817" s="39">
        <v>503751.84</v>
      </c>
      <c r="H13817" s="42">
        <v>211</v>
      </c>
    </row>
    <row r="13818" spans="1:8" ht="15" customHeight="1">
      <c r="A13818" s="26">
        <v>1054064608</v>
      </c>
      <c r="B13818" s="29" t="s">
        <v>16026</v>
      </c>
      <c r="C13818" s="29" t="s">
        <v>29337</v>
      </c>
      <c r="D13818" s="29" t="s">
        <v>42868</v>
      </c>
      <c r="E13818" s="29" t="s">
        <v>53715</v>
      </c>
      <c r="F13818" s="36" t="s">
        <v>54401</v>
      </c>
      <c r="G13818" s="39">
        <v>262410.27</v>
      </c>
      <c r="H13818" s="42">
        <v>211</v>
      </c>
    </row>
    <row r="13819" spans="1:8" ht="15" customHeight="1">
      <c r="A13819" s="26">
        <v>1054064715</v>
      </c>
      <c r="B13819" s="29" t="s">
        <v>16027</v>
      </c>
      <c r="C13819" s="29" t="s">
        <v>17204</v>
      </c>
      <c r="D13819" s="29" t="s">
        <v>42869</v>
      </c>
      <c r="E13819" s="29" t="s">
        <v>43926</v>
      </c>
      <c r="F13819" s="36" t="s">
        <v>54401</v>
      </c>
      <c r="G13819" s="39">
        <v>405636.74</v>
      </c>
      <c r="H13819" s="42">
        <v>211</v>
      </c>
    </row>
    <row r="13820" spans="1:8" ht="15" customHeight="1">
      <c r="A13820" s="26">
        <v>1054065126</v>
      </c>
      <c r="B13820" s="29" t="s">
        <v>16028</v>
      </c>
      <c r="C13820" s="29" t="s">
        <v>29338</v>
      </c>
      <c r="D13820" s="29" t="s">
        <v>42870</v>
      </c>
      <c r="E13820" s="29" t="s">
        <v>53716</v>
      </c>
      <c r="F13820" s="36" t="s">
        <v>54401</v>
      </c>
      <c r="G13820" s="39">
        <v>845406.92</v>
      </c>
      <c r="H13820" s="42">
        <v>211</v>
      </c>
    </row>
    <row r="13821" spans="1:8" ht="15" customHeight="1">
      <c r="A13821" s="26">
        <v>1054065216</v>
      </c>
      <c r="B13821" s="29" t="s">
        <v>16029</v>
      </c>
      <c r="C13821" s="29" t="s">
        <v>29339</v>
      </c>
      <c r="D13821" s="29" t="s">
        <v>42871</v>
      </c>
      <c r="E13821" s="29" t="s">
        <v>53713</v>
      </c>
      <c r="F13821" s="36" t="s">
        <v>54421</v>
      </c>
      <c r="G13821" s="39">
        <v>491500</v>
      </c>
      <c r="H13821" s="42">
        <v>211</v>
      </c>
    </row>
    <row r="13822" spans="1:8" ht="15" customHeight="1">
      <c r="A13822" s="26">
        <v>1054090032</v>
      </c>
      <c r="B13822" s="29" t="s">
        <v>16030</v>
      </c>
      <c r="C13822" s="29" t="s">
        <v>29340</v>
      </c>
      <c r="D13822" s="29" t="s">
        <v>42872</v>
      </c>
      <c r="E13822" s="29" t="s">
        <v>53717</v>
      </c>
      <c r="F13822" s="36" t="s">
        <v>54401</v>
      </c>
      <c r="G13822" s="39">
        <v>380128.73</v>
      </c>
      <c r="H13822" s="42">
        <v>211</v>
      </c>
    </row>
    <row r="13823" spans="1:8" ht="15" customHeight="1">
      <c r="A13823" s="26">
        <v>1054090433</v>
      </c>
      <c r="B13823" s="29" t="s">
        <v>16031</v>
      </c>
      <c r="C13823" s="29" t="s">
        <v>29341</v>
      </c>
      <c r="D13823" s="29" t="s">
        <v>42873</v>
      </c>
      <c r="E13823" s="29" t="s">
        <v>53718</v>
      </c>
      <c r="F13823" s="36" t="s">
        <v>54401</v>
      </c>
      <c r="G13823" s="39">
        <v>124316.75</v>
      </c>
      <c r="H13823" s="42">
        <v>211</v>
      </c>
    </row>
    <row r="13824" spans="1:8" ht="15" customHeight="1">
      <c r="A13824" s="26">
        <v>1054091000</v>
      </c>
      <c r="B13824" s="29" t="s">
        <v>16032</v>
      </c>
      <c r="C13824" s="29" t="s">
        <v>29342</v>
      </c>
      <c r="D13824" s="29" t="s">
        <v>42874</v>
      </c>
      <c r="E13824" s="29" t="s">
        <v>45261</v>
      </c>
      <c r="F13824" s="36" t="s">
        <v>54401</v>
      </c>
      <c r="G13824" s="39">
        <v>319385.57</v>
      </c>
      <c r="H13824" s="42">
        <v>211</v>
      </c>
    </row>
    <row r="13825" spans="1:8" ht="15" customHeight="1">
      <c r="A13825" s="26">
        <v>1054091517</v>
      </c>
      <c r="B13825" s="29" t="s">
        <v>16033</v>
      </c>
      <c r="C13825" s="29" t="s">
        <v>17204</v>
      </c>
      <c r="D13825" s="29" t="s">
        <v>42875</v>
      </c>
      <c r="E13825" s="29" t="s">
        <v>53719</v>
      </c>
      <c r="F13825" s="36" t="s">
        <v>54412</v>
      </c>
      <c r="G13825" s="39">
        <v>87477.32</v>
      </c>
      <c r="H13825" s="42">
        <v>211</v>
      </c>
    </row>
    <row r="13826" spans="1:8" ht="15" customHeight="1">
      <c r="A13826" s="26">
        <v>1054092965</v>
      </c>
      <c r="B13826" s="29" t="s">
        <v>16034</v>
      </c>
      <c r="C13826" s="29" t="s">
        <v>29343</v>
      </c>
      <c r="D13826" s="29" t="s">
        <v>42876</v>
      </c>
      <c r="E13826" s="29" t="s">
        <v>43926</v>
      </c>
      <c r="F13826" s="36" t="s">
        <v>54401</v>
      </c>
      <c r="G13826" s="39">
        <v>3210794</v>
      </c>
      <c r="H13826" s="42">
        <v>211</v>
      </c>
    </row>
    <row r="13827" spans="1:8" ht="15" customHeight="1">
      <c r="A13827" s="26">
        <v>1054094114</v>
      </c>
      <c r="B13827" s="29" t="s">
        <v>16035</v>
      </c>
      <c r="C13827" s="29" t="s">
        <v>29344</v>
      </c>
      <c r="D13827" s="29" t="s">
        <v>42877</v>
      </c>
      <c r="E13827" s="29" t="s">
        <v>53720</v>
      </c>
      <c r="F13827" s="36" t="s">
        <v>54401</v>
      </c>
      <c r="G13827" s="39">
        <v>176765.84</v>
      </c>
      <c r="H13827" s="42">
        <v>211</v>
      </c>
    </row>
    <row r="13828" spans="1:8" ht="15" customHeight="1">
      <c r="A13828" s="26">
        <v>1054095487</v>
      </c>
      <c r="B13828" s="29" t="s">
        <v>16036</v>
      </c>
      <c r="C13828" s="26" t="s">
        <v>29345</v>
      </c>
      <c r="D13828" s="26" t="s">
        <v>42878</v>
      </c>
      <c r="E13828" s="26" t="s">
        <v>53721</v>
      </c>
      <c r="F13828" s="37" t="s">
        <v>54401</v>
      </c>
      <c r="G13828" s="39">
        <v>201360.6</v>
      </c>
      <c r="H13828" s="42">
        <v>211</v>
      </c>
    </row>
    <row r="13829" spans="1:8" ht="15" customHeight="1">
      <c r="A13829" s="26">
        <v>1054120148</v>
      </c>
      <c r="B13829" s="29" t="s">
        <v>16037</v>
      </c>
      <c r="C13829" s="29" t="s">
        <v>29346</v>
      </c>
      <c r="D13829" s="29" t="s">
        <v>42879</v>
      </c>
      <c r="E13829" s="29" t="s">
        <v>44186</v>
      </c>
      <c r="F13829" s="36" t="s">
        <v>54401</v>
      </c>
      <c r="G13829" s="39">
        <v>176687.99</v>
      </c>
      <c r="H13829" s="42">
        <v>211</v>
      </c>
    </row>
    <row r="13830" spans="1:8" ht="15" customHeight="1">
      <c r="A13830" s="26">
        <v>1054120257</v>
      </c>
      <c r="B13830" s="29" t="s">
        <v>16038</v>
      </c>
      <c r="C13830" s="29" t="s">
        <v>29347</v>
      </c>
      <c r="D13830" s="29" t="s">
        <v>42880</v>
      </c>
      <c r="E13830" s="29" t="s">
        <v>45006</v>
      </c>
      <c r="F13830" s="36" t="s">
        <v>54401</v>
      </c>
      <c r="G13830" s="39">
        <v>802658.46</v>
      </c>
      <c r="H13830" s="42">
        <v>211</v>
      </c>
    </row>
    <row r="13831" spans="1:8" ht="15" customHeight="1">
      <c r="A13831" s="26">
        <v>1054121450</v>
      </c>
      <c r="B13831" s="29" t="s">
        <v>16039</v>
      </c>
      <c r="C13831" s="29" t="s">
        <v>29348</v>
      </c>
      <c r="D13831" s="29" t="s">
        <v>42881</v>
      </c>
      <c r="E13831" s="29" t="s">
        <v>53722</v>
      </c>
      <c r="F13831" s="36" t="s">
        <v>54441</v>
      </c>
      <c r="G13831" s="39">
        <v>6645519</v>
      </c>
      <c r="H13831" s="42">
        <v>211</v>
      </c>
    </row>
    <row r="13832" spans="1:8" ht="15" customHeight="1">
      <c r="A13832" s="26">
        <v>1054206000</v>
      </c>
      <c r="B13832" s="29" t="s">
        <v>16040</v>
      </c>
      <c r="C13832" s="29" t="s">
        <v>29349</v>
      </c>
      <c r="D13832" s="29" t="s">
        <v>42882</v>
      </c>
      <c r="E13832" s="29" t="s">
        <v>43926</v>
      </c>
      <c r="F13832" s="36" t="s">
        <v>54420</v>
      </c>
      <c r="G13832" s="39">
        <v>2054477.03</v>
      </c>
      <c r="H13832" s="42">
        <v>211</v>
      </c>
    </row>
    <row r="13833" spans="1:8" ht="15" customHeight="1">
      <c r="A13833" s="26">
        <v>1054252498</v>
      </c>
      <c r="B13833" s="29" t="s">
        <v>16041</v>
      </c>
      <c r="C13833" s="29" t="s">
        <v>29350</v>
      </c>
      <c r="D13833" s="29" t="s">
        <v>42883</v>
      </c>
      <c r="E13833" s="29" t="s">
        <v>53723</v>
      </c>
      <c r="F13833" s="36" t="s">
        <v>54401</v>
      </c>
      <c r="G13833" s="39">
        <v>219247.08</v>
      </c>
      <c r="H13833" s="42">
        <v>211</v>
      </c>
    </row>
    <row r="13834" spans="1:8" ht="15" customHeight="1">
      <c r="A13834" s="26">
        <v>1054252569</v>
      </c>
      <c r="B13834" s="29" t="s">
        <v>16042</v>
      </c>
      <c r="C13834" s="29" t="s">
        <v>29351</v>
      </c>
      <c r="D13834" s="29" t="s">
        <v>42884</v>
      </c>
      <c r="E13834" s="29" t="s">
        <v>45950</v>
      </c>
      <c r="F13834" s="36" t="s">
        <v>54401</v>
      </c>
      <c r="G13834" s="39">
        <v>87689.06</v>
      </c>
      <c r="H13834" s="42">
        <v>211</v>
      </c>
    </row>
    <row r="13835" spans="1:8" ht="15" customHeight="1">
      <c r="A13835" s="26">
        <v>1054253442</v>
      </c>
      <c r="B13835" s="29" t="s">
        <v>16043</v>
      </c>
      <c r="C13835" s="29" t="s">
        <v>29352</v>
      </c>
      <c r="D13835" s="29" t="s">
        <v>42885</v>
      </c>
      <c r="E13835" s="29" t="s">
        <v>53724</v>
      </c>
      <c r="F13835" s="36" t="s">
        <v>54401</v>
      </c>
      <c r="G13835" s="39">
        <v>630962.54</v>
      </c>
      <c r="H13835" s="42">
        <v>211</v>
      </c>
    </row>
    <row r="13836" spans="1:8" ht="15" customHeight="1">
      <c r="A13836" s="26">
        <v>1054253861</v>
      </c>
      <c r="B13836" s="29" t="s">
        <v>16044</v>
      </c>
      <c r="C13836" s="29" t="s">
        <v>29353</v>
      </c>
      <c r="D13836" s="29" t="s">
        <v>42886</v>
      </c>
      <c r="E13836" s="29" t="s">
        <v>536</v>
      </c>
      <c r="F13836" s="36" t="s">
        <v>54401</v>
      </c>
      <c r="G13836" s="39">
        <v>52930.76</v>
      </c>
      <c r="H13836" s="42">
        <v>211</v>
      </c>
    </row>
    <row r="13837" spans="1:8" ht="15" customHeight="1">
      <c r="A13837" s="26">
        <v>1054254062</v>
      </c>
      <c r="B13837" s="29" t="s">
        <v>16045</v>
      </c>
      <c r="C13837" s="26" t="s">
        <v>29354</v>
      </c>
      <c r="D13837" s="26" t="s">
        <v>42887</v>
      </c>
      <c r="E13837" s="26" t="s">
        <v>53725</v>
      </c>
      <c r="F13837" s="37" t="s">
        <v>54401</v>
      </c>
      <c r="G13837" s="39">
        <v>1054307.57</v>
      </c>
      <c r="H13837" s="42">
        <v>211</v>
      </c>
    </row>
    <row r="13838" spans="1:8" ht="15" customHeight="1">
      <c r="A13838" s="26">
        <v>1054254579</v>
      </c>
      <c r="B13838" s="29" t="s">
        <v>16046</v>
      </c>
      <c r="C13838" s="29" t="s">
        <v>29355</v>
      </c>
      <c r="D13838" s="29" t="s">
        <v>42888</v>
      </c>
      <c r="E13838" s="29" t="s">
        <v>53726</v>
      </c>
      <c r="F13838" s="36" t="s">
        <v>54401</v>
      </c>
      <c r="G13838" s="39">
        <v>56680.54</v>
      </c>
      <c r="H13838" s="42">
        <v>211</v>
      </c>
    </row>
    <row r="13839" spans="1:8" ht="15" customHeight="1">
      <c r="A13839" s="26">
        <v>1054254591</v>
      </c>
      <c r="B13839" s="29" t="s">
        <v>16047</v>
      </c>
      <c r="C13839" s="29" t="s">
        <v>29356</v>
      </c>
      <c r="D13839" s="29" t="s">
        <v>42889</v>
      </c>
      <c r="E13839" s="29" t="s">
        <v>45516</v>
      </c>
      <c r="F13839" s="36" t="s">
        <v>54401</v>
      </c>
      <c r="G13839" s="39">
        <v>269167.40000000002</v>
      </c>
      <c r="H13839" s="42">
        <v>211</v>
      </c>
    </row>
    <row r="13840" spans="1:8" ht="15" customHeight="1">
      <c r="A13840" s="26">
        <v>1054282087</v>
      </c>
      <c r="B13840" s="29" t="s">
        <v>16048</v>
      </c>
      <c r="C13840" s="29" t="s">
        <v>29357</v>
      </c>
      <c r="D13840" s="29" t="s">
        <v>42890</v>
      </c>
      <c r="E13840" s="29" t="s">
        <v>53727</v>
      </c>
      <c r="F13840" s="36" t="s">
        <v>54401</v>
      </c>
      <c r="G13840" s="39">
        <v>3389413</v>
      </c>
      <c r="H13840" s="42">
        <v>211</v>
      </c>
    </row>
    <row r="13841" spans="1:8" ht="15" customHeight="1">
      <c r="A13841" s="26">
        <v>1054282221</v>
      </c>
      <c r="B13841" s="29" t="s">
        <v>16049</v>
      </c>
      <c r="C13841" s="29" t="s">
        <v>29358</v>
      </c>
      <c r="D13841" s="29" t="s">
        <v>42891</v>
      </c>
      <c r="E13841" s="29" t="s">
        <v>53728</v>
      </c>
      <c r="F13841" s="36" t="s">
        <v>54401</v>
      </c>
      <c r="G13841" s="39">
        <v>125880.14</v>
      </c>
      <c r="H13841" s="42">
        <v>211</v>
      </c>
    </row>
    <row r="13842" spans="1:8" ht="15" customHeight="1">
      <c r="A13842" s="26">
        <v>1054282600</v>
      </c>
      <c r="B13842" s="29" t="s">
        <v>16050</v>
      </c>
      <c r="C13842" s="29" t="s">
        <v>29359</v>
      </c>
      <c r="D13842" s="29" t="s">
        <v>42892</v>
      </c>
      <c r="E13842" s="29" t="s">
        <v>43926</v>
      </c>
      <c r="F13842" s="36" t="s">
        <v>54401</v>
      </c>
      <c r="G13842" s="39">
        <v>505237.38</v>
      </c>
      <c r="H13842" s="42">
        <v>211</v>
      </c>
    </row>
    <row r="13843" spans="1:8" ht="15" customHeight="1">
      <c r="A13843" s="26">
        <v>1054283428</v>
      </c>
      <c r="B13843" s="29" t="s">
        <v>16051</v>
      </c>
      <c r="C13843" s="29" t="s">
        <v>29360</v>
      </c>
      <c r="D13843" s="29" t="s">
        <v>42893</v>
      </c>
      <c r="E13843" s="29" t="s">
        <v>53729</v>
      </c>
      <c r="F13843" s="36" t="s">
        <v>54401</v>
      </c>
      <c r="G13843" s="39">
        <v>110157.29</v>
      </c>
      <c r="H13843" s="42">
        <v>211</v>
      </c>
    </row>
    <row r="13844" spans="1:8" ht="15" customHeight="1">
      <c r="A13844" s="26">
        <v>1054569883</v>
      </c>
      <c r="B13844" s="29" t="s">
        <v>16052</v>
      </c>
      <c r="C13844" s="29" t="s">
        <v>29361</v>
      </c>
      <c r="D13844" s="29" t="s">
        <v>42894</v>
      </c>
      <c r="E13844" s="29" t="s">
        <v>53730</v>
      </c>
      <c r="F13844" s="36" t="s">
        <v>54401</v>
      </c>
      <c r="G13844" s="39">
        <v>557762.17000000004</v>
      </c>
      <c r="H13844" s="42">
        <v>211</v>
      </c>
    </row>
    <row r="13845" spans="1:8" ht="15" customHeight="1">
      <c r="A13845" s="26">
        <v>1054678267</v>
      </c>
      <c r="B13845" s="29" t="s">
        <v>16053</v>
      </c>
      <c r="C13845" s="29" t="s">
        <v>29362</v>
      </c>
      <c r="D13845" s="29" t="s">
        <v>42895</v>
      </c>
      <c r="E13845" s="29" t="s">
        <v>53731</v>
      </c>
      <c r="F13845" s="36" t="s">
        <v>54401</v>
      </c>
      <c r="G13845" s="39">
        <v>2582381</v>
      </c>
      <c r="H13845" s="42">
        <v>211</v>
      </c>
    </row>
    <row r="13846" spans="1:8" ht="15" customHeight="1">
      <c r="A13846" s="26">
        <v>1054679329</v>
      </c>
      <c r="B13846" s="29" t="s">
        <v>16054</v>
      </c>
      <c r="C13846" s="29" t="s">
        <v>17204</v>
      </c>
      <c r="D13846" s="29" t="s">
        <v>30349</v>
      </c>
      <c r="E13846" s="29" t="s">
        <v>43926</v>
      </c>
      <c r="F13846" s="36" t="s">
        <v>54401</v>
      </c>
      <c r="G13846" s="39">
        <v>553401.44999999995</v>
      </c>
      <c r="H13846" s="42">
        <v>211</v>
      </c>
    </row>
    <row r="13847" spans="1:8" ht="15" customHeight="1">
      <c r="A13847" s="26">
        <v>1054679632</v>
      </c>
      <c r="B13847" s="29" t="s">
        <v>16055</v>
      </c>
      <c r="C13847" s="29" t="s">
        <v>29363</v>
      </c>
      <c r="D13847" s="29" t="s">
        <v>42896</v>
      </c>
      <c r="E13847" s="29" t="s">
        <v>53732</v>
      </c>
      <c r="F13847" s="36" t="s">
        <v>54401</v>
      </c>
      <c r="G13847" s="39">
        <v>4531538</v>
      </c>
      <c r="H13847" s="42">
        <v>211</v>
      </c>
    </row>
    <row r="13848" spans="1:8" ht="15" customHeight="1">
      <c r="A13848" s="26">
        <v>1054680699</v>
      </c>
      <c r="B13848" s="29" t="s">
        <v>16056</v>
      </c>
      <c r="C13848" s="29" t="s">
        <v>29364</v>
      </c>
      <c r="D13848" s="29" t="s">
        <v>42897</v>
      </c>
      <c r="E13848" s="29" t="s">
        <v>50244</v>
      </c>
      <c r="F13848" s="36" t="s">
        <v>54401</v>
      </c>
      <c r="G13848" s="39">
        <v>147149.62</v>
      </c>
      <c r="H13848" s="42">
        <v>211</v>
      </c>
    </row>
    <row r="13849" spans="1:8" ht="15" customHeight="1">
      <c r="A13849" s="26">
        <v>1054681004</v>
      </c>
      <c r="B13849" s="29" t="s">
        <v>16057</v>
      </c>
      <c r="C13849" s="29" t="s">
        <v>29365</v>
      </c>
      <c r="D13849" s="29" t="s">
        <v>38627</v>
      </c>
      <c r="E13849" s="29" t="s">
        <v>43926</v>
      </c>
      <c r="F13849" s="36" t="s">
        <v>54401</v>
      </c>
      <c r="G13849" s="39">
        <v>937290.78</v>
      </c>
      <c r="H13849" s="42">
        <v>211</v>
      </c>
    </row>
    <row r="13850" spans="1:8" ht="15" customHeight="1">
      <c r="A13850" s="26">
        <v>1054681542</v>
      </c>
      <c r="B13850" s="29" t="s">
        <v>16058</v>
      </c>
      <c r="C13850" s="29" t="s">
        <v>17204</v>
      </c>
      <c r="D13850" s="29" t="s">
        <v>30349</v>
      </c>
      <c r="E13850" s="29" t="s">
        <v>43926</v>
      </c>
      <c r="F13850" s="36" t="s">
        <v>54401</v>
      </c>
      <c r="G13850" s="39">
        <v>179303.59</v>
      </c>
      <c r="H13850" s="42">
        <v>211</v>
      </c>
    </row>
    <row r="13851" spans="1:8" ht="15" customHeight="1">
      <c r="A13851" s="26">
        <v>1054681572</v>
      </c>
      <c r="B13851" s="29" t="s">
        <v>16059</v>
      </c>
      <c r="C13851" s="29" t="s">
        <v>29366</v>
      </c>
      <c r="D13851" s="29" t="s">
        <v>42898</v>
      </c>
      <c r="E13851" s="29" t="s">
        <v>53733</v>
      </c>
      <c r="F13851" s="36" t="s">
        <v>54401</v>
      </c>
      <c r="G13851" s="39">
        <v>3531217</v>
      </c>
      <c r="H13851" s="42">
        <v>211</v>
      </c>
    </row>
    <row r="13852" spans="1:8" ht="15" customHeight="1">
      <c r="A13852" s="26">
        <v>1054708064</v>
      </c>
      <c r="B13852" s="29" t="s">
        <v>16060</v>
      </c>
      <c r="C13852" s="29" t="s">
        <v>29367</v>
      </c>
      <c r="D13852" s="29" t="s">
        <v>42899</v>
      </c>
      <c r="E13852" s="29" t="s">
        <v>53734</v>
      </c>
      <c r="F13852" s="36" t="s">
        <v>54401</v>
      </c>
      <c r="G13852" s="39">
        <v>420407.46</v>
      </c>
      <c r="H13852" s="42">
        <v>211</v>
      </c>
    </row>
    <row r="13853" spans="1:8" ht="15" customHeight="1">
      <c r="A13853" s="26">
        <v>1054801387</v>
      </c>
      <c r="B13853" s="29" t="s">
        <v>16061</v>
      </c>
      <c r="C13853" s="29" t="s">
        <v>29368</v>
      </c>
      <c r="D13853" s="29" t="s">
        <v>42900</v>
      </c>
      <c r="E13853" s="29" t="s">
        <v>53735</v>
      </c>
      <c r="F13853" s="36" t="s">
        <v>54401</v>
      </c>
      <c r="G13853" s="39">
        <v>20100.5</v>
      </c>
      <c r="H13853" s="42">
        <v>211</v>
      </c>
    </row>
    <row r="13854" spans="1:8" ht="15" customHeight="1">
      <c r="A13854" s="26">
        <v>1055186086</v>
      </c>
      <c r="B13854" s="29" t="s">
        <v>16062</v>
      </c>
      <c r="C13854" s="29" t="s">
        <v>17204</v>
      </c>
      <c r="D13854" s="29" t="s">
        <v>30349</v>
      </c>
      <c r="E13854" s="29" t="s">
        <v>43926</v>
      </c>
      <c r="F13854" s="36" t="s">
        <v>54401</v>
      </c>
      <c r="G13854" s="39">
        <v>436479.61</v>
      </c>
      <c r="H13854" s="42">
        <v>211</v>
      </c>
    </row>
    <row r="13855" spans="1:8" ht="15" customHeight="1">
      <c r="A13855" s="26">
        <v>1055186107</v>
      </c>
      <c r="B13855" s="29" t="s">
        <v>16063</v>
      </c>
      <c r="C13855" s="29" t="s">
        <v>29369</v>
      </c>
      <c r="D13855" s="29" t="s">
        <v>42901</v>
      </c>
      <c r="E13855" s="29" t="s">
        <v>53736</v>
      </c>
      <c r="F13855" s="36" t="s">
        <v>54401</v>
      </c>
      <c r="G13855" s="39">
        <v>329001.17</v>
      </c>
      <c r="H13855" s="42">
        <v>211</v>
      </c>
    </row>
    <row r="13856" spans="1:8" ht="15" customHeight="1">
      <c r="A13856" s="26">
        <v>1055226139</v>
      </c>
      <c r="B13856" s="29" t="s">
        <v>16064</v>
      </c>
      <c r="C13856" s="29" t="s">
        <v>29370</v>
      </c>
      <c r="D13856" s="29" t="s">
        <v>42902</v>
      </c>
      <c r="E13856" s="29" t="s">
        <v>53737</v>
      </c>
      <c r="F13856" s="36" t="s">
        <v>54401</v>
      </c>
      <c r="G13856" s="39">
        <v>6868123.2999999998</v>
      </c>
      <c r="H13856" s="42">
        <v>211</v>
      </c>
    </row>
    <row r="13857" spans="1:8" ht="15" customHeight="1">
      <c r="A13857" s="26">
        <v>1055226241</v>
      </c>
      <c r="B13857" s="29" t="s">
        <v>16065</v>
      </c>
      <c r="C13857" s="26" t="s">
        <v>29371</v>
      </c>
      <c r="D13857" s="26" t="s">
        <v>42903</v>
      </c>
      <c r="E13857" s="26" t="s">
        <v>53738</v>
      </c>
      <c r="F13857" s="37" t="s">
        <v>54401</v>
      </c>
      <c r="G13857" s="39">
        <v>2110736.2799999998</v>
      </c>
      <c r="H13857" s="42">
        <v>211</v>
      </c>
    </row>
    <row r="13858" spans="1:8" ht="15" customHeight="1">
      <c r="A13858" s="26">
        <v>1055226405</v>
      </c>
      <c r="B13858" s="29" t="s">
        <v>16066</v>
      </c>
      <c r="C13858" s="26" t="s">
        <v>29372</v>
      </c>
      <c r="D13858" s="26" t="s">
        <v>42904</v>
      </c>
      <c r="E13858" s="26" t="s">
        <v>45250</v>
      </c>
      <c r="F13858" s="37" t="s">
        <v>54401</v>
      </c>
      <c r="G13858" s="39">
        <v>954166.65</v>
      </c>
      <c r="H13858" s="42">
        <v>211</v>
      </c>
    </row>
    <row r="13859" spans="1:8" ht="15" customHeight="1">
      <c r="A13859" s="26">
        <v>1055226723</v>
      </c>
      <c r="B13859" s="29" t="s">
        <v>16067</v>
      </c>
      <c r="C13859" s="29" t="s">
        <v>29373</v>
      </c>
      <c r="D13859" s="29" t="s">
        <v>42905</v>
      </c>
      <c r="E13859" s="29" t="s">
        <v>45357</v>
      </c>
      <c r="F13859" s="36" t="s">
        <v>54401</v>
      </c>
      <c r="G13859" s="39">
        <v>69923.73</v>
      </c>
      <c r="H13859" s="42">
        <v>211</v>
      </c>
    </row>
    <row r="13860" spans="1:8" ht="15" customHeight="1">
      <c r="A13860" s="26">
        <v>1055226845</v>
      </c>
      <c r="B13860" s="29" t="s">
        <v>16068</v>
      </c>
      <c r="C13860" s="29" t="s">
        <v>29374</v>
      </c>
      <c r="D13860" s="29" t="s">
        <v>42906</v>
      </c>
      <c r="E13860" s="29" t="s">
        <v>53739</v>
      </c>
      <c r="F13860" s="36" t="s">
        <v>54409</v>
      </c>
      <c r="G13860" s="39">
        <v>1154958.51</v>
      </c>
      <c r="H13860" s="42">
        <v>211</v>
      </c>
    </row>
    <row r="13861" spans="1:8" ht="15" customHeight="1">
      <c r="A13861" s="26">
        <v>1055226941</v>
      </c>
      <c r="B13861" s="29" t="s">
        <v>16069</v>
      </c>
      <c r="C13861" s="29" t="s">
        <v>29375</v>
      </c>
      <c r="D13861" s="29" t="s">
        <v>42907</v>
      </c>
      <c r="E13861" s="29" t="s">
        <v>44360</v>
      </c>
      <c r="F13861" s="36" t="s">
        <v>54402</v>
      </c>
      <c r="G13861" s="39">
        <v>492439.07</v>
      </c>
      <c r="H13861" s="42">
        <v>211</v>
      </c>
    </row>
    <row r="13862" spans="1:8" ht="15" customHeight="1">
      <c r="A13862" s="26">
        <v>1055227016</v>
      </c>
      <c r="B13862" s="29" t="s">
        <v>16070</v>
      </c>
      <c r="C13862" s="29" t="s">
        <v>29376</v>
      </c>
      <c r="D13862" s="29" t="s">
        <v>42908</v>
      </c>
      <c r="E13862" s="29" t="s">
        <v>53740</v>
      </c>
      <c r="F13862" s="36" t="s">
        <v>54401</v>
      </c>
      <c r="G13862" s="39">
        <v>1792030.67</v>
      </c>
      <c r="H13862" s="42">
        <v>211</v>
      </c>
    </row>
    <row r="13863" spans="1:8" ht="15" customHeight="1">
      <c r="A13863" s="26">
        <v>1055227020</v>
      </c>
      <c r="B13863" s="29" t="s">
        <v>16071</v>
      </c>
      <c r="C13863" s="26" t="s">
        <v>29377</v>
      </c>
      <c r="D13863" s="26" t="s">
        <v>42909</v>
      </c>
      <c r="E13863" s="26" t="s">
        <v>53741</v>
      </c>
      <c r="F13863" s="37" t="s">
        <v>54401</v>
      </c>
      <c r="G13863" s="39">
        <v>720740.52</v>
      </c>
      <c r="H13863" s="42">
        <v>211</v>
      </c>
    </row>
    <row r="13864" spans="1:8" ht="15" customHeight="1">
      <c r="A13864" s="26">
        <v>1055227305</v>
      </c>
      <c r="B13864" s="29" t="s">
        <v>16072</v>
      </c>
      <c r="C13864" s="29"/>
      <c r="D13864" s="29"/>
      <c r="E13864" s="29"/>
      <c r="F13864" s="36" t="s">
        <v>54410</v>
      </c>
      <c r="G13864" s="39">
        <v>143029.95000000001</v>
      </c>
      <c r="H13864" s="42">
        <v>211</v>
      </c>
    </row>
    <row r="13865" spans="1:8" ht="15" customHeight="1">
      <c r="A13865" s="26">
        <v>1055227317</v>
      </c>
      <c r="B13865" s="29" t="s">
        <v>16073</v>
      </c>
      <c r="C13865" s="29" t="s">
        <v>29378</v>
      </c>
      <c r="D13865" s="29" t="s">
        <v>42910</v>
      </c>
      <c r="E13865" s="29" t="s">
        <v>46680</v>
      </c>
      <c r="F13865" s="36" t="s">
        <v>54401</v>
      </c>
      <c r="G13865" s="39">
        <v>76018.06</v>
      </c>
      <c r="H13865" s="42">
        <v>211</v>
      </c>
    </row>
    <row r="13866" spans="1:8" ht="15" customHeight="1">
      <c r="A13866" s="26">
        <v>1055227544</v>
      </c>
      <c r="B13866" s="29" t="s">
        <v>16074</v>
      </c>
      <c r="C13866" s="29" t="s">
        <v>29379</v>
      </c>
      <c r="D13866" s="29" t="s">
        <v>42911</v>
      </c>
      <c r="E13866" s="29" t="s">
        <v>45704</v>
      </c>
      <c r="F13866" s="36" t="s">
        <v>54401</v>
      </c>
      <c r="G13866" s="39">
        <v>147842.84</v>
      </c>
      <c r="H13866" s="42">
        <v>211</v>
      </c>
    </row>
    <row r="13867" spans="1:8" ht="15" customHeight="1">
      <c r="A13867" s="26">
        <v>1055227999</v>
      </c>
      <c r="B13867" s="29" t="s">
        <v>16075</v>
      </c>
      <c r="C13867" s="29" t="s">
        <v>29380</v>
      </c>
      <c r="D13867" s="29" t="s">
        <v>42912</v>
      </c>
      <c r="E13867" s="29" t="s">
        <v>51753</v>
      </c>
      <c r="F13867" s="36" t="s">
        <v>54401</v>
      </c>
      <c r="G13867" s="39">
        <v>92484.58</v>
      </c>
      <c r="H13867" s="42">
        <v>211</v>
      </c>
    </row>
    <row r="13868" spans="1:8" ht="15" customHeight="1">
      <c r="A13868" s="26">
        <v>1055228128</v>
      </c>
      <c r="B13868" s="29" t="s">
        <v>16076</v>
      </c>
      <c r="C13868" s="29" t="s">
        <v>29381</v>
      </c>
      <c r="D13868" s="29" t="s">
        <v>30376</v>
      </c>
      <c r="E13868" s="29" t="s">
        <v>53742</v>
      </c>
      <c r="F13868" s="36" t="s">
        <v>54401</v>
      </c>
      <c r="G13868" s="39">
        <v>704255.33</v>
      </c>
      <c r="H13868" s="42">
        <v>211</v>
      </c>
    </row>
    <row r="13869" spans="1:8" ht="15" customHeight="1">
      <c r="A13869" s="26">
        <v>1055228163</v>
      </c>
      <c r="B13869" s="29" t="s">
        <v>16077</v>
      </c>
      <c r="C13869" s="29" t="s">
        <v>29382</v>
      </c>
      <c r="D13869" s="29" t="s">
        <v>42913</v>
      </c>
      <c r="E13869" s="29" t="s">
        <v>53743</v>
      </c>
      <c r="F13869" s="36" t="s">
        <v>54401</v>
      </c>
      <c r="G13869" s="39">
        <v>4732298</v>
      </c>
      <c r="H13869" s="42">
        <v>211</v>
      </c>
    </row>
    <row r="13870" spans="1:8" ht="15" customHeight="1">
      <c r="A13870" s="26">
        <v>1055228218</v>
      </c>
      <c r="B13870" s="29" t="s">
        <v>16078</v>
      </c>
      <c r="C13870" s="29" t="s">
        <v>29381</v>
      </c>
      <c r="D13870" s="29" t="s">
        <v>42914</v>
      </c>
      <c r="E13870" s="29" t="s">
        <v>53744</v>
      </c>
      <c r="F13870" s="36" t="s">
        <v>54401</v>
      </c>
      <c r="G13870" s="39">
        <v>962528.33</v>
      </c>
      <c r="H13870" s="42">
        <v>211</v>
      </c>
    </row>
    <row r="13871" spans="1:8" ht="15" customHeight="1">
      <c r="A13871" s="26">
        <v>1055228445</v>
      </c>
      <c r="B13871" s="29" t="s">
        <v>16079</v>
      </c>
      <c r="C13871" s="29" t="s">
        <v>29383</v>
      </c>
      <c r="D13871" s="29" t="s">
        <v>42915</v>
      </c>
      <c r="E13871" s="29" t="s">
        <v>53016</v>
      </c>
      <c r="F13871" s="36" t="s">
        <v>54401</v>
      </c>
      <c r="G13871" s="39">
        <v>4483478.42</v>
      </c>
      <c r="H13871" s="42">
        <v>211</v>
      </c>
    </row>
    <row r="13872" spans="1:8" ht="15" customHeight="1">
      <c r="A13872" s="26">
        <v>1055228474</v>
      </c>
      <c r="B13872" s="29" t="s">
        <v>16080</v>
      </c>
      <c r="C13872" s="29" t="s">
        <v>29384</v>
      </c>
      <c r="D13872" s="29" t="s">
        <v>42916</v>
      </c>
      <c r="E13872" s="29" t="s">
        <v>53283</v>
      </c>
      <c r="F13872" s="36" t="s">
        <v>54401</v>
      </c>
      <c r="G13872" s="39">
        <v>311520.15999999997</v>
      </c>
      <c r="H13872" s="42">
        <v>211</v>
      </c>
    </row>
    <row r="13873" spans="1:8" ht="15" customHeight="1">
      <c r="A13873" s="26">
        <v>1055228562</v>
      </c>
      <c r="B13873" s="29" t="s">
        <v>16081</v>
      </c>
      <c r="C13873" s="29" t="s">
        <v>29385</v>
      </c>
      <c r="D13873" s="29" t="s">
        <v>42917</v>
      </c>
      <c r="E13873" s="29" t="s">
        <v>53745</v>
      </c>
      <c r="F13873" s="36" t="s">
        <v>54401</v>
      </c>
      <c r="G13873" s="39">
        <v>18266.68</v>
      </c>
      <c r="H13873" s="42">
        <v>211</v>
      </c>
    </row>
    <row r="13874" spans="1:8" ht="15" customHeight="1">
      <c r="A13874" s="26">
        <v>1055228833</v>
      </c>
      <c r="B13874" s="29" t="s">
        <v>16082</v>
      </c>
      <c r="C13874" s="29" t="s">
        <v>29386</v>
      </c>
      <c r="D13874" s="29" t="s">
        <v>42918</v>
      </c>
      <c r="E13874" s="29" t="s">
        <v>45357</v>
      </c>
      <c r="F13874" s="36" t="s">
        <v>54401</v>
      </c>
      <c r="G13874" s="39">
        <v>258510.18</v>
      </c>
      <c r="H13874" s="42">
        <v>211</v>
      </c>
    </row>
    <row r="13875" spans="1:8" ht="15" customHeight="1">
      <c r="A13875" s="26">
        <v>1055229402</v>
      </c>
      <c r="B13875" s="29" t="s">
        <v>16083</v>
      </c>
      <c r="C13875" s="29" t="s">
        <v>29387</v>
      </c>
      <c r="D13875" s="29" t="s">
        <v>42919</v>
      </c>
      <c r="E13875" s="29" t="s">
        <v>53746</v>
      </c>
      <c r="F13875" s="36" t="s">
        <v>54401</v>
      </c>
      <c r="G13875" s="39">
        <v>70806.720000000001</v>
      </c>
      <c r="H13875" s="42">
        <v>211</v>
      </c>
    </row>
    <row r="13876" spans="1:8" ht="15" customHeight="1">
      <c r="A13876" s="26">
        <v>1055272046</v>
      </c>
      <c r="B13876" s="29" t="s">
        <v>16084</v>
      </c>
      <c r="C13876" s="29" t="s">
        <v>17204</v>
      </c>
      <c r="D13876" s="29" t="s">
        <v>30349</v>
      </c>
      <c r="E13876" s="29" t="s">
        <v>43926</v>
      </c>
      <c r="F13876" s="36" t="s">
        <v>54401</v>
      </c>
      <c r="G13876" s="39">
        <v>434200.47</v>
      </c>
      <c r="H13876" s="42">
        <v>211</v>
      </c>
    </row>
    <row r="13877" spans="1:8" ht="15" customHeight="1">
      <c r="A13877" s="26">
        <v>1055272047</v>
      </c>
      <c r="B13877" s="29" t="s">
        <v>16085</v>
      </c>
      <c r="C13877" s="29" t="s">
        <v>29388</v>
      </c>
      <c r="D13877" s="29" t="s">
        <v>42920</v>
      </c>
      <c r="E13877" s="29" t="s">
        <v>53747</v>
      </c>
      <c r="F13877" s="36" t="s">
        <v>54401</v>
      </c>
      <c r="G13877" s="39">
        <v>1174856.8</v>
      </c>
      <c r="H13877" s="42">
        <v>211</v>
      </c>
    </row>
    <row r="13878" spans="1:8" ht="15" customHeight="1">
      <c r="A13878" s="26">
        <v>1055272101</v>
      </c>
      <c r="B13878" s="29" t="s">
        <v>16086</v>
      </c>
      <c r="C13878" s="29" t="s">
        <v>29389</v>
      </c>
      <c r="D13878" s="29" t="s">
        <v>42921</v>
      </c>
      <c r="E13878" s="29" t="s">
        <v>46375</v>
      </c>
      <c r="F13878" s="36" t="s">
        <v>54401</v>
      </c>
      <c r="G13878" s="39">
        <v>174895.68</v>
      </c>
      <c r="H13878" s="42">
        <v>211</v>
      </c>
    </row>
    <row r="13879" spans="1:8" ht="15" customHeight="1">
      <c r="A13879" s="26">
        <v>1055272177</v>
      </c>
      <c r="B13879" s="29" t="s">
        <v>16087</v>
      </c>
      <c r="C13879" s="29" t="s">
        <v>29390</v>
      </c>
      <c r="D13879" s="29" t="s">
        <v>42922</v>
      </c>
      <c r="E13879" s="29" t="s">
        <v>53748</v>
      </c>
      <c r="F13879" s="36" t="s">
        <v>54423</v>
      </c>
      <c r="G13879" s="39">
        <v>239495.02</v>
      </c>
      <c r="H13879" s="42">
        <v>211</v>
      </c>
    </row>
    <row r="13880" spans="1:8" ht="15" customHeight="1">
      <c r="A13880" s="26">
        <v>1055272221</v>
      </c>
      <c r="B13880" s="29" t="s">
        <v>16088</v>
      </c>
      <c r="C13880" s="26"/>
      <c r="D13880" s="26"/>
      <c r="E13880" s="26"/>
      <c r="F13880" s="37" t="s">
        <v>54410</v>
      </c>
      <c r="G13880" s="39">
        <v>28922.95</v>
      </c>
      <c r="H13880" s="42">
        <v>211</v>
      </c>
    </row>
    <row r="13881" spans="1:8" ht="15" customHeight="1">
      <c r="A13881" s="26">
        <v>1055272229</v>
      </c>
      <c r="B13881" s="29" t="s">
        <v>16089</v>
      </c>
      <c r="C13881" s="29" t="s">
        <v>29391</v>
      </c>
      <c r="D13881" s="29" t="s">
        <v>42923</v>
      </c>
      <c r="E13881" s="29" t="s">
        <v>53749</v>
      </c>
      <c r="F13881" s="36" t="s">
        <v>54401</v>
      </c>
      <c r="G13881" s="39">
        <v>17865.55</v>
      </c>
      <c r="H13881" s="42">
        <v>211</v>
      </c>
    </row>
    <row r="13882" spans="1:8" ht="15" customHeight="1">
      <c r="A13882" s="26">
        <v>1055272262</v>
      </c>
      <c r="B13882" s="29" t="s">
        <v>16090</v>
      </c>
      <c r="C13882" s="29" t="s">
        <v>29392</v>
      </c>
      <c r="D13882" s="29" t="s">
        <v>42924</v>
      </c>
      <c r="E13882" s="29" t="s">
        <v>53750</v>
      </c>
      <c r="F13882" s="36" t="s">
        <v>54423</v>
      </c>
      <c r="G13882" s="39">
        <v>570436.69999999995</v>
      </c>
      <c r="H13882" s="42">
        <v>211</v>
      </c>
    </row>
    <row r="13883" spans="1:8" ht="15" customHeight="1">
      <c r="A13883" s="26">
        <v>1055272278</v>
      </c>
      <c r="B13883" s="29" t="s">
        <v>16091</v>
      </c>
      <c r="C13883" s="29" t="s">
        <v>29393</v>
      </c>
      <c r="D13883" s="29" t="s">
        <v>42925</v>
      </c>
      <c r="E13883" s="29" t="s">
        <v>53751</v>
      </c>
      <c r="F13883" s="36" t="s">
        <v>54401</v>
      </c>
      <c r="G13883" s="39">
        <v>1487539.84</v>
      </c>
      <c r="H13883" s="42">
        <v>211</v>
      </c>
    </row>
    <row r="13884" spans="1:8" ht="15" customHeight="1">
      <c r="A13884" s="26">
        <v>1055272288</v>
      </c>
      <c r="B13884" s="29" t="s">
        <v>16092</v>
      </c>
      <c r="C13884" s="29" t="s">
        <v>29394</v>
      </c>
      <c r="D13884" s="29" t="s">
        <v>42926</v>
      </c>
      <c r="E13884" s="29" t="s">
        <v>43926</v>
      </c>
      <c r="F13884" s="36" t="s">
        <v>54401</v>
      </c>
      <c r="G13884" s="39">
        <v>94477.64</v>
      </c>
      <c r="H13884" s="42">
        <v>211</v>
      </c>
    </row>
    <row r="13885" spans="1:8" ht="15" customHeight="1">
      <c r="A13885" s="26">
        <v>1055272296</v>
      </c>
      <c r="B13885" s="29" t="s">
        <v>16093</v>
      </c>
      <c r="C13885" s="29" t="s">
        <v>29395</v>
      </c>
      <c r="D13885" s="29" t="s">
        <v>42927</v>
      </c>
      <c r="E13885" s="29" t="s">
        <v>43926</v>
      </c>
      <c r="F13885" s="36" t="s">
        <v>54401</v>
      </c>
      <c r="G13885" s="39">
        <v>2007169.44</v>
      </c>
      <c r="H13885" s="42">
        <v>211</v>
      </c>
    </row>
    <row r="13886" spans="1:8" ht="15" customHeight="1">
      <c r="A13886" s="26">
        <v>1055272313</v>
      </c>
      <c r="B13886" s="29" t="s">
        <v>16094</v>
      </c>
      <c r="C13886" s="29" t="s">
        <v>29396</v>
      </c>
      <c r="D13886" s="29" t="s">
        <v>42928</v>
      </c>
      <c r="E13886" s="29" t="s">
        <v>53752</v>
      </c>
      <c r="F13886" s="36" t="s">
        <v>54401</v>
      </c>
      <c r="G13886" s="39">
        <v>443430.43</v>
      </c>
      <c r="H13886" s="42">
        <v>211</v>
      </c>
    </row>
    <row r="13887" spans="1:8" ht="15" customHeight="1">
      <c r="A13887" s="26">
        <v>1055272347</v>
      </c>
      <c r="B13887" s="29" t="s">
        <v>16095</v>
      </c>
      <c r="C13887" s="29" t="s">
        <v>17204</v>
      </c>
      <c r="D13887" s="29" t="s">
        <v>30349</v>
      </c>
      <c r="E13887" s="29" t="s">
        <v>43926</v>
      </c>
      <c r="F13887" s="36" t="s">
        <v>54401</v>
      </c>
      <c r="G13887" s="39">
        <v>1194510.44</v>
      </c>
      <c r="H13887" s="42">
        <v>211</v>
      </c>
    </row>
    <row r="13888" spans="1:8" ht="15" customHeight="1">
      <c r="A13888" s="26">
        <v>1055272369</v>
      </c>
      <c r="B13888" s="29" t="s">
        <v>16096</v>
      </c>
      <c r="C13888" s="29" t="s">
        <v>29397</v>
      </c>
      <c r="D13888" s="29" t="s">
        <v>42929</v>
      </c>
      <c r="E13888" s="29" t="s">
        <v>53753</v>
      </c>
      <c r="F13888" s="36" t="s">
        <v>54401</v>
      </c>
      <c r="G13888" s="39">
        <v>49499</v>
      </c>
      <c r="H13888" s="42">
        <v>211</v>
      </c>
    </row>
    <row r="13889" spans="1:8" ht="15" customHeight="1">
      <c r="A13889" s="26">
        <v>1055272476</v>
      </c>
      <c r="B13889" s="29" t="s">
        <v>16097</v>
      </c>
      <c r="C13889" s="26" t="s">
        <v>29398</v>
      </c>
      <c r="D13889" s="26" t="s">
        <v>30376</v>
      </c>
      <c r="E13889" s="26" t="s">
        <v>53754</v>
      </c>
      <c r="F13889" s="37" t="s">
        <v>54401</v>
      </c>
      <c r="G13889" s="39">
        <v>989376.46</v>
      </c>
      <c r="H13889" s="42">
        <v>211</v>
      </c>
    </row>
    <row r="13890" spans="1:8" ht="15" customHeight="1">
      <c r="A13890" s="26">
        <v>1055272497</v>
      </c>
      <c r="B13890" s="29" t="s">
        <v>16098</v>
      </c>
      <c r="C13890" s="29" t="s">
        <v>29399</v>
      </c>
      <c r="D13890" s="29" t="s">
        <v>42930</v>
      </c>
      <c r="E13890" s="29" t="s">
        <v>53755</v>
      </c>
      <c r="F13890" s="36" t="s">
        <v>54401</v>
      </c>
      <c r="G13890" s="39">
        <v>2119820.38</v>
      </c>
      <c r="H13890" s="42">
        <v>211</v>
      </c>
    </row>
    <row r="13891" spans="1:8" ht="15" customHeight="1">
      <c r="A13891" s="26">
        <v>1055272516</v>
      </c>
      <c r="B13891" s="29" t="s">
        <v>16099</v>
      </c>
      <c r="C13891" s="29" t="s">
        <v>29400</v>
      </c>
      <c r="D13891" s="29" t="s">
        <v>42931</v>
      </c>
      <c r="E13891" s="29" t="s">
        <v>53756</v>
      </c>
      <c r="F13891" s="36" t="s">
        <v>54401</v>
      </c>
      <c r="G13891" s="39">
        <v>14285.71</v>
      </c>
      <c r="H13891" s="42">
        <v>211</v>
      </c>
    </row>
    <row r="13892" spans="1:8" ht="15" customHeight="1">
      <c r="A13892" s="26">
        <v>1055272569</v>
      </c>
      <c r="B13892" s="29" t="s">
        <v>16100</v>
      </c>
      <c r="C13892" s="29" t="s">
        <v>29401</v>
      </c>
      <c r="D13892" s="29" t="s">
        <v>42932</v>
      </c>
      <c r="E13892" s="29" t="s">
        <v>53757</v>
      </c>
      <c r="F13892" s="36" t="s">
        <v>54423</v>
      </c>
      <c r="G13892" s="39">
        <v>5753416.04</v>
      </c>
      <c r="H13892" s="42">
        <v>211</v>
      </c>
    </row>
    <row r="13893" spans="1:8" ht="15" customHeight="1">
      <c r="A13893" s="26">
        <v>1055272581</v>
      </c>
      <c r="B13893" s="29" t="s">
        <v>16101</v>
      </c>
      <c r="C13893" s="26" t="s">
        <v>29402</v>
      </c>
      <c r="D13893" s="26" t="s">
        <v>42933</v>
      </c>
      <c r="E13893" s="26" t="s">
        <v>711</v>
      </c>
      <c r="F13893" s="37" t="s">
        <v>54401</v>
      </c>
      <c r="G13893" s="39">
        <v>180048.6</v>
      </c>
      <c r="H13893" s="42">
        <v>211</v>
      </c>
    </row>
    <row r="13894" spans="1:8" ht="15" customHeight="1">
      <c r="A13894" s="26">
        <v>1055272649</v>
      </c>
      <c r="B13894" s="29" t="s">
        <v>16102</v>
      </c>
      <c r="C13894" s="29" t="s">
        <v>29403</v>
      </c>
      <c r="D13894" s="29" t="s">
        <v>42934</v>
      </c>
      <c r="E13894" s="29" t="s">
        <v>53758</v>
      </c>
      <c r="F13894" s="36" t="s">
        <v>54401</v>
      </c>
      <c r="G13894" s="39">
        <v>5091062.41</v>
      </c>
      <c r="H13894" s="42">
        <v>211</v>
      </c>
    </row>
    <row r="13895" spans="1:8" ht="15" customHeight="1">
      <c r="A13895" s="26">
        <v>1055272650</v>
      </c>
      <c r="B13895" s="29" t="s">
        <v>16103</v>
      </c>
      <c r="C13895" s="26" t="s">
        <v>29404</v>
      </c>
      <c r="D13895" s="26" t="s">
        <v>42935</v>
      </c>
      <c r="E13895" s="26" t="s">
        <v>43926</v>
      </c>
      <c r="F13895" s="37" t="s">
        <v>54401</v>
      </c>
      <c r="G13895" s="39">
        <v>160603.38</v>
      </c>
      <c r="H13895" s="42">
        <v>211</v>
      </c>
    </row>
    <row r="13896" spans="1:8" ht="15" customHeight="1">
      <c r="A13896" s="26">
        <v>1055272666</v>
      </c>
      <c r="B13896" s="29" t="s">
        <v>16104</v>
      </c>
      <c r="C13896" s="29" t="s">
        <v>29405</v>
      </c>
      <c r="D13896" s="29" t="s">
        <v>42936</v>
      </c>
      <c r="E13896" s="29" t="s">
        <v>53759</v>
      </c>
      <c r="F13896" s="36" t="s">
        <v>54484</v>
      </c>
      <c r="G13896" s="39">
        <v>23260.68</v>
      </c>
      <c r="H13896" s="42">
        <v>211</v>
      </c>
    </row>
    <row r="13897" spans="1:8" ht="15" customHeight="1">
      <c r="A13897" s="26">
        <v>1055272755</v>
      </c>
      <c r="B13897" s="29" t="s">
        <v>16105</v>
      </c>
      <c r="C13897" s="29" t="s">
        <v>29406</v>
      </c>
      <c r="D13897" s="29" t="s">
        <v>42937</v>
      </c>
      <c r="E13897" s="29" t="s">
        <v>53760</v>
      </c>
      <c r="F13897" s="36" t="s">
        <v>54423</v>
      </c>
      <c r="G13897" s="39">
        <v>1520519.23</v>
      </c>
      <c r="H13897" s="42">
        <v>211</v>
      </c>
    </row>
    <row r="13898" spans="1:8" ht="15" customHeight="1">
      <c r="A13898" s="26">
        <v>1055272790</v>
      </c>
      <c r="B13898" s="29" t="s">
        <v>16106</v>
      </c>
      <c r="C13898" s="29" t="s">
        <v>29407</v>
      </c>
      <c r="D13898" s="29" t="s">
        <v>42938</v>
      </c>
      <c r="E13898" s="29" t="s">
        <v>53761</v>
      </c>
      <c r="F13898" s="36" t="s">
        <v>54401</v>
      </c>
      <c r="G13898" s="39">
        <v>446346.18</v>
      </c>
      <c r="H13898" s="42">
        <v>211</v>
      </c>
    </row>
    <row r="13899" spans="1:8" ht="15" customHeight="1">
      <c r="A13899" s="26">
        <v>1055272826</v>
      </c>
      <c r="B13899" s="29" t="s">
        <v>16107</v>
      </c>
      <c r="C13899" s="29" t="s">
        <v>29408</v>
      </c>
      <c r="D13899" s="29" t="s">
        <v>42939</v>
      </c>
      <c r="E13899" s="29" t="s">
        <v>53762</v>
      </c>
      <c r="F13899" s="36" t="s">
        <v>54401</v>
      </c>
      <c r="G13899" s="39">
        <v>1157321.5900000001</v>
      </c>
      <c r="H13899" s="42">
        <v>211</v>
      </c>
    </row>
    <row r="13900" spans="1:8" ht="15" customHeight="1">
      <c r="A13900" s="26">
        <v>1055272830</v>
      </c>
      <c r="B13900" s="29" t="s">
        <v>16108</v>
      </c>
      <c r="C13900" s="29" t="s">
        <v>29409</v>
      </c>
      <c r="D13900" s="29" t="s">
        <v>42940</v>
      </c>
      <c r="E13900" s="29" t="s">
        <v>53763</v>
      </c>
      <c r="F13900" s="36" t="s">
        <v>54401</v>
      </c>
      <c r="G13900" s="39">
        <v>121005.92</v>
      </c>
      <c r="H13900" s="42">
        <v>211</v>
      </c>
    </row>
    <row r="13901" spans="1:8" ht="15" customHeight="1">
      <c r="A13901" s="26">
        <v>1055272884</v>
      </c>
      <c r="B13901" s="29" t="s">
        <v>16109</v>
      </c>
      <c r="C13901" s="29" t="s">
        <v>29410</v>
      </c>
      <c r="D13901" s="29" t="s">
        <v>42941</v>
      </c>
      <c r="E13901" s="29" t="s">
        <v>53764</v>
      </c>
      <c r="F13901" s="36" t="s">
        <v>54401</v>
      </c>
      <c r="G13901" s="39">
        <v>804932.82</v>
      </c>
      <c r="H13901" s="42">
        <v>211</v>
      </c>
    </row>
    <row r="13902" spans="1:8" ht="15" customHeight="1">
      <c r="A13902" s="26">
        <v>1055272936</v>
      </c>
      <c r="B13902" s="29" t="s">
        <v>16110</v>
      </c>
      <c r="C13902" s="29" t="s">
        <v>29411</v>
      </c>
      <c r="D13902" s="29" t="s">
        <v>42942</v>
      </c>
      <c r="E13902" s="29" t="s">
        <v>53765</v>
      </c>
      <c r="F13902" s="36" t="s">
        <v>54423</v>
      </c>
      <c r="G13902" s="39">
        <v>68351.039999999994</v>
      </c>
      <c r="H13902" s="42">
        <v>211</v>
      </c>
    </row>
    <row r="13903" spans="1:8" ht="15" customHeight="1">
      <c r="A13903" s="26">
        <v>1055272997</v>
      </c>
      <c r="B13903" s="29" t="s">
        <v>16111</v>
      </c>
      <c r="C13903" s="29" t="s">
        <v>18779</v>
      </c>
      <c r="D13903" s="29" t="s">
        <v>31936</v>
      </c>
      <c r="E13903" s="29" t="s">
        <v>43926</v>
      </c>
      <c r="F13903" s="36" t="s">
        <v>54401</v>
      </c>
      <c r="G13903" s="39">
        <v>1248108.95</v>
      </c>
      <c r="H13903" s="42">
        <v>211</v>
      </c>
    </row>
    <row r="13904" spans="1:8" ht="15" customHeight="1">
      <c r="A13904" s="26">
        <v>1055273048</v>
      </c>
      <c r="B13904" s="29" t="s">
        <v>16112</v>
      </c>
      <c r="C13904" s="29" t="s">
        <v>26975</v>
      </c>
      <c r="D13904" s="29" t="s">
        <v>42943</v>
      </c>
      <c r="E13904" s="29" t="s">
        <v>44324</v>
      </c>
      <c r="F13904" s="36" t="s">
        <v>54401</v>
      </c>
      <c r="G13904" s="39">
        <v>295145.09999999998</v>
      </c>
      <c r="H13904" s="42">
        <v>211</v>
      </c>
    </row>
    <row r="13905" spans="1:8" ht="15" customHeight="1">
      <c r="A13905" s="26">
        <v>1055273052</v>
      </c>
      <c r="B13905" s="29" t="s">
        <v>16113</v>
      </c>
      <c r="C13905" s="29" t="s">
        <v>29412</v>
      </c>
      <c r="D13905" s="29" t="s">
        <v>42944</v>
      </c>
      <c r="E13905" s="29" t="s">
        <v>53766</v>
      </c>
      <c r="F13905" s="36" t="s">
        <v>54401</v>
      </c>
      <c r="G13905" s="39">
        <v>6011453</v>
      </c>
      <c r="H13905" s="42">
        <v>211</v>
      </c>
    </row>
    <row r="13906" spans="1:8" ht="15" customHeight="1">
      <c r="A13906" s="26">
        <v>1055273074</v>
      </c>
      <c r="B13906" s="29" t="s">
        <v>16114</v>
      </c>
      <c r="C13906" s="29" t="s">
        <v>17204</v>
      </c>
      <c r="D13906" s="29" t="s">
        <v>42945</v>
      </c>
      <c r="E13906" s="29" t="s">
        <v>43926</v>
      </c>
      <c r="F13906" s="36" t="s">
        <v>54401</v>
      </c>
      <c r="G13906" s="39">
        <v>75082.52</v>
      </c>
      <c r="H13906" s="42">
        <v>211</v>
      </c>
    </row>
    <row r="13907" spans="1:8" ht="15" customHeight="1">
      <c r="A13907" s="26">
        <v>1055273107</v>
      </c>
      <c r="B13907" s="29" t="s">
        <v>16115</v>
      </c>
      <c r="C13907" s="29" t="s">
        <v>29413</v>
      </c>
      <c r="D13907" s="29" t="s">
        <v>42946</v>
      </c>
      <c r="E13907" s="29" t="s">
        <v>53767</v>
      </c>
      <c r="F13907" s="36" t="s">
        <v>54401</v>
      </c>
      <c r="G13907" s="39">
        <v>230210.74</v>
      </c>
      <c r="H13907" s="42">
        <v>211</v>
      </c>
    </row>
    <row r="13908" spans="1:8" ht="15" customHeight="1">
      <c r="A13908" s="26">
        <v>1055273124</v>
      </c>
      <c r="B13908" s="29" t="s">
        <v>16116</v>
      </c>
      <c r="C13908" s="29" t="s">
        <v>29414</v>
      </c>
      <c r="D13908" s="29" t="s">
        <v>42947</v>
      </c>
      <c r="E13908" s="29" t="s">
        <v>53768</v>
      </c>
      <c r="F13908" s="36" t="s">
        <v>54401</v>
      </c>
      <c r="G13908" s="39">
        <v>495861.97</v>
      </c>
      <c r="H13908" s="42">
        <v>211</v>
      </c>
    </row>
    <row r="13909" spans="1:8" ht="15" customHeight="1">
      <c r="A13909" s="26">
        <v>1055273139</v>
      </c>
      <c r="B13909" s="29" t="s">
        <v>16117</v>
      </c>
      <c r="C13909" s="29" t="s">
        <v>29415</v>
      </c>
      <c r="D13909" s="29" t="s">
        <v>42948</v>
      </c>
      <c r="E13909" s="29" t="s">
        <v>53769</v>
      </c>
      <c r="F13909" s="36" t="s">
        <v>54401</v>
      </c>
      <c r="G13909" s="39">
        <v>1734576.92</v>
      </c>
      <c r="H13909" s="42">
        <v>211</v>
      </c>
    </row>
    <row r="13910" spans="1:8" ht="15" customHeight="1">
      <c r="A13910" s="26">
        <v>1055273148</v>
      </c>
      <c r="B13910" s="29" t="s">
        <v>16118</v>
      </c>
      <c r="C13910" s="29" t="s">
        <v>29416</v>
      </c>
      <c r="D13910" s="29" t="s">
        <v>42949</v>
      </c>
      <c r="E13910" s="29" t="s">
        <v>53770</v>
      </c>
      <c r="F13910" s="36" t="s">
        <v>54401</v>
      </c>
      <c r="G13910" s="39">
        <v>6605373.1600000001</v>
      </c>
      <c r="H13910" s="42">
        <v>211</v>
      </c>
    </row>
    <row r="13911" spans="1:8" ht="15" customHeight="1">
      <c r="A13911" s="26">
        <v>1055273157</v>
      </c>
      <c r="B13911" s="29" t="s">
        <v>16119</v>
      </c>
      <c r="C13911" s="29" t="s">
        <v>29417</v>
      </c>
      <c r="D13911" s="29" t="s">
        <v>42950</v>
      </c>
      <c r="E13911" s="29" t="s">
        <v>53771</v>
      </c>
      <c r="F13911" s="36" t="s">
        <v>54401</v>
      </c>
      <c r="G13911" s="39">
        <v>677292</v>
      </c>
      <c r="H13911" s="42">
        <v>211</v>
      </c>
    </row>
    <row r="13912" spans="1:8" ht="15" customHeight="1">
      <c r="A13912" s="26">
        <v>1055273167</v>
      </c>
      <c r="B13912" s="29" t="s">
        <v>16120</v>
      </c>
      <c r="C13912" s="29" t="s">
        <v>29418</v>
      </c>
      <c r="D13912" s="29" t="s">
        <v>42951</v>
      </c>
      <c r="E13912" s="29" t="s">
        <v>48153</v>
      </c>
      <c r="F13912" s="36" t="s">
        <v>54401</v>
      </c>
      <c r="G13912" s="39">
        <v>3356166.14</v>
      </c>
      <c r="H13912" s="42">
        <v>211</v>
      </c>
    </row>
    <row r="13913" spans="1:8" ht="15" customHeight="1">
      <c r="A13913" s="26">
        <v>1055273296</v>
      </c>
      <c r="B13913" s="29" t="s">
        <v>16121</v>
      </c>
      <c r="C13913" s="29" t="s">
        <v>17204</v>
      </c>
      <c r="D13913" s="29" t="s">
        <v>42952</v>
      </c>
      <c r="E13913" s="29" t="s">
        <v>43926</v>
      </c>
      <c r="F13913" s="36" t="s">
        <v>54401</v>
      </c>
      <c r="G13913" s="39">
        <v>4656887.0199999996</v>
      </c>
      <c r="H13913" s="42">
        <v>211</v>
      </c>
    </row>
    <row r="13914" spans="1:8" ht="15" customHeight="1">
      <c r="A13914" s="26">
        <v>1055273397</v>
      </c>
      <c r="B13914" s="29" t="s">
        <v>16122</v>
      </c>
      <c r="C13914" s="29" t="s">
        <v>29419</v>
      </c>
      <c r="D13914" s="29" t="s">
        <v>42953</v>
      </c>
      <c r="E13914" s="29" t="s">
        <v>53772</v>
      </c>
      <c r="F13914" s="36" t="s">
        <v>54401</v>
      </c>
      <c r="G13914" s="39">
        <v>1552295.01</v>
      </c>
      <c r="H13914" s="42">
        <v>211</v>
      </c>
    </row>
    <row r="13915" spans="1:8" ht="15" customHeight="1">
      <c r="A13915" s="26">
        <v>1055273465</v>
      </c>
      <c r="B13915" s="29" t="s">
        <v>16123</v>
      </c>
      <c r="C13915" s="29" t="s">
        <v>17204</v>
      </c>
      <c r="D13915" s="29" t="s">
        <v>30349</v>
      </c>
      <c r="E13915" s="29" t="s">
        <v>43926</v>
      </c>
      <c r="F13915" s="36" t="s">
        <v>54401</v>
      </c>
      <c r="G13915" s="39">
        <v>410095.62</v>
      </c>
      <c r="H13915" s="42">
        <v>211</v>
      </c>
    </row>
    <row r="13916" spans="1:8" ht="15" customHeight="1">
      <c r="A13916" s="26">
        <v>1055273556</v>
      </c>
      <c r="B13916" s="29" t="s">
        <v>16124</v>
      </c>
      <c r="C13916" s="29" t="s">
        <v>29420</v>
      </c>
      <c r="D13916" s="29" t="s">
        <v>42954</v>
      </c>
      <c r="E13916" s="29" t="s">
        <v>53773</v>
      </c>
      <c r="F13916" s="36" t="s">
        <v>54423</v>
      </c>
      <c r="G13916" s="39">
        <v>6031673.4699999997</v>
      </c>
      <c r="H13916" s="42">
        <v>211</v>
      </c>
    </row>
    <row r="13917" spans="1:8" ht="15" customHeight="1">
      <c r="A13917" s="26">
        <v>1055273616</v>
      </c>
      <c r="B13917" s="29" t="s">
        <v>16125</v>
      </c>
      <c r="C13917" s="29" t="s">
        <v>17204</v>
      </c>
      <c r="D13917" s="29" t="s">
        <v>30349</v>
      </c>
      <c r="E13917" s="29" t="s">
        <v>43926</v>
      </c>
      <c r="F13917" s="36" t="s">
        <v>54401</v>
      </c>
      <c r="G13917" s="39">
        <v>587894.53</v>
      </c>
      <c r="H13917" s="42">
        <v>211</v>
      </c>
    </row>
    <row r="13918" spans="1:8" ht="15" customHeight="1">
      <c r="A13918" s="26">
        <v>1055273628</v>
      </c>
      <c r="B13918" s="29" t="s">
        <v>16126</v>
      </c>
      <c r="C13918" s="29" t="s">
        <v>29421</v>
      </c>
      <c r="D13918" s="29" t="s">
        <v>42955</v>
      </c>
      <c r="E13918" s="29" t="s">
        <v>53774</v>
      </c>
      <c r="F13918" s="36" t="s">
        <v>54401</v>
      </c>
      <c r="G13918" s="39">
        <v>993302.06</v>
      </c>
      <c r="H13918" s="42">
        <v>211</v>
      </c>
    </row>
    <row r="13919" spans="1:8" ht="15" customHeight="1">
      <c r="A13919" s="26">
        <v>1055273661</v>
      </c>
      <c r="B13919" s="29" t="s">
        <v>16127</v>
      </c>
      <c r="C13919" s="29" t="s">
        <v>17204</v>
      </c>
      <c r="D13919" s="29" t="s">
        <v>30349</v>
      </c>
      <c r="E13919" s="29" t="s">
        <v>43926</v>
      </c>
      <c r="F13919" s="36" t="s">
        <v>54401</v>
      </c>
      <c r="G13919" s="39">
        <v>74699.990000000005</v>
      </c>
      <c r="H13919" s="42">
        <v>211</v>
      </c>
    </row>
    <row r="13920" spans="1:8" ht="15" customHeight="1">
      <c r="A13920" s="26">
        <v>1055273681</v>
      </c>
      <c r="B13920" s="29" t="s">
        <v>16128</v>
      </c>
      <c r="C13920" s="29" t="s">
        <v>29422</v>
      </c>
      <c r="D13920" s="29" t="s">
        <v>42956</v>
      </c>
      <c r="E13920" s="29" t="s">
        <v>53775</v>
      </c>
      <c r="F13920" s="36" t="s">
        <v>54401</v>
      </c>
      <c r="G13920" s="39">
        <v>7243111</v>
      </c>
      <c r="H13920" s="42">
        <v>211</v>
      </c>
    </row>
    <row r="13921" spans="1:8" ht="15" customHeight="1">
      <c r="A13921" s="26">
        <v>1055273704</v>
      </c>
      <c r="B13921" s="29" t="s">
        <v>16129</v>
      </c>
      <c r="C13921" s="29" t="s">
        <v>29423</v>
      </c>
      <c r="D13921" s="29" t="s">
        <v>42957</v>
      </c>
      <c r="E13921" s="29" t="s">
        <v>53776</v>
      </c>
      <c r="F13921" s="36" t="s">
        <v>54401</v>
      </c>
      <c r="G13921" s="39">
        <v>1462530.81</v>
      </c>
      <c r="H13921" s="42">
        <v>211</v>
      </c>
    </row>
    <row r="13922" spans="1:8" ht="15" customHeight="1">
      <c r="A13922" s="26">
        <v>1055273716</v>
      </c>
      <c r="B13922" s="29" t="s">
        <v>16130</v>
      </c>
      <c r="C13922" s="29" t="s">
        <v>29424</v>
      </c>
      <c r="D13922" s="29" t="s">
        <v>42958</v>
      </c>
      <c r="E13922" s="29" t="s">
        <v>53777</v>
      </c>
      <c r="F13922" s="36" t="s">
        <v>54401</v>
      </c>
      <c r="G13922" s="39">
        <v>152714.04</v>
      </c>
      <c r="H13922" s="42">
        <v>211</v>
      </c>
    </row>
    <row r="13923" spans="1:8" ht="15" customHeight="1">
      <c r="A13923" s="26">
        <v>1055273832</v>
      </c>
      <c r="B13923" s="29" t="s">
        <v>16131</v>
      </c>
      <c r="C13923" s="29" t="s">
        <v>29425</v>
      </c>
      <c r="D13923" s="29" t="s">
        <v>42959</v>
      </c>
      <c r="E13923" s="29" t="s">
        <v>53778</v>
      </c>
      <c r="F13923" s="36" t="s">
        <v>54401</v>
      </c>
      <c r="G13923" s="39">
        <v>225428.74</v>
      </c>
      <c r="H13923" s="42">
        <v>211</v>
      </c>
    </row>
    <row r="13924" spans="1:8" ht="15" customHeight="1">
      <c r="A13924" s="26">
        <v>1055273886</v>
      </c>
      <c r="B13924" s="29" t="s">
        <v>16132</v>
      </c>
      <c r="C13924" s="29" t="s">
        <v>17204</v>
      </c>
      <c r="D13924" s="29" t="s">
        <v>30349</v>
      </c>
      <c r="E13924" s="29" t="s">
        <v>43926</v>
      </c>
      <c r="F13924" s="36" t="s">
        <v>54401</v>
      </c>
      <c r="G13924" s="39">
        <v>683255.89</v>
      </c>
      <c r="H13924" s="42">
        <v>211</v>
      </c>
    </row>
    <row r="13925" spans="1:8" ht="15" customHeight="1">
      <c r="A13925" s="26">
        <v>1055273925</v>
      </c>
      <c r="B13925" s="29" t="s">
        <v>16133</v>
      </c>
      <c r="C13925" s="26" t="s">
        <v>29426</v>
      </c>
      <c r="D13925" s="26" t="s">
        <v>42960</v>
      </c>
      <c r="E13925" s="26" t="s">
        <v>43926</v>
      </c>
      <c r="F13925" s="37" t="s">
        <v>54401</v>
      </c>
      <c r="G13925" s="39">
        <v>334099.06</v>
      </c>
      <c r="H13925" s="42">
        <v>211</v>
      </c>
    </row>
    <row r="13926" spans="1:8" ht="15" customHeight="1">
      <c r="A13926" s="26">
        <v>1055273927</v>
      </c>
      <c r="B13926" s="29" t="s">
        <v>16134</v>
      </c>
      <c r="C13926" s="29" t="s">
        <v>29427</v>
      </c>
      <c r="D13926" s="29" t="s">
        <v>42961</v>
      </c>
      <c r="E13926" s="29" t="s">
        <v>43926</v>
      </c>
      <c r="F13926" s="36" t="s">
        <v>54401</v>
      </c>
      <c r="G13926" s="39">
        <v>244090.05</v>
      </c>
      <c r="H13926" s="42">
        <v>211</v>
      </c>
    </row>
    <row r="13927" spans="1:8" ht="15" customHeight="1">
      <c r="A13927" s="26">
        <v>1055274015</v>
      </c>
      <c r="B13927" s="29" t="s">
        <v>16135</v>
      </c>
      <c r="C13927" s="29" t="s">
        <v>29428</v>
      </c>
      <c r="D13927" s="29" t="s">
        <v>30714</v>
      </c>
      <c r="E13927" s="29" t="s">
        <v>53779</v>
      </c>
      <c r="F13927" s="36" t="s">
        <v>54423</v>
      </c>
      <c r="G13927" s="39">
        <v>2336332.34</v>
      </c>
      <c r="H13927" s="42">
        <v>211</v>
      </c>
    </row>
    <row r="13928" spans="1:8" ht="15" customHeight="1">
      <c r="A13928" s="26">
        <v>1055274054</v>
      </c>
      <c r="B13928" s="29" t="s">
        <v>16136</v>
      </c>
      <c r="C13928" s="29" t="s">
        <v>29429</v>
      </c>
      <c r="D13928" s="29" t="s">
        <v>42962</v>
      </c>
      <c r="E13928" s="29" t="s">
        <v>53780</v>
      </c>
      <c r="F13928" s="36" t="s">
        <v>54401</v>
      </c>
      <c r="G13928" s="39">
        <v>224115.32</v>
      </c>
      <c r="H13928" s="42">
        <v>211</v>
      </c>
    </row>
    <row r="13929" spans="1:8" ht="15" customHeight="1">
      <c r="A13929" s="26">
        <v>1055274085</v>
      </c>
      <c r="B13929" s="29" t="s">
        <v>16137</v>
      </c>
      <c r="C13929" s="29" t="s">
        <v>29430</v>
      </c>
      <c r="D13929" s="29" t="s">
        <v>42963</v>
      </c>
      <c r="E13929" s="29" t="s">
        <v>53781</v>
      </c>
      <c r="F13929" s="36" t="s">
        <v>54401</v>
      </c>
      <c r="G13929" s="39">
        <v>149803.81</v>
      </c>
      <c r="H13929" s="42">
        <v>211</v>
      </c>
    </row>
    <row r="13930" spans="1:8" ht="15" customHeight="1">
      <c r="A13930" s="26">
        <v>1055274113</v>
      </c>
      <c r="B13930" s="29" t="s">
        <v>16138</v>
      </c>
      <c r="C13930" s="29" t="s">
        <v>29431</v>
      </c>
      <c r="D13930" s="29" t="s">
        <v>42964</v>
      </c>
      <c r="E13930" s="29" t="s">
        <v>53782</v>
      </c>
      <c r="F13930" s="36" t="s">
        <v>54401</v>
      </c>
      <c r="G13930" s="39">
        <v>399397.82</v>
      </c>
      <c r="H13930" s="42">
        <v>211</v>
      </c>
    </row>
    <row r="13931" spans="1:8" ht="15" customHeight="1">
      <c r="A13931" s="26">
        <v>1055274237</v>
      </c>
      <c r="B13931" s="29" t="s">
        <v>16139</v>
      </c>
      <c r="C13931" s="29" t="s">
        <v>29432</v>
      </c>
      <c r="D13931" s="29" t="s">
        <v>42965</v>
      </c>
      <c r="E13931" s="29" t="s">
        <v>53779</v>
      </c>
      <c r="F13931" s="36" t="s">
        <v>54423</v>
      </c>
      <c r="G13931" s="39">
        <v>2013570.01</v>
      </c>
      <c r="H13931" s="42">
        <v>211</v>
      </c>
    </row>
    <row r="13932" spans="1:8" ht="15" customHeight="1">
      <c r="A13932" s="26">
        <v>1055274253</v>
      </c>
      <c r="B13932" s="29" t="s">
        <v>16140</v>
      </c>
      <c r="C13932" s="29" t="s">
        <v>29433</v>
      </c>
      <c r="D13932" s="29" t="s">
        <v>42966</v>
      </c>
      <c r="E13932" s="29" t="s">
        <v>53783</v>
      </c>
      <c r="F13932" s="36" t="s">
        <v>54401</v>
      </c>
      <c r="G13932" s="39">
        <v>3953281.44</v>
      </c>
      <c r="H13932" s="42">
        <v>211</v>
      </c>
    </row>
    <row r="13933" spans="1:8" ht="15" customHeight="1">
      <c r="A13933" s="26">
        <v>1055274267</v>
      </c>
      <c r="B13933" s="29" t="s">
        <v>16141</v>
      </c>
      <c r="C13933" s="26" t="s">
        <v>29434</v>
      </c>
      <c r="D13933" s="26" t="s">
        <v>42967</v>
      </c>
      <c r="E13933" s="26" t="s">
        <v>43926</v>
      </c>
      <c r="F13933" s="37" t="s">
        <v>54401</v>
      </c>
      <c r="G13933" s="39">
        <v>255372.45</v>
      </c>
      <c r="H13933" s="42">
        <v>211</v>
      </c>
    </row>
    <row r="13934" spans="1:8" ht="15" customHeight="1">
      <c r="A13934" s="26">
        <v>1055274283</v>
      </c>
      <c r="B13934" s="29" t="s">
        <v>16142</v>
      </c>
      <c r="C13934" s="29" t="s">
        <v>29435</v>
      </c>
      <c r="D13934" s="29" t="s">
        <v>42968</v>
      </c>
      <c r="E13934" s="29" t="s">
        <v>53784</v>
      </c>
      <c r="F13934" s="36" t="s">
        <v>54401</v>
      </c>
      <c r="G13934" s="39">
        <v>329663</v>
      </c>
      <c r="H13934" s="42">
        <v>211</v>
      </c>
    </row>
    <row r="13935" spans="1:8" ht="15" customHeight="1">
      <c r="A13935" s="26">
        <v>1055274316</v>
      </c>
      <c r="B13935" s="29" t="s">
        <v>16143</v>
      </c>
      <c r="C13935" s="29" t="s">
        <v>29436</v>
      </c>
      <c r="D13935" s="29" t="s">
        <v>42969</v>
      </c>
      <c r="E13935" s="29" t="s">
        <v>48481</v>
      </c>
      <c r="F13935" s="36" t="s">
        <v>54423</v>
      </c>
      <c r="G13935" s="39">
        <v>4418592.4800000004</v>
      </c>
      <c r="H13935" s="42">
        <v>211</v>
      </c>
    </row>
    <row r="13936" spans="1:8" ht="15" customHeight="1">
      <c r="A13936" s="26">
        <v>1055274334</v>
      </c>
      <c r="B13936" s="29" t="s">
        <v>16144</v>
      </c>
      <c r="C13936" s="29" t="s">
        <v>29437</v>
      </c>
      <c r="D13936" s="29" t="s">
        <v>42970</v>
      </c>
      <c r="E13936" s="29" t="s">
        <v>53785</v>
      </c>
      <c r="F13936" s="36" t="s">
        <v>54401</v>
      </c>
      <c r="G13936" s="39">
        <v>1244506.78</v>
      </c>
      <c r="H13936" s="42">
        <v>211</v>
      </c>
    </row>
    <row r="13937" spans="1:8" ht="15" customHeight="1">
      <c r="A13937" s="26">
        <v>1055274365</v>
      </c>
      <c r="B13937" s="29" t="s">
        <v>16145</v>
      </c>
      <c r="C13937" s="29" t="s">
        <v>29438</v>
      </c>
      <c r="D13937" s="29" t="s">
        <v>42971</v>
      </c>
      <c r="E13937" s="29" t="s">
        <v>53786</v>
      </c>
      <c r="F13937" s="36" t="s">
        <v>54401</v>
      </c>
      <c r="G13937" s="39">
        <v>8089943</v>
      </c>
      <c r="H13937" s="42">
        <v>211</v>
      </c>
    </row>
    <row r="13938" spans="1:8" ht="15" customHeight="1">
      <c r="A13938" s="26">
        <v>1055274373</v>
      </c>
      <c r="B13938" s="29" t="s">
        <v>16146</v>
      </c>
      <c r="C13938" s="29" t="s">
        <v>29439</v>
      </c>
      <c r="D13938" s="29" t="s">
        <v>42972</v>
      </c>
      <c r="E13938" s="29" t="s">
        <v>53787</v>
      </c>
      <c r="F13938" s="36" t="s">
        <v>54401</v>
      </c>
      <c r="G13938" s="39">
        <v>162560.64000000001</v>
      </c>
      <c r="H13938" s="42">
        <v>211</v>
      </c>
    </row>
    <row r="13939" spans="1:8" ht="15" customHeight="1">
      <c r="A13939" s="26">
        <v>1055274403</v>
      </c>
      <c r="B13939" s="29" t="s">
        <v>16147</v>
      </c>
      <c r="C13939" s="29" t="s">
        <v>29440</v>
      </c>
      <c r="D13939" s="29" t="s">
        <v>42973</v>
      </c>
      <c r="E13939" s="29" t="s">
        <v>950</v>
      </c>
      <c r="F13939" s="36" t="s">
        <v>54401</v>
      </c>
      <c r="G13939" s="39">
        <v>1404537.94</v>
      </c>
      <c r="H13939" s="42">
        <v>211</v>
      </c>
    </row>
    <row r="13940" spans="1:8" ht="15" customHeight="1">
      <c r="A13940" s="26">
        <v>1055274436</v>
      </c>
      <c r="B13940" s="29" t="s">
        <v>16148</v>
      </c>
      <c r="C13940" s="29" t="s">
        <v>29441</v>
      </c>
      <c r="D13940" s="29" t="s">
        <v>42974</v>
      </c>
      <c r="E13940" s="29" t="s">
        <v>53788</v>
      </c>
      <c r="F13940" s="36" t="s">
        <v>54401</v>
      </c>
      <c r="G13940" s="39">
        <v>314957.52</v>
      </c>
      <c r="H13940" s="42">
        <v>211</v>
      </c>
    </row>
    <row r="13941" spans="1:8" ht="15" customHeight="1">
      <c r="A13941" s="26">
        <v>1055274448</v>
      </c>
      <c r="B13941" s="29" t="s">
        <v>16149</v>
      </c>
      <c r="C13941" s="29" t="s">
        <v>29442</v>
      </c>
      <c r="D13941" s="29" t="s">
        <v>42975</v>
      </c>
      <c r="E13941" s="29" t="s">
        <v>53789</v>
      </c>
      <c r="F13941" s="36" t="s">
        <v>54423</v>
      </c>
      <c r="G13941" s="39">
        <v>84842.72</v>
      </c>
      <c r="H13941" s="42">
        <v>211</v>
      </c>
    </row>
    <row r="13942" spans="1:8" ht="15" customHeight="1">
      <c r="A13942" s="26">
        <v>1055274473</v>
      </c>
      <c r="B13942" s="29" t="s">
        <v>16150</v>
      </c>
      <c r="C13942" s="26" t="s">
        <v>29443</v>
      </c>
      <c r="D13942" s="26" t="s">
        <v>42976</v>
      </c>
      <c r="E13942" s="26" t="s">
        <v>48703</v>
      </c>
      <c r="F13942" s="37" t="s">
        <v>54401</v>
      </c>
      <c r="G13942" s="39">
        <v>1394785.37</v>
      </c>
      <c r="H13942" s="42">
        <v>211</v>
      </c>
    </row>
    <row r="13943" spans="1:8" ht="15" customHeight="1">
      <c r="A13943" s="26">
        <v>1055274513</v>
      </c>
      <c r="B13943" s="29" t="s">
        <v>16151</v>
      </c>
      <c r="C13943" s="29" t="s">
        <v>29444</v>
      </c>
      <c r="D13943" s="29" t="s">
        <v>42977</v>
      </c>
      <c r="E13943" s="29" t="s">
        <v>53790</v>
      </c>
      <c r="F13943" s="36" t="s">
        <v>54401</v>
      </c>
      <c r="G13943" s="39">
        <v>1191518.8</v>
      </c>
      <c r="H13943" s="42">
        <v>211</v>
      </c>
    </row>
    <row r="13944" spans="1:8" ht="15" customHeight="1">
      <c r="A13944" s="26">
        <v>1055274555</v>
      </c>
      <c r="B13944" s="29" t="s">
        <v>16152</v>
      </c>
      <c r="C13944" s="29" t="s">
        <v>29445</v>
      </c>
      <c r="D13944" s="29" t="s">
        <v>42978</v>
      </c>
      <c r="E13944" s="29" t="s">
        <v>53791</v>
      </c>
      <c r="F13944" s="36" t="s">
        <v>54401</v>
      </c>
      <c r="G13944" s="39">
        <v>2691952.34</v>
      </c>
      <c r="H13944" s="42">
        <v>211</v>
      </c>
    </row>
    <row r="13945" spans="1:8" ht="15" customHeight="1">
      <c r="A13945" s="26">
        <v>1055274561</v>
      </c>
      <c r="B13945" s="29" t="s">
        <v>16153</v>
      </c>
      <c r="C13945" s="29" t="s">
        <v>17204</v>
      </c>
      <c r="D13945" s="29" t="s">
        <v>30349</v>
      </c>
      <c r="E13945" s="29" t="s">
        <v>43926</v>
      </c>
      <c r="F13945" s="36" t="s">
        <v>54401</v>
      </c>
      <c r="G13945" s="39">
        <v>550389.91</v>
      </c>
      <c r="H13945" s="42">
        <v>211</v>
      </c>
    </row>
    <row r="13946" spans="1:8" ht="15" customHeight="1">
      <c r="A13946" s="26">
        <v>1055274621</v>
      </c>
      <c r="B13946" s="29" t="s">
        <v>16154</v>
      </c>
      <c r="C13946" s="29" t="s">
        <v>28661</v>
      </c>
      <c r="D13946" s="29" t="s">
        <v>40531</v>
      </c>
      <c r="E13946" s="29" t="s">
        <v>727</v>
      </c>
      <c r="F13946" s="36" t="s">
        <v>54418</v>
      </c>
      <c r="G13946" s="39">
        <v>119537.87</v>
      </c>
      <c r="H13946" s="42">
        <v>211</v>
      </c>
    </row>
    <row r="13947" spans="1:8" ht="15" customHeight="1">
      <c r="A13947" s="26">
        <v>1055274732</v>
      </c>
      <c r="B13947" s="29" t="s">
        <v>16155</v>
      </c>
      <c r="C13947" s="29" t="s">
        <v>29446</v>
      </c>
      <c r="D13947" s="29" t="s">
        <v>42979</v>
      </c>
      <c r="E13947" s="29" t="s">
        <v>717</v>
      </c>
      <c r="F13947" s="36" t="s">
        <v>54409</v>
      </c>
      <c r="G13947" s="39">
        <v>784766.72</v>
      </c>
      <c r="H13947" s="42">
        <v>211</v>
      </c>
    </row>
    <row r="13948" spans="1:8" ht="15" customHeight="1">
      <c r="A13948" s="26">
        <v>1055274739</v>
      </c>
      <c r="B13948" s="29" t="s">
        <v>16156</v>
      </c>
      <c r="C13948" s="29" t="s">
        <v>29447</v>
      </c>
      <c r="D13948" s="29" t="s">
        <v>42980</v>
      </c>
      <c r="E13948" s="29" t="s">
        <v>53792</v>
      </c>
      <c r="F13948" s="36" t="s">
        <v>54401</v>
      </c>
      <c r="G13948" s="39">
        <v>342697.37</v>
      </c>
      <c r="H13948" s="42">
        <v>211</v>
      </c>
    </row>
    <row r="13949" spans="1:8" ht="15" customHeight="1">
      <c r="A13949" s="26">
        <v>1055274783</v>
      </c>
      <c r="B13949" s="29" t="s">
        <v>16157</v>
      </c>
      <c r="C13949" s="29" t="s">
        <v>17204</v>
      </c>
      <c r="D13949" s="29" t="s">
        <v>30349</v>
      </c>
      <c r="E13949" s="29" t="s">
        <v>43926</v>
      </c>
      <c r="F13949" s="36" t="s">
        <v>54401</v>
      </c>
      <c r="G13949" s="39">
        <v>111187.11</v>
      </c>
      <c r="H13949" s="42">
        <v>211</v>
      </c>
    </row>
    <row r="13950" spans="1:8" ht="15" customHeight="1">
      <c r="A13950" s="26">
        <v>1055274822</v>
      </c>
      <c r="B13950" s="29" t="s">
        <v>16158</v>
      </c>
      <c r="C13950" s="29" t="s">
        <v>29448</v>
      </c>
      <c r="D13950" s="29" t="s">
        <v>42981</v>
      </c>
      <c r="E13950" s="29" t="s">
        <v>53793</v>
      </c>
      <c r="F13950" s="36" t="s">
        <v>54401</v>
      </c>
      <c r="G13950" s="39">
        <v>3863927.86</v>
      </c>
      <c r="H13950" s="42">
        <v>211</v>
      </c>
    </row>
    <row r="13951" spans="1:8" ht="15" customHeight="1">
      <c r="A13951" s="26">
        <v>1055274892</v>
      </c>
      <c r="B13951" s="29" t="s">
        <v>16159</v>
      </c>
      <c r="C13951" s="29" t="s">
        <v>29449</v>
      </c>
      <c r="D13951" s="29" t="s">
        <v>42982</v>
      </c>
      <c r="E13951" s="29" t="s">
        <v>53794</v>
      </c>
      <c r="F13951" s="36" t="s">
        <v>54401</v>
      </c>
      <c r="G13951" s="39">
        <v>37070.839999999997</v>
      </c>
      <c r="H13951" s="42">
        <v>211</v>
      </c>
    </row>
    <row r="13952" spans="1:8" ht="15" customHeight="1">
      <c r="A13952" s="26">
        <v>1055274896</v>
      </c>
      <c r="B13952" s="29" t="s">
        <v>16160</v>
      </c>
      <c r="C13952" s="29" t="s">
        <v>17204</v>
      </c>
      <c r="D13952" s="29" t="s">
        <v>42983</v>
      </c>
      <c r="E13952" s="29" t="s">
        <v>53795</v>
      </c>
      <c r="F13952" s="36" t="s">
        <v>54401</v>
      </c>
      <c r="G13952" s="39">
        <v>2631267.56</v>
      </c>
      <c r="H13952" s="42">
        <v>211</v>
      </c>
    </row>
    <row r="13953" spans="1:8" ht="15" customHeight="1">
      <c r="A13953" s="26">
        <v>1055312018</v>
      </c>
      <c r="B13953" s="29" t="s">
        <v>16161</v>
      </c>
      <c r="C13953" s="29" t="s">
        <v>29450</v>
      </c>
      <c r="D13953" s="29" t="s">
        <v>42984</v>
      </c>
      <c r="E13953" s="29" t="s">
        <v>53796</v>
      </c>
      <c r="F13953" s="36" t="s">
        <v>54409</v>
      </c>
      <c r="G13953" s="39">
        <v>925320.38</v>
      </c>
      <c r="H13953" s="42">
        <v>211</v>
      </c>
    </row>
    <row r="13954" spans="1:8" ht="15" customHeight="1">
      <c r="A13954" s="26">
        <v>1055312027</v>
      </c>
      <c r="B13954" s="29" t="s">
        <v>16162</v>
      </c>
      <c r="C13954" s="29" t="s">
        <v>29451</v>
      </c>
      <c r="D13954" s="29" t="s">
        <v>42985</v>
      </c>
      <c r="E13954" s="29" t="s">
        <v>53797</v>
      </c>
      <c r="F13954" s="36" t="s">
        <v>54401</v>
      </c>
      <c r="G13954" s="39">
        <v>1229965.8400000001</v>
      </c>
      <c r="H13954" s="42">
        <v>211</v>
      </c>
    </row>
    <row r="13955" spans="1:8" ht="15" customHeight="1">
      <c r="A13955" s="26">
        <v>1055312031</v>
      </c>
      <c r="B13955" s="29" t="s">
        <v>16163</v>
      </c>
      <c r="C13955" s="29" t="s">
        <v>29452</v>
      </c>
      <c r="D13955" s="29" t="s">
        <v>42986</v>
      </c>
      <c r="E13955" s="29" t="s">
        <v>43926</v>
      </c>
      <c r="F13955" s="36" t="s">
        <v>54401</v>
      </c>
      <c r="G13955" s="39">
        <v>667770.38</v>
      </c>
      <c r="H13955" s="42">
        <v>211</v>
      </c>
    </row>
    <row r="13956" spans="1:8" ht="15" customHeight="1">
      <c r="A13956" s="26">
        <v>1055312072</v>
      </c>
      <c r="B13956" s="29" t="s">
        <v>16164</v>
      </c>
      <c r="C13956" s="29" t="s">
        <v>17204</v>
      </c>
      <c r="D13956" s="29" t="s">
        <v>30349</v>
      </c>
      <c r="E13956" s="29" t="s">
        <v>43926</v>
      </c>
      <c r="F13956" s="36" t="s">
        <v>54401</v>
      </c>
      <c r="G13956" s="39">
        <v>16242</v>
      </c>
      <c r="H13956" s="42">
        <v>211</v>
      </c>
    </row>
    <row r="13957" spans="1:8" ht="15" customHeight="1">
      <c r="A13957" s="26">
        <v>1055312095</v>
      </c>
      <c r="B13957" s="29" t="s">
        <v>16165</v>
      </c>
      <c r="C13957" s="29" t="s">
        <v>29453</v>
      </c>
      <c r="D13957" s="29" t="s">
        <v>42987</v>
      </c>
      <c r="E13957" s="29" t="s">
        <v>53798</v>
      </c>
      <c r="F13957" s="36" t="s">
        <v>54401</v>
      </c>
      <c r="G13957" s="39">
        <v>3754254.1</v>
      </c>
      <c r="H13957" s="42">
        <v>211</v>
      </c>
    </row>
    <row r="13958" spans="1:8" ht="15" customHeight="1">
      <c r="A13958" s="26">
        <v>1055312096</v>
      </c>
      <c r="B13958" s="29" t="s">
        <v>16166</v>
      </c>
      <c r="C13958" s="29" t="s">
        <v>29454</v>
      </c>
      <c r="D13958" s="29" t="s">
        <v>42988</v>
      </c>
      <c r="E13958" s="29" t="s">
        <v>53799</v>
      </c>
      <c r="F13958" s="36" t="s">
        <v>54409</v>
      </c>
      <c r="G13958" s="39">
        <v>6301241.5800000001</v>
      </c>
      <c r="H13958" s="42">
        <v>211</v>
      </c>
    </row>
    <row r="13959" spans="1:8" ht="15" customHeight="1">
      <c r="A13959" s="26">
        <v>1055312112</v>
      </c>
      <c r="B13959" s="29" t="s">
        <v>16167</v>
      </c>
      <c r="C13959" s="26" t="s">
        <v>29455</v>
      </c>
      <c r="D13959" s="26" t="s">
        <v>42989</v>
      </c>
      <c r="E13959" s="26" t="s">
        <v>43926</v>
      </c>
      <c r="F13959" s="37" t="s">
        <v>54401</v>
      </c>
      <c r="G13959" s="39">
        <v>46139.65</v>
      </c>
      <c r="H13959" s="42">
        <v>211</v>
      </c>
    </row>
    <row r="13960" spans="1:8" ht="15" customHeight="1">
      <c r="A13960" s="26">
        <v>1055312121</v>
      </c>
      <c r="B13960" s="29" t="s">
        <v>16168</v>
      </c>
      <c r="C13960" s="29" t="s">
        <v>29456</v>
      </c>
      <c r="D13960" s="29" t="s">
        <v>30376</v>
      </c>
      <c r="E13960" s="29" t="s">
        <v>717</v>
      </c>
      <c r="F13960" s="36" t="s">
        <v>54401</v>
      </c>
      <c r="G13960" s="39">
        <v>176736.24</v>
      </c>
      <c r="H13960" s="42">
        <v>211</v>
      </c>
    </row>
    <row r="13961" spans="1:8" ht="15" customHeight="1">
      <c r="A13961" s="26">
        <v>1055312138</v>
      </c>
      <c r="B13961" s="29" t="s">
        <v>16169</v>
      </c>
      <c r="C13961" s="29" t="s">
        <v>29457</v>
      </c>
      <c r="D13961" s="29" t="s">
        <v>42990</v>
      </c>
      <c r="E13961" s="29" t="s">
        <v>49182</v>
      </c>
      <c r="F13961" s="36" t="s">
        <v>54401</v>
      </c>
      <c r="G13961" s="39">
        <v>1542808.55</v>
      </c>
      <c r="H13961" s="42">
        <v>211</v>
      </c>
    </row>
    <row r="13962" spans="1:8" ht="15" customHeight="1">
      <c r="A13962" s="26">
        <v>1055312182</v>
      </c>
      <c r="B13962" s="29" t="s">
        <v>16170</v>
      </c>
      <c r="C13962" s="29" t="s">
        <v>29458</v>
      </c>
      <c r="D13962" s="29" t="s">
        <v>42991</v>
      </c>
      <c r="E13962" s="29" t="s">
        <v>53800</v>
      </c>
      <c r="F13962" s="36" t="s">
        <v>54401</v>
      </c>
      <c r="G13962" s="39">
        <v>153201.21</v>
      </c>
      <c r="H13962" s="42">
        <v>211</v>
      </c>
    </row>
    <row r="13963" spans="1:8" ht="15" customHeight="1">
      <c r="A13963" s="26">
        <v>1055312196</v>
      </c>
      <c r="B13963" s="29" t="s">
        <v>16171</v>
      </c>
      <c r="C13963" s="26" t="s">
        <v>29459</v>
      </c>
      <c r="D13963" s="26" t="s">
        <v>42992</v>
      </c>
      <c r="E13963" s="26" t="s">
        <v>717</v>
      </c>
      <c r="F13963" s="37" t="s">
        <v>54409</v>
      </c>
      <c r="G13963" s="39">
        <v>477296.48</v>
      </c>
      <c r="H13963" s="42">
        <v>211</v>
      </c>
    </row>
    <row r="13964" spans="1:8" ht="15" customHeight="1">
      <c r="A13964" s="26">
        <v>1055312204</v>
      </c>
      <c r="B13964" s="29" t="s">
        <v>16172</v>
      </c>
      <c r="C13964" s="29" t="s">
        <v>29460</v>
      </c>
      <c r="D13964" s="29" t="s">
        <v>42993</v>
      </c>
      <c r="E13964" s="29" t="s">
        <v>53801</v>
      </c>
      <c r="F13964" s="36" t="s">
        <v>54401</v>
      </c>
      <c r="G13964" s="39">
        <v>2644558</v>
      </c>
      <c r="H13964" s="42">
        <v>211</v>
      </c>
    </row>
    <row r="13965" spans="1:8" ht="15" customHeight="1">
      <c r="A13965" s="26">
        <v>1055312208</v>
      </c>
      <c r="B13965" s="29" t="s">
        <v>16173</v>
      </c>
      <c r="C13965" s="29" t="s">
        <v>29461</v>
      </c>
      <c r="D13965" s="29" t="s">
        <v>42994</v>
      </c>
      <c r="E13965" s="29" t="s">
        <v>53802</v>
      </c>
      <c r="F13965" s="36" t="s">
        <v>54409</v>
      </c>
      <c r="G13965" s="39">
        <v>4111271</v>
      </c>
      <c r="H13965" s="42">
        <v>211</v>
      </c>
    </row>
    <row r="13966" spans="1:8" ht="15" customHeight="1">
      <c r="A13966" s="26">
        <v>1055312263</v>
      </c>
      <c r="B13966" s="29" t="s">
        <v>16174</v>
      </c>
      <c r="C13966" s="29" t="s">
        <v>29462</v>
      </c>
      <c r="D13966" s="29" t="s">
        <v>42995</v>
      </c>
      <c r="E13966" s="29" t="s">
        <v>53803</v>
      </c>
      <c r="F13966" s="36" t="s">
        <v>54401</v>
      </c>
      <c r="G13966" s="39">
        <v>550972.74</v>
      </c>
      <c r="H13966" s="42">
        <v>211</v>
      </c>
    </row>
    <row r="13967" spans="1:8" ht="15" customHeight="1">
      <c r="A13967" s="26">
        <v>1055312264</v>
      </c>
      <c r="B13967" s="29" t="s">
        <v>16175</v>
      </c>
      <c r="C13967" s="29" t="s">
        <v>29463</v>
      </c>
      <c r="D13967" s="29" t="s">
        <v>42996</v>
      </c>
      <c r="E13967" s="29" t="s">
        <v>45006</v>
      </c>
      <c r="F13967" s="36" t="s">
        <v>54401</v>
      </c>
      <c r="G13967" s="39">
        <v>306926</v>
      </c>
      <c r="H13967" s="42">
        <v>211</v>
      </c>
    </row>
    <row r="13968" spans="1:8" ht="15" customHeight="1">
      <c r="A13968" s="26">
        <v>1055312289</v>
      </c>
      <c r="B13968" s="29" t="s">
        <v>16176</v>
      </c>
      <c r="C13968" s="29" t="s">
        <v>17204</v>
      </c>
      <c r="D13968" s="29" t="s">
        <v>42997</v>
      </c>
      <c r="E13968" s="29" t="s">
        <v>43926</v>
      </c>
      <c r="F13968" s="36" t="s">
        <v>54401</v>
      </c>
      <c r="G13968" s="39">
        <v>587046</v>
      </c>
      <c r="H13968" s="42">
        <v>211</v>
      </c>
    </row>
    <row r="13969" spans="1:8" ht="15" customHeight="1">
      <c r="A13969" s="26">
        <v>1055312323</v>
      </c>
      <c r="B13969" s="29" t="s">
        <v>16177</v>
      </c>
      <c r="C13969" s="29" t="s">
        <v>29464</v>
      </c>
      <c r="D13969" s="29" t="s">
        <v>42998</v>
      </c>
      <c r="E13969" s="29" t="s">
        <v>53804</v>
      </c>
      <c r="F13969" s="36" t="s">
        <v>54401</v>
      </c>
      <c r="G13969" s="39">
        <v>879819.7</v>
      </c>
      <c r="H13969" s="42">
        <v>211</v>
      </c>
    </row>
    <row r="13970" spans="1:8" ht="15" customHeight="1">
      <c r="A13970" s="26">
        <v>1055312349</v>
      </c>
      <c r="B13970" s="29" t="s">
        <v>16178</v>
      </c>
      <c r="C13970" s="29" t="s">
        <v>29465</v>
      </c>
      <c r="D13970" s="29" t="s">
        <v>42999</v>
      </c>
      <c r="E13970" s="29" t="s">
        <v>49359</v>
      </c>
      <c r="F13970" s="36" t="s">
        <v>54401</v>
      </c>
      <c r="G13970" s="39">
        <v>8008772</v>
      </c>
      <c r="H13970" s="42">
        <v>211</v>
      </c>
    </row>
    <row r="13971" spans="1:8" ht="15" customHeight="1">
      <c r="A13971" s="26">
        <v>1055312355</v>
      </c>
      <c r="B13971" s="29" t="s">
        <v>16179</v>
      </c>
      <c r="C13971" s="29" t="s">
        <v>29466</v>
      </c>
      <c r="D13971" s="29" t="s">
        <v>43000</v>
      </c>
      <c r="E13971" s="29" t="s">
        <v>44458</v>
      </c>
      <c r="F13971" s="36" t="s">
        <v>54401</v>
      </c>
      <c r="G13971" s="39">
        <v>6193459.3499999996</v>
      </c>
      <c r="H13971" s="42">
        <v>211</v>
      </c>
    </row>
    <row r="13972" spans="1:8" ht="15" customHeight="1">
      <c r="A13972" s="26">
        <v>1055312393</v>
      </c>
      <c r="B13972" s="29" t="s">
        <v>16180</v>
      </c>
      <c r="C13972" s="29" t="s">
        <v>29467</v>
      </c>
      <c r="D13972" s="29" t="s">
        <v>43001</v>
      </c>
      <c r="E13972" s="29" t="s">
        <v>53805</v>
      </c>
      <c r="F13972" s="36" t="s">
        <v>54401</v>
      </c>
      <c r="G13972" s="39">
        <v>3893537.82</v>
      </c>
      <c r="H13972" s="42">
        <v>211</v>
      </c>
    </row>
    <row r="13973" spans="1:8" ht="15" customHeight="1">
      <c r="A13973" s="26">
        <v>1055312419</v>
      </c>
      <c r="B13973" s="29" t="s">
        <v>16181</v>
      </c>
      <c r="C13973" s="29" t="s">
        <v>29468</v>
      </c>
      <c r="D13973" s="29" t="s">
        <v>43002</v>
      </c>
      <c r="E13973" s="29" t="s">
        <v>43926</v>
      </c>
      <c r="F13973" s="36" t="s">
        <v>54401</v>
      </c>
      <c r="G13973" s="39">
        <v>797431.63</v>
      </c>
      <c r="H13973" s="42">
        <v>211</v>
      </c>
    </row>
    <row r="13974" spans="1:8" ht="15" customHeight="1">
      <c r="A13974" s="26">
        <v>1055312428</v>
      </c>
      <c r="B13974" s="29" t="s">
        <v>16182</v>
      </c>
      <c r="C13974" s="26" t="s">
        <v>29469</v>
      </c>
      <c r="D13974" s="26" t="s">
        <v>43003</v>
      </c>
      <c r="E13974" s="26" t="s">
        <v>44197</v>
      </c>
      <c r="F13974" s="37" t="s">
        <v>54409</v>
      </c>
      <c r="G13974" s="39">
        <v>2441577.7599999998</v>
      </c>
      <c r="H13974" s="42">
        <v>211</v>
      </c>
    </row>
    <row r="13975" spans="1:8" ht="15" customHeight="1">
      <c r="A13975" s="26">
        <v>1055312451</v>
      </c>
      <c r="B13975" s="29" t="s">
        <v>16183</v>
      </c>
      <c r="C13975" s="29" t="s">
        <v>29470</v>
      </c>
      <c r="D13975" s="29" t="s">
        <v>43004</v>
      </c>
      <c r="E13975" s="29" t="s">
        <v>53806</v>
      </c>
      <c r="F13975" s="36" t="s">
        <v>54409</v>
      </c>
      <c r="G13975" s="39">
        <v>1481820.37</v>
      </c>
      <c r="H13975" s="42">
        <v>211</v>
      </c>
    </row>
    <row r="13976" spans="1:8" ht="15" customHeight="1">
      <c r="A13976" s="26">
        <v>1055312457</v>
      </c>
      <c r="B13976" s="29" t="s">
        <v>16184</v>
      </c>
      <c r="C13976" s="29" t="s">
        <v>29471</v>
      </c>
      <c r="D13976" s="29" t="s">
        <v>43005</v>
      </c>
      <c r="E13976" s="29" t="s">
        <v>44264</v>
      </c>
      <c r="F13976" s="36" t="s">
        <v>54401</v>
      </c>
      <c r="G13976" s="39">
        <v>1883719.17</v>
      </c>
      <c r="H13976" s="42">
        <v>211</v>
      </c>
    </row>
    <row r="13977" spans="1:8" ht="15" customHeight="1">
      <c r="A13977" s="26">
        <v>1055312459</v>
      </c>
      <c r="B13977" s="29" t="s">
        <v>16185</v>
      </c>
      <c r="C13977" s="29" t="s">
        <v>29472</v>
      </c>
      <c r="D13977" s="29" t="s">
        <v>43006</v>
      </c>
      <c r="E13977" s="29" t="s">
        <v>44746</v>
      </c>
      <c r="F13977" s="36" t="s">
        <v>54401</v>
      </c>
      <c r="G13977" s="39">
        <v>292610.23</v>
      </c>
      <c r="H13977" s="42">
        <v>211</v>
      </c>
    </row>
    <row r="13978" spans="1:8" ht="15" customHeight="1">
      <c r="A13978" s="26">
        <v>1055312471</v>
      </c>
      <c r="B13978" s="29" t="s">
        <v>16186</v>
      </c>
      <c r="C13978" s="29" t="s">
        <v>29473</v>
      </c>
      <c r="D13978" s="29" t="s">
        <v>43007</v>
      </c>
      <c r="E13978" s="29" t="s">
        <v>53807</v>
      </c>
      <c r="F13978" s="36" t="s">
        <v>54401</v>
      </c>
      <c r="G13978" s="39">
        <v>66990.86</v>
      </c>
      <c r="H13978" s="42">
        <v>211</v>
      </c>
    </row>
    <row r="13979" spans="1:8" ht="15" customHeight="1">
      <c r="A13979" s="26">
        <v>1055312487</v>
      </c>
      <c r="B13979" s="29" t="s">
        <v>16187</v>
      </c>
      <c r="C13979" s="29" t="s">
        <v>29474</v>
      </c>
      <c r="D13979" s="29" t="s">
        <v>43008</v>
      </c>
      <c r="E13979" s="29" t="s">
        <v>53808</v>
      </c>
      <c r="F13979" s="36" t="s">
        <v>54401</v>
      </c>
      <c r="G13979" s="39">
        <v>584327.54</v>
      </c>
      <c r="H13979" s="42">
        <v>211</v>
      </c>
    </row>
    <row r="13980" spans="1:8" ht="15" customHeight="1">
      <c r="A13980" s="26">
        <v>1055312496</v>
      </c>
      <c r="B13980" s="29" t="s">
        <v>16188</v>
      </c>
      <c r="C13980" s="29" t="s">
        <v>29475</v>
      </c>
      <c r="D13980" s="29" t="s">
        <v>43009</v>
      </c>
      <c r="E13980" s="29" t="s">
        <v>53809</v>
      </c>
      <c r="F13980" s="36" t="s">
        <v>54401</v>
      </c>
      <c r="G13980" s="39">
        <v>2240303.27</v>
      </c>
      <c r="H13980" s="42">
        <v>211</v>
      </c>
    </row>
    <row r="13981" spans="1:8" ht="15" customHeight="1">
      <c r="A13981" s="26">
        <v>1055312520</v>
      </c>
      <c r="B13981" s="29" t="s">
        <v>16189</v>
      </c>
      <c r="C13981" s="29" t="s">
        <v>29476</v>
      </c>
      <c r="D13981" s="29" t="s">
        <v>43010</v>
      </c>
      <c r="E13981" s="29" t="s">
        <v>51158</v>
      </c>
      <c r="F13981" s="36" t="s">
        <v>54401</v>
      </c>
      <c r="G13981" s="39">
        <v>4057977.75</v>
      </c>
      <c r="H13981" s="42">
        <v>211</v>
      </c>
    </row>
    <row r="13982" spans="1:8" ht="15" customHeight="1">
      <c r="A13982" s="26">
        <v>1055312536</v>
      </c>
      <c r="B13982" s="29" t="s">
        <v>16190</v>
      </c>
      <c r="C13982" s="29" t="s">
        <v>17204</v>
      </c>
      <c r="D13982" s="29" t="s">
        <v>43011</v>
      </c>
      <c r="E13982" s="29" t="s">
        <v>53810</v>
      </c>
      <c r="F13982" s="36" t="s">
        <v>54409</v>
      </c>
      <c r="G13982" s="39">
        <v>610849.26</v>
      </c>
      <c r="H13982" s="42">
        <v>211</v>
      </c>
    </row>
    <row r="13983" spans="1:8" ht="15" customHeight="1">
      <c r="A13983" s="26">
        <v>1055312575</v>
      </c>
      <c r="B13983" s="29" t="s">
        <v>16191</v>
      </c>
      <c r="C13983" s="29" t="s">
        <v>29477</v>
      </c>
      <c r="D13983" s="29" t="s">
        <v>43012</v>
      </c>
      <c r="E13983" s="29" t="s">
        <v>53811</v>
      </c>
      <c r="F13983" s="36" t="s">
        <v>54401</v>
      </c>
      <c r="G13983" s="39">
        <v>1589940.58</v>
      </c>
      <c r="H13983" s="42">
        <v>211</v>
      </c>
    </row>
    <row r="13984" spans="1:8" ht="15" customHeight="1">
      <c r="A13984" s="26">
        <v>1055312588</v>
      </c>
      <c r="B13984" s="29" t="s">
        <v>16192</v>
      </c>
      <c r="C13984" s="29" t="s">
        <v>29478</v>
      </c>
      <c r="D13984" s="29" t="s">
        <v>43013</v>
      </c>
      <c r="E13984" s="29" t="s">
        <v>53812</v>
      </c>
      <c r="F13984" s="36" t="s">
        <v>54401</v>
      </c>
      <c r="G13984" s="39">
        <v>153068.85999999999</v>
      </c>
      <c r="H13984" s="42">
        <v>211</v>
      </c>
    </row>
    <row r="13985" spans="1:8" ht="15" customHeight="1">
      <c r="A13985" s="26">
        <v>1055312593</v>
      </c>
      <c r="B13985" s="29" t="s">
        <v>16193</v>
      </c>
      <c r="C13985" s="29" t="s">
        <v>29479</v>
      </c>
      <c r="D13985" s="29" t="s">
        <v>43014</v>
      </c>
      <c r="E13985" s="29" t="s">
        <v>53813</v>
      </c>
      <c r="F13985" s="36" t="s">
        <v>54409</v>
      </c>
      <c r="G13985" s="39">
        <v>8155759.2000000002</v>
      </c>
      <c r="H13985" s="42">
        <v>211</v>
      </c>
    </row>
    <row r="13986" spans="1:8" ht="15" customHeight="1">
      <c r="A13986" s="26">
        <v>1055312629</v>
      </c>
      <c r="B13986" s="29" t="s">
        <v>16194</v>
      </c>
      <c r="C13986" s="26" t="s">
        <v>17204</v>
      </c>
      <c r="D13986" s="26" t="s">
        <v>30349</v>
      </c>
      <c r="E13986" s="26" t="s">
        <v>43926</v>
      </c>
      <c r="F13986" s="37" t="s">
        <v>54401</v>
      </c>
      <c r="G13986" s="39">
        <v>1054070.3999999999</v>
      </c>
      <c r="H13986" s="42">
        <v>211</v>
      </c>
    </row>
    <row r="13987" spans="1:8" ht="15" customHeight="1">
      <c r="A13987" s="26">
        <v>1055312672</v>
      </c>
      <c r="B13987" s="29" t="s">
        <v>16195</v>
      </c>
      <c r="C13987" s="29" t="s">
        <v>29480</v>
      </c>
      <c r="D13987" s="29" t="s">
        <v>43015</v>
      </c>
      <c r="E13987" s="29" t="s">
        <v>43926</v>
      </c>
      <c r="F13987" s="36" t="s">
        <v>54401</v>
      </c>
      <c r="G13987" s="39">
        <v>95029.07</v>
      </c>
      <c r="H13987" s="42">
        <v>211</v>
      </c>
    </row>
    <row r="13988" spans="1:8" ht="15" customHeight="1">
      <c r="A13988" s="26">
        <v>1055312677</v>
      </c>
      <c r="B13988" s="29" t="s">
        <v>16196</v>
      </c>
      <c r="C13988" s="29" t="s">
        <v>29481</v>
      </c>
      <c r="D13988" s="29" t="s">
        <v>43016</v>
      </c>
      <c r="E13988" s="29" t="s">
        <v>53814</v>
      </c>
      <c r="F13988" s="36" t="s">
        <v>54401</v>
      </c>
      <c r="G13988" s="39">
        <v>4853684.71</v>
      </c>
      <c r="H13988" s="42">
        <v>211</v>
      </c>
    </row>
    <row r="13989" spans="1:8" ht="15" customHeight="1">
      <c r="A13989" s="26">
        <v>1055312699</v>
      </c>
      <c r="B13989" s="29" t="s">
        <v>16197</v>
      </c>
      <c r="C13989" s="29" t="s">
        <v>29482</v>
      </c>
      <c r="D13989" s="29" t="s">
        <v>43017</v>
      </c>
      <c r="E13989" s="29" t="s">
        <v>53815</v>
      </c>
      <c r="F13989" s="36" t="s">
        <v>54412</v>
      </c>
      <c r="G13989" s="39">
        <v>567140.25</v>
      </c>
      <c r="H13989" s="42">
        <v>211</v>
      </c>
    </row>
    <row r="13990" spans="1:8" ht="15" customHeight="1">
      <c r="A13990" s="26">
        <v>1055312712</v>
      </c>
      <c r="B13990" s="29" t="s">
        <v>16198</v>
      </c>
      <c r="C13990" s="26" t="s">
        <v>29483</v>
      </c>
      <c r="D13990" s="26" t="s">
        <v>43018</v>
      </c>
      <c r="E13990" s="26" t="s">
        <v>43926</v>
      </c>
      <c r="F13990" s="37" t="s">
        <v>54401</v>
      </c>
      <c r="G13990" s="39">
        <v>3983210.75</v>
      </c>
      <c r="H13990" s="42">
        <v>211</v>
      </c>
    </row>
    <row r="13991" spans="1:8" ht="15" customHeight="1">
      <c r="A13991" s="26">
        <v>1055312778</v>
      </c>
      <c r="B13991" s="29" t="s">
        <v>16199</v>
      </c>
      <c r="C13991" s="29" t="s">
        <v>17204</v>
      </c>
      <c r="D13991" s="29" t="s">
        <v>43019</v>
      </c>
      <c r="E13991" s="29" t="s">
        <v>43926</v>
      </c>
      <c r="F13991" s="36" t="s">
        <v>54401</v>
      </c>
      <c r="G13991" s="39">
        <v>266397.02</v>
      </c>
      <c r="H13991" s="42">
        <v>211</v>
      </c>
    </row>
    <row r="13992" spans="1:8" ht="15" customHeight="1">
      <c r="A13992" s="26">
        <v>1055312785</v>
      </c>
      <c r="B13992" s="29" t="s">
        <v>16200</v>
      </c>
      <c r="C13992" s="29" t="s">
        <v>29484</v>
      </c>
      <c r="D13992" s="29" t="s">
        <v>43020</v>
      </c>
      <c r="E13992" s="29" t="s">
        <v>53816</v>
      </c>
      <c r="F13992" s="36" t="s">
        <v>54401</v>
      </c>
      <c r="G13992" s="39">
        <v>2341423.21</v>
      </c>
      <c r="H13992" s="42">
        <v>211</v>
      </c>
    </row>
    <row r="13993" spans="1:8" ht="15" customHeight="1">
      <c r="A13993" s="26">
        <v>1055312792</v>
      </c>
      <c r="B13993" s="29" t="s">
        <v>16201</v>
      </c>
      <c r="C13993" s="29" t="s">
        <v>18213</v>
      </c>
      <c r="D13993" s="29" t="s">
        <v>31364</v>
      </c>
      <c r="E13993" s="29" t="s">
        <v>53817</v>
      </c>
      <c r="F13993" s="36" t="s">
        <v>54401</v>
      </c>
      <c r="G13993" s="39">
        <v>3861938</v>
      </c>
      <c r="H13993" s="42">
        <v>211</v>
      </c>
    </row>
    <row r="13994" spans="1:8" ht="15" customHeight="1">
      <c r="A13994" s="26">
        <v>1055312795</v>
      </c>
      <c r="B13994" s="29" t="s">
        <v>16202</v>
      </c>
      <c r="C13994" s="29" t="s">
        <v>29485</v>
      </c>
      <c r="D13994" s="29" t="s">
        <v>43021</v>
      </c>
      <c r="E13994" s="29" t="s">
        <v>717</v>
      </c>
      <c r="F13994" s="36" t="s">
        <v>54409</v>
      </c>
      <c r="G13994" s="39">
        <v>1434796.84</v>
      </c>
      <c r="H13994" s="42">
        <v>211</v>
      </c>
    </row>
    <row r="13995" spans="1:8" ht="15" customHeight="1">
      <c r="A13995" s="26">
        <v>1055312808</v>
      </c>
      <c r="B13995" s="29" t="s">
        <v>16203</v>
      </c>
      <c r="C13995" s="29" t="s">
        <v>29486</v>
      </c>
      <c r="D13995" s="29" t="s">
        <v>43022</v>
      </c>
      <c r="E13995" s="29" t="s">
        <v>43926</v>
      </c>
      <c r="F13995" s="36" t="s">
        <v>54401</v>
      </c>
      <c r="G13995" s="39">
        <v>3364763</v>
      </c>
      <c r="H13995" s="42">
        <v>211</v>
      </c>
    </row>
    <row r="13996" spans="1:8" ht="15" customHeight="1">
      <c r="A13996" s="26">
        <v>1055312910</v>
      </c>
      <c r="B13996" s="29" t="s">
        <v>16204</v>
      </c>
      <c r="C13996" s="29" t="s">
        <v>29487</v>
      </c>
      <c r="D13996" s="29" t="s">
        <v>43023</v>
      </c>
      <c r="E13996" s="29" t="s">
        <v>44264</v>
      </c>
      <c r="F13996" s="36" t="s">
        <v>54401</v>
      </c>
      <c r="G13996" s="39">
        <v>189201.68</v>
      </c>
      <c r="H13996" s="42">
        <v>211</v>
      </c>
    </row>
    <row r="13997" spans="1:8" ht="15" customHeight="1">
      <c r="A13997" s="26">
        <v>1055312952</v>
      </c>
      <c r="B13997" s="29" t="s">
        <v>16205</v>
      </c>
      <c r="C13997" s="29" t="s">
        <v>17204</v>
      </c>
      <c r="D13997" s="29" t="s">
        <v>30349</v>
      </c>
      <c r="E13997" s="29" t="s">
        <v>43926</v>
      </c>
      <c r="F13997" s="36" t="s">
        <v>54401</v>
      </c>
      <c r="G13997" s="39">
        <v>353200.25</v>
      </c>
      <c r="H13997" s="42">
        <v>211</v>
      </c>
    </row>
    <row r="13998" spans="1:8" ht="15" customHeight="1">
      <c r="A13998" s="26">
        <v>1055312965</v>
      </c>
      <c r="B13998" s="29" t="s">
        <v>16206</v>
      </c>
      <c r="C13998" s="26" t="s">
        <v>17204</v>
      </c>
      <c r="D13998" s="26" t="s">
        <v>43024</v>
      </c>
      <c r="E13998" s="26" t="s">
        <v>53818</v>
      </c>
      <c r="F13998" s="37" t="s">
        <v>54401</v>
      </c>
      <c r="G13998" s="39">
        <v>2351596</v>
      </c>
      <c r="H13998" s="42">
        <v>211</v>
      </c>
    </row>
    <row r="13999" spans="1:8" ht="15" customHeight="1">
      <c r="A13999" s="26">
        <v>1055313025</v>
      </c>
      <c r="B13999" s="29" t="s">
        <v>16207</v>
      </c>
      <c r="C13999" s="29" t="s">
        <v>29488</v>
      </c>
      <c r="D13999" s="29" t="s">
        <v>43025</v>
      </c>
      <c r="E13999" s="29" t="s">
        <v>53819</v>
      </c>
      <c r="F13999" s="36" t="s">
        <v>54409</v>
      </c>
      <c r="G13999" s="39">
        <v>3214766.15</v>
      </c>
      <c r="H13999" s="42">
        <v>211</v>
      </c>
    </row>
    <row r="14000" spans="1:8" ht="15" customHeight="1">
      <c r="A14000" s="26">
        <v>1055313038</v>
      </c>
      <c r="B14000" s="29" t="s">
        <v>16208</v>
      </c>
      <c r="C14000" s="29" t="s">
        <v>29489</v>
      </c>
      <c r="D14000" s="29" t="s">
        <v>43026</v>
      </c>
      <c r="E14000" s="29" t="s">
        <v>47257</v>
      </c>
      <c r="F14000" s="36" t="s">
        <v>54401</v>
      </c>
      <c r="G14000" s="39">
        <v>944093.33</v>
      </c>
      <c r="H14000" s="42">
        <v>211</v>
      </c>
    </row>
    <row r="14001" spans="1:8" ht="15" customHeight="1">
      <c r="A14001" s="26">
        <v>1055313055</v>
      </c>
      <c r="B14001" s="29" t="s">
        <v>16209</v>
      </c>
      <c r="C14001" s="26" t="s">
        <v>29490</v>
      </c>
      <c r="D14001" s="26" t="s">
        <v>43027</v>
      </c>
      <c r="E14001" s="26" t="s">
        <v>43926</v>
      </c>
      <c r="F14001" s="37" t="s">
        <v>54401</v>
      </c>
      <c r="G14001" s="39">
        <v>508651.81</v>
      </c>
      <c r="H14001" s="42">
        <v>211</v>
      </c>
    </row>
    <row r="14002" spans="1:8" ht="15" customHeight="1">
      <c r="A14002" s="26">
        <v>1055313059</v>
      </c>
      <c r="B14002" s="29" t="s">
        <v>16210</v>
      </c>
      <c r="C14002" s="29" t="s">
        <v>29491</v>
      </c>
      <c r="D14002" s="29" t="s">
        <v>43028</v>
      </c>
      <c r="E14002" s="29" t="s">
        <v>53820</v>
      </c>
      <c r="F14002" s="36" t="s">
        <v>54401</v>
      </c>
      <c r="G14002" s="39">
        <v>1692776.2</v>
      </c>
      <c r="H14002" s="42">
        <v>211</v>
      </c>
    </row>
    <row r="14003" spans="1:8" ht="15" customHeight="1">
      <c r="A14003" s="26">
        <v>1055313069</v>
      </c>
      <c r="B14003" s="29" t="s">
        <v>16211</v>
      </c>
      <c r="C14003" s="29" t="s">
        <v>29492</v>
      </c>
      <c r="D14003" s="29" t="s">
        <v>43029</v>
      </c>
      <c r="E14003" s="29" t="s">
        <v>53821</v>
      </c>
      <c r="F14003" s="36" t="s">
        <v>54409</v>
      </c>
      <c r="G14003" s="39">
        <v>6258894.5</v>
      </c>
      <c r="H14003" s="42">
        <v>211</v>
      </c>
    </row>
    <row r="14004" spans="1:8" ht="15" customHeight="1">
      <c r="A14004" s="26">
        <v>1055313127</v>
      </c>
      <c r="B14004" s="29" t="s">
        <v>16212</v>
      </c>
      <c r="C14004" s="29" t="s">
        <v>29493</v>
      </c>
      <c r="D14004" s="29" t="s">
        <v>43030</v>
      </c>
      <c r="E14004" s="29" t="s">
        <v>43926</v>
      </c>
      <c r="F14004" s="36" t="s">
        <v>54401</v>
      </c>
      <c r="G14004" s="39">
        <v>279859.24</v>
      </c>
      <c r="H14004" s="42">
        <v>211</v>
      </c>
    </row>
    <row r="14005" spans="1:8" ht="15" customHeight="1">
      <c r="A14005" s="26">
        <v>1055313141</v>
      </c>
      <c r="B14005" s="29" t="s">
        <v>16213</v>
      </c>
      <c r="C14005" s="26" t="s">
        <v>29494</v>
      </c>
      <c r="D14005" s="26" t="s">
        <v>43031</v>
      </c>
      <c r="E14005" s="26" t="s">
        <v>43926</v>
      </c>
      <c r="F14005" s="37" t="s">
        <v>54401</v>
      </c>
      <c r="G14005" s="39">
        <v>3450444.43</v>
      </c>
      <c r="H14005" s="42">
        <v>211</v>
      </c>
    </row>
    <row r="14006" spans="1:8" ht="15" customHeight="1">
      <c r="A14006" s="26">
        <v>1055313161</v>
      </c>
      <c r="B14006" s="29" t="s">
        <v>16214</v>
      </c>
      <c r="C14006" s="29" t="s">
        <v>29495</v>
      </c>
      <c r="D14006" s="29" t="s">
        <v>43032</v>
      </c>
      <c r="E14006" s="29" t="s">
        <v>45795</v>
      </c>
      <c r="F14006" s="36" t="s">
        <v>54409</v>
      </c>
      <c r="G14006" s="39">
        <v>976839.42</v>
      </c>
      <c r="H14006" s="42">
        <v>211</v>
      </c>
    </row>
    <row r="14007" spans="1:8" ht="15" customHeight="1">
      <c r="A14007" s="26">
        <v>1055313181</v>
      </c>
      <c r="B14007" s="29" t="s">
        <v>16215</v>
      </c>
      <c r="C14007" s="26" t="s">
        <v>29496</v>
      </c>
      <c r="D14007" s="26" t="s">
        <v>43033</v>
      </c>
      <c r="E14007" s="26" t="s">
        <v>53822</v>
      </c>
      <c r="F14007" s="37" t="s">
        <v>54401</v>
      </c>
      <c r="G14007" s="39">
        <v>3558183.83</v>
      </c>
      <c r="H14007" s="42">
        <v>211</v>
      </c>
    </row>
    <row r="14008" spans="1:8" ht="15" customHeight="1">
      <c r="A14008" s="26">
        <v>1055313197</v>
      </c>
      <c r="B14008" s="29" t="s">
        <v>16216</v>
      </c>
      <c r="C14008" s="29" t="s">
        <v>29497</v>
      </c>
      <c r="D14008" s="29" t="s">
        <v>43034</v>
      </c>
      <c r="E14008" s="29" t="s">
        <v>43926</v>
      </c>
      <c r="F14008" s="36" t="s">
        <v>54401</v>
      </c>
      <c r="G14008" s="39">
        <v>341679.67</v>
      </c>
      <c r="H14008" s="42">
        <v>211</v>
      </c>
    </row>
    <row r="14009" spans="1:8" ht="15" customHeight="1">
      <c r="A14009" s="26">
        <v>1055313203</v>
      </c>
      <c r="B14009" s="29" t="s">
        <v>16217</v>
      </c>
      <c r="C14009" s="29" t="s">
        <v>17204</v>
      </c>
      <c r="D14009" s="29" t="s">
        <v>30349</v>
      </c>
      <c r="E14009" s="29" t="s">
        <v>43926</v>
      </c>
      <c r="F14009" s="36" t="s">
        <v>54401</v>
      </c>
      <c r="G14009" s="39">
        <v>47966.37</v>
      </c>
      <c r="H14009" s="42">
        <v>211</v>
      </c>
    </row>
    <row r="14010" spans="1:8" ht="15" customHeight="1">
      <c r="A14010" s="26">
        <v>1055313210</v>
      </c>
      <c r="B14010" s="29" t="s">
        <v>16218</v>
      </c>
      <c r="C14010" s="26" t="s">
        <v>29498</v>
      </c>
      <c r="D14010" s="26" t="s">
        <v>43035</v>
      </c>
      <c r="E14010" s="26" t="s">
        <v>44178</v>
      </c>
      <c r="F14010" s="37" t="s">
        <v>54401</v>
      </c>
      <c r="G14010" s="39">
        <v>4172294</v>
      </c>
      <c r="H14010" s="42">
        <v>211</v>
      </c>
    </row>
    <row r="14011" spans="1:8" ht="15" customHeight="1">
      <c r="A14011" s="26">
        <v>1055313234</v>
      </c>
      <c r="B14011" s="29" t="s">
        <v>16219</v>
      </c>
      <c r="C14011" s="26" t="s">
        <v>29499</v>
      </c>
      <c r="D14011" s="26" t="s">
        <v>43036</v>
      </c>
      <c r="E14011" s="26" t="s">
        <v>717</v>
      </c>
      <c r="F14011" s="37" t="s">
        <v>54401</v>
      </c>
      <c r="G14011" s="39">
        <v>2555810.5099999998</v>
      </c>
      <c r="H14011" s="42">
        <v>211</v>
      </c>
    </row>
    <row r="14012" spans="1:8" ht="15" customHeight="1">
      <c r="A14012" s="26">
        <v>1055313241</v>
      </c>
      <c r="B14012" s="29" t="s">
        <v>16220</v>
      </c>
      <c r="C14012" s="29" t="s">
        <v>29500</v>
      </c>
      <c r="D14012" s="29" t="s">
        <v>43037</v>
      </c>
      <c r="E14012" s="29" t="s">
        <v>53823</v>
      </c>
      <c r="F14012" s="36" t="s">
        <v>54401</v>
      </c>
      <c r="G14012" s="39">
        <v>110541.52</v>
      </c>
      <c r="H14012" s="42">
        <v>211</v>
      </c>
    </row>
    <row r="14013" spans="1:8" ht="15" customHeight="1">
      <c r="A14013" s="26">
        <v>1055313249</v>
      </c>
      <c r="B14013" s="29" t="s">
        <v>16221</v>
      </c>
      <c r="C14013" s="29" t="s">
        <v>29501</v>
      </c>
      <c r="D14013" s="29" t="s">
        <v>30608</v>
      </c>
      <c r="E14013" s="29" t="s">
        <v>44157</v>
      </c>
      <c r="F14013" s="36" t="s">
        <v>54401</v>
      </c>
      <c r="G14013" s="39">
        <v>5645606.2999999998</v>
      </c>
      <c r="H14013" s="42">
        <v>211</v>
      </c>
    </row>
    <row r="14014" spans="1:8" ht="15" customHeight="1">
      <c r="A14014" s="26">
        <v>1055313296</v>
      </c>
      <c r="B14014" s="29" t="s">
        <v>16222</v>
      </c>
      <c r="C14014" s="29" t="s">
        <v>29502</v>
      </c>
      <c r="D14014" s="29" t="s">
        <v>43038</v>
      </c>
      <c r="E14014" s="29" t="s">
        <v>53824</v>
      </c>
      <c r="F14014" s="36" t="s">
        <v>54401</v>
      </c>
      <c r="G14014" s="39">
        <v>2071574.81</v>
      </c>
      <c r="H14014" s="42">
        <v>211</v>
      </c>
    </row>
    <row r="14015" spans="1:8" ht="15" customHeight="1">
      <c r="A14015" s="26">
        <v>1055313305</v>
      </c>
      <c r="B14015" s="29" t="s">
        <v>16223</v>
      </c>
      <c r="C14015" s="29" t="s">
        <v>17204</v>
      </c>
      <c r="D14015" s="29" t="s">
        <v>43039</v>
      </c>
      <c r="E14015" s="29" t="s">
        <v>43926</v>
      </c>
      <c r="F14015" s="36" t="s">
        <v>54401</v>
      </c>
      <c r="G14015" s="39">
        <v>1073644.02</v>
      </c>
      <c r="H14015" s="42">
        <v>211</v>
      </c>
    </row>
    <row r="14016" spans="1:8" ht="15" customHeight="1">
      <c r="A14016" s="26">
        <v>1055313307</v>
      </c>
      <c r="B14016" s="29" t="s">
        <v>16224</v>
      </c>
      <c r="C14016" s="29" t="s">
        <v>29503</v>
      </c>
      <c r="D14016" s="29" t="s">
        <v>43040</v>
      </c>
      <c r="E14016" s="29" t="s">
        <v>53825</v>
      </c>
      <c r="F14016" s="36" t="s">
        <v>54401</v>
      </c>
      <c r="G14016" s="39">
        <v>3976196.95</v>
      </c>
      <c r="H14016" s="42">
        <v>211</v>
      </c>
    </row>
    <row r="14017" spans="1:8" ht="15" customHeight="1">
      <c r="A14017" s="26">
        <v>1055313364</v>
      </c>
      <c r="B14017" s="29" t="s">
        <v>16225</v>
      </c>
      <c r="C14017" s="29" t="s">
        <v>29504</v>
      </c>
      <c r="D14017" s="29" t="s">
        <v>43041</v>
      </c>
      <c r="E14017" s="29" t="s">
        <v>53826</v>
      </c>
      <c r="F14017" s="36" t="s">
        <v>54401</v>
      </c>
      <c r="G14017" s="39">
        <v>1318712.6599999999</v>
      </c>
      <c r="H14017" s="42">
        <v>211</v>
      </c>
    </row>
    <row r="14018" spans="1:8" ht="15" customHeight="1">
      <c r="A14018" s="26">
        <v>1055313403</v>
      </c>
      <c r="B14018" s="29" t="s">
        <v>16226</v>
      </c>
      <c r="C14018" s="29" t="s">
        <v>29505</v>
      </c>
      <c r="D14018" s="29" t="s">
        <v>43042</v>
      </c>
      <c r="E14018" s="29" t="s">
        <v>53827</v>
      </c>
      <c r="F14018" s="36" t="s">
        <v>54409</v>
      </c>
      <c r="G14018" s="39">
        <v>4160760</v>
      </c>
      <c r="H14018" s="42">
        <v>211</v>
      </c>
    </row>
    <row r="14019" spans="1:8" ht="15" customHeight="1">
      <c r="A14019" s="26">
        <v>1055313406</v>
      </c>
      <c r="B14019" s="29" t="s">
        <v>16227</v>
      </c>
      <c r="C14019" s="26" t="s">
        <v>29506</v>
      </c>
      <c r="D14019" s="26" t="s">
        <v>43043</v>
      </c>
      <c r="E14019" s="26" t="s">
        <v>53828</v>
      </c>
      <c r="F14019" s="37" t="s">
        <v>54401</v>
      </c>
      <c r="G14019" s="39">
        <v>302267.05</v>
      </c>
      <c r="H14019" s="42">
        <v>211</v>
      </c>
    </row>
    <row r="14020" spans="1:8" ht="15" customHeight="1">
      <c r="A14020" s="26">
        <v>1055313420</v>
      </c>
      <c r="B14020" s="29" t="s">
        <v>16228</v>
      </c>
      <c r="C14020" s="29" t="s">
        <v>17204</v>
      </c>
      <c r="D14020" s="29" t="s">
        <v>43044</v>
      </c>
      <c r="E14020" s="29" t="s">
        <v>43926</v>
      </c>
      <c r="F14020" s="36" t="s">
        <v>54401</v>
      </c>
      <c r="G14020" s="39">
        <v>157838.24</v>
      </c>
      <c r="H14020" s="42">
        <v>211</v>
      </c>
    </row>
    <row r="14021" spans="1:8" ht="15" customHeight="1">
      <c r="A14021" s="26">
        <v>1055313422</v>
      </c>
      <c r="B14021" s="29" t="s">
        <v>16229</v>
      </c>
      <c r="C14021" s="26" t="s">
        <v>29507</v>
      </c>
      <c r="D14021" s="26" t="s">
        <v>43045</v>
      </c>
      <c r="E14021" s="26" t="s">
        <v>53829</v>
      </c>
      <c r="F14021" s="37" t="s">
        <v>54401</v>
      </c>
      <c r="G14021" s="39">
        <v>4011833.45</v>
      </c>
      <c r="H14021" s="42">
        <v>211</v>
      </c>
    </row>
    <row r="14022" spans="1:8" ht="15" customHeight="1">
      <c r="A14022" s="26">
        <v>1055313431</v>
      </c>
      <c r="B14022" s="29" t="s">
        <v>16230</v>
      </c>
      <c r="C14022" s="26" t="s">
        <v>29508</v>
      </c>
      <c r="D14022" s="26" t="s">
        <v>30376</v>
      </c>
      <c r="E14022" s="26" t="s">
        <v>53830</v>
      </c>
      <c r="F14022" s="37" t="s">
        <v>54401</v>
      </c>
      <c r="G14022" s="39">
        <v>934821.79</v>
      </c>
      <c r="H14022" s="42">
        <v>211</v>
      </c>
    </row>
    <row r="14023" spans="1:8" ht="15" customHeight="1">
      <c r="A14023" s="26">
        <v>1055313448</v>
      </c>
      <c r="B14023" s="29" t="s">
        <v>16231</v>
      </c>
      <c r="C14023" s="29" t="s">
        <v>17204</v>
      </c>
      <c r="D14023" s="29" t="s">
        <v>43046</v>
      </c>
      <c r="E14023" s="29" t="s">
        <v>43926</v>
      </c>
      <c r="F14023" s="36" t="s">
        <v>54401</v>
      </c>
      <c r="G14023" s="39">
        <v>285951.73</v>
      </c>
      <c r="H14023" s="42">
        <v>211</v>
      </c>
    </row>
    <row r="14024" spans="1:8" ht="15" customHeight="1">
      <c r="A14024" s="26">
        <v>1055313559</v>
      </c>
      <c r="B14024" s="29" t="s">
        <v>16232</v>
      </c>
      <c r="C14024" s="29" t="s">
        <v>29509</v>
      </c>
      <c r="D14024" s="29" t="s">
        <v>43047</v>
      </c>
      <c r="E14024" s="29" t="s">
        <v>53831</v>
      </c>
      <c r="F14024" s="36" t="s">
        <v>54401</v>
      </c>
      <c r="G14024" s="39">
        <v>6401723.8499999996</v>
      </c>
      <c r="H14024" s="42">
        <v>211</v>
      </c>
    </row>
    <row r="14025" spans="1:8" ht="15" customHeight="1">
      <c r="A14025" s="26">
        <v>1055313601</v>
      </c>
      <c r="B14025" s="29" t="s">
        <v>16233</v>
      </c>
      <c r="C14025" s="29" t="s">
        <v>29510</v>
      </c>
      <c r="D14025" s="29" t="s">
        <v>43048</v>
      </c>
      <c r="E14025" s="29" t="s">
        <v>53832</v>
      </c>
      <c r="F14025" s="36" t="s">
        <v>54401</v>
      </c>
      <c r="G14025" s="39">
        <v>519418.51</v>
      </c>
      <c r="H14025" s="42">
        <v>211</v>
      </c>
    </row>
    <row r="14026" spans="1:8" ht="15" customHeight="1">
      <c r="A14026" s="26">
        <v>1055313616</v>
      </c>
      <c r="B14026" s="29" t="s">
        <v>16234</v>
      </c>
      <c r="C14026" s="29" t="s">
        <v>29511</v>
      </c>
      <c r="D14026" s="29" t="s">
        <v>43049</v>
      </c>
      <c r="E14026" s="29" t="s">
        <v>53833</v>
      </c>
      <c r="F14026" s="36" t="s">
        <v>54401</v>
      </c>
      <c r="G14026" s="39">
        <v>206259.46</v>
      </c>
      <c r="H14026" s="42">
        <v>211</v>
      </c>
    </row>
    <row r="14027" spans="1:8" ht="15" customHeight="1">
      <c r="A14027" s="26">
        <v>1055313643</v>
      </c>
      <c r="B14027" s="29" t="s">
        <v>16235</v>
      </c>
      <c r="C14027" s="29" t="s">
        <v>17204</v>
      </c>
      <c r="D14027" s="29" t="s">
        <v>30349</v>
      </c>
      <c r="E14027" s="29" t="s">
        <v>43926</v>
      </c>
      <c r="F14027" s="36" t="s">
        <v>54401</v>
      </c>
      <c r="G14027" s="39">
        <v>197521.8</v>
      </c>
      <c r="H14027" s="42">
        <v>211</v>
      </c>
    </row>
    <row r="14028" spans="1:8" ht="15" customHeight="1">
      <c r="A14028" s="26">
        <v>1055313647</v>
      </c>
      <c r="B14028" s="29" t="s">
        <v>16236</v>
      </c>
      <c r="C14028" s="29" t="s">
        <v>29512</v>
      </c>
      <c r="D14028" s="29" t="s">
        <v>43050</v>
      </c>
      <c r="E14028" s="29" t="s">
        <v>53834</v>
      </c>
      <c r="F14028" s="36" t="s">
        <v>54401</v>
      </c>
      <c r="G14028" s="39">
        <v>1600603.29</v>
      </c>
      <c r="H14028" s="42">
        <v>211</v>
      </c>
    </row>
    <row r="14029" spans="1:8" ht="15" customHeight="1">
      <c r="A14029" s="26">
        <v>1055313659</v>
      </c>
      <c r="B14029" s="29" t="s">
        <v>16237</v>
      </c>
      <c r="C14029" s="29" t="s">
        <v>29513</v>
      </c>
      <c r="D14029" s="29" t="s">
        <v>43051</v>
      </c>
      <c r="E14029" s="29" t="s">
        <v>53835</v>
      </c>
      <c r="F14029" s="36" t="s">
        <v>54401</v>
      </c>
      <c r="G14029" s="39">
        <v>452183.84</v>
      </c>
      <c r="H14029" s="42">
        <v>211</v>
      </c>
    </row>
    <row r="14030" spans="1:8" ht="15" customHeight="1">
      <c r="A14030" s="26">
        <v>1055313664</v>
      </c>
      <c r="B14030" s="29" t="s">
        <v>16238</v>
      </c>
      <c r="C14030" s="29" t="s">
        <v>29514</v>
      </c>
      <c r="D14030" s="29" t="s">
        <v>43052</v>
      </c>
      <c r="E14030" s="29" t="s">
        <v>53836</v>
      </c>
      <c r="F14030" s="36" t="s">
        <v>54401</v>
      </c>
      <c r="G14030" s="39">
        <v>2296743.81</v>
      </c>
      <c r="H14030" s="42">
        <v>211</v>
      </c>
    </row>
    <row r="14031" spans="1:8" ht="15" customHeight="1">
      <c r="A14031" s="26">
        <v>1055313736</v>
      </c>
      <c r="B14031" s="29" t="s">
        <v>16239</v>
      </c>
      <c r="C14031" s="29" t="s">
        <v>29515</v>
      </c>
      <c r="D14031" s="29" t="s">
        <v>43053</v>
      </c>
      <c r="E14031" s="29" t="s">
        <v>53837</v>
      </c>
      <c r="F14031" s="36" t="s">
        <v>54401</v>
      </c>
      <c r="G14031" s="39">
        <v>357940.97</v>
      </c>
      <c r="H14031" s="42">
        <v>211</v>
      </c>
    </row>
    <row r="14032" spans="1:8" ht="15" customHeight="1">
      <c r="A14032" s="26">
        <v>1055313746</v>
      </c>
      <c r="B14032" s="29" t="s">
        <v>16240</v>
      </c>
      <c r="C14032" s="29" t="s">
        <v>20218</v>
      </c>
      <c r="D14032" s="29" t="s">
        <v>43029</v>
      </c>
      <c r="E14032" s="29" t="s">
        <v>43926</v>
      </c>
      <c r="F14032" s="36" t="s">
        <v>54401</v>
      </c>
      <c r="G14032" s="39">
        <v>4294998.79</v>
      </c>
      <c r="H14032" s="42">
        <v>211</v>
      </c>
    </row>
    <row r="14033" spans="1:8" ht="15" customHeight="1">
      <c r="A14033" s="26">
        <v>1055313769</v>
      </c>
      <c r="B14033" s="29" t="s">
        <v>16241</v>
      </c>
      <c r="C14033" s="26" t="s">
        <v>29516</v>
      </c>
      <c r="D14033" s="26" t="s">
        <v>43054</v>
      </c>
      <c r="E14033" s="26" t="s">
        <v>43926</v>
      </c>
      <c r="F14033" s="37" t="s">
        <v>54401</v>
      </c>
      <c r="G14033" s="39">
        <v>1142669.78</v>
      </c>
      <c r="H14033" s="42">
        <v>211</v>
      </c>
    </row>
    <row r="14034" spans="1:8" ht="15" customHeight="1">
      <c r="A14034" s="26">
        <v>1055313845</v>
      </c>
      <c r="B14034" s="29" t="s">
        <v>16242</v>
      </c>
      <c r="C14034" s="29" t="s">
        <v>29517</v>
      </c>
      <c r="D14034" s="29" t="s">
        <v>43055</v>
      </c>
      <c r="E14034" s="29" t="s">
        <v>717</v>
      </c>
      <c r="F14034" s="36" t="s">
        <v>54401</v>
      </c>
      <c r="G14034" s="39">
        <v>1115323.08</v>
      </c>
      <c r="H14034" s="42">
        <v>211</v>
      </c>
    </row>
    <row r="14035" spans="1:8" ht="15" customHeight="1">
      <c r="A14035" s="26">
        <v>1055313981</v>
      </c>
      <c r="B14035" s="29" t="s">
        <v>16243</v>
      </c>
      <c r="C14035" s="29" t="s">
        <v>29518</v>
      </c>
      <c r="D14035" s="29" t="s">
        <v>43056</v>
      </c>
      <c r="E14035" s="29" t="s">
        <v>53838</v>
      </c>
      <c r="F14035" s="36" t="s">
        <v>54401</v>
      </c>
      <c r="G14035" s="39">
        <v>847637.75</v>
      </c>
      <c r="H14035" s="42">
        <v>211</v>
      </c>
    </row>
    <row r="14036" spans="1:8" ht="15" customHeight="1">
      <c r="A14036" s="26">
        <v>1055314005</v>
      </c>
      <c r="B14036" s="29" t="s">
        <v>16244</v>
      </c>
      <c r="C14036" s="29" t="s">
        <v>29519</v>
      </c>
      <c r="D14036" s="29" t="s">
        <v>43057</v>
      </c>
      <c r="E14036" s="29" t="s">
        <v>44911</v>
      </c>
      <c r="F14036" s="36" t="s">
        <v>54401</v>
      </c>
      <c r="G14036" s="39">
        <v>5294630</v>
      </c>
      <c r="H14036" s="42">
        <v>211</v>
      </c>
    </row>
    <row r="14037" spans="1:8" ht="15" customHeight="1">
      <c r="A14037" s="26">
        <v>1055314009</v>
      </c>
      <c r="B14037" s="29" t="s">
        <v>16245</v>
      </c>
      <c r="C14037" s="26" t="s">
        <v>29520</v>
      </c>
      <c r="D14037" s="26" t="s">
        <v>43058</v>
      </c>
      <c r="E14037" s="26" t="s">
        <v>43926</v>
      </c>
      <c r="F14037" s="37" t="s">
        <v>54401</v>
      </c>
      <c r="G14037" s="39">
        <v>121893.5</v>
      </c>
      <c r="H14037" s="42">
        <v>211</v>
      </c>
    </row>
    <row r="14038" spans="1:8" ht="15" customHeight="1">
      <c r="A14038" s="26">
        <v>1055314016</v>
      </c>
      <c r="B14038" s="29" t="s">
        <v>16246</v>
      </c>
      <c r="C14038" s="29" t="s">
        <v>29521</v>
      </c>
      <c r="D14038" s="29" t="s">
        <v>43059</v>
      </c>
      <c r="E14038" s="29" t="s">
        <v>48827</v>
      </c>
      <c r="F14038" s="36" t="s">
        <v>54401</v>
      </c>
      <c r="G14038" s="39">
        <v>565142.71</v>
      </c>
      <c r="H14038" s="42">
        <v>211</v>
      </c>
    </row>
    <row r="14039" spans="1:8" ht="15" customHeight="1">
      <c r="A14039" s="26">
        <v>1055314019</v>
      </c>
      <c r="B14039" s="29" t="s">
        <v>16247</v>
      </c>
      <c r="C14039" s="29" t="s">
        <v>29522</v>
      </c>
      <c r="D14039" s="29" t="s">
        <v>43060</v>
      </c>
      <c r="E14039" s="29" t="s">
        <v>53839</v>
      </c>
      <c r="F14039" s="36" t="s">
        <v>54401</v>
      </c>
      <c r="G14039" s="39">
        <v>8712.0400000000009</v>
      </c>
      <c r="H14039" s="42">
        <v>211</v>
      </c>
    </row>
    <row r="14040" spans="1:8" ht="15" customHeight="1">
      <c r="A14040" s="26">
        <v>1055314044</v>
      </c>
      <c r="B14040" s="29" t="s">
        <v>16248</v>
      </c>
      <c r="C14040" s="26" t="s">
        <v>29523</v>
      </c>
      <c r="D14040" s="26" t="s">
        <v>43061</v>
      </c>
      <c r="E14040" s="26" t="s">
        <v>53840</v>
      </c>
      <c r="F14040" s="37" t="s">
        <v>54409</v>
      </c>
      <c r="G14040" s="39">
        <v>595799.18000000005</v>
      </c>
      <c r="H14040" s="42">
        <v>211</v>
      </c>
    </row>
    <row r="14041" spans="1:8" ht="15" customHeight="1">
      <c r="A14041" s="26">
        <v>1055314047</v>
      </c>
      <c r="B14041" s="29" t="s">
        <v>16249</v>
      </c>
      <c r="C14041" s="29" t="s">
        <v>29524</v>
      </c>
      <c r="D14041" s="29" t="s">
        <v>43062</v>
      </c>
      <c r="E14041" s="29" t="s">
        <v>717</v>
      </c>
      <c r="F14041" s="36" t="s">
        <v>54401</v>
      </c>
      <c r="G14041" s="39">
        <v>167746.72</v>
      </c>
      <c r="H14041" s="42">
        <v>211</v>
      </c>
    </row>
    <row r="14042" spans="1:8" ht="15" customHeight="1">
      <c r="A14042" s="26">
        <v>1055314048</v>
      </c>
      <c r="B14042" s="29" t="s">
        <v>16250</v>
      </c>
      <c r="C14042" s="29" t="s">
        <v>29525</v>
      </c>
      <c r="D14042" s="29" t="s">
        <v>43063</v>
      </c>
      <c r="E14042" s="29" t="s">
        <v>48386</v>
      </c>
      <c r="F14042" s="36" t="s">
        <v>54401</v>
      </c>
      <c r="G14042" s="39">
        <v>2440764</v>
      </c>
      <c r="H14042" s="42">
        <v>211</v>
      </c>
    </row>
    <row r="14043" spans="1:8" ht="15" customHeight="1">
      <c r="A14043" s="26">
        <v>1055314083</v>
      </c>
      <c r="B14043" s="29" t="s">
        <v>16251</v>
      </c>
      <c r="C14043" s="29" t="s">
        <v>29526</v>
      </c>
      <c r="D14043" s="29" t="s">
        <v>43064</v>
      </c>
      <c r="E14043" s="29" t="s">
        <v>53841</v>
      </c>
      <c r="F14043" s="36" t="s">
        <v>54401</v>
      </c>
      <c r="G14043" s="39">
        <v>1022310.42</v>
      </c>
      <c r="H14043" s="42">
        <v>211</v>
      </c>
    </row>
    <row r="14044" spans="1:8" ht="15" customHeight="1">
      <c r="A14044" s="26">
        <v>1055314091</v>
      </c>
      <c r="B14044" s="29" t="s">
        <v>16252</v>
      </c>
      <c r="C14044" s="29" t="s">
        <v>29527</v>
      </c>
      <c r="D14044" s="29" t="s">
        <v>43065</v>
      </c>
      <c r="E14044" s="29" t="s">
        <v>53842</v>
      </c>
      <c r="F14044" s="36" t="s">
        <v>54401</v>
      </c>
      <c r="G14044" s="39">
        <v>2699442.4</v>
      </c>
      <c r="H14044" s="42">
        <v>211</v>
      </c>
    </row>
    <row r="14045" spans="1:8" ht="15" customHeight="1">
      <c r="A14045" s="26">
        <v>1055314097</v>
      </c>
      <c r="B14045" s="29" t="s">
        <v>16253</v>
      </c>
      <c r="C14045" s="29" t="s">
        <v>29528</v>
      </c>
      <c r="D14045" s="29" t="s">
        <v>43066</v>
      </c>
      <c r="E14045" s="29" t="s">
        <v>53843</v>
      </c>
      <c r="F14045" s="36" t="s">
        <v>54409</v>
      </c>
      <c r="G14045" s="39">
        <v>4867584.76</v>
      </c>
      <c r="H14045" s="42">
        <v>211</v>
      </c>
    </row>
    <row r="14046" spans="1:8" ht="15" customHeight="1">
      <c r="A14046" s="26">
        <v>1055314169</v>
      </c>
      <c r="B14046" s="29" t="s">
        <v>16254</v>
      </c>
      <c r="C14046" s="29" t="s">
        <v>29529</v>
      </c>
      <c r="D14046" s="29" t="s">
        <v>43067</v>
      </c>
      <c r="E14046" s="29" t="s">
        <v>53844</v>
      </c>
      <c r="F14046" s="36" t="s">
        <v>54409</v>
      </c>
      <c r="G14046" s="39">
        <v>1198364.69</v>
      </c>
      <c r="H14046" s="42">
        <v>211</v>
      </c>
    </row>
    <row r="14047" spans="1:8" ht="15" customHeight="1">
      <c r="A14047" s="26">
        <v>1055314189</v>
      </c>
      <c r="B14047" s="29" t="s">
        <v>16255</v>
      </c>
      <c r="C14047" s="29" t="s">
        <v>29530</v>
      </c>
      <c r="D14047" s="29" t="s">
        <v>30376</v>
      </c>
      <c r="E14047" s="29" t="s">
        <v>717</v>
      </c>
      <c r="F14047" s="36" t="s">
        <v>54409</v>
      </c>
      <c r="G14047" s="39">
        <v>2272906</v>
      </c>
      <c r="H14047" s="42">
        <v>211</v>
      </c>
    </row>
    <row r="14048" spans="1:8" ht="15" customHeight="1">
      <c r="A14048" s="26">
        <v>1055314212</v>
      </c>
      <c r="B14048" s="29" t="s">
        <v>16256</v>
      </c>
      <c r="C14048" s="29" t="s">
        <v>29531</v>
      </c>
      <c r="D14048" s="29" t="s">
        <v>43068</v>
      </c>
      <c r="E14048" s="29" t="s">
        <v>53845</v>
      </c>
      <c r="F14048" s="36" t="s">
        <v>54409</v>
      </c>
      <c r="G14048" s="39">
        <v>4807954.7300000004</v>
      </c>
      <c r="H14048" s="42">
        <v>211</v>
      </c>
    </row>
    <row r="14049" spans="1:8" ht="15" customHeight="1">
      <c r="A14049" s="26">
        <v>1055314219</v>
      </c>
      <c r="B14049" s="29" t="s">
        <v>16257</v>
      </c>
      <c r="C14049" s="29" t="s">
        <v>29532</v>
      </c>
      <c r="D14049" s="29" t="s">
        <v>43069</v>
      </c>
      <c r="E14049" s="29" t="s">
        <v>53846</v>
      </c>
      <c r="F14049" s="36" t="s">
        <v>54409</v>
      </c>
      <c r="G14049" s="39">
        <v>4553071.17</v>
      </c>
      <c r="H14049" s="42">
        <v>211</v>
      </c>
    </row>
    <row r="14050" spans="1:8" ht="15" customHeight="1">
      <c r="A14050" s="26">
        <v>1055314220</v>
      </c>
      <c r="B14050" s="29" t="s">
        <v>16258</v>
      </c>
      <c r="C14050" s="29" t="s">
        <v>22437</v>
      </c>
      <c r="D14050" s="29" t="s">
        <v>43070</v>
      </c>
      <c r="E14050" s="29" t="s">
        <v>53847</v>
      </c>
      <c r="F14050" s="36" t="s">
        <v>54401</v>
      </c>
      <c r="G14050" s="39">
        <v>3102264.63</v>
      </c>
      <c r="H14050" s="42">
        <v>211</v>
      </c>
    </row>
    <row r="14051" spans="1:8" ht="15" customHeight="1">
      <c r="A14051" s="26">
        <v>1055314229</v>
      </c>
      <c r="B14051" s="29" t="s">
        <v>16259</v>
      </c>
      <c r="C14051" s="29" t="s">
        <v>29533</v>
      </c>
      <c r="D14051" s="29" t="s">
        <v>43071</v>
      </c>
      <c r="E14051" s="29" t="s">
        <v>53832</v>
      </c>
      <c r="F14051" s="36" t="s">
        <v>54401</v>
      </c>
      <c r="G14051" s="39">
        <v>1088162.1100000001</v>
      </c>
      <c r="H14051" s="42">
        <v>211</v>
      </c>
    </row>
    <row r="14052" spans="1:8" ht="15" customHeight="1">
      <c r="A14052" s="26">
        <v>1055314269</v>
      </c>
      <c r="B14052" s="29" t="s">
        <v>16260</v>
      </c>
      <c r="C14052" s="29" t="s">
        <v>29534</v>
      </c>
      <c r="D14052" s="29" t="s">
        <v>43072</v>
      </c>
      <c r="E14052" s="29" t="s">
        <v>53456</v>
      </c>
      <c r="F14052" s="36" t="s">
        <v>54401</v>
      </c>
      <c r="G14052" s="39">
        <v>397285.87</v>
      </c>
      <c r="H14052" s="42">
        <v>211</v>
      </c>
    </row>
    <row r="14053" spans="1:8" ht="15" customHeight="1">
      <c r="A14053" s="26">
        <v>1055314319</v>
      </c>
      <c r="B14053" s="29" t="s">
        <v>16261</v>
      </c>
      <c r="C14053" s="29" t="s">
        <v>29535</v>
      </c>
      <c r="D14053" s="29" t="s">
        <v>43073</v>
      </c>
      <c r="E14053" s="29" t="s">
        <v>43926</v>
      </c>
      <c r="F14053" s="36" t="s">
        <v>54401</v>
      </c>
      <c r="G14053" s="39">
        <v>4554797.3099999996</v>
      </c>
      <c r="H14053" s="42">
        <v>211</v>
      </c>
    </row>
    <row r="14054" spans="1:8" ht="15" customHeight="1">
      <c r="A14054" s="26">
        <v>1055314386</v>
      </c>
      <c r="B14054" s="29" t="s">
        <v>16262</v>
      </c>
      <c r="C14054" s="29" t="s">
        <v>29536</v>
      </c>
      <c r="D14054" s="29" t="s">
        <v>43074</v>
      </c>
      <c r="E14054" s="29" t="s">
        <v>53848</v>
      </c>
      <c r="F14054" s="36" t="s">
        <v>54401</v>
      </c>
      <c r="G14054" s="39">
        <v>48467.24</v>
      </c>
      <c r="H14054" s="42">
        <v>211</v>
      </c>
    </row>
    <row r="14055" spans="1:8" ht="15" customHeight="1">
      <c r="A14055" s="26">
        <v>1055314389</v>
      </c>
      <c r="B14055" s="29" t="s">
        <v>16263</v>
      </c>
      <c r="C14055" s="29" t="s">
        <v>29537</v>
      </c>
      <c r="D14055" s="29" t="s">
        <v>43075</v>
      </c>
      <c r="E14055" s="29" t="s">
        <v>44264</v>
      </c>
      <c r="F14055" s="36" t="s">
        <v>54409</v>
      </c>
      <c r="G14055" s="39">
        <v>1111453.52</v>
      </c>
      <c r="H14055" s="42">
        <v>211</v>
      </c>
    </row>
    <row r="14056" spans="1:8" ht="15" customHeight="1">
      <c r="A14056" s="26">
        <v>1055314390</v>
      </c>
      <c r="B14056" s="29" t="s">
        <v>16264</v>
      </c>
      <c r="C14056" s="29" t="s">
        <v>29538</v>
      </c>
      <c r="D14056" s="29" t="s">
        <v>43076</v>
      </c>
      <c r="E14056" s="29" t="s">
        <v>53849</v>
      </c>
      <c r="F14056" s="36" t="s">
        <v>54401</v>
      </c>
      <c r="G14056" s="39">
        <v>3127388.63</v>
      </c>
      <c r="H14056" s="42">
        <v>211</v>
      </c>
    </row>
    <row r="14057" spans="1:8" ht="15" customHeight="1">
      <c r="A14057" s="26">
        <v>1055314419</v>
      </c>
      <c r="B14057" s="29" t="s">
        <v>16265</v>
      </c>
      <c r="C14057" s="29" t="s">
        <v>29539</v>
      </c>
      <c r="D14057" s="29" t="s">
        <v>43077</v>
      </c>
      <c r="E14057" s="29" t="s">
        <v>717</v>
      </c>
      <c r="F14057" s="36" t="s">
        <v>54401</v>
      </c>
      <c r="G14057" s="39">
        <v>5602565</v>
      </c>
      <c r="H14057" s="42">
        <v>211</v>
      </c>
    </row>
    <row r="14058" spans="1:8" ht="15" customHeight="1">
      <c r="A14058" s="26">
        <v>1055314431</v>
      </c>
      <c r="B14058" s="29" t="s">
        <v>16266</v>
      </c>
      <c r="C14058" s="29" t="s">
        <v>17204</v>
      </c>
      <c r="D14058" s="29" t="s">
        <v>43078</v>
      </c>
      <c r="E14058" s="29" t="s">
        <v>43926</v>
      </c>
      <c r="F14058" s="36" t="s">
        <v>54401</v>
      </c>
      <c r="G14058" s="39">
        <v>71062.070000000007</v>
      </c>
      <c r="H14058" s="42">
        <v>211</v>
      </c>
    </row>
    <row r="14059" spans="1:8" ht="15" customHeight="1">
      <c r="A14059" s="26">
        <v>1055314433</v>
      </c>
      <c r="B14059" s="29" t="s">
        <v>10525</v>
      </c>
      <c r="C14059" s="29" t="s">
        <v>29540</v>
      </c>
      <c r="D14059" s="29" t="s">
        <v>43079</v>
      </c>
      <c r="E14059" s="29" t="s">
        <v>53850</v>
      </c>
      <c r="F14059" s="36" t="s">
        <v>54401</v>
      </c>
      <c r="G14059" s="39">
        <v>164216.34</v>
      </c>
      <c r="H14059" s="42">
        <v>211</v>
      </c>
    </row>
    <row r="14060" spans="1:8" ht="15" customHeight="1">
      <c r="A14060" s="26">
        <v>1055314434</v>
      </c>
      <c r="B14060" s="29" t="s">
        <v>16267</v>
      </c>
      <c r="C14060" s="29" t="s">
        <v>17204</v>
      </c>
      <c r="D14060" s="29" t="s">
        <v>43080</v>
      </c>
      <c r="E14060" s="29" t="s">
        <v>43926</v>
      </c>
      <c r="F14060" s="36" t="s">
        <v>54401</v>
      </c>
      <c r="G14060" s="39">
        <v>164142.04999999999</v>
      </c>
      <c r="H14060" s="42">
        <v>211</v>
      </c>
    </row>
    <row r="14061" spans="1:8" ht="15" customHeight="1">
      <c r="A14061" s="26">
        <v>1055314480</v>
      </c>
      <c r="B14061" s="29" t="s">
        <v>16268</v>
      </c>
      <c r="C14061" s="26" t="s">
        <v>29541</v>
      </c>
      <c r="D14061" s="26" t="s">
        <v>43081</v>
      </c>
      <c r="E14061" s="26" t="s">
        <v>53851</v>
      </c>
      <c r="F14061" s="37" t="s">
        <v>54409</v>
      </c>
      <c r="G14061" s="39">
        <v>133969.85</v>
      </c>
      <c r="H14061" s="42">
        <v>211</v>
      </c>
    </row>
    <row r="14062" spans="1:8" ht="15" customHeight="1">
      <c r="A14062" s="26">
        <v>1055314503</v>
      </c>
      <c r="B14062" s="29" t="s">
        <v>16269</v>
      </c>
      <c r="C14062" s="26" t="s">
        <v>17204</v>
      </c>
      <c r="D14062" s="26" t="s">
        <v>30349</v>
      </c>
      <c r="E14062" s="26" t="s">
        <v>43926</v>
      </c>
      <c r="F14062" s="37" t="s">
        <v>54401</v>
      </c>
      <c r="G14062" s="39">
        <v>34420.080000000002</v>
      </c>
      <c r="H14062" s="42">
        <v>211</v>
      </c>
    </row>
    <row r="14063" spans="1:8" ht="15" customHeight="1">
      <c r="A14063" s="26">
        <v>1055314526</v>
      </c>
      <c r="B14063" s="29" t="s">
        <v>16270</v>
      </c>
      <c r="C14063" s="29" t="s">
        <v>29542</v>
      </c>
      <c r="D14063" s="29" t="s">
        <v>43082</v>
      </c>
      <c r="E14063" s="29" t="s">
        <v>53852</v>
      </c>
      <c r="F14063" s="36" t="s">
        <v>54401</v>
      </c>
      <c r="G14063" s="39">
        <v>3329730</v>
      </c>
      <c r="H14063" s="42">
        <v>211</v>
      </c>
    </row>
    <row r="14064" spans="1:8" ht="15" customHeight="1">
      <c r="A14064" s="26">
        <v>1055314617</v>
      </c>
      <c r="B14064" s="29" t="s">
        <v>16271</v>
      </c>
      <c r="C14064" s="29" t="s">
        <v>29543</v>
      </c>
      <c r="D14064" s="29" t="s">
        <v>43083</v>
      </c>
      <c r="E14064" s="29" t="s">
        <v>53853</v>
      </c>
      <c r="F14064" s="36" t="s">
        <v>54401</v>
      </c>
      <c r="G14064" s="39">
        <v>4578640.7</v>
      </c>
      <c r="H14064" s="42">
        <v>211</v>
      </c>
    </row>
    <row r="14065" spans="1:8" ht="15" customHeight="1">
      <c r="A14065" s="26">
        <v>1055314621</v>
      </c>
      <c r="B14065" s="29" t="s">
        <v>16272</v>
      </c>
      <c r="C14065" s="26" t="s">
        <v>29544</v>
      </c>
      <c r="D14065" s="26" t="s">
        <v>43084</v>
      </c>
      <c r="E14065" s="26" t="s">
        <v>53854</v>
      </c>
      <c r="F14065" s="37" t="s">
        <v>54401</v>
      </c>
      <c r="G14065" s="39">
        <v>272281.02</v>
      </c>
      <c r="H14065" s="42">
        <v>211</v>
      </c>
    </row>
    <row r="14066" spans="1:8" ht="15" customHeight="1">
      <c r="A14066" s="26">
        <v>1055314659</v>
      </c>
      <c r="B14066" s="29" t="s">
        <v>16273</v>
      </c>
      <c r="C14066" s="29" t="s">
        <v>29545</v>
      </c>
      <c r="D14066" s="29" t="s">
        <v>43085</v>
      </c>
      <c r="E14066" s="29" t="s">
        <v>45285</v>
      </c>
      <c r="F14066" s="36" t="s">
        <v>54401</v>
      </c>
      <c r="G14066" s="39">
        <v>3168331.77</v>
      </c>
      <c r="H14066" s="42">
        <v>211</v>
      </c>
    </row>
    <row r="14067" spans="1:8" ht="15" customHeight="1">
      <c r="A14067" s="26">
        <v>1055314696</v>
      </c>
      <c r="B14067" s="29" t="s">
        <v>16274</v>
      </c>
      <c r="C14067" s="29" t="s">
        <v>29546</v>
      </c>
      <c r="D14067" s="29" t="s">
        <v>43086</v>
      </c>
      <c r="E14067" s="29" t="s">
        <v>53855</v>
      </c>
      <c r="F14067" s="36" t="s">
        <v>54401</v>
      </c>
      <c r="G14067" s="39">
        <v>121219.48</v>
      </c>
      <c r="H14067" s="42">
        <v>211</v>
      </c>
    </row>
    <row r="14068" spans="1:8" ht="15" customHeight="1">
      <c r="A14068" s="26">
        <v>1055314992</v>
      </c>
      <c r="B14068" s="29" t="s">
        <v>16275</v>
      </c>
      <c r="C14068" s="29" t="s">
        <v>29547</v>
      </c>
      <c r="D14068" s="29" t="s">
        <v>43087</v>
      </c>
      <c r="E14068" s="29" t="s">
        <v>43926</v>
      </c>
      <c r="F14068" s="36" t="s">
        <v>54401</v>
      </c>
      <c r="G14068" s="39">
        <v>1057003.3999999999</v>
      </c>
      <c r="H14068" s="42">
        <v>211</v>
      </c>
    </row>
    <row r="14069" spans="1:8" ht="15" customHeight="1">
      <c r="A14069" s="26">
        <v>1055315015</v>
      </c>
      <c r="B14069" s="29" t="s">
        <v>16276</v>
      </c>
      <c r="C14069" s="29" t="s">
        <v>29548</v>
      </c>
      <c r="D14069" s="29" t="s">
        <v>43088</v>
      </c>
      <c r="E14069" s="29" t="s">
        <v>53856</v>
      </c>
      <c r="F14069" s="36" t="s">
        <v>54401</v>
      </c>
      <c r="G14069" s="39">
        <v>1496702.84</v>
      </c>
      <c r="H14069" s="42">
        <v>211</v>
      </c>
    </row>
    <row r="14070" spans="1:8" ht="15" customHeight="1">
      <c r="A14070" s="26">
        <v>1055315021</v>
      </c>
      <c r="B14070" s="29" t="s">
        <v>16277</v>
      </c>
      <c r="C14070" s="29" t="s">
        <v>29549</v>
      </c>
      <c r="D14070" s="29" t="s">
        <v>43089</v>
      </c>
      <c r="E14070" s="29" t="s">
        <v>53857</v>
      </c>
      <c r="F14070" s="36" t="s">
        <v>54401</v>
      </c>
      <c r="G14070" s="39">
        <v>725400.82</v>
      </c>
      <c r="H14070" s="42">
        <v>211</v>
      </c>
    </row>
    <row r="14071" spans="1:8" ht="15" customHeight="1">
      <c r="A14071" s="26">
        <v>1055315093</v>
      </c>
      <c r="B14071" s="29" t="s">
        <v>16278</v>
      </c>
      <c r="C14071" s="26" t="s">
        <v>29550</v>
      </c>
      <c r="D14071" s="26" t="s">
        <v>43090</v>
      </c>
      <c r="E14071" s="26" t="s">
        <v>717</v>
      </c>
      <c r="F14071" s="37" t="s">
        <v>54409</v>
      </c>
      <c r="G14071" s="39">
        <v>2151394.17</v>
      </c>
      <c r="H14071" s="42">
        <v>211</v>
      </c>
    </row>
    <row r="14072" spans="1:8" ht="15" customHeight="1">
      <c r="A14072" s="26">
        <v>1055315112</v>
      </c>
      <c r="B14072" s="29" t="s">
        <v>16279</v>
      </c>
      <c r="C14072" s="29" t="s">
        <v>17204</v>
      </c>
      <c r="D14072" s="29" t="s">
        <v>43091</v>
      </c>
      <c r="E14072" s="29" t="s">
        <v>43926</v>
      </c>
      <c r="F14072" s="36" t="s">
        <v>54401</v>
      </c>
      <c r="G14072" s="39">
        <v>191645.9</v>
      </c>
      <c r="H14072" s="42">
        <v>211</v>
      </c>
    </row>
    <row r="14073" spans="1:8" ht="15" customHeight="1">
      <c r="A14073" s="26">
        <v>1055315121</v>
      </c>
      <c r="B14073" s="29" t="s">
        <v>16280</v>
      </c>
      <c r="C14073" s="29" t="s">
        <v>29551</v>
      </c>
      <c r="D14073" s="29" t="s">
        <v>43092</v>
      </c>
      <c r="E14073" s="29" t="s">
        <v>44923</v>
      </c>
      <c r="F14073" s="36" t="s">
        <v>54406</v>
      </c>
      <c r="G14073" s="39">
        <v>667475.73</v>
      </c>
      <c r="H14073" s="42">
        <v>211</v>
      </c>
    </row>
    <row r="14074" spans="1:8" ht="15" customHeight="1">
      <c r="A14074" s="26">
        <v>1055315131</v>
      </c>
      <c r="B14074" s="29" t="s">
        <v>16281</v>
      </c>
      <c r="C14074" s="29" t="s">
        <v>29552</v>
      </c>
      <c r="D14074" s="29" t="s">
        <v>43093</v>
      </c>
      <c r="E14074" s="29" t="s">
        <v>44559</v>
      </c>
      <c r="F14074" s="36" t="s">
        <v>54409</v>
      </c>
      <c r="G14074" s="39">
        <v>2217269</v>
      </c>
      <c r="H14074" s="42">
        <v>211</v>
      </c>
    </row>
    <row r="14075" spans="1:8" ht="15" customHeight="1">
      <c r="A14075" s="26">
        <v>1055315137</v>
      </c>
      <c r="B14075" s="29" t="s">
        <v>16282</v>
      </c>
      <c r="C14075" s="29" t="s">
        <v>29553</v>
      </c>
      <c r="D14075" s="29" t="s">
        <v>43094</v>
      </c>
      <c r="E14075" s="29" t="s">
        <v>53858</v>
      </c>
      <c r="F14075" s="36" t="s">
        <v>54409</v>
      </c>
      <c r="G14075" s="39">
        <v>367631.54</v>
      </c>
      <c r="H14075" s="42">
        <v>211</v>
      </c>
    </row>
    <row r="14076" spans="1:8" ht="15" customHeight="1">
      <c r="A14076" s="26">
        <v>1055315141</v>
      </c>
      <c r="B14076" s="29" t="s">
        <v>16283</v>
      </c>
      <c r="C14076" s="26" t="s">
        <v>29554</v>
      </c>
      <c r="D14076" s="26" t="s">
        <v>43095</v>
      </c>
      <c r="E14076" s="26" t="s">
        <v>43926</v>
      </c>
      <c r="F14076" s="37" t="s">
        <v>54401</v>
      </c>
      <c r="G14076" s="39">
        <v>149438.81</v>
      </c>
      <c r="H14076" s="42">
        <v>211</v>
      </c>
    </row>
    <row r="14077" spans="1:8" ht="15" customHeight="1">
      <c r="A14077" s="26">
        <v>1055315148</v>
      </c>
      <c r="B14077" s="29" t="s">
        <v>16284</v>
      </c>
      <c r="C14077" s="26" t="s">
        <v>29555</v>
      </c>
      <c r="D14077" s="26" t="s">
        <v>43096</v>
      </c>
      <c r="E14077" s="26" t="s">
        <v>53859</v>
      </c>
      <c r="F14077" s="37" t="s">
        <v>54401</v>
      </c>
      <c r="G14077" s="39">
        <v>1747042.31</v>
      </c>
      <c r="H14077" s="42">
        <v>211</v>
      </c>
    </row>
    <row r="14078" spans="1:8" ht="15" customHeight="1">
      <c r="A14078" s="26">
        <v>1055315177</v>
      </c>
      <c r="B14078" s="29" t="s">
        <v>16285</v>
      </c>
      <c r="C14078" s="26" t="s">
        <v>29556</v>
      </c>
      <c r="D14078" s="26" t="s">
        <v>43097</v>
      </c>
      <c r="E14078" s="26" t="s">
        <v>51193</v>
      </c>
      <c r="F14078" s="37" t="s">
        <v>54401</v>
      </c>
      <c r="G14078" s="39">
        <v>1862498</v>
      </c>
      <c r="H14078" s="42">
        <v>211</v>
      </c>
    </row>
    <row r="14079" spans="1:8" ht="15" customHeight="1">
      <c r="A14079" s="26">
        <v>1055315247</v>
      </c>
      <c r="B14079" s="29" t="s">
        <v>16286</v>
      </c>
      <c r="C14079" s="29" t="s">
        <v>29557</v>
      </c>
      <c r="D14079" s="29" t="s">
        <v>43098</v>
      </c>
      <c r="E14079" s="29" t="s">
        <v>53860</v>
      </c>
      <c r="F14079" s="36" t="s">
        <v>54401</v>
      </c>
      <c r="G14079" s="39">
        <v>1796727.24</v>
      </c>
      <c r="H14079" s="42">
        <v>211</v>
      </c>
    </row>
    <row r="14080" spans="1:8" ht="15" customHeight="1">
      <c r="A14080" s="26">
        <v>1055315257</v>
      </c>
      <c r="B14080" s="29" t="s">
        <v>16287</v>
      </c>
      <c r="C14080" s="26" t="s">
        <v>17204</v>
      </c>
      <c r="D14080" s="26" t="s">
        <v>43099</v>
      </c>
      <c r="E14080" s="26" t="s">
        <v>43926</v>
      </c>
      <c r="F14080" s="37" t="s">
        <v>54401</v>
      </c>
      <c r="G14080" s="39">
        <v>219539.83</v>
      </c>
      <c r="H14080" s="42">
        <v>211</v>
      </c>
    </row>
    <row r="14081" spans="1:8" ht="15" customHeight="1">
      <c r="A14081" s="26">
        <v>1055315261</v>
      </c>
      <c r="B14081" s="29" t="s">
        <v>16288</v>
      </c>
      <c r="C14081" s="29" t="s">
        <v>29558</v>
      </c>
      <c r="D14081" s="29" t="s">
        <v>43100</v>
      </c>
      <c r="E14081" s="29" t="s">
        <v>44559</v>
      </c>
      <c r="F14081" s="36" t="s">
        <v>54401</v>
      </c>
      <c r="G14081" s="39">
        <v>244760.45</v>
      </c>
      <c r="H14081" s="42">
        <v>211</v>
      </c>
    </row>
    <row r="14082" spans="1:8" ht="15" customHeight="1">
      <c r="A14082" s="26">
        <v>1055315266</v>
      </c>
      <c r="B14082" s="29" t="s">
        <v>16289</v>
      </c>
      <c r="C14082" s="29" t="s">
        <v>29559</v>
      </c>
      <c r="D14082" s="29" t="s">
        <v>43101</v>
      </c>
      <c r="E14082" s="29" t="s">
        <v>53861</v>
      </c>
      <c r="F14082" s="36" t="s">
        <v>54485</v>
      </c>
      <c r="G14082" s="39">
        <v>248216.02</v>
      </c>
      <c r="H14082" s="42">
        <v>211</v>
      </c>
    </row>
    <row r="14083" spans="1:8" ht="15" customHeight="1">
      <c r="A14083" s="26">
        <v>1055315281</v>
      </c>
      <c r="B14083" s="29" t="s">
        <v>16290</v>
      </c>
      <c r="C14083" s="29" t="s">
        <v>29560</v>
      </c>
      <c r="D14083" s="29" t="s">
        <v>43102</v>
      </c>
      <c r="E14083" s="29" t="s">
        <v>717</v>
      </c>
      <c r="F14083" s="36" t="s">
        <v>54401</v>
      </c>
      <c r="G14083" s="39">
        <v>129475.07</v>
      </c>
      <c r="H14083" s="42">
        <v>211</v>
      </c>
    </row>
    <row r="14084" spans="1:8" ht="15" customHeight="1">
      <c r="A14084" s="26">
        <v>1055315318</v>
      </c>
      <c r="B14084" s="29" t="s">
        <v>16291</v>
      </c>
      <c r="C14084" s="29" t="s">
        <v>29561</v>
      </c>
      <c r="D14084" s="29" t="s">
        <v>43103</v>
      </c>
      <c r="E14084" s="29" t="s">
        <v>44264</v>
      </c>
      <c r="F14084" s="36" t="s">
        <v>54409</v>
      </c>
      <c r="G14084" s="39">
        <v>5948862</v>
      </c>
      <c r="H14084" s="42">
        <v>211</v>
      </c>
    </row>
    <row r="14085" spans="1:8" ht="15" customHeight="1">
      <c r="A14085" s="26">
        <v>1055315340</v>
      </c>
      <c r="B14085" s="29" t="s">
        <v>16292</v>
      </c>
      <c r="C14085" s="29" t="s">
        <v>29562</v>
      </c>
      <c r="D14085" s="29" t="s">
        <v>43104</v>
      </c>
      <c r="E14085" s="29" t="s">
        <v>53862</v>
      </c>
      <c r="F14085" s="36" t="s">
        <v>54401</v>
      </c>
      <c r="G14085" s="39">
        <v>1045541.68</v>
      </c>
      <c r="H14085" s="42">
        <v>211</v>
      </c>
    </row>
    <row r="14086" spans="1:8" ht="15" customHeight="1">
      <c r="A14086" s="26">
        <v>1055315360</v>
      </c>
      <c r="B14086" s="29" t="s">
        <v>16293</v>
      </c>
      <c r="C14086" s="29" t="s">
        <v>29563</v>
      </c>
      <c r="D14086" s="29" t="s">
        <v>43105</v>
      </c>
      <c r="E14086" s="29" t="s">
        <v>53798</v>
      </c>
      <c r="F14086" s="36" t="s">
        <v>54409</v>
      </c>
      <c r="G14086" s="39">
        <v>391599.14</v>
      </c>
      <c r="H14086" s="42">
        <v>211</v>
      </c>
    </row>
    <row r="14087" spans="1:8" ht="15" customHeight="1">
      <c r="A14087" s="26">
        <v>1055315459</v>
      </c>
      <c r="B14087" s="29" t="s">
        <v>16294</v>
      </c>
      <c r="C14087" s="26" t="s">
        <v>29564</v>
      </c>
      <c r="D14087" s="26" t="s">
        <v>43106</v>
      </c>
      <c r="E14087" s="26" t="s">
        <v>53863</v>
      </c>
      <c r="F14087" s="37" t="s">
        <v>54401</v>
      </c>
      <c r="G14087" s="39">
        <v>540783.02</v>
      </c>
      <c r="H14087" s="42">
        <v>211</v>
      </c>
    </row>
    <row r="14088" spans="1:8" ht="15" customHeight="1">
      <c r="A14088" s="26">
        <v>1055315475</v>
      </c>
      <c r="B14088" s="29" t="s">
        <v>16295</v>
      </c>
      <c r="C14088" s="29" t="s">
        <v>29565</v>
      </c>
      <c r="D14088" s="29" t="s">
        <v>43107</v>
      </c>
      <c r="E14088" s="29" t="s">
        <v>44530</v>
      </c>
      <c r="F14088" s="36" t="s">
        <v>54401</v>
      </c>
      <c r="G14088" s="39">
        <v>354215.52</v>
      </c>
      <c r="H14088" s="42">
        <v>211</v>
      </c>
    </row>
    <row r="14089" spans="1:8" ht="15" customHeight="1">
      <c r="A14089" s="26">
        <v>1055315533</v>
      </c>
      <c r="B14089" s="29" t="s">
        <v>16296</v>
      </c>
      <c r="C14089" s="29" t="s">
        <v>29566</v>
      </c>
      <c r="D14089" s="29" t="s">
        <v>43108</v>
      </c>
      <c r="E14089" s="29" t="s">
        <v>53864</v>
      </c>
      <c r="F14089" s="36" t="s">
        <v>54409</v>
      </c>
      <c r="G14089" s="39">
        <v>2140949.42</v>
      </c>
      <c r="H14089" s="42">
        <v>211</v>
      </c>
    </row>
    <row r="14090" spans="1:8" ht="15" customHeight="1">
      <c r="A14090" s="26">
        <v>1055315605</v>
      </c>
      <c r="B14090" s="29" t="s">
        <v>16297</v>
      </c>
      <c r="C14090" s="29" t="s">
        <v>29567</v>
      </c>
      <c r="D14090" s="29" t="s">
        <v>43109</v>
      </c>
      <c r="E14090" s="29" t="s">
        <v>45029</v>
      </c>
      <c r="F14090" s="36" t="s">
        <v>54401</v>
      </c>
      <c r="G14090" s="39">
        <v>6192869.2800000003</v>
      </c>
      <c r="H14090" s="42">
        <v>211</v>
      </c>
    </row>
    <row r="14091" spans="1:8" ht="15" customHeight="1">
      <c r="A14091" s="26">
        <v>1055315742</v>
      </c>
      <c r="B14091" s="29" t="s">
        <v>16298</v>
      </c>
      <c r="C14091" s="29" t="s">
        <v>17204</v>
      </c>
      <c r="D14091" s="29" t="s">
        <v>30349</v>
      </c>
      <c r="E14091" s="29" t="s">
        <v>43926</v>
      </c>
      <c r="F14091" s="36" t="s">
        <v>54401</v>
      </c>
      <c r="G14091" s="39">
        <v>175045.91</v>
      </c>
      <c r="H14091" s="42">
        <v>211</v>
      </c>
    </row>
    <row r="14092" spans="1:8" ht="15" customHeight="1">
      <c r="A14092" s="26">
        <v>1055315780</v>
      </c>
      <c r="B14092" s="29" t="s">
        <v>16299</v>
      </c>
      <c r="C14092" s="29" t="s">
        <v>29568</v>
      </c>
      <c r="D14092" s="29" t="s">
        <v>43110</v>
      </c>
      <c r="E14092" s="29" t="s">
        <v>717</v>
      </c>
      <c r="F14092" s="36" t="s">
        <v>54409</v>
      </c>
      <c r="G14092" s="39">
        <v>3698639.79</v>
      </c>
      <c r="H14092" s="42">
        <v>211</v>
      </c>
    </row>
    <row r="14093" spans="1:8" ht="15" customHeight="1">
      <c r="A14093" s="26">
        <v>1055315847</v>
      </c>
      <c r="B14093" s="29" t="s">
        <v>16300</v>
      </c>
      <c r="C14093" s="29" t="s">
        <v>29569</v>
      </c>
      <c r="D14093" s="29" t="s">
        <v>43111</v>
      </c>
      <c r="E14093" s="29" t="s">
        <v>51264</v>
      </c>
      <c r="F14093" s="36" t="s">
        <v>54401</v>
      </c>
      <c r="G14093" s="39">
        <v>1725392.34</v>
      </c>
      <c r="H14093" s="42">
        <v>211</v>
      </c>
    </row>
    <row r="14094" spans="1:8" ht="15" customHeight="1">
      <c r="A14094" s="26">
        <v>1055315851</v>
      </c>
      <c r="B14094" s="29" t="s">
        <v>16301</v>
      </c>
      <c r="C14094" s="29" t="s">
        <v>29570</v>
      </c>
      <c r="D14094" s="29" t="s">
        <v>43112</v>
      </c>
      <c r="E14094" s="29" t="s">
        <v>53865</v>
      </c>
      <c r="F14094" s="36" t="s">
        <v>54401</v>
      </c>
      <c r="G14094" s="39">
        <v>122536.6</v>
      </c>
      <c r="H14094" s="42">
        <v>211</v>
      </c>
    </row>
    <row r="14095" spans="1:8" ht="15" customHeight="1">
      <c r="A14095" s="26">
        <v>1055315922</v>
      </c>
      <c r="B14095" s="29" t="s">
        <v>16302</v>
      </c>
      <c r="C14095" s="29" t="s">
        <v>29571</v>
      </c>
      <c r="D14095" s="29" t="s">
        <v>43113</v>
      </c>
      <c r="E14095" s="29" t="s">
        <v>53866</v>
      </c>
      <c r="F14095" s="36" t="s">
        <v>54401</v>
      </c>
      <c r="G14095" s="39">
        <v>832001.28</v>
      </c>
      <c r="H14095" s="42">
        <v>211</v>
      </c>
    </row>
    <row r="14096" spans="1:8" ht="15" customHeight="1">
      <c r="A14096" s="26">
        <v>1055332198</v>
      </c>
      <c r="B14096" s="29" t="s">
        <v>16303</v>
      </c>
      <c r="C14096" s="29" t="s">
        <v>29572</v>
      </c>
      <c r="D14096" s="29" t="s">
        <v>43114</v>
      </c>
      <c r="E14096" s="29" t="s">
        <v>53867</v>
      </c>
      <c r="F14096" s="36" t="s">
        <v>54406</v>
      </c>
      <c r="G14096" s="39">
        <v>191690.29</v>
      </c>
      <c r="H14096" s="42">
        <v>211</v>
      </c>
    </row>
    <row r="14097" spans="1:8" ht="15" customHeight="1">
      <c r="A14097" s="26">
        <v>1055332425</v>
      </c>
      <c r="B14097" s="29" t="s">
        <v>16304</v>
      </c>
      <c r="C14097" s="29" t="s">
        <v>29573</v>
      </c>
      <c r="D14097" s="29" t="s">
        <v>43115</v>
      </c>
      <c r="E14097" s="29" t="s">
        <v>53868</v>
      </c>
      <c r="F14097" s="36" t="s">
        <v>54401</v>
      </c>
      <c r="G14097" s="39">
        <v>217770.72</v>
      </c>
      <c r="H14097" s="42">
        <v>211</v>
      </c>
    </row>
    <row r="14098" spans="1:8" ht="15" customHeight="1">
      <c r="A14098" s="26">
        <v>1055332568</v>
      </c>
      <c r="B14098" s="29" t="s">
        <v>16305</v>
      </c>
      <c r="C14098" s="29" t="s">
        <v>24193</v>
      </c>
      <c r="D14098" s="29" t="s">
        <v>37467</v>
      </c>
      <c r="E14098" s="29" t="s">
        <v>53869</v>
      </c>
      <c r="F14098" s="36" t="s">
        <v>54401</v>
      </c>
      <c r="G14098" s="39">
        <v>4534910</v>
      </c>
      <c r="H14098" s="42">
        <v>211</v>
      </c>
    </row>
    <row r="14099" spans="1:8" ht="15" customHeight="1">
      <c r="A14099" s="26">
        <v>1055332824</v>
      </c>
      <c r="B14099" s="29" t="s">
        <v>16306</v>
      </c>
      <c r="C14099" s="29" t="s">
        <v>29574</v>
      </c>
      <c r="D14099" s="29" t="s">
        <v>43116</v>
      </c>
      <c r="E14099" s="29" t="s">
        <v>53870</v>
      </c>
      <c r="F14099" s="36" t="s">
        <v>54401</v>
      </c>
      <c r="G14099" s="39">
        <v>279242.06</v>
      </c>
      <c r="H14099" s="42">
        <v>211</v>
      </c>
    </row>
    <row r="14100" spans="1:8" ht="15" customHeight="1">
      <c r="A14100" s="26">
        <v>1055333118</v>
      </c>
      <c r="B14100" s="29" t="s">
        <v>16307</v>
      </c>
      <c r="C14100" s="29" t="s">
        <v>17204</v>
      </c>
      <c r="D14100" s="29" t="s">
        <v>30349</v>
      </c>
      <c r="E14100" s="29" t="s">
        <v>43926</v>
      </c>
      <c r="F14100" s="36" t="s">
        <v>54401</v>
      </c>
      <c r="G14100" s="39">
        <v>491667.09</v>
      </c>
      <c r="H14100" s="42">
        <v>211</v>
      </c>
    </row>
    <row r="14101" spans="1:8" ht="15" customHeight="1">
      <c r="A14101" s="26">
        <v>1055333480</v>
      </c>
      <c r="B14101" s="29" t="s">
        <v>16308</v>
      </c>
      <c r="C14101" s="29" t="s">
        <v>29575</v>
      </c>
      <c r="D14101" s="29" t="s">
        <v>43117</v>
      </c>
      <c r="E14101" s="29" t="s">
        <v>53871</v>
      </c>
      <c r="F14101" s="36" t="s">
        <v>54401</v>
      </c>
      <c r="G14101" s="39">
        <v>1354054.83</v>
      </c>
      <c r="H14101" s="42">
        <v>211</v>
      </c>
    </row>
    <row r="14102" spans="1:8" ht="15" customHeight="1">
      <c r="A14102" s="26">
        <v>1055504236</v>
      </c>
      <c r="B14102" s="29" t="s">
        <v>16309</v>
      </c>
      <c r="C14102" s="29" t="s">
        <v>29576</v>
      </c>
      <c r="D14102" s="29" t="s">
        <v>43118</v>
      </c>
      <c r="E14102" s="29" t="s">
        <v>50016</v>
      </c>
      <c r="F14102" s="36" t="s">
        <v>54401</v>
      </c>
      <c r="G14102" s="39">
        <v>3539457</v>
      </c>
      <c r="H14102" s="42">
        <v>211</v>
      </c>
    </row>
    <row r="14103" spans="1:8" ht="15" customHeight="1">
      <c r="A14103" s="26">
        <v>1055504237</v>
      </c>
      <c r="B14103" s="29" t="s">
        <v>16310</v>
      </c>
      <c r="C14103" s="29" t="s">
        <v>29577</v>
      </c>
      <c r="D14103" s="29" t="s">
        <v>30376</v>
      </c>
      <c r="E14103" s="29" t="s">
        <v>44019</v>
      </c>
      <c r="F14103" s="36" t="s">
        <v>54401</v>
      </c>
      <c r="G14103" s="39">
        <v>140237.65</v>
      </c>
      <c r="H14103" s="42">
        <v>211</v>
      </c>
    </row>
    <row r="14104" spans="1:8" ht="15" customHeight="1">
      <c r="A14104" s="26">
        <v>1055550893</v>
      </c>
      <c r="B14104" s="29" t="s">
        <v>16311</v>
      </c>
      <c r="C14104" s="26" t="s">
        <v>29578</v>
      </c>
      <c r="D14104" s="26" t="s">
        <v>43119</v>
      </c>
      <c r="E14104" s="26" t="s">
        <v>53872</v>
      </c>
      <c r="F14104" s="37" t="s">
        <v>54401</v>
      </c>
      <c r="G14104" s="39">
        <v>60805.82</v>
      </c>
      <c r="H14104" s="42">
        <v>211</v>
      </c>
    </row>
    <row r="14105" spans="1:8" ht="15" customHeight="1">
      <c r="A14105" s="26">
        <v>1055551896</v>
      </c>
      <c r="B14105" s="29" t="s">
        <v>16312</v>
      </c>
      <c r="C14105" s="29" t="s">
        <v>29579</v>
      </c>
      <c r="D14105" s="29" t="s">
        <v>43120</v>
      </c>
      <c r="E14105" s="29" t="s">
        <v>53873</v>
      </c>
      <c r="F14105" s="36" t="s">
        <v>54401</v>
      </c>
      <c r="G14105" s="39">
        <v>691440.33</v>
      </c>
      <c r="H14105" s="42">
        <v>211</v>
      </c>
    </row>
    <row r="14106" spans="1:8" ht="15" customHeight="1">
      <c r="A14106" s="26">
        <v>1055730035</v>
      </c>
      <c r="B14106" s="29" t="s">
        <v>16313</v>
      </c>
      <c r="C14106" s="29" t="s">
        <v>29580</v>
      </c>
      <c r="D14106" s="29" t="s">
        <v>43121</v>
      </c>
      <c r="E14106" s="29" t="s">
        <v>43926</v>
      </c>
      <c r="F14106" s="36" t="s">
        <v>54401</v>
      </c>
      <c r="G14106" s="39">
        <v>54764.86</v>
      </c>
      <c r="H14106" s="42">
        <v>211</v>
      </c>
    </row>
    <row r="14107" spans="1:8" ht="15" customHeight="1">
      <c r="A14107" s="26">
        <v>1055730083</v>
      </c>
      <c r="B14107" s="29" t="s">
        <v>16314</v>
      </c>
      <c r="C14107" s="26" t="s">
        <v>17204</v>
      </c>
      <c r="D14107" s="26" t="s">
        <v>30349</v>
      </c>
      <c r="E14107" s="26" t="s">
        <v>43926</v>
      </c>
      <c r="F14107" s="37" t="s">
        <v>54401</v>
      </c>
      <c r="G14107" s="39">
        <v>170662.22</v>
      </c>
      <c r="H14107" s="42">
        <v>211</v>
      </c>
    </row>
    <row r="14108" spans="1:8" ht="15" customHeight="1">
      <c r="A14108" s="26">
        <v>1055730125</v>
      </c>
      <c r="B14108" s="29" t="s">
        <v>16315</v>
      </c>
      <c r="C14108" s="29" t="s">
        <v>19440</v>
      </c>
      <c r="D14108" s="29" t="s">
        <v>43122</v>
      </c>
      <c r="E14108" s="29" t="s">
        <v>53874</v>
      </c>
      <c r="F14108" s="36" t="s">
        <v>54401</v>
      </c>
      <c r="G14108" s="39">
        <v>4956657.4800000004</v>
      </c>
      <c r="H14108" s="42">
        <v>211</v>
      </c>
    </row>
    <row r="14109" spans="1:8" ht="15" customHeight="1">
      <c r="A14109" s="26">
        <v>1055730147</v>
      </c>
      <c r="B14109" s="29" t="s">
        <v>16316</v>
      </c>
      <c r="C14109" s="29" t="s">
        <v>29581</v>
      </c>
      <c r="D14109" s="29" t="s">
        <v>43123</v>
      </c>
      <c r="E14109" s="29" t="s">
        <v>53875</v>
      </c>
      <c r="F14109" s="36" t="s">
        <v>54401</v>
      </c>
      <c r="G14109" s="39">
        <v>2361605.86</v>
      </c>
      <c r="H14109" s="42">
        <v>211</v>
      </c>
    </row>
    <row r="14110" spans="1:8" ht="15" customHeight="1">
      <c r="A14110" s="26">
        <v>1055730182</v>
      </c>
      <c r="B14110" s="29" t="s">
        <v>16317</v>
      </c>
      <c r="C14110" s="29" t="s">
        <v>29582</v>
      </c>
      <c r="D14110" s="29" t="s">
        <v>43124</v>
      </c>
      <c r="E14110" s="29" t="s">
        <v>53876</v>
      </c>
      <c r="F14110" s="36" t="s">
        <v>54401</v>
      </c>
      <c r="G14110" s="39">
        <v>1634743.14</v>
      </c>
      <c r="H14110" s="42">
        <v>211</v>
      </c>
    </row>
    <row r="14111" spans="1:8" ht="15" customHeight="1">
      <c r="A14111" s="26">
        <v>1055730200</v>
      </c>
      <c r="B14111" s="29" t="s">
        <v>16318</v>
      </c>
      <c r="C14111" s="29" t="s">
        <v>29583</v>
      </c>
      <c r="D14111" s="29" t="s">
        <v>30376</v>
      </c>
      <c r="E14111" s="29" t="s">
        <v>53877</v>
      </c>
      <c r="F14111" s="36" t="s">
        <v>54401</v>
      </c>
      <c r="G14111" s="39">
        <v>3238962.08</v>
      </c>
      <c r="H14111" s="42">
        <v>211</v>
      </c>
    </row>
    <row r="14112" spans="1:8" ht="15" customHeight="1">
      <c r="A14112" s="26">
        <v>1055730205</v>
      </c>
      <c r="B14112" s="29" t="s">
        <v>16319</v>
      </c>
      <c r="C14112" s="29" t="s">
        <v>29584</v>
      </c>
      <c r="D14112" s="29" t="s">
        <v>43125</v>
      </c>
      <c r="E14112" s="29" t="s">
        <v>53878</v>
      </c>
      <c r="F14112" s="36" t="s">
        <v>54401</v>
      </c>
      <c r="G14112" s="39">
        <v>436751.92</v>
      </c>
      <c r="H14112" s="42">
        <v>211</v>
      </c>
    </row>
    <row r="14113" spans="1:8" ht="15" customHeight="1">
      <c r="A14113" s="26">
        <v>1055730241</v>
      </c>
      <c r="B14113" s="29" t="s">
        <v>16320</v>
      </c>
      <c r="C14113" s="29" t="s">
        <v>29585</v>
      </c>
      <c r="D14113" s="29" t="s">
        <v>43126</v>
      </c>
      <c r="E14113" s="29" t="s">
        <v>53879</v>
      </c>
      <c r="F14113" s="36" t="s">
        <v>54401</v>
      </c>
      <c r="G14113" s="39">
        <v>1772738</v>
      </c>
      <c r="H14113" s="42">
        <v>211</v>
      </c>
    </row>
    <row r="14114" spans="1:8" ht="15" customHeight="1">
      <c r="A14114" s="26">
        <v>1055730242</v>
      </c>
      <c r="B14114" s="29" t="s">
        <v>16321</v>
      </c>
      <c r="C14114" s="29" t="s">
        <v>17204</v>
      </c>
      <c r="D14114" s="29" t="s">
        <v>30349</v>
      </c>
      <c r="E14114" s="29" t="s">
        <v>43926</v>
      </c>
      <c r="F14114" s="36" t="s">
        <v>54401</v>
      </c>
      <c r="G14114" s="39">
        <v>592601.34</v>
      </c>
      <c r="H14114" s="42">
        <v>211</v>
      </c>
    </row>
    <row r="14115" spans="1:8" ht="15" customHeight="1">
      <c r="A14115" s="26">
        <v>1055730248</v>
      </c>
      <c r="B14115" s="29" t="s">
        <v>16322</v>
      </c>
      <c r="C14115" s="29" t="s">
        <v>29586</v>
      </c>
      <c r="D14115" s="29" t="s">
        <v>33058</v>
      </c>
      <c r="E14115" s="29" t="s">
        <v>53880</v>
      </c>
      <c r="F14115" s="36" t="s">
        <v>54401</v>
      </c>
      <c r="G14115" s="39">
        <v>286318.78999999998</v>
      </c>
      <c r="H14115" s="42">
        <v>211</v>
      </c>
    </row>
    <row r="14116" spans="1:8" ht="15" customHeight="1">
      <c r="A14116" s="26">
        <v>1055730252</v>
      </c>
      <c r="B14116" s="29" t="s">
        <v>16323</v>
      </c>
      <c r="C14116" s="29" t="s">
        <v>29587</v>
      </c>
      <c r="D14116" s="29" t="s">
        <v>43127</v>
      </c>
      <c r="E14116" s="29" t="s">
        <v>53881</v>
      </c>
      <c r="F14116" s="36" t="s">
        <v>54401</v>
      </c>
      <c r="G14116" s="39">
        <v>3258776.77</v>
      </c>
      <c r="H14116" s="42">
        <v>211</v>
      </c>
    </row>
    <row r="14117" spans="1:8" ht="15" customHeight="1">
      <c r="A14117" s="26">
        <v>1055730355</v>
      </c>
      <c r="B14117" s="29" t="s">
        <v>16324</v>
      </c>
      <c r="C14117" s="29" t="s">
        <v>29588</v>
      </c>
      <c r="D14117" s="29" t="s">
        <v>43128</v>
      </c>
      <c r="E14117" s="29" t="s">
        <v>53882</v>
      </c>
      <c r="F14117" s="36" t="s">
        <v>54401</v>
      </c>
      <c r="G14117" s="39">
        <v>1321877.6499999999</v>
      </c>
      <c r="H14117" s="42">
        <v>211</v>
      </c>
    </row>
    <row r="14118" spans="1:8" ht="15" customHeight="1">
      <c r="A14118" s="26">
        <v>1055962096</v>
      </c>
      <c r="B14118" s="29" t="s">
        <v>16325</v>
      </c>
      <c r="C14118" s="29" t="s">
        <v>29589</v>
      </c>
      <c r="D14118" s="29" t="s">
        <v>43129</v>
      </c>
      <c r="E14118" s="29" t="s">
        <v>53883</v>
      </c>
      <c r="F14118" s="36" t="s">
        <v>54401</v>
      </c>
      <c r="G14118" s="39">
        <v>195474.58</v>
      </c>
      <c r="H14118" s="42">
        <v>211</v>
      </c>
    </row>
    <row r="14119" spans="1:8" ht="15" customHeight="1">
      <c r="A14119" s="26">
        <v>1055963228</v>
      </c>
      <c r="B14119" s="29" t="s">
        <v>16326</v>
      </c>
      <c r="C14119" s="29" t="s">
        <v>29590</v>
      </c>
      <c r="D14119" s="29" t="s">
        <v>43130</v>
      </c>
      <c r="E14119" s="29" t="s">
        <v>44324</v>
      </c>
      <c r="F14119" s="36" t="s">
        <v>54401</v>
      </c>
      <c r="G14119" s="39">
        <v>3477708.7</v>
      </c>
      <c r="H14119" s="42">
        <v>211</v>
      </c>
    </row>
    <row r="14120" spans="1:8" ht="15" customHeight="1">
      <c r="A14120" s="26">
        <v>1055988205</v>
      </c>
      <c r="B14120" s="29" t="s">
        <v>16327</v>
      </c>
      <c r="C14120" s="29" t="s">
        <v>29591</v>
      </c>
      <c r="D14120" s="29" t="s">
        <v>43131</v>
      </c>
      <c r="E14120" s="29" t="s">
        <v>53884</v>
      </c>
      <c r="F14120" s="36" t="s">
        <v>54401</v>
      </c>
      <c r="G14120" s="39">
        <v>4158127</v>
      </c>
      <c r="H14120" s="42">
        <v>211</v>
      </c>
    </row>
    <row r="14121" spans="1:8" ht="15" customHeight="1">
      <c r="A14121" s="26">
        <v>1056029036</v>
      </c>
      <c r="B14121" s="29" t="s">
        <v>16328</v>
      </c>
      <c r="C14121" s="29" t="s">
        <v>29592</v>
      </c>
      <c r="D14121" s="29" t="s">
        <v>43132</v>
      </c>
      <c r="E14121" s="29" t="s">
        <v>53885</v>
      </c>
      <c r="F14121" s="36" t="s">
        <v>54401</v>
      </c>
      <c r="G14121" s="39">
        <v>56211.77</v>
      </c>
      <c r="H14121" s="42">
        <v>211</v>
      </c>
    </row>
    <row r="14122" spans="1:8" ht="15" customHeight="1">
      <c r="A14122" s="26">
        <v>1056054215</v>
      </c>
      <c r="B14122" s="29" t="s">
        <v>16329</v>
      </c>
      <c r="C14122" s="29" t="s">
        <v>29593</v>
      </c>
      <c r="D14122" s="29" t="s">
        <v>43133</v>
      </c>
      <c r="E14122" s="29" t="s">
        <v>53886</v>
      </c>
      <c r="F14122" s="36" t="s">
        <v>54401</v>
      </c>
      <c r="G14122" s="39">
        <v>1888145.98</v>
      </c>
      <c r="H14122" s="42">
        <v>211</v>
      </c>
    </row>
    <row r="14123" spans="1:8" ht="15" customHeight="1">
      <c r="A14123" s="26">
        <v>1056075393</v>
      </c>
      <c r="B14123" s="29" t="s">
        <v>16330</v>
      </c>
      <c r="C14123" s="29" t="s">
        <v>29594</v>
      </c>
      <c r="D14123" s="29" t="s">
        <v>43134</v>
      </c>
      <c r="E14123" s="29" t="s">
        <v>53887</v>
      </c>
      <c r="F14123" s="36" t="s">
        <v>54401</v>
      </c>
      <c r="G14123" s="39">
        <v>361412.86</v>
      </c>
      <c r="H14123" s="42">
        <v>211</v>
      </c>
    </row>
    <row r="14124" spans="1:8" ht="15" customHeight="1">
      <c r="A14124" s="26">
        <v>1056075399</v>
      </c>
      <c r="B14124" s="29" t="s">
        <v>16331</v>
      </c>
      <c r="C14124" s="29" t="s">
        <v>29595</v>
      </c>
      <c r="D14124" s="29" t="s">
        <v>43135</v>
      </c>
      <c r="E14124" s="29" t="s">
        <v>53888</v>
      </c>
      <c r="F14124" s="36" t="s">
        <v>54401</v>
      </c>
      <c r="G14124" s="39">
        <v>213759.54</v>
      </c>
      <c r="H14124" s="42">
        <v>211</v>
      </c>
    </row>
    <row r="14125" spans="1:8" ht="15" customHeight="1">
      <c r="A14125" s="26">
        <v>1056075520</v>
      </c>
      <c r="B14125" s="29" t="s">
        <v>16332</v>
      </c>
      <c r="C14125" s="29" t="s">
        <v>29596</v>
      </c>
      <c r="D14125" s="29" t="s">
        <v>43136</v>
      </c>
      <c r="E14125" s="29" t="s">
        <v>46335</v>
      </c>
      <c r="F14125" s="36" t="s">
        <v>54401</v>
      </c>
      <c r="G14125" s="39">
        <v>1758085.75</v>
      </c>
      <c r="H14125" s="42">
        <v>211</v>
      </c>
    </row>
    <row r="14126" spans="1:8" ht="15" customHeight="1">
      <c r="A14126" s="26">
        <v>1056075872</v>
      </c>
      <c r="B14126" s="29" t="s">
        <v>16333</v>
      </c>
      <c r="C14126" s="29" t="s">
        <v>29597</v>
      </c>
      <c r="D14126" s="29" t="s">
        <v>43137</v>
      </c>
      <c r="E14126" s="29" t="s">
        <v>53889</v>
      </c>
      <c r="F14126" s="36" t="s">
        <v>54401</v>
      </c>
      <c r="G14126" s="39">
        <v>298637.65999999997</v>
      </c>
      <c r="H14126" s="42">
        <v>211</v>
      </c>
    </row>
    <row r="14127" spans="1:8" ht="15" customHeight="1">
      <c r="A14127" s="26">
        <v>1056411561</v>
      </c>
      <c r="B14127" s="29" t="s">
        <v>16334</v>
      </c>
      <c r="C14127" s="29" t="s">
        <v>29598</v>
      </c>
      <c r="D14127" s="29" t="s">
        <v>43138</v>
      </c>
      <c r="E14127" s="29" t="s">
        <v>53890</v>
      </c>
      <c r="F14127" s="36" t="s">
        <v>54401</v>
      </c>
      <c r="G14127" s="39">
        <v>30456</v>
      </c>
      <c r="H14127" s="42">
        <v>211</v>
      </c>
    </row>
    <row r="14128" spans="1:8" ht="15" customHeight="1">
      <c r="A14128" s="26">
        <v>1056412876</v>
      </c>
      <c r="B14128" s="29" t="s">
        <v>16335</v>
      </c>
      <c r="C14128" s="29" t="s">
        <v>29599</v>
      </c>
      <c r="D14128" s="29" t="s">
        <v>43139</v>
      </c>
      <c r="E14128" s="29" t="s">
        <v>43926</v>
      </c>
      <c r="F14128" s="36" t="s">
        <v>54401</v>
      </c>
      <c r="G14128" s="39">
        <v>228128.17</v>
      </c>
      <c r="H14128" s="42">
        <v>211</v>
      </c>
    </row>
    <row r="14129" spans="1:8" ht="15" customHeight="1">
      <c r="A14129" s="26">
        <v>1056504354</v>
      </c>
      <c r="B14129" s="29" t="s">
        <v>16336</v>
      </c>
      <c r="C14129" s="29" t="s">
        <v>17204</v>
      </c>
      <c r="D14129" s="29" t="s">
        <v>43140</v>
      </c>
      <c r="E14129" s="29" t="s">
        <v>43926</v>
      </c>
      <c r="F14129" s="36" t="s">
        <v>54401</v>
      </c>
      <c r="G14129" s="39">
        <v>322303.21000000002</v>
      </c>
      <c r="H14129" s="42">
        <v>211</v>
      </c>
    </row>
    <row r="14130" spans="1:8" ht="15" customHeight="1">
      <c r="A14130" s="26">
        <v>1056506415</v>
      </c>
      <c r="B14130" s="29" t="s">
        <v>16337</v>
      </c>
      <c r="C14130" s="29" t="s">
        <v>29600</v>
      </c>
      <c r="D14130" s="29" t="s">
        <v>30349</v>
      </c>
      <c r="E14130" s="29" t="s">
        <v>43926</v>
      </c>
      <c r="F14130" s="36" t="s">
        <v>54401</v>
      </c>
      <c r="G14130" s="39">
        <v>143062.32999999999</v>
      </c>
      <c r="H14130" s="42">
        <v>211</v>
      </c>
    </row>
    <row r="14131" spans="1:8" ht="15" customHeight="1">
      <c r="A14131" s="26">
        <v>1056552054</v>
      </c>
      <c r="B14131" s="29" t="s">
        <v>16338</v>
      </c>
      <c r="C14131" s="29" t="s">
        <v>29601</v>
      </c>
      <c r="D14131" s="29" t="s">
        <v>43141</v>
      </c>
      <c r="E14131" s="29" t="s">
        <v>53891</v>
      </c>
      <c r="F14131" s="36" t="s">
        <v>54401</v>
      </c>
      <c r="G14131" s="39">
        <v>5259395.5199999996</v>
      </c>
      <c r="H14131" s="42">
        <v>211</v>
      </c>
    </row>
    <row r="14132" spans="1:8" ht="15" customHeight="1">
      <c r="A14132" s="26">
        <v>1056552091</v>
      </c>
      <c r="B14132" s="29" t="s">
        <v>16339</v>
      </c>
      <c r="C14132" s="29" t="s">
        <v>29602</v>
      </c>
      <c r="D14132" s="29" t="s">
        <v>43142</v>
      </c>
      <c r="E14132" s="29" t="s">
        <v>44212</v>
      </c>
      <c r="F14132" s="36" t="s">
        <v>54401</v>
      </c>
      <c r="G14132" s="39">
        <v>2946953</v>
      </c>
      <c r="H14132" s="42">
        <v>211</v>
      </c>
    </row>
    <row r="14133" spans="1:8" ht="15" customHeight="1">
      <c r="A14133" s="26">
        <v>1056552147</v>
      </c>
      <c r="B14133" s="29" t="s">
        <v>16340</v>
      </c>
      <c r="C14133" s="29" t="s">
        <v>29603</v>
      </c>
      <c r="D14133" s="29" t="s">
        <v>43143</v>
      </c>
      <c r="E14133" s="29" t="s">
        <v>53892</v>
      </c>
      <c r="F14133" s="36" t="s">
        <v>54401</v>
      </c>
      <c r="G14133" s="39">
        <v>428468.65</v>
      </c>
      <c r="H14133" s="42">
        <v>211</v>
      </c>
    </row>
    <row r="14134" spans="1:8" ht="15" customHeight="1">
      <c r="A14134" s="26">
        <v>1056552269</v>
      </c>
      <c r="B14134" s="29" t="s">
        <v>16341</v>
      </c>
      <c r="C14134" s="29" t="s">
        <v>29604</v>
      </c>
      <c r="D14134" s="29" t="s">
        <v>43144</v>
      </c>
      <c r="E14134" s="29" t="s">
        <v>48344</v>
      </c>
      <c r="F14134" s="36" t="s">
        <v>54401</v>
      </c>
      <c r="G14134" s="39">
        <v>1755814.28</v>
      </c>
      <c r="H14134" s="42">
        <v>211</v>
      </c>
    </row>
    <row r="14135" spans="1:8" ht="15" customHeight="1">
      <c r="A14135" s="26">
        <v>1056552330</v>
      </c>
      <c r="B14135" s="29" t="s">
        <v>16342</v>
      </c>
      <c r="C14135" s="29" t="s">
        <v>29605</v>
      </c>
      <c r="D14135" s="29" t="s">
        <v>43145</v>
      </c>
      <c r="E14135" s="29" t="s">
        <v>53893</v>
      </c>
      <c r="F14135" s="36" t="s">
        <v>54407</v>
      </c>
      <c r="G14135" s="39">
        <v>611956.29</v>
      </c>
      <c r="H14135" s="42">
        <v>211</v>
      </c>
    </row>
    <row r="14136" spans="1:8" ht="15" customHeight="1">
      <c r="A14136" s="26">
        <v>1056552419</v>
      </c>
      <c r="B14136" s="29" t="s">
        <v>16343</v>
      </c>
      <c r="C14136" s="29" t="s">
        <v>29606</v>
      </c>
      <c r="D14136" s="29" t="s">
        <v>43146</v>
      </c>
      <c r="E14136" s="29" t="s">
        <v>53894</v>
      </c>
      <c r="F14136" s="36" t="s">
        <v>54401</v>
      </c>
      <c r="G14136" s="39">
        <v>4495096.67</v>
      </c>
      <c r="H14136" s="42">
        <v>211</v>
      </c>
    </row>
    <row r="14137" spans="1:8" ht="15" customHeight="1">
      <c r="A14137" s="26">
        <v>1056552432</v>
      </c>
      <c r="B14137" s="29" t="s">
        <v>16344</v>
      </c>
      <c r="C14137" s="29" t="s">
        <v>29607</v>
      </c>
      <c r="D14137" s="29" t="s">
        <v>43147</v>
      </c>
      <c r="E14137" s="29" t="s">
        <v>53895</v>
      </c>
      <c r="F14137" s="36" t="s">
        <v>54401</v>
      </c>
      <c r="G14137" s="39">
        <v>8002549</v>
      </c>
      <c r="H14137" s="42">
        <v>211</v>
      </c>
    </row>
    <row r="14138" spans="1:8" ht="15" customHeight="1">
      <c r="A14138" s="26">
        <v>1056552530</v>
      </c>
      <c r="B14138" s="29" t="s">
        <v>16345</v>
      </c>
      <c r="C14138" s="29" t="s">
        <v>29608</v>
      </c>
      <c r="D14138" s="29" t="s">
        <v>43148</v>
      </c>
      <c r="E14138" s="29" t="s">
        <v>53896</v>
      </c>
      <c r="F14138" s="36" t="s">
        <v>54401</v>
      </c>
      <c r="G14138" s="39">
        <v>4289637.2699999996</v>
      </c>
      <c r="H14138" s="42">
        <v>211</v>
      </c>
    </row>
    <row r="14139" spans="1:8" ht="15" customHeight="1">
      <c r="A14139" s="26">
        <v>1056552615</v>
      </c>
      <c r="B14139" s="29" t="s">
        <v>16346</v>
      </c>
      <c r="C14139" s="26" t="s">
        <v>29609</v>
      </c>
      <c r="D14139" s="26" t="s">
        <v>43149</v>
      </c>
      <c r="E14139" s="26" t="s">
        <v>50451</v>
      </c>
      <c r="F14139" s="37" t="s">
        <v>54428</v>
      </c>
      <c r="G14139" s="39">
        <v>242090.62</v>
      </c>
      <c r="H14139" s="42">
        <v>211</v>
      </c>
    </row>
    <row r="14140" spans="1:8" ht="15" customHeight="1">
      <c r="A14140" s="26">
        <v>1056552635</v>
      </c>
      <c r="B14140" s="29" t="s">
        <v>16347</v>
      </c>
      <c r="C14140" s="29" t="s">
        <v>29610</v>
      </c>
      <c r="D14140" s="29" t="s">
        <v>43150</v>
      </c>
      <c r="E14140" s="29" t="s">
        <v>43926</v>
      </c>
      <c r="F14140" s="36" t="s">
        <v>54401</v>
      </c>
      <c r="G14140" s="39">
        <v>397270.62</v>
      </c>
      <c r="H14140" s="42">
        <v>211</v>
      </c>
    </row>
    <row r="14141" spans="1:8" ht="15" customHeight="1">
      <c r="A14141" s="26">
        <v>1056552652</v>
      </c>
      <c r="B14141" s="29" t="s">
        <v>16348</v>
      </c>
      <c r="C14141" s="29" t="s">
        <v>29611</v>
      </c>
      <c r="D14141" s="29" t="s">
        <v>43151</v>
      </c>
      <c r="E14141" s="29" t="s">
        <v>53897</v>
      </c>
      <c r="F14141" s="36" t="s">
        <v>54401</v>
      </c>
      <c r="G14141" s="39">
        <v>958702.64</v>
      </c>
      <c r="H14141" s="42">
        <v>211</v>
      </c>
    </row>
    <row r="14142" spans="1:8" ht="15" customHeight="1">
      <c r="A14142" s="26">
        <v>1056552696</v>
      </c>
      <c r="B14142" s="29" t="s">
        <v>16349</v>
      </c>
      <c r="C14142" s="29" t="s">
        <v>29612</v>
      </c>
      <c r="D14142" s="29" t="s">
        <v>43152</v>
      </c>
      <c r="E14142" s="29" t="s">
        <v>53898</v>
      </c>
      <c r="F14142" s="36" t="s">
        <v>54401</v>
      </c>
      <c r="G14142" s="39">
        <v>75100.84</v>
      </c>
      <c r="H14142" s="42">
        <v>211</v>
      </c>
    </row>
    <row r="14143" spans="1:8" ht="15" customHeight="1">
      <c r="A14143" s="26">
        <v>1056552722</v>
      </c>
      <c r="B14143" s="29" t="s">
        <v>16350</v>
      </c>
      <c r="C14143" s="29" t="s">
        <v>29613</v>
      </c>
      <c r="D14143" s="29" t="s">
        <v>43153</v>
      </c>
      <c r="E14143" s="29" t="s">
        <v>53899</v>
      </c>
      <c r="F14143" s="36" t="s">
        <v>54401</v>
      </c>
      <c r="G14143" s="39">
        <v>663715.5</v>
      </c>
      <c r="H14143" s="42">
        <v>211</v>
      </c>
    </row>
    <row r="14144" spans="1:8" ht="15" customHeight="1">
      <c r="A14144" s="26">
        <v>1056552818</v>
      </c>
      <c r="B14144" s="29" t="s">
        <v>16351</v>
      </c>
      <c r="C14144" s="29" t="s">
        <v>29614</v>
      </c>
      <c r="D14144" s="29" t="s">
        <v>43154</v>
      </c>
      <c r="E14144" s="29" t="s">
        <v>53900</v>
      </c>
      <c r="F14144" s="36" t="s">
        <v>54401</v>
      </c>
      <c r="G14144" s="39">
        <v>694459.84</v>
      </c>
      <c r="H14144" s="42">
        <v>211</v>
      </c>
    </row>
    <row r="14145" spans="1:8" ht="15" customHeight="1">
      <c r="A14145" s="26">
        <v>1056552828</v>
      </c>
      <c r="B14145" s="29" t="s">
        <v>16352</v>
      </c>
      <c r="C14145" s="29" t="s">
        <v>29615</v>
      </c>
      <c r="D14145" s="29" t="s">
        <v>43155</v>
      </c>
      <c r="E14145" s="29" t="s">
        <v>53901</v>
      </c>
      <c r="F14145" s="36" t="s">
        <v>54401</v>
      </c>
      <c r="G14145" s="39">
        <v>4923197</v>
      </c>
      <c r="H14145" s="42">
        <v>211</v>
      </c>
    </row>
    <row r="14146" spans="1:8" ht="15" customHeight="1">
      <c r="A14146" s="26">
        <v>1056552834</v>
      </c>
      <c r="B14146" s="29" t="s">
        <v>16353</v>
      </c>
      <c r="C14146" s="29" t="s">
        <v>29616</v>
      </c>
      <c r="D14146" s="29" t="s">
        <v>43156</v>
      </c>
      <c r="E14146" s="29" t="s">
        <v>49336</v>
      </c>
      <c r="F14146" s="36" t="s">
        <v>54401</v>
      </c>
      <c r="G14146" s="39">
        <v>1512387.95</v>
      </c>
      <c r="H14146" s="42">
        <v>211</v>
      </c>
    </row>
    <row r="14147" spans="1:8" ht="15" customHeight="1">
      <c r="A14147" s="26">
        <v>1056552888</v>
      </c>
      <c r="B14147" s="29" t="s">
        <v>16354</v>
      </c>
      <c r="C14147" s="29" t="s">
        <v>17204</v>
      </c>
      <c r="D14147" s="29" t="s">
        <v>43157</v>
      </c>
      <c r="E14147" s="29" t="s">
        <v>43926</v>
      </c>
      <c r="F14147" s="36" t="s">
        <v>54401</v>
      </c>
      <c r="G14147" s="39">
        <v>446779.73</v>
      </c>
      <c r="H14147" s="42">
        <v>211</v>
      </c>
    </row>
    <row r="14148" spans="1:8" ht="15" customHeight="1">
      <c r="A14148" s="26">
        <v>1056552895</v>
      </c>
      <c r="B14148" s="29" t="s">
        <v>16355</v>
      </c>
      <c r="C14148" s="29" t="s">
        <v>29617</v>
      </c>
      <c r="D14148" s="29" t="s">
        <v>43158</v>
      </c>
      <c r="E14148" s="29" t="s">
        <v>53902</v>
      </c>
      <c r="F14148" s="36" t="s">
        <v>54401</v>
      </c>
      <c r="G14148" s="39">
        <v>875219.82</v>
      </c>
      <c r="H14148" s="42">
        <v>211</v>
      </c>
    </row>
    <row r="14149" spans="1:8" ht="15" customHeight="1">
      <c r="A14149" s="26">
        <v>1056552912</v>
      </c>
      <c r="B14149" s="29" t="s">
        <v>16356</v>
      </c>
      <c r="C14149" s="29" t="s">
        <v>29618</v>
      </c>
      <c r="D14149" s="29" t="s">
        <v>41278</v>
      </c>
      <c r="E14149" s="29" t="s">
        <v>45430</v>
      </c>
      <c r="F14149" s="36" t="s">
        <v>54401</v>
      </c>
      <c r="G14149" s="39">
        <v>1461783.08</v>
      </c>
      <c r="H14149" s="42">
        <v>211</v>
      </c>
    </row>
    <row r="14150" spans="1:8" ht="15" customHeight="1">
      <c r="A14150" s="26">
        <v>1056552985</v>
      </c>
      <c r="B14150" s="29" t="s">
        <v>16357</v>
      </c>
      <c r="C14150" s="26" t="s">
        <v>29619</v>
      </c>
      <c r="D14150" s="26" t="s">
        <v>43159</v>
      </c>
      <c r="E14150" s="26" t="s">
        <v>53903</v>
      </c>
      <c r="F14150" s="37" t="s">
        <v>54401</v>
      </c>
      <c r="G14150" s="39">
        <v>1444296.11</v>
      </c>
      <c r="H14150" s="42">
        <v>211</v>
      </c>
    </row>
    <row r="14151" spans="1:8" ht="15" customHeight="1">
      <c r="A14151" s="26">
        <v>1056553051</v>
      </c>
      <c r="B14151" s="29" t="s">
        <v>16358</v>
      </c>
      <c r="C14151" s="29" t="s">
        <v>29620</v>
      </c>
      <c r="D14151" s="29" t="s">
        <v>43160</v>
      </c>
      <c r="E14151" s="29" t="s">
        <v>44545</v>
      </c>
      <c r="F14151" s="36" t="s">
        <v>54401</v>
      </c>
      <c r="G14151" s="39">
        <v>1134791.26</v>
      </c>
      <c r="H14151" s="42">
        <v>211</v>
      </c>
    </row>
    <row r="14152" spans="1:8" ht="15" customHeight="1">
      <c r="A14152" s="26">
        <v>1056553065</v>
      </c>
      <c r="B14152" s="29" t="s">
        <v>16359</v>
      </c>
      <c r="C14152" s="29" t="s">
        <v>29621</v>
      </c>
      <c r="D14152" s="29" t="s">
        <v>43161</v>
      </c>
      <c r="E14152" s="29" t="s">
        <v>53904</v>
      </c>
      <c r="F14152" s="36" t="s">
        <v>54401</v>
      </c>
      <c r="G14152" s="39">
        <v>4474442.58</v>
      </c>
      <c r="H14152" s="42">
        <v>211</v>
      </c>
    </row>
    <row r="14153" spans="1:8" ht="15" customHeight="1">
      <c r="A14153" s="26">
        <v>1056553073</v>
      </c>
      <c r="B14153" s="29" t="s">
        <v>16360</v>
      </c>
      <c r="C14153" s="29" t="s">
        <v>29622</v>
      </c>
      <c r="D14153" s="29" t="s">
        <v>43162</v>
      </c>
      <c r="E14153" s="29" t="s">
        <v>53905</v>
      </c>
      <c r="F14153" s="36" t="s">
        <v>54401</v>
      </c>
      <c r="G14153" s="39">
        <v>74542.28</v>
      </c>
      <c r="H14153" s="42">
        <v>211</v>
      </c>
    </row>
    <row r="14154" spans="1:8" ht="15" customHeight="1">
      <c r="A14154" s="26">
        <v>1056553096</v>
      </c>
      <c r="B14154" s="29" t="s">
        <v>16361</v>
      </c>
      <c r="C14154" s="29" t="s">
        <v>29623</v>
      </c>
      <c r="D14154" s="29" t="s">
        <v>43163</v>
      </c>
      <c r="E14154" s="29" t="s">
        <v>53906</v>
      </c>
      <c r="F14154" s="36" t="s">
        <v>54401</v>
      </c>
      <c r="G14154" s="39">
        <v>809666.54</v>
      </c>
      <c r="H14154" s="42">
        <v>211</v>
      </c>
    </row>
    <row r="14155" spans="1:8" ht="15" customHeight="1">
      <c r="A14155" s="26">
        <v>1056553162</v>
      </c>
      <c r="B14155" s="29" t="s">
        <v>16362</v>
      </c>
      <c r="C14155" s="29" t="s">
        <v>29624</v>
      </c>
      <c r="D14155" s="29" t="s">
        <v>30349</v>
      </c>
      <c r="E14155" s="29" t="s">
        <v>43926</v>
      </c>
      <c r="F14155" s="36" t="s">
        <v>54407</v>
      </c>
      <c r="G14155" s="39">
        <v>207196.97</v>
      </c>
      <c r="H14155" s="42">
        <v>211</v>
      </c>
    </row>
    <row r="14156" spans="1:8" ht="15" customHeight="1">
      <c r="A14156" s="26">
        <v>1056553163</v>
      </c>
      <c r="B14156" s="29" t="s">
        <v>16363</v>
      </c>
      <c r="C14156" s="29" t="s">
        <v>29625</v>
      </c>
      <c r="D14156" s="29" t="s">
        <v>43164</v>
      </c>
      <c r="E14156" s="29" t="s">
        <v>48982</v>
      </c>
      <c r="F14156" s="36" t="s">
        <v>54401</v>
      </c>
      <c r="G14156" s="39">
        <v>947816.32</v>
      </c>
      <c r="H14156" s="42">
        <v>211</v>
      </c>
    </row>
    <row r="14157" spans="1:8" ht="15" customHeight="1">
      <c r="A14157" s="26">
        <v>1056553252</v>
      </c>
      <c r="B14157" s="29" t="s">
        <v>16364</v>
      </c>
      <c r="C14157" s="29" t="s">
        <v>29626</v>
      </c>
      <c r="D14157" s="29" t="s">
        <v>43165</v>
      </c>
      <c r="E14157" s="29" t="s">
        <v>53907</v>
      </c>
      <c r="F14157" s="36" t="s">
        <v>54401</v>
      </c>
      <c r="G14157" s="39">
        <v>1557763.12</v>
      </c>
      <c r="H14157" s="42">
        <v>211</v>
      </c>
    </row>
    <row r="14158" spans="1:8" ht="15" customHeight="1">
      <c r="A14158" s="26">
        <v>1056553327</v>
      </c>
      <c r="B14158" s="29" t="s">
        <v>16365</v>
      </c>
      <c r="C14158" s="29" t="s">
        <v>29627</v>
      </c>
      <c r="D14158" s="29" t="s">
        <v>43166</v>
      </c>
      <c r="E14158" s="29" t="s">
        <v>48001</v>
      </c>
      <c r="F14158" s="36" t="s">
        <v>54401</v>
      </c>
      <c r="G14158" s="39">
        <v>1588989.89</v>
      </c>
      <c r="H14158" s="42">
        <v>211</v>
      </c>
    </row>
    <row r="14159" spans="1:8" ht="15" customHeight="1">
      <c r="A14159" s="26">
        <v>1056553424</v>
      </c>
      <c r="B14159" s="29" t="s">
        <v>16366</v>
      </c>
      <c r="C14159" s="29" t="s">
        <v>17204</v>
      </c>
      <c r="D14159" s="29" t="s">
        <v>30349</v>
      </c>
      <c r="E14159" s="29" t="s">
        <v>43926</v>
      </c>
      <c r="F14159" s="36" t="s">
        <v>54401</v>
      </c>
      <c r="G14159" s="39">
        <v>453481.16</v>
      </c>
      <c r="H14159" s="42">
        <v>211</v>
      </c>
    </row>
    <row r="14160" spans="1:8" ht="15" customHeight="1">
      <c r="A14160" s="26">
        <v>1056553436</v>
      </c>
      <c r="B14160" s="29" t="s">
        <v>16367</v>
      </c>
      <c r="C14160" s="29" t="s">
        <v>29628</v>
      </c>
      <c r="D14160" s="29" t="s">
        <v>43167</v>
      </c>
      <c r="E14160" s="29" t="s">
        <v>53908</v>
      </c>
      <c r="F14160" s="36" t="s">
        <v>54401</v>
      </c>
      <c r="G14160" s="39">
        <v>513447.75</v>
      </c>
      <c r="H14160" s="42">
        <v>211</v>
      </c>
    </row>
    <row r="14161" spans="1:8" ht="15" customHeight="1">
      <c r="A14161" s="26">
        <v>1056553555</v>
      </c>
      <c r="B14161" s="29" t="s">
        <v>16368</v>
      </c>
      <c r="C14161" s="29" t="s">
        <v>29629</v>
      </c>
      <c r="D14161" s="29" t="s">
        <v>43168</v>
      </c>
      <c r="E14161" s="29" t="s">
        <v>53909</v>
      </c>
      <c r="F14161" s="36" t="s">
        <v>54407</v>
      </c>
      <c r="G14161" s="39">
        <v>441380.03</v>
      </c>
      <c r="H14161" s="42">
        <v>211</v>
      </c>
    </row>
    <row r="14162" spans="1:8" ht="15" customHeight="1">
      <c r="A14162" s="26">
        <v>1056553677</v>
      </c>
      <c r="B14162" s="29" t="s">
        <v>16369</v>
      </c>
      <c r="C14162" s="29" t="s">
        <v>29630</v>
      </c>
      <c r="D14162" s="29" t="s">
        <v>43169</v>
      </c>
      <c r="E14162" s="29" t="s">
        <v>53910</v>
      </c>
      <c r="F14162" s="36" t="s">
        <v>54401</v>
      </c>
      <c r="G14162" s="39">
        <v>1588272.73</v>
      </c>
      <c r="H14162" s="42">
        <v>211</v>
      </c>
    </row>
    <row r="14163" spans="1:8" ht="15" customHeight="1">
      <c r="A14163" s="26">
        <v>1056553678</v>
      </c>
      <c r="B14163" s="29" t="s">
        <v>16370</v>
      </c>
      <c r="C14163" s="29" t="s">
        <v>29631</v>
      </c>
      <c r="D14163" s="29" t="s">
        <v>43170</v>
      </c>
      <c r="E14163" s="29" t="s">
        <v>53911</v>
      </c>
      <c r="F14163" s="36" t="s">
        <v>54401</v>
      </c>
      <c r="G14163" s="39">
        <v>2832292.86</v>
      </c>
      <c r="H14163" s="42">
        <v>211</v>
      </c>
    </row>
    <row r="14164" spans="1:8" ht="15" customHeight="1">
      <c r="A14164" s="26">
        <v>1056553701</v>
      </c>
      <c r="B14164" s="29" t="s">
        <v>16371</v>
      </c>
      <c r="C14164" s="29" t="s">
        <v>29632</v>
      </c>
      <c r="D14164" s="29" t="s">
        <v>43171</v>
      </c>
      <c r="E14164" s="29" t="s">
        <v>53912</v>
      </c>
      <c r="F14164" s="36" t="s">
        <v>54407</v>
      </c>
      <c r="G14164" s="39">
        <v>3618943.48</v>
      </c>
      <c r="H14164" s="42">
        <v>211</v>
      </c>
    </row>
    <row r="14165" spans="1:8" ht="15" customHeight="1">
      <c r="A14165" s="26">
        <v>1056553703</v>
      </c>
      <c r="B14165" s="29" t="s">
        <v>16372</v>
      </c>
      <c r="C14165" s="29" t="s">
        <v>29633</v>
      </c>
      <c r="D14165" s="29" t="s">
        <v>43172</v>
      </c>
      <c r="E14165" s="29" t="s">
        <v>53913</v>
      </c>
      <c r="F14165" s="36" t="s">
        <v>54401</v>
      </c>
      <c r="G14165" s="39">
        <v>567477.69999999995</v>
      </c>
      <c r="H14165" s="42">
        <v>211</v>
      </c>
    </row>
    <row r="14166" spans="1:8" ht="15" customHeight="1">
      <c r="A14166" s="26">
        <v>1056553717</v>
      </c>
      <c r="B14166" s="29" t="s">
        <v>16373</v>
      </c>
      <c r="C14166" s="29" t="s">
        <v>29634</v>
      </c>
      <c r="D14166" s="29" t="s">
        <v>43173</v>
      </c>
      <c r="E14166" s="29" t="s">
        <v>49209</v>
      </c>
      <c r="F14166" s="36" t="s">
        <v>54407</v>
      </c>
      <c r="G14166" s="39">
        <v>1107102.74</v>
      </c>
      <c r="H14166" s="42">
        <v>211</v>
      </c>
    </row>
    <row r="14167" spans="1:8" ht="15" customHeight="1">
      <c r="A14167" s="26">
        <v>1056553738</v>
      </c>
      <c r="B14167" s="29" t="s">
        <v>16374</v>
      </c>
      <c r="C14167" s="29" t="s">
        <v>29635</v>
      </c>
      <c r="D14167" s="29" t="s">
        <v>43174</v>
      </c>
      <c r="E14167" s="29" t="s">
        <v>45285</v>
      </c>
      <c r="F14167" s="36" t="s">
        <v>54401</v>
      </c>
      <c r="G14167" s="39">
        <v>657984.13</v>
      </c>
      <c r="H14167" s="42">
        <v>211</v>
      </c>
    </row>
    <row r="14168" spans="1:8" ht="15" customHeight="1">
      <c r="A14168" s="26">
        <v>1056553753</v>
      </c>
      <c r="B14168" s="29" t="s">
        <v>16375</v>
      </c>
      <c r="C14168" s="29" t="s">
        <v>29636</v>
      </c>
      <c r="D14168" s="29" t="s">
        <v>43175</v>
      </c>
      <c r="E14168" s="29" t="s">
        <v>53914</v>
      </c>
      <c r="F14168" s="36" t="s">
        <v>54401</v>
      </c>
      <c r="G14168" s="39">
        <v>414185.61</v>
      </c>
      <c r="H14168" s="42">
        <v>211</v>
      </c>
    </row>
    <row r="14169" spans="1:8" ht="15" customHeight="1">
      <c r="A14169" s="26">
        <v>1056553773</v>
      </c>
      <c r="B14169" s="29" t="s">
        <v>16376</v>
      </c>
      <c r="C14169" s="29" t="s">
        <v>29637</v>
      </c>
      <c r="D14169" s="29" t="s">
        <v>43176</v>
      </c>
      <c r="E14169" s="29" t="s">
        <v>53915</v>
      </c>
      <c r="F14169" s="36" t="s">
        <v>54407</v>
      </c>
      <c r="G14169" s="39">
        <v>819742.29</v>
      </c>
      <c r="H14169" s="42">
        <v>211</v>
      </c>
    </row>
    <row r="14170" spans="1:8" ht="15" customHeight="1">
      <c r="A14170" s="26">
        <v>1056553848</v>
      </c>
      <c r="B14170" s="29" t="s">
        <v>16377</v>
      </c>
      <c r="C14170" s="26" t="s">
        <v>29638</v>
      </c>
      <c r="D14170" s="26" t="s">
        <v>43177</v>
      </c>
      <c r="E14170" s="26" t="s">
        <v>53916</v>
      </c>
      <c r="F14170" s="37" t="s">
        <v>54401</v>
      </c>
      <c r="G14170" s="39">
        <v>412960.02</v>
      </c>
      <c r="H14170" s="42">
        <v>211</v>
      </c>
    </row>
    <row r="14171" spans="1:8" ht="15" customHeight="1">
      <c r="A14171" s="26">
        <v>1056553895</v>
      </c>
      <c r="B14171" s="29" t="s">
        <v>16378</v>
      </c>
      <c r="C14171" s="29" t="s">
        <v>29639</v>
      </c>
      <c r="D14171" s="29" t="s">
        <v>43178</v>
      </c>
      <c r="E14171" s="29" t="s">
        <v>748</v>
      </c>
      <c r="F14171" s="36" t="s">
        <v>54407</v>
      </c>
      <c r="G14171" s="39">
        <v>341058.17</v>
      </c>
      <c r="H14171" s="42">
        <v>211</v>
      </c>
    </row>
    <row r="14172" spans="1:8" ht="15" customHeight="1">
      <c r="A14172" s="26">
        <v>1056553946</v>
      </c>
      <c r="B14172" s="29" t="s">
        <v>16379</v>
      </c>
      <c r="C14172" s="26" t="s">
        <v>29640</v>
      </c>
      <c r="D14172" s="26" t="s">
        <v>43179</v>
      </c>
      <c r="E14172" s="26" t="s">
        <v>53917</v>
      </c>
      <c r="F14172" s="37" t="s">
        <v>54401</v>
      </c>
      <c r="G14172" s="39">
        <v>100378.06</v>
      </c>
      <c r="H14172" s="42">
        <v>211</v>
      </c>
    </row>
    <row r="14173" spans="1:8" ht="15" customHeight="1">
      <c r="A14173" s="26">
        <v>1056553975</v>
      </c>
      <c r="B14173" s="29" t="s">
        <v>16380</v>
      </c>
      <c r="C14173" s="29" t="s">
        <v>20175</v>
      </c>
      <c r="D14173" s="29" t="s">
        <v>43180</v>
      </c>
      <c r="E14173" s="29" t="s">
        <v>748</v>
      </c>
      <c r="F14173" s="36" t="s">
        <v>54407</v>
      </c>
      <c r="G14173" s="39">
        <v>2425553.7400000002</v>
      </c>
      <c r="H14173" s="42">
        <v>211</v>
      </c>
    </row>
    <row r="14174" spans="1:8" ht="15" customHeight="1">
      <c r="A14174" s="26">
        <v>1056553986</v>
      </c>
      <c r="B14174" s="29" t="s">
        <v>16381</v>
      </c>
      <c r="C14174" s="29" t="s">
        <v>29641</v>
      </c>
      <c r="D14174" s="29" t="s">
        <v>43181</v>
      </c>
      <c r="E14174" s="29" t="s">
        <v>748</v>
      </c>
      <c r="F14174" s="36" t="s">
        <v>54401</v>
      </c>
      <c r="G14174" s="39">
        <v>712687</v>
      </c>
      <c r="H14174" s="42">
        <v>211</v>
      </c>
    </row>
    <row r="14175" spans="1:8" ht="15" customHeight="1">
      <c r="A14175" s="26">
        <v>1056554076</v>
      </c>
      <c r="B14175" s="29" t="s">
        <v>16382</v>
      </c>
      <c r="C14175" s="29" t="s">
        <v>29642</v>
      </c>
      <c r="D14175" s="29" t="s">
        <v>43182</v>
      </c>
      <c r="E14175" s="29" t="s">
        <v>45331</v>
      </c>
      <c r="F14175" s="36" t="s">
        <v>54401</v>
      </c>
      <c r="G14175" s="39">
        <v>356475.52</v>
      </c>
      <c r="H14175" s="42">
        <v>211</v>
      </c>
    </row>
    <row r="14176" spans="1:8" ht="15" customHeight="1">
      <c r="A14176" s="26">
        <v>1056554181</v>
      </c>
      <c r="B14176" s="29" t="s">
        <v>16383</v>
      </c>
      <c r="C14176" s="29" t="s">
        <v>29643</v>
      </c>
      <c r="D14176" s="29" t="s">
        <v>43183</v>
      </c>
      <c r="E14176" s="29" t="s">
        <v>53918</v>
      </c>
      <c r="F14176" s="36" t="s">
        <v>54401</v>
      </c>
      <c r="G14176" s="39">
        <v>1766374.84</v>
      </c>
      <c r="H14176" s="42">
        <v>211</v>
      </c>
    </row>
    <row r="14177" spans="1:8" ht="15" customHeight="1">
      <c r="A14177" s="26">
        <v>1056554252</v>
      </c>
      <c r="B14177" s="29" t="s">
        <v>16384</v>
      </c>
      <c r="C14177" s="29" t="s">
        <v>29644</v>
      </c>
      <c r="D14177" s="29" t="s">
        <v>43184</v>
      </c>
      <c r="E14177" s="29" t="s">
        <v>53902</v>
      </c>
      <c r="F14177" s="36" t="s">
        <v>54401</v>
      </c>
      <c r="G14177" s="39">
        <v>3404637.13</v>
      </c>
      <c r="H14177" s="42">
        <v>211</v>
      </c>
    </row>
    <row r="14178" spans="1:8" ht="15" customHeight="1">
      <c r="A14178" s="26">
        <v>1056554260</v>
      </c>
      <c r="B14178" s="29" t="s">
        <v>16385</v>
      </c>
      <c r="C14178" s="29" t="s">
        <v>29645</v>
      </c>
      <c r="D14178" s="29" t="s">
        <v>43185</v>
      </c>
      <c r="E14178" s="29" t="s">
        <v>53919</v>
      </c>
      <c r="F14178" s="36" t="s">
        <v>54401</v>
      </c>
      <c r="G14178" s="39">
        <v>342516.94</v>
      </c>
      <c r="H14178" s="42">
        <v>211</v>
      </c>
    </row>
    <row r="14179" spans="1:8" ht="15" customHeight="1">
      <c r="A14179" s="26">
        <v>1056554283</v>
      </c>
      <c r="B14179" s="29" t="s">
        <v>16386</v>
      </c>
      <c r="C14179" s="29" t="s">
        <v>29646</v>
      </c>
      <c r="D14179" s="29" t="s">
        <v>43186</v>
      </c>
      <c r="E14179" s="29" t="s">
        <v>53920</v>
      </c>
      <c r="F14179" s="36" t="s">
        <v>54401</v>
      </c>
      <c r="G14179" s="39">
        <v>98845.34</v>
      </c>
      <c r="H14179" s="42">
        <v>211</v>
      </c>
    </row>
    <row r="14180" spans="1:8" ht="15" customHeight="1">
      <c r="A14180" s="26">
        <v>1056554295</v>
      </c>
      <c r="B14180" s="29" t="s">
        <v>16387</v>
      </c>
      <c r="C14180" s="29" t="s">
        <v>29647</v>
      </c>
      <c r="D14180" s="29" t="s">
        <v>43187</v>
      </c>
      <c r="E14180" s="29" t="s">
        <v>53921</v>
      </c>
      <c r="F14180" s="36" t="s">
        <v>54407</v>
      </c>
      <c r="G14180" s="39">
        <v>808522.54</v>
      </c>
      <c r="H14180" s="42">
        <v>211</v>
      </c>
    </row>
    <row r="14181" spans="1:8" ht="15" customHeight="1">
      <c r="A14181" s="26">
        <v>1056554308</v>
      </c>
      <c r="B14181" s="29" t="s">
        <v>16388</v>
      </c>
      <c r="C14181" s="29" t="s">
        <v>29648</v>
      </c>
      <c r="D14181" s="29" t="s">
        <v>43188</v>
      </c>
      <c r="E14181" s="29" t="s">
        <v>44452</v>
      </c>
      <c r="F14181" s="36" t="s">
        <v>54401</v>
      </c>
      <c r="G14181" s="39">
        <v>846996.28</v>
      </c>
      <c r="H14181" s="42">
        <v>211</v>
      </c>
    </row>
    <row r="14182" spans="1:8" ht="15" customHeight="1">
      <c r="A14182" s="26">
        <v>1056554374</v>
      </c>
      <c r="B14182" s="29" t="s">
        <v>16389</v>
      </c>
      <c r="C14182" s="29" t="s">
        <v>29649</v>
      </c>
      <c r="D14182" s="29" t="s">
        <v>43189</v>
      </c>
      <c r="E14182" s="29" t="s">
        <v>53922</v>
      </c>
      <c r="F14182" s="36" t="s">
        <v>54401</v>
      </c>
      <c r="G14182" s="39">
        <v>2122521.56</v>
      </c>
      <c r="H14182" s="42">
        <v>211</v>
      </c>
    </row>
    <row r="14183" spans="1:8" ht="15" customHeight="1">
      <c r="A14183" s="26">
        <v>1056554463</v>
      </c>
      <c r="B14183" s="29" t="s">
        <v>16390</v>
      </c>
      <c r="C14183" s="29" t="s">
        <v>29650</v>
      </c>
      <c r="D14183" s="29" t="s">
        <v>42844</v>
      </c>
      <c r="E14183" s="29" t="s">
        <v>44242</v>
      </c>
      <c r="F14183" s="36" t="s">
        <v>54401</v>
      </c>
      <c r="G14183" s="39">
        <v>501032.66</v>
      </c>
      <c r="H14183" s="42">
        <v>211</v>
      </c>
    </row>
    <row r="14184" spans="1:8" ht="15" customHeight="1">
      <c r="A14184" s="26">
        <v>1056554540</v>
      </c>
      <c r="B14184" s="29" t="s">
        <v>16391</v>
      </c>
      <c r="C14184" s="29" t="s">
        <v>29651</v>
      </c>
      <c r="D14184" s="29" t="s">
        <v>43190</v>
      </c>
      <c r="E14184" s="29" t="s">
        <v>53923</v>
      </c>
      <c r="F14184" s="36" t="s">
        <v>54407</v>
      </c>
      <c r="G14184" s="39">
        <v>2767475</v>
      </c>
      <c r="H14184" s="42">
        <v>211</v>
      </c>
    </row>
    <row r="14185" spans="1:8" ht="15" customHeight="1">
      <c r="A14185" s="26">
        <v>1056554691</v>
      </c>
      <c r="B14185" s="29" t="s">
        <v>16392</v>
      </c>
      <c r="C14185" s="29" t="s">
        <v>17204</v>
      </c>
      <c r="D14185" s="29" t="s">
        <v>30349</v>
      </c>
      <c r="E14185" s="29" t="s">
        <v>43926</v>
      </c>
      <c r="F14185" s="36" t="s">
        <v>54401</v>
      </c>
      <c r="G14185" s="39">
        <v>435613.85</v>
      </c>
      <c r="H14185" s="42">
        <v>211</v>
      </c>
    </row>
    <row r="14186" spans="1:8" ht="15" customHeight="1">
      <c r="A14186" s="26">
        <v>1056554807</v>
      </c>
      <c r="B14186" s="29" t="s">
        <v>16393</v>
      </c>
      <c r="C14186" s="29" t="s">
        <v>29652</v>
      </c>
      <c r="D14186" s="29" t="s">
        <v>43191</v>
      </c>
      <c r="E14186" s="29" t="s">
        <v>53924</v>
      </c>
      <c r="F14186" s="36" t="s">
        <v>54401</v>
      </c>
      <c r="G14186" s="39">
        <v>2666142.94</v>
      </c>
      <c r="H14186" s="42">
        <v>211</v>
      </c>
    </row>
    <row r="14187" spans="1:8" ht="15" customHeight="1">
      <c r="A14187" s="26">
        <v>1056554878</v>
      </c>
      <c r="B14187" s="29" t="s">
        <v>16394</v>
      </c>
      <c r="C14187" s="29" t="s">
        <v>29653</v>
      </c>
      <c r="D14187" s="29" t="s">
        <v>43192</v>
      </c>
      <c r="E14187" s="29" t="s">
        <v>53925</v>
      </c>
      <c r="F14187" s="36" t="s">
        <v>54401</v>
      </c>
      <c r="G14187" s="39">
        <v>240878.81</v>
      </c>
      <c r="H14187" s="42">
        <v>211</v>
      </c>
    </row>
    <row r="14188" spans="1:8" ht="15" customHeight="1">
      <c r="A14188" s="26">
        <v>1056554920</v>
      </c>
      <c r="B14188" s="29" t="s">
        <v>16395</v>
      </c>
      <c r="C14188" s="29" t="s">
        <v>29654</v>
      </c>
      <c r="D14188" s="29" t="s">
        <v>43193</v>
      </c>
      <c r="E14188" s="29" t="s">
        <v>748</v>
      </c>
      <c r="F14188" s="36" t="s">
        <v>54401</v>
      </c>
      <c r="G14188" s="39">
        <v>3729052.37</v>
      </c>
      <c r="H14188" s="42">
        <v>211</v>
      </c>
    </row>
    <row r="14189" spans="1:8" ht="15" customHeight="1">
      <c r="A14189" s="26">
        <v>1056554928</v>
      </c>
      <c r="B14189" s="29" t="s">
        <v>16396</v>
      </c>
      <c r="C14189" s="29" t="s">
        <v>29655</v>
      </c>
      <c r="D14189" s="29" t="s">
        <v>43194</v>
      </c>
      <c r="E14189" s="29" t="s">
        <v>53926</v>
      </c>
      <c r="F14189" s="36" t="s">
        <v>54401</v>
      </c>
      <c r="G14189" s="39">
        <v>3896763.97</v>
      </c>
      <c r="H14189" s="42">
        <v>211</v>
      </c>
    </row>
    <row r="14190" spans="1:8" ht="15" customHeight="1">
      <c r="A14190" s="26">
        <v>1056555020</v>
      </c>
      <c r="B14190" s="29" t="s">
        <v>16397</v>
      </c>
      <c r="C14190" s="26" t="s">
        <v>29656</v>
      </c>
      <c r="D14190" s="26" t="s">
        <v>43195</v>
      </c>
      <c r="E14190" s="26" t="s">
        <v>53927</v>
      </c>
      <c r="F14190" s="37" t="s">
        <v>54407</v>
      </c>
      <c r="G14190" s="39">
        <v>1933485.77</v>
      </c>
      <c r="H14190" s="42">
        <v>211</v>
      </c>
    </row>
    <row r="14191" spans="1:8" ht="15" customHeight="1">
      <c r="A14191" s="26">
        <v>1056555217</v>
      </c>
      <c r="B14191" s="29" t="s">
        <v>16398</v>
      </c>
      <c r="C14191" s="29" t="s">
        <v>29657</v>
      </c>
      <c r="D14191" s="29" t="s">
        <v>43196</v>
      </c>
      <c r="E14191" s="29" t="s">
        <v>53928</v>
      </c>
      <c r="F14191" s="36" t="s">
        <v>54401</v>
      </c>
      <c r="G14191" s="39">
        <v>2893304.95</v>
      </c>
      <c r="H14191" s="42">
        <v>211</v>
      </c>
    </row>
    <row r="14192" spans="1:8" ht="15" customHeight="1">
      <c r="A14192" s="26">
        <v>1056555226</v>
      </c>
      <c r="B14192" s="29" t="s">
        <v>16399</v>
      </c>
      <c r="C14192" s="29" t="s">
        <v>29658</v>
      </c>
      <c r="D14192" s="29" t="s">
        <v>43197</v>
      </c>
      <c r="E14192" s="29" t="s">
        <v>43926</v>
      </c>
      <c r="F14192" s="36" t="s">
        <v>54401</v>
      </c>
      <c r="G14192" s="39">
        <v>1650670.47</v>
      </c>
      <c r="H14192" s="42">
        <v>211</v>
      </c>
    </row>
    <row r="14193" spans="1:8" ht="15" customHeight="1">
      <c r="A14193" s="26">
        <v>1056572171</v>
      </c>
      <c r="B14193" s="29" t="s">
        <v>16400</v>
      </c>
      <c r="C14193" s="29" t="s">
        <v>29659</v>
      </c>
      <c r="D14193" s="29" t="s">
        <v>43198</v>
      </c>
      <c r="E14193" s="29" t="s">
        <v>53929</v>
      </c>
      <c r="F14193" s="36" t="s">
        <v>54401</v>
      </c>
      <c r="G14193" s="39">
        <v>414644.11</v>
      </c>
      <c r="H14193" s="42">
        <v>211</v>
      </c>
    </row>
    <row r="14194" spans="1:8" ht="15" customHeight="1">
      <c r="A14194" s="26">
        <v>1056572338</v>
      </c>
      <c r="B14194" s="29" t="s">
        <v>16401</v>
      </c>
      <c r="C14194" s="26" t="s">
        <v>17204</v>
      </c>
      <c r="D14194" s="26" t="s">
        <v>43199</v>
      </c>
      <c r="E14194" s="26" t="s">
        <v>43926</v>
      </c>
      <c r="F14194" s="37" t="s">
        <v>54401</v>
      </c>
      <c r="G14194" s="39">
        <v>2747605</v>
      </c>
      <c r="H14194" s="42">
        <v>211</v>
      </c>
    </row>
    <row r="14195" spans="1:8" ht="15" customHeight="1">
      <c r="A14195" s="26">
        <v>1056572342</v>
      </c>
      <c r="B14195" s="29" t="s">
        <v>16402</v>
      </c>
      <c r="C14195" s="29" t="s">
        <v>29660</v>
      </c>
      <c r="D14195" s="29" t="s">
        <v>43200</v>
      </c>
      <c r="E14195" s="29" t="s">
        <v>53930</v>
      </c>
      <c r="F14195" s="36" t="s">
        <v>54401</v>
      </c>
      <c r="G14195" s="39">
        <v>5921677.0300000003</v>
      </c>
      <c r="H14195" s="42">
        <v>211</v>
      </c>
    </row>
    <row r="14196" spans="1:8" ht="15" customHeight="1">
      <c r="A14196" s="26">
        <v>1056572355</v>
      </c>
      <c r="B14196" s="29" t="s">
        <v>16403</v>
      </c>
      <c r="C14196" s="29" t="s">
        <v>17204</v>
      </c>
      <c r="D14196" s="29" t="s">
        <v>43201</v>
      </c>
      <c r="E14196" s="29" t="s">
        <v>53931</v>
      </c>
      <c r="F14196" s="36" t="s">
        <v>54401</v>
      </c>
      <c r="G14196" s="39">
        <v>1955022.91</v>
      </c>
      <c r="H14196" s="42">
        <v>211</v>
      </c>
    </row>
    <row r="14197" spans="1:8" ht="15" customHeight="1">
      <c r="A14197" s="26">
        <v>1056572970</v>
      </c>
      <c r="B14197" s="29" t="s">
        <v>16404</v>
      </c>
      <c r="C14197" s="29" t="s">
        <v>29661</v>
      </c>
      <c r="D14197" s="29" t="s">
        <v>43202</v>
      </c>
      <c r="E14197" s="29" t="s">
        <v>53932</v>
      </c>
      <c r="F14197" s="36" t="s">
        <v>54429</v>
      </c>
      <c r="G14197" s="39">
        <v>75462.179999999993</v>
      </c>
      <c r="H14197" s="42">
        <v>211</v>
      </c>
    </row>
    <row r="14198" spans="1:8" ht="15" customHeight="1">
      <c r="A14198" s="26">
        <v>1056573714</v>
      </c>
      <c r="B14198" s="29" t="s">
        <v>16405</v>
      </c>
      <c r="C14198" s="29" t="s">
        <v>17204</v>
      </c>
      <c r="D14198" s="29" t="s">
        <v>43203</v>
      </c>
      <c r="E14198" s="29" t="s">
        <v>43926</v>
      </c>
      <c r="F14198" s="36" t="s">
        <v>54401</v>
      </c>
      <c r="G14198" s="39">
        <v>63257.56</v>
      </c>
      <c r="H14198" s="42">
        <v>211</v>
      </c>
    </row>
    <row r="14199" spans="1:8" ht="15" customHeight="1">
      <c r="A14199" s="26">
        <v>1056592202</v>
      </c>
      <c r="B14199" s="29" t="s">
        <v>16406</v>
      </c>
      <c r="C14199" s="29" t="s">
        <v>29662</v>
      </c>
      <c r="D14199" s="29" t="s">
        <v>43204</v>
      </c>
      <c r="E14199" s="29" t="s">
        <v>43926</v>
      </c>
      <c r="F14199" s="36" t="s">
        <v>54401</v>
      </c>
      <c r="G14199" s="39">
        <v>658706.53</v>
      </c>
      <c r="H14199" s="42">
        <v>211</v>
      </c>
    </row>
    <row r="14200" spans="1:8" ht="15" customHeight="1">
      <c r="A14200" s="26">
        <v>1056592904</v>
      </c>
      <c r="B14200" s="29" t="s">
        <v>16407</v>
      </c>
      <c r="C14200" s="29" t="s">
        <v>29663</v>
      </c>
      <c r="D14200" s="29" t="s">
        <v>43205</v>
      </c>
      <c r="E14200" s="29" t="s">
        <v>53933</v>
      </c>
      <c r="F14200" s="36" t="s">
        <v>54401</v>
      </c>
      <c r="G14200" s="39">
        <v>2394674.44</v>
      </c>
      <c r="H14200" s="42">
        <v>211</v>
      </c>
    </row>
    <row r="14201" spans="1:8" ht="15" customHeight="1">
      <c r="A14201" s="26">
        <v>1056592990</v>
      </c>
      <c r="B14201" s="29" t="s">
        <v>16408</v>
      </c>
      <c r="C14201" s="26" t="s">
        <v>29664</v>
      </c>
      <c r="D14201" s="26" t="s">
        <v>43206</v>
      </c>
      <c r="E14201" s="26" t="s">
        <v>53934</v>
      </c>
      <c r="F14201" s="37" t="s">
        <v>54401</v>
      </c>
      <c r="G14201" s="39">
        <v>26100.84</v>
      </c>
      <c r="H14201" s="42">
        <v>211</v>
      </c>
    </row>
    <row r="14202" spans="1:8" ht="15" customHeight="1">
      <c r="A14202" s="26">
        <v>1056708496</v>
      </c>
      <c r="B14202" s="29" t="s">
        <v>16409</v>
      </c>
      <c r="C14202" s="29"/>
      <c r="D14202" s="29"/>
      <c r="E14202" s="29"/>
      <c r="F14202" s="36" t="s">
        <v>54410</v>
      </c>
      <c r="G14202" s="39">
        <v>63063.59</v>
      </c>
      <c r="H14202" s="42">
        <v>211</v>
      </c>
    </row>
    <row r="14203" spans="1:8" ht="15" customHeight="1">
      <c r="A14203" s="26">
        <v>1056708855</v>
      </c>
      <c r="B14203" s="29" t="s">
        <v>16410</v>
      </c>
      <c r="C14203" s="29" t="s">
        <v>29665</v>
      </c>
      <c r="D14203" s="29" t="s">
        <v>43207</v>
      </c>
      <c r="E14203" s="29" t="s">
        <v>53935</v>
      </c>
      <c r="F14203" s="36" t="s">
        <v>54401</v>
      </c>
      <c r="G14203" s="39">
        <v>3042987.82</v>
      </c>
      <c r="H14203" s="42">
        <v>211</v>
      </c>
    </row>
    <row r="14204" spans="1:8" ht="15" customHeight="1">
      <c r="A14204" s="26">
        <v>1056709885</v>
      </c>
      <c r="B14204" s="29" t="s">
        <v>16411</v>
      </c>
      <c r="C14204" s="29" t="s">
        <v>21055</v>
      </c>
      <c r="D14204" s="29" t="s">
        <v>30714</v>
      </c>
      <c r="E14204" s="29" t="s">
        <v>53936</v>
      </c>
      <c r="F14204" s="36" t="s">
        <v>54401</v>
      </c>
      <c r="G14204" s="39">
        <v>930272.01</v>
      </c>
      <c r="H14204" s="42">
        <v>211</v>
      </c>
    </row>
    <row r="14205" spans="1:8" ht="15" customHeight="1">
      <c r="A14205" s="26">
        <v>1056798044</v>
      </c>
      <c r="B14205" s="29" t="s">
        <v>16412</v>
      </c>
      <c r="C14205" s="29" t="s">
        <v>17204</v>
      </c>
      <c r="D14205" s="29" t="s">
        <v>30349</v>
      </c>
      <c r="E14205" s="29" t="s">
        <v>43926</v>
      </c>
      <c r="F14205" s="36" t="s">
        <v>54401</v>
      </c>
      <c r="G14205" s="39">
        <v>422323.13</v>
      </c>
      <c r="H14205" s="42">
        <v>211</v>
      </c>
    </row>
    <row r="14206" spans="1:8" ht="15" customHeight="1">
      <c r="A14206" s="26">
        <v>1056799604</v>
      </c>
      <c r="B14206" s="29" t="s">
        <v>16413</v>
      </c>
      <c r="C14206" s="29" t="s">
        <v>29666</v>
      </c>
      <c r="D14206" s="29" t="s">
        <v>43208</v>
      </c>
      <c r="E14206" s="29" t="s">
        <v>53937</v>
      </c>
      <c r="F14206" s="36" t="s">
        <v>54401</v>
      </c>
      <c r="G14206" s="39">
        <v>1659185.23</v>
      </c>
      <c r="H14206" s="42">
        <v>211</v>
      </c>
    </row>
    <row r="14207" spans="1:8" ht="15" customHeight="1">
      <c r="A14207" s="26">
        <v>1056800193</v>
      </c>
      <c r="B14207" s="29" t="s">
        <v>16414</v>
      </c>
      <c r="C14207" s="29" t="s">
        <v>17204</v>
      </c>
      <c r="D14207" s="29" t="s">
        <v>30349</v>
      </c>
      <c r="E14207" s="29" t="s">
        <v>43926</v>
      </c>
      <c r="F14207" s="36" t="s">
        <v>54401</v>
      </c>
      <c r="G14207" s="39">
        <v>615279.29</v>
      </c>
      <c r="H14207" s="42">
        <v>211</v>
      </c>
    </row>
    <row r="14208" spans="1:8" ht="15" customHeight="1">
      <c r="A14208" s="26">
        <v>1056801348</v>
      </c>
      <c r="B14208" s="29" t="s">
        <v>16415</v>
      </c>
      <c r="C14208" s="26" t="s">
        <v>29667</v>
      </c>
      <c r="D14208" s="26" t="s">
        <v>43209</v>
      </c>
      <c r="E14208" s="26" t="s">
        <v>44459</v>
      </c>
      <c r="F14208" s="37" t="s">
        <v>54401</v>
      </c>
      <c r="G14208" s="39">
        <v>114926.49</v>
      </c>
      <c r="H14208" s="42">
        <v>211</v>
      </c>
    </row>
    <row r="14209" spans="1:8" ht="15" customHeight="1">
      <c r="A14209" s="26">
        <v>1056801633</v>
      </c>
      <c r="B14209" s="29" t="s">
        <v>16416</v>
      </c>
      <c r="C14209" s="29" t="s">
        <v>29668</v>
      </c>
      <c r="D14209" s="29" t="s">
        <v>43210</v>
      </c>
      <c r="E14209" s="29" t="s">
        <v>53938</v>
      </c>
      <c r="F14209" s="36" t="s">
        <v>54401</v>
      </c>
      <c r="G14209" s="39">
        <v>593607.28</v>
      </c>
      <c r="H14209" s="42">
        <v>211</v>
      </c>
    </row>
    <row r="14210" spans="1:8" ht="15" customHeight="1">
      <c r="A14210" s="26">
        <v>1056801842</v>
      </c>
      <c r="B14210" s="29" t="s">
        <v>16417</v>
      </c>
      <c r="C14210" s="29" t="s">
        <v>29669</v>
      </c>
      <c r="D14210" s="29" t="s">
        <v>43211</v>
      </c>
      <c r="E14210" s="29" t="s">
        <v>53939</v>
      </c>
      <c r="F14210" s="36" t="s">
        <v>54401</v>
      </c>
      <c r="G14210" s="39">
        <v>67324.740000000005</v>
      </c>
      <c r="H14210" s="42">
        <v>211</v>
      </c>
    </row>
    <row r="14211" spans="1:8" ht="15" customHeight="1">
      <c r="A14211" s="26">
        <v>1056801897</v>
      </c>
      <c r="B14211" s="29" t="s">
        <v>16418</v>
      </c>
      <c r="C14211" s="26" t="s">
        <v>29670</v>
      </c>
      <c r="D14211" s="26" t="s">
        <v>43212</v>
      </c>
      <c r="E14211" s="26" t="s">
        <v>43926</v>
      </c>
      <c r="F14211" s="37" t="s">
        <v>54401</v>
      </c>
      <c r="G14211" s="39">
        <v>379591.49</v>
      </c>
      <c r="H14211" s="42">
        <v>211</v>
      </c>
    </row>
    <row r="14212" spans="1:8" ht="15" customHeight="1">
      <c r="A14212" s="26">
        <v>1056805896</v>
      </c>
      <c r="B14212" s="29" t="s">
        <v>16419</v>
      </c>
      <c r="C14212" s="29" t="s">
        <v>29671</v>
      </c>
      <c r="D14212" s="29" t="s">
        <v>43213</v>
      </c>
      <c r="E14212" s="29" t="s">
        <v>43926</v>
      </c>
      <c r="F14212" s="36" t="s">
        <v>54401</v>
      </c>
      <c r="G14212" s="39">
        <v>397095.71</v>
      </c>
      <c r="H14212" s="42">
        <v>211</v>
      </c>
    </row>
    <row r="14213" spans="1:8" ht="15" customHeight="1">
      <c r="A14213" s="26">
        <v>1056868086</v>
      </c>
      <c r="B14213" s="29" t="s">
        <v>16420</v>
      </c>
      <c r="C14213" s="29" t="s">
        <v>29672</v>
      </c>
      <c r="D14213" s="29" t="s">
        <v>43214</v>
      </c>
      <c r="E14213" s="29" t="s">
        <v>53940</v>
      </c>
      <c r="F14213" s="36" t="s">
        <v>54401</v>
      </c>
      <c r="G14213" s="39">
        <v>609456.32999999996</v>
      </c>
      <c r="H14213" s="42">
        <v>211</v>
      </c>
    </row>
    <row r="14214" spans="1:8" ht="15" customHeight="1">
      <c r="A14214" s="26">
        <v>1056868092</v>
      </c>
      <c r="B14214" s="29" t="s">
        <v>16421</v>
      </c>
      <c r="C14214" s="29" t="s">
        <v>17204</v>
      </c>
      <c r="D14214" s="29" t="s">
        <v>30349</v>
      </c>
      <c r="E14214" s="29" t="s">
        <v>43926</v>
      </c>
      <c r="F14214" s="36" t="s">
        <v>54401</v>
      </c>
      <c r="G14214" s="39">
        <v>137571.34</v>
      </c>
      <c r="H14214" s="42">
        <v>211</v>
      </c>
    </row>
    <row r="14215" spans="1:8" ht="15" customHeight="1">
      <c r="A14215" s="26">
        <v>1056868100</v>
      </c>
      <c r="B14215" s="29" t="s">
        <v>16422</v>
      </c>
      <c r="C14215" s="29" t="s">
        <v>29673</v>
      </c>
      <c r="D14215" s="29" t="s">
        <v>43215</v>
      </c>
      <c r="E14215" s="29" t="s">
        <v>53941</v>
      </c>
      <c r="F14215" s="36" t="s">
        <v>54401</v>
      </c>
      <c r="G14215" s="39">
        <v>695237.13</v>
      </c>
      <c r="H14215" s="42">
        <v>211</v>
      </c>
    </row>
    <row r="14216" spans="1:8" ht="15" customHeight="1">
      <c r="A14216" s="26">
        <v>1056868243</v>
      </c>
      <c r="B14216" s="29" t="s">
        <v>16423</v>
      </c>
      <c r="C14216" s="29" t="s">
        <v>17204</v>
      </c>
      <c r="D14216" s="29" t="s">
        <v>43216</v>
      </c>
      <c r="E14216" s="29" t="s">
        <v>43926</v>
      </c>
      <c r="F14216" s="36" t="s">
        <v>54401</v>
      </c>
      <c r="G14216" s="39">
        <v>287350.31</v>
      </c>
      <c r="H14216" s="42">
        <v>211</v>
      </c>
    </row>
    <row r="14217" spans="1:8" ht="15" customHeight="1">
      <c r="A14217" s="26">
        <v>1056868259</v>
      </c>
      <c r="B14217" s="29" t="s">
        <v>16424</v>
      </c>
      <c r="C14217" s="29" t="s">
        <v>29674</v>
      </c>
      <c r="D14217" s="29" t="s">
        <v>43217</v>
      </c>
      <c r="E14217" s="29" t="s">
        <v>53942</v>
      </c>
      <c r="F14217" s="36" t="s">
        <v>54401</v>
      </c>
      <c r="G14217" s="39">
        <v>2469668.91</v>
      </c>
      <c r="H14217" s="42">
        <v>211</v>
      </c>
    </row>
    <row r="14218" spans="1:8" ht="15" customHeight="1">
      <c r="A14218" s="26">
        <v>1056868302</v>
      </c>
      <c r="B14218" s="29" t="s">
        <v>16425</v>
      </c>
      <c r="C14218" s="29" t="s">
        <v>29675</v>
      </c>
      <c r="D14218" s="29" t="s">
        <v>43218</v>
      </c>
      <c r="E14218" s="29" t="s">
        <v>53943</v>
      </c>
      <c r="F14218" s="36" t="s">
        <v>54401</v>
      </c>
      <c r="G14218" s="39">
        <v>4903834.6900000004</v>
      </c>
      <c r="H14218" s="42">
        <v>211</v>
      </c>
    </row>
    <row r="14219" spans="1:8" ht="15" customHeight="1">
      <c r="A14219" s="26">
        <v>1056868325</v>
      </c>
      <c r="B14219" s="29" t="s">
        <v>16426</v>
      </c>
      <c r="C14219" s="29" t="s">
        <v>29676</v>
      </c>
      <c r="D14219" s="29" t="s">
        <v>43219</v>
      </c>
      <c r="E14219" s="29" t="s">
        <v>53944</v>
      </c>
      <c r="F14219" s="36" t="s">
        <v>54420</v>
      </c>
      <c r="G14219" s="39">
        <v>7999590.4299999997</v>
      </c>
      <c r="H14219" s="42">
        <v>211</v>
      </c>
    </row>
    <row r="14220" spans="1:8" ht="15" customHeight="1">
      <c r="A14220" s="26">
        <v>1056868348</v>
      </c>
      <c r="B14220" s="29" t="s">
        <v>16427</v>
      </c>
      <c r="C14220" s="29" t="s">
        <v>29677</v>
      </c>
      <c r="D14220" s="29" t="s">
        <v>43220</v>
      </c>
      <c r="E14220" s="29" t="s">
        <v>43926</v>
      </c>
      <c r="F14220" s="36" t="s">
        <v>54425</v>
      </c>
      <c r="G14220" s="39">
        <v>1164259.6200000001</v>
      </c>
      <c r="H14220" s="42">
        <v>211</v>
      </c>
    </row>
    <row r="14221" spans="1:8" ht="15" customHeight="1">
      <c r="A14221" s="26">
        <v>1056868357</v>
      </c>
      <c r="B14221" s="29" t="s">
        <v>16428</v>
      </c>
      <c r="C14221" s="29" t="s">
        <v>29678</v>
      </c>
      <c r="D14221" s="29" t="s">
        <v>43221</v>
      </c>
      <c r="E14221" s="29" t="s">
        <v>53945</v>
      </c>
      <c r="F14221" s="36" t="s">
        <v>54401</v>
      </c>
      <c r="G14221" s="39">
        <v>2352124.9300000002</v>
      </c>
      <c r="H14221" s="42">
        <v>211</v>
      </c>
    </row>
    <row r="14222" spans="1:8" ht="15" customHeight="1">
      <c r="A14222" s="26">
        <v>1056868382</v>
      </c>
      <c r="B14222" s="29" t="s">
        <v>16429</v>
      </c>
      <c r="C14222" s="29" t="s">
        <v>29679</v>
      </c>
      <c r="D14222" s="29" t="s">
        <v>43222</v>
      </c>
      <c r="E14222" s="29" t="s">
        <v>44250</v>
      </c>
      <c r="F14222" s="36" t="s">
        <v>54401</v>
      </c>
      <c r="G14222" s="39">
        <v>1196676.83</v>
      </c>
      <c r="H14222" s="42">
        <v>211</v>
      </c>
    </row>
    <row r="14223" spans="1:8" ht="15" customHeight="1">
      <c r="A14223" s="26">
        <v>1056908076</v>
      </c>
      <c r="B14223" s="29" t="s">
        <v>16430</v>
      </c>
      <c r="C14223" s="29" t="s">
        <v>29680</v>
      </c>
      <c r="D14223" s="29" t="s">
        <v>43223</v>
      </c>
      <c r="E14223" s="29" t="s">
        <v>53946</v>
      </c>
      <c r="F14223" s="36" t="s">
        <v>54401</v>
      </c>
      <c r="G14223" s="39">
        <v>2359218.88</v>
      </c>
      <c r="H14223" s="42">
        <v>211</v>
      </c>
    </row>
    <row r="14224" spans="1:8" ht="15" customHeight="1">
      <c r="A14224" s="26">
        <v>1056908093</v>
      </c>
      <c r="B14224" s="29" t="s">
        <v>16431</v>
      </c>
      <c r="C14224" s="29" t="s">
        <v>29681</v>
      </c>
      <c r="D14224" s="29" t="s">
        <v>43224</v>
      </c>
      <c r="E14224" s="29" t="s">
        <v>53947</v>
      </c>
      <c r="F14224" s="36" t="s">
        <v>54401</v>
      </c>
      <c r="G14224" s="39">
        <v>896699.63</v>
      </c>
      <c r="H14224" s="42">
        <v>211</v>
      </c>
    </row>
    <row r="14225" spans="1:8" ht="15" customHeight="1">
      <c r="A14225" s="26">
        <v>1056908122</v>
      </c>
      <c r="B14225" s="29" t="s">
        <v>16432</v>
      </c>
      <c r="C14225" s="26" t="s">
        <v>17204</v>
      </c>
      <c r="D14225" s="26" t="s">
        <v>43225</v>
      </c>
      <c r="E14225" s="26" t="s">
        <v>47875</v>
      </c>
      <c r="F14225" s="37" t="s">
        <v>54401</v>
      </c>
      <c r="G14225" s="39">
        <v>72563.69</v>
      </c>
      <c r="H14225" s="42">
        <v>211</v>
      </c>
    </row>
    <row r="14226" spans="1:8" ht="15" customHeight="1">
      <c r="A14226" s="26">
        <v>1056908152</v>
      </c>
      <c r="B14226" s="29" t="s">
        <v>16433</v>
      </c>
      <c r="C14226" s="26" t="s">
        <v>29682</v>
      </c>
      <c r="D14226" s="26" t="s">
        <v>43226</v>
      </c>
      <c r="E14226" s="26" t="s">
        <v>43926</v>
      </c>
      <c r="F14226" s="37" t="s">
        <v>54401</v>
      </c>
      <c r="G14226" s="39">
        <v>875237.13</v>
      </c>
      <c r="H14226" s="42">
        <v>211</v>
      </c>
    </row>
    <row r="14227" spans="1:8" ht="15" customHeight="1">
      <c r="A14227" s="26">
        <v>1056908165</v>
      </c>
      <c r="B14227" s="29" t="s">
        <v>16434</v>
      </c>
      <c r="C14227" s="29" t="s">
        <v>29683</v>
      </c>
      <c r="D14227" s="29" t="s">
        <v>43227</v>
      </c>
      <c r="E14227" s="29" t="s">
        <v>44345</v>
      </c>
      <c r="F14227" s="36" t="s">
        <v>54401</v>
      </c>
      <c r="G14227" s="39">
        <v>3033804</v>
      </c>
      <c r="H14227" s="42">
        <v>211</v>
      </c>
    </row>
    <row r="14228" spans="1:8" ht="15" customHeight="1">
      <c r="A14228" s="26">
        <v>1056908193</v>
      </c>
      <c r="B14228" s="29" t="s">
        <v>16435</v>
      </c>
      <c r="C14228" s="29" t="s">
        <v>29684</v>
      </c>
      <c r="D14228" s="29" t="s">
        <v>43228</v>
      </c>
      <c r="E14228" s="29" t="s">
        <v>53948</v>
      </c>
      <c r="F14228" s="36" t="s">
        <v>54401</v>
      </c>
      <c r="G14228" s="39">
        <v>1317528.21</v>
      </c>
      <c r="H14228" s="42">
        <v>211</v>
      </c>
    </row>
    <row r="14229" spans="1:8" ht="15" customHeight="1">
      <c r="A14229" s="26">
        <v>1056908390</v>
      </c>
      <c r="B14229" s="29" t="s">
        <v>16436</v>
      </c>
      <c r="C14229" s="29" t="s">
        <v>29685</v>
      </c>
      <c r="D14229" s="29" t="s">
        <v>43229</v>
      </c>
      <c r="E14229" s="29" t="s">
        <v>53949</v>
      </c>
      <c r="F14229" s="36" t="s">
        <v>54401</v>
      </c>
      <c r="G14229" s="39">
        <v>4749911</v>
      </c>
      <c r="H14229" s="42">
        <v>211</v>
      </c>
    </row>
    <row r="14230" spans="1:8" ht="15" customHeight="1">
      <c r="A14230" s="26">
        <v>1056908422</v>
      </c>
      <c r="B14230" s="29" t="s">
        <v>16437</v>
      </c>
      <c r="C14230" s="26" t="s">
        <v>29686</v>
      </c>
      <c r="D14230" s="26" t="s">
        <v>43230</v>
      </c>
      <c r="E14230" s="26" t="s">
        <v>43926</v>
      </c>
      <c r="F14230" s="37" t="s">
        <v>54401</v>
      </c>
      <c r="G14230" s="39">
        <v>36315.94</v>
      </c>
      <c r="H14230" s="42">
        <v>211</v>
      </c>
    </row>
    <row r="14231" spans="1:8" ht="15" customHeight="1">
      <c r="A14231" s="26">
        <v>1056908430</v>
      </c>
      <c r="B14231" s="29" t="s">
        <v>16438</v>
      </c>
      <c r="C14231" s="29" t="s">
        <v>29687</v>
      </c>
      <c r="D14231" s="29" t="s">
        <v>43231</v>
      </c>
      <c r="E14231" s="29" t="s">
        <v>53950</v>
      </c>
      <c r="F14231" s="36" t="s">
        <v>54401</v>
      </c>
      <c r="G14231" s="39">
        <v>112789.91</v>
      </c>
      <c r="H14231" s="42">
        <v>211</v>
      </c>
    </row>
    <row r="14232" spans="1:8" ht="15" customHeight="1">
      <c r="A14232" s="26">
        <v>1056908435</v>
      </c>
      <c r="B14232" s="29" t="s">
        <v>16439</v>
      </c>
      <c r="C14232" s="29" t="s">
        <v>17204</v>
      </c>
      <c r="D14232" s="29" t="s">
        <v>30349</v>
      </c>
      <c r="E14232" s="29" t="s">
        <v>43926</v>
      </c>
      <c r="F14232" s="36" t="s">
        <v>54401</v>
      </c>
      <c r="G14232" s="39">
        <v>380714.73</v>
      </c>
      <c r="H14232" s="42">
        <v>211</v>
      </c>
    </row>
    <row r="14233" spans="1:8" ht="15" customHeight="1">
      <c r="A14233" s="26">
        <v>1056908491</v>
      </c>
      <c r="B14233" s="29" t="s">
        <v>16440</v>
      </c>
      <c r="C14233" s="29" t="s">
        <v>29688</v>
      </c>
      <c r="D14233" s="29" t="s">
        <v>43232</v>
      </c>
      <c r="E14233" s="29" t="s">
        <v>53951</v>
      </c>
      <c r="F14233" s="36" t="s">
        <v>54401</v>
      </c>
      <c r="G14233" s="39">
        <v>255029.34</v>
      </c>
      <c r="H14233" s="42">
        <v>211</v>
      </c>
    </row>
    <row r="14234" spans="1:8" ht="15" customHeight="1">
      <c r="A14234" s="26">
        <v>1056908499</v>
      </c>
      <c r="B14234" s="29" t="s">
        <v>16441</v>
      </c>
      <c r="C14234" s="29" t="s">
        <v>17204</v>
      </c>
      <c r="D14234" s="29" t="s">
        <v>43233</v>
      </c>
      <c r="E14234" s="29" t="s">
        <v>43926</v>
      </c>
      <c r="F14234" s="36" t="s">
        <v>54401</v>
      </c>
      <c r="G14234" s="39">
        <v>201110.44</v>
      </c>
      <c r="H14234" s="42">
        <v>211</v>
      </c>
    </row>
    <row r="14235" spans="1:8" ht="15" customHeight="1">
      <c r="A14235" s="26">
        <v>1056908609</v>
      </c>
      <c r="B14235" s="29" t="s">
        <v>16442</v>
      </c>
      <c r="C14235" s="29" t="s">
        <v>29689</v>
      </c>
      <c r="D14235" s="29" t="s">
        <v>43234</v>
      </c>
      <c r="E14235" s="29" t="s">
        <v>53952</v>
      </c>
      <c r="F14235" s="36" t="s">
        <v>54418</v>
      </c>
      <c r="G14235" s="39">
        <v>1237388.33</v>
      </c>
      <c r="H14235" s="42">
        <v>211</v>
      </c>
    </row>
    <row r="14236" spans="1:8" ht="15" customHeight="1">
      <c r="A14236" s="26">
        <v>1056908614</v>
      </c>
      <c r="B14236" s="29" t="s">
        <v>16443</v>
      </c>
      <c r="C14236" s="26" t="s">
        <v>29690</v>
      </c>
      <c r="D14236" s="26" t="s">
        <v>43235</v>
      </c>
      <c r="E14236" s="26" t="s">
        <v>43926</v>
      </c>
      <c r="F14236" s="37" t="s">
        <v>54401</v>
      </c>
      <c r="G14236" s="39">
        <v>320890.31</v>
      </c>
      <c r="H14236" s="42">
        <v>211</v>
      </c>
    </row>
    <row r="14237" spans="1:8" ht="15" customHeight="1">
      <c r="A14237" s="26">
        <v>1056908672</v>
      </c>
      <c r="B14237" s="29" t="s">
        <v>16444</v>
      </c>
      <c r="C14237" s="29" t="s">
        <v>29691</v>
      </c>
      <c r="D14237" s="29" t="s">
        <v>43236</v>
      </c>
      <c r="E14237" s="29" t="s">
        <v>53953</v>
      </c>
      <c r="F14237" s="36" t="s">
        <v>54450</v>
      </c>
      <c r="G14237" s="39">
        <v>975186.93</v>
      </c>
      <c r="H14237" s="42">
        <v>211</v>
      </c>
    </row>
    <row r="14238" spans="1:8" ht="15" customHeight="1">
      <c r="A14238" s="26">
        <v>1056928074</v>
      </c>
      <c r="B14238" s="29" t="s">
        <v>16445</v>
      </c>
      <c r="C14238" s="29" t="s">
        <v>29692</v>
      </c>
      <c r="D14238" s="29" t="s">
        <v>43237</v>
      </c>
      <c r="E14238" s="29" t="s">
        <v>53954</v>
      </c>
      <c r="F14238" s="36" t="s">
        <v>54401</v>
      </c>
      <c r="G14238" s="39">
        <v>102701.05</v>
      </c>
      <c r="H14238" s="42">
        <v>211</v>
      </c>
    </row>
    <row r="14239" spans="1:8" ht="15" customHeight="1">
      <c r="A14239" s="26">
        <v>1056928218</v>
      </c>
      <c r="B14239" s="29" t="s">
        <v>16446</v>
      </c>
      <c r="C14239" s="29" t="s">
        <v>29693</v>
      </c>
      <c r="D14239" s="29" t="s">
        <v>43238</v>
      </c>
      <c r="E14239" s="29" t="s">
        <v>43926</v>
      </c>
      <c r="F14239" s="36" t="s">
        <v>54401</v>
      </c>
      <c r="G14239" s="39">
        <v>3303900.55</v>
      </c>
      <c r="H14239" s="42">
        <v>211</v>
      </c>
    </row>
    <row r="14240" spans="1:8" ht="15" customHeight="1">
      <c r="A14240" s="26">
        <v>1056928273</v>
      </c>
      <c r="B14240" s="29" t="s">
        <v>16447</v>
      </c>
      <c r="C14240" s="29" t="s">
        <v>29694</v>
      </c>
      <c r="D14240" s="29" t="s">
        <v>43239</v>
      </c>
      <c r="E14240" s="29" t="s">
        <v>53955</v>
      </c>
      <c r="F14240" s="36" t="s">
        <v>54401</v>
      </c>
      <c r="G14240" s="39">
        <v>71282.759999999995</v>
      </c>
      <c r="H14240" s="42">
        <v>211</v>
      </c>
    </row>
    <row r="14241" spans="1:8" ht="15" customHeight="1">
      <c r="A14241" s="26">
        <v>1056928429</v>
      </c>
      <c r="B14241" s="29" t="s">
        <v>16448</v>
      </c>
      <c r="C14241" s="29" t="s">
        <v>29695</v>
      </c>
      <c r="D14241" s="29" t="s">
        <v>43240</v>
      </c>
      <c r="E14241" s="29" t="s">
        <v>53956</v>
      </c>
      <c r="F14241" s="36" t="s">
        <v>54401</v>
      </c>
      <c r="G14241" s="39">
        <v>5494202.3899999997</v>
      </c>
      <c r="H14241" s="42">
        <v>211</v>
      </c>
    </row>
    <row r="14242" spans="1:8" ht="15" customHeight="1">
      <c r="A14242" s="26">
        <v>1056928540</v>
      </c>
      <c r="B14242" s="29" t="s">
        <v>16449</v>
      </c>
      <c r="C14242" s="29" t="s">
        <v>29696</v>
      </c>
      <c r="D14242" s="29" t="s">
        <v>43241</v>
      </c>
      <c r="E14242" s="29" t="s">
        <v>53957</v>
      </c>
      <c r="F14242" s="36" t="s">
        <v>54401</v>
      </c>
      <c r="G14242" s="39">
        <v>16325</v>
      </c>
      <c r="H14242" s="42">
        <v>211</v>
      </c>
    </row>
    <row r="14243" spans="1:8" ht="15" customHeight="1">
      <c r="A14243" s="26">
        <v>1056928742</v>
      </c>
      <c r="B14243" s="29" t="s">
        <v>16450</v>
      </c>
      <c r="C14243" s="29" t="s">
        <v>29697</v>
      </c>
      <c r="D14243" s="29" t="s">
        <v>43242</v>
      </c>
      <c r="E14243" s="29" t="s">
        <v>45414</v>
      </c>
      <c r="F14243" s="36" t="s">
        <v>54401</v>
      </c>
      <c r="G14243" s="39">
        <v>5091181</v>
      </c>
      <c r="H14243" s="42">
        <v>211</v>
      </c>
    </row>
    <row r="14244" spans="1:8" ht="15" customHeight="1">
      <c r="A14244" s="26">
        <v>1056928756</v>
      </c>
      <c r="B14244" s="29" t="s">
        <v>16451</v>
      </c>
      <c r="C14244" s="29" t="s">
        <v>29698</v>
      </c>
      <c r="D14244" s="29" t="s">
        <v>43238</v>
      </c>
      <c r="E14244" s="29" t="s">
        <v>44601</v>
      </c>
      <c r="F14244" s="36" t="s">
        <v>54401</v>
      </c>
      <c r="G14244" s="39">
        <v>1221432.49</v>
      </c>
      <c r="H14244" s="42">
        <v>211</v>
      </c>
    </row>
    <row r="14245" spans="1:8" ht="15" customHeight="1">
      <c r="A14245" s="26">
        <v>1056929581</v>
      </c>
      <c r="B14245" s="29" t="s">
        <v>16452</v>
      </c>
      <c r="C14245" s="26" t="s">
        <v>29699</v>
      </c>
      <c r="D14245" s="26" t="s">
        <v>43243</v>
      </c>
      <c r="E14245" s="26" t="s">
        <v>47239</v>
      </c>
      <c r="F14245" s="37" t="s">
        <v>54401</v>
      </c>
      <c r="G14245" s="39">
        <v>1783649.3</v>
      </c>
      <c r="H14245" s="42">
        <v>211</v>
      </c>
    </row>
    <row r="14246" spans="1:8" ht="15" customHeight="1">
      <c r="A14246" s="26">
        <v>1056930067</v>
      </c>
      <c r="B14246" s="29" t="s">
        <v>16453</v>
      </c>
      <c r="C14246" s="29" t="s">
        <v>29700</v>
      </c>
      <c r="D14246" s="29" t="s">
        <v>43244</v>
      </c>
      <c r="E14246" s="29" t="s">
        <v>53958</v>
      </c>
      <c r="F14246" s="36" t="s">
        <v>54401</v>
      </c>
      <c r="G14246" s="39">
        <v>262283.64</v>
      </c>
      <c r="H14246" s="42">
        <v>211</v>
      </c>
    </row>
    <row r="14247" spans="1:8" ht="15" customHeight="1">
      <c r="A14247" s="26">
        <v>1056930217</v>
      </c>
      <c r="B14247" s="29" t="s">
        <v>16454</v>
      </c>
      <c r="C14247" s="29" t="s">
        <v>29701</v>
      </c>
      <c r="D14247" s="29" t="s">
        <v>43245</v>
      </c>
      <c r="E14247" s="29" t="s">
        <v>53959</v>
      </c>
      <c r="F14247" s="36" t="s">
        <v>54401</v>
      </c>
      <c r="G14247" s="39">
        <v>5756304</v>
      </c>
      <c r="H14247" s="42">
        <v>211</v>
      </c>
    </row>
    <row r="14248" spans="1:8" ht="15" customHeight="1">
      <c r="A14248" s="26">
        <v>1056930411</v>
      </c>
      <c r="B14248" s="29" t="s">
        <v>16455</v>
      </c>
      <c r="C14248" s="26" t="s">
        <v>29702</v>
      </c>
      <c r="D14248" s="26" t="s">
        <v>43246</v>
      </c>
      <c r="E14248" s="26" t="s">
        <v>53960</v>
      </c>
      <c r="F14248" s="37" t="s">
        <v>54401</v>
      </c>
      <c r="G14248" s="39">
        <v>920699.89</v>
      </c>
      <c r="H14248" s="42">
        <v>211</v>
      </c>
    </row>
    <row r="14249" spans="1:8" ht="15" customHeight="1">
      <c r="A14249" s="26">
        <v>1056994147</v>
      </c>
      <c r="B14249" s="29" t="s">
        <v>16456</v>
      </c>
      <c r="C14249" s="29" t="s">
        <v>29703</v>
      </c>
      <c r="D14249" s="29" t="s">
        <v>43247</v>
      </c>
      <c r="E14249" s="29" t="s">
        <v>53961</v>
      </c>
      <c r="F14249" s="36" t="s">
        <v>54401</v>
      </c>
      <c r="G14249" s="39">
        <v>1232049.24</v>
      </c>
      <c r="H14249" s="42">
        <v>211</v>
      </c>
    </row>
    <row r="14250" spans="1:8" ht="15" customHeight="1">
      <c r="A14250" s="26">
        <v>1056994219</v>
      </c>
      <c r="B14250" s="29" t="s">
        <v>16457</v>
      </c>
      <c r="C14250" s="29" t="s">
        <v>29704</v>
      </c>
      <c r="D14250" s="29" t="s">
        <v>43248</v>
      </c>
      <c r="E14250" s="29" t="s">
        <v>53962</v>
      </c>
      <c r="F14250" s="36" t="s">
        <v>54401</v>
      </c>
      <c r="G14250" s="39">
        <v>128170.4</v>
      </c>
      <c r="H14250" s="42">
        <v>211</v>
      </c>
    </row>
    <row r="14251" spans="1:8" ht="15" customHeight="1">
      <c r="A14251" s="26">
        <v>1056994495</v>
      </c>
      <c r="B14251" s="29" t="s">
        <v>16458</v>
      </c>
      <c r="C14251" s="29" t="s">
        <v>29705</v>
      </c>
      <c r="D14251" s="29" t="s">
        <v>43249</v>
      </c>
      <c r="E14251" s="29" t="s">
        <v>53963</v>
      </c>
      <c r="F14251" s="36" t="s">
        <v>54401</v>
      </c>
      <c r="G14251" s="39">
        <v>529096.62</v>
      </c>
      <c r="H14251" s="42">
        <v>211</v>
      </c>
    </row>
    <row r="14252" spans="1:8" ht="15" customHeight="1">
      <c r="A14252" s="26">
        <v>1056994506</v>
      </c>
      <c r="B14252" s="29" t="s">
        <v>16459</v>
      </c>
      <c r="C14252" s="29" t="s">
        <v>29706</v>
      </c>
      <c r="D14252" s="29" t="s">
        <v>43250</v>
      </c>
      <c r="E14252" s="29" t="s">
        <v>51302</v>
      </c>
      <c r="F14252" s="36" t="s">
        <v>54401</v>
      </c>
      <c r="G14252" s="39">
        <v>1182092.71</v>
      </c>
      <c r="H14252" s="42">
        <v>211</v>
      </c>
    </row>
    <row r="14253" spans="1:8" ht="15" customHeight="1">
      <c r="A14253" s="26">
        <v>1057184604</v>
      </c>
      <c r="B14253" s="29" t="s">
        <v>16460</v>
      </c>
      <c r="C14253" s="29" t="s">
        <v>29707</v>
      </c>
      <c r="D14253" s="29" t="s">
        <v>43251</v>
      </c>
      <c r="E14253" s="29" t="s">
        <v>45994</v>
      </c>
      <c r="F14253" s="36" t="s">
        <v>54401</v>
      </c>
      <c r="G14253" s="39">
        <v>179087.8</v>
      </c>
      <c r="H14253" s="42">
        <v>211</v>
      </c>
    </row>
    <row r="14254" spans="1:8" ht="15" customHeight="1">
      <c r="A14254" s="26">
        <v>1057185264</v>
      </c>
      <c r="B14254" s="29" t="s">
        <v>16461</v>
      </c>
      <c r="C14254" s="29" t="s">
        <v>29708</v>
      </c>
      <c r="D14254" s="29" t="s">
        <v>43252</v>
      </c>
      <c r="E14254" s="29" t="s">
        <v>43926</v>
      </c>
      <c r="F14254" s="36" t="s">
        <v>54401</v>
      </c>
      <c r="G14254" s="39">
        <v>107236.63</v>
      </c>
      <c r="H14254" s="42">
        <v>211</v>
      </c>
    </row>
    <row r="14255" spans="1:8" ht="15" customHeight="1">
      <c r="A14255" s="26">
        <v>1057185655</v>
      </c>
      <c r="B14255" s="29" t="s">
        <v>16462</v>
      </c>
      <c r="C14255" s="29" t="s">
        <v>17204</v>
      </c>
      <c r="D14255" s="29" t="s">
        <v>30349</v>
      </c>
      <c r="E14255" s="29" t="s">
        <v>43926</v>
      </c>
      <c r="F14255" s="36" t="s">
        <v>54401</v>
      </c>
      <c r="G14255" s="39">
        <v>209314.17</v>
      </c>
      <c r="H14255" s="42">
        <v>211</v>
      </c>
    </row>
    <row r="14256" spans="1:8" ht="15" customHeight="1">
      <c r="A14256" s="26">
        <v>1057187309</v>
      </c>
      <c r="B14256" s="29" t="s">
        <v>16463</v>
      </c>
      <c r="C14256" s="29" t="s">
        <v>29709</v>
      </c>
      <c r="D14256" s="29" t="s">
        <v>43253</v>
      </c>
      <c r="E14256" s="29" t="s">
        <v>43926</v>
      </c>
      <c r="F14256" s="36" t="s">
        <v>54401</v>
      </c>
      <c r="G14256" s="39">
        <v>1495652.79</v>
      </c>
      <c r="H14256" s="42">
        <v>211</v>
      </c>
    </row>
    <row r="14257" spans="1:8" ht="15" customHeight="1">
      <c r="A14257" s="26">
        <v>1057410314</v>
      </c>
      <c r="B14257" s="29" t="s">
        <v>16464</v>
      </c>
      <c r="C14257" s="26" t="s">
        <v>29710</v>
      </c>
      <c r="D14257" s="26" t="s">
        <v>43254</v>
      </c>
      <c r="E14257" s="26" t="s">
        <v>53964</v>
      </c>
      <c r="F14257" s="37" t="s">
        <v>54401</v>
      </c>
      <c r="G14257" s="39">
        <v>561987.65</v>
      </c>
      <c r="H14257" s="42">
        <v>211</v>
      </c>
    </row>
    <row r="14258" spans="1:8" ht="15" customHeight="1">
      <c r="A14258" s="26">
        <v>1057411241</v>
      </c>
      <c r="B14258" s="29" t="s">
        <v>16465</v>
      </c>
      <c r="C14258" s="29" t="s">
        <v>29711</v>
      </c>
      <c r="D14258" s="29" t="s">
        <v>43255</v>
      </c>
      <c r="E14258" s="29" t="s">
        <v>53965</v>
      </c>
      <c r="F14258" s="36" t="s">
        <v>54401</v>
      </c>
      <c r="G14258" s="39">
        <v>3337697.53</v>
      </c>
      <c r="H14258" s="42">
        <v>211</v>
      </c>
    </row>
    <row r="14259" spans="1:8" ht="15" customHeight="1">
      <c r="A14259" s="26">
        <v>1057462355</v>
      </c>
      <c r="B14259" s="29" t="s">
        <v>16466</v>
      </c>
      <c r="C14259" s="29" t="s">
        <v>29712</v>
      </c>
      <c r="D14259" s="29" t="s">
        <v>43256</v>
      </c>
      <c r="E14259" s="29" t="s">
        <v>47869</v>
      </c>
      <c r="F14259" s="36" t="s">
        <v>54401</v>
      </c>
      <c r="G14259" s="39">
        <v>750204.3</v>
      </c>
      <c r="H14259" s="42">
        <v>211</v>
      </c>
    </row>
    <row r="14260" spans="1:8" ht="15" customHeight="1">
      <c r="A14260" s="26">
        <v>1057464536</v>
      </c>
      <c r="B14260" s="29" t="s">
        <v>16467</v>
      </c>
      <c r="C14260" s="29" t="s">
        <v>29713</v>
      </c>
      <c r="D14260" s="29" t="s">
        <v>43257</v>
      </c>
      <c r="E14260" s="29" t="s">
        <v>43926</v>
      </c>
      <c r="F14260" s="36" t="s">
        <v>54401</v>
      </c>
      <c r="G14260" s="39">
        <v>208430.61</v>
      </c>
      <c r="H14260" s="42">
        <v>211</v>
      </c>
    </row>
    <row r="14261" spans="1:8" ht="15" customHeight="1">
      <c r="A14261" s="26">
        <v>1057465218</v>
      </c>
      <c r="B14261" s="29" t="s">
        <v>16468</v>
      </c>
      <c r="C14261" s="29" t="s">
        <v>29714</v>
      </c>
      <c r="D14261" s="29" t="s">
        <v>43258</v>
      </c>
      <c r="E14261" s="29" t="s">
        <v>43926</v>
      </c>
      <c r="F14261" s="36" t="s">
        <v>54401</v>
      </c>
      <c r="G14261" s="39">
        <v>313107.64</v>
      </c>
      <c r="H14261" s="42">
        <v>211</v>
      </c>
    </row>
    <row r="14262" spans="1:8" ht="15" customHeight="1">
      <c r="A14262" s="26">
        <v>1057489554</v>
      </c>
      <c r="B14262" s="29" t="s">
        <v>16469</v>
      </c>
      <c r="C14262" s="29" t="s">
        <v>29715</v>
      </c>
      <c r="D14262" s="29" t="s">
        <v>43259</v>
      </c>
      <c r="E14262" s="29" t="s">
        <v>43926</v>
      </c>
      <c r="F14262" s="36" t="s">
        <v>54401</v>
      </c>
      <c r="G14262" s="39">
        <v>816466.49</v>
      </c>
      <c r="H14262" s="42">
        <v>211</v>
      </c>
    </row>
    <row r="14263" spans="1:8" ht="15" customHeight="1">
      <c r="A14263" s="26">
        <v>1057516392</v>
      </c>
      <c r="B14263" s="29" t="s">
        <v>16470</v>
      </c>
      <c r="C14263" s="29" t="s">
        <v>29716</v>
      </c>
      <c r="D14263" s="29" t="s">
        <v>43260</v>
      </c>
      <c r="E14263" s="29" t="s">
        <v>53966</v>
      </c>
      <c r="F14263" s="36" t="s">
        <v>54401</v>
      </c>
      <c r="G14263" s="39">
        <v>70770.509999999995</v>
      </c>
      <c r="H14263" s="42">
        <v>211</v>
      </c>
    </row>
    <row r="14264" spans="1:8" ht="15" customHeight="1">
      <c r="A14264" s="26">
        <v>1057544286</v>
      </c>
      <c r="B14264" s="29" t="s">
        <v>16471</v>
      </c>
      <c r="C14264" s="29" t="s">
        <v>29717</v>
      </c>
      <c r="D14264" s="29" t="s">
        <v>43261</v>
      </c>
      <c r="E14264" s="29" t="s">
        <v>44973</v>
      </c>
      <c r="F14264" s="36" t="s">
        <v>54401</v>
      </c>
      <c r="G14264" s="39">
        <v>545214.43000000005</v>
      </c>
      <c r="H14264" s="42">
        <v>211</v>
      </c>
    </row>
    <row r="14265" spans="1:8" ht="15" customHeight="1">
      <c r="A14265" s="26">
        <v>1057544333</v>
      </c>
      <c r="B14265" s="29" t="s">
        <v>16472</v>
      </c>
      <c r="C14265" s="29" t="s">
        <v>17204</v>
      </c>
      <c r="D14265" s="29" t="s">
        <v>30349</v>
      </c>
      <c r="E14265" s="29" t="s">
        <v>43926</v>
      </c>
      <c r="F14265" s="36" t="s">
        <v>54401</v>
      </c>
      <c r="G14265" s="39">
        <v>404219.39</v>
      </c>
      <c r="H14265" s="42">
        <v>211</v>
      </c>
    </row>
    <row r="14266" spans="1:8" ht="15" customHeight="1">
      <c r="A14266" s="26">
        <v>1057544649</v>
      </c>
      <c r="B14266" s="29" t="s">
        <v>16473</v>
      </c>
      <c r="C14266" s="29" t="s">
        <v>29718</v>
      </c>
      <c r="D14266" s="29" t="s">
        <v>43262</v>
      </c>
      <c r="E14266" s="29" t="s">
        <v>47429</v>
      </c>
      <c r="F14266" s="36" t="s">
        <v>54401</v>
      </c>
      <c r="G14266" s="39">
        <v>54447.69</v>
      </c>
      <c r="H14266" s="42">
        <v>211</v>
      </c>
    </row>
    <row r="14267" spans="1:8" ht="15" customHeight="1">
      <c r="A14267" s="26">
        <v>1057544941</v>
      </c>
      <c r="B14267" s="29" t="s">
        <v>16474</v>
      </c>
      <c r="C14267" s="29" t="s">
        <v>29719</v>
      </c>
      <c r="D14267" s="29" t="s">
        <v>43263</v>
      </c>
      <c r="E14267" s="29" t="s">
        <v>53967</v>
      </c>
      <c r="F14267" s="36" t="s">
        <v>54401</v>
      </c>
      <c r="G14267" s="39">
        <v>341957.49</v>
      </c>
      <c r="H14267" s="42">
        <v>211</v>
      </c>
    </row>
    <row r="14268" spans="1:8" ht="15" customHeight="1">
      <c r="A14268" s="26">
        <v>1057545044</v>
      </c>
      <c r="B14268" s="29" t="s">
        <v>16475</v>
      </c>
      <c r="C14268" s="29" t="s">
        <v>17204</v>
      </c>
      <c r="D14268" s="29" t="s">
        <v>30349</v>
      </c>
      <c r="E14268" s="29" t="s">
        <v>43926</v>
      </c>
      <c r="F14268" s="36" t="s">
        <v>54401</v>
      </c>
      <c r="G14268" s="39">
        <v>897557.2</v>
      </c>
      <c r="H14268" s="42">
        <v>211</v>
      </c>
    </row>
    <row r="14269" spans="1:8" ht="15" customHeight="1">
      <c r="A14269" s="26">
        <v>1057545087</v>
      </c>
      <c r="B14269" s="29" t="s">
        <v>16476</v>
      </c>
      <c r="C14269" s="29" t="s">
        <v>29720</v>
      </c>
      <c r="D14269" s="29" t="s">
        <v>43264</v>
      </c>
      <c r="E14269" s="29" t="s">
        <v>53968</v>
      </c>
      <c r="F14269" s="36" t="s">
        <v>54401</v>
      </c>
      <c r="G14269" s="39">
        <v>355853.67</v>
      </c>
      <c r="H14269" s="42">
        <v>211</v>
      </c>
    </row>
    <row r="14270" spans="1:8" ht="15" customHeight="1">
      <c r="A14270" s="26">
        <v>1057545191</v>
      </c>
      <c r="B14270" s="29" t="s">
        <v>16477</v>
      </c>
      <c r="C14270" s="29" t="s">
        <v>29721</v>
      </c>
      <c r="D14270" s="29" t="s">
        <v>43265</v>
      </c>
      <c r="E14270" s="29" t="s">
        <v>44054</v>
      </c>
      <c r="F14270" s="36" t="s">
        <v>54401</v>
      </c>
      <c r="G14270" s="39">
        <v>7141514.5899999999</v>
      </c>
      <c r="H14270" s="42">
        <v>211</v>
      </c>
    </row>
    <row r="14271" spans="1:8" ht="15" customHeight="1">
      <c r="A14271" s="26">
        <v>1057545635</v>
      </c>
      <c r="B14271" s="29" t="s">
        <v>16478</v>
      </c>
      <c r="C14271" s="26" t="s">
        <v>29722</v>
      </c>
      <c r="D14271" s="26" t="s">
        <v>43266</v>
      </c>
      <c r="E14271" s="26" t="s">
        <v>53934</v>
      </c>
      <c r="F14271" s="37" t="s">
        <v>54401</v>
      </c>
      <c r="G14271" s="39">
        <v>135103.31</v>
      </c>
      <c r="H14271" s="42">
        <v>211</v>
      </c>
    </row>
    <row r="14272" spans="1:8" ht="15" customHeight="1">
      <c r="A14272" s="26">
        <v>1057545786</v>
      </c>
      <c r="B14272" s="29" t="s">
        <v>16479</v>
      </c>
      <c r="C14272" s="26" t="s">
        <v>29723</v>
      </c>
      <c r="D14272" s="26" t="s">
        <v>43267</v>
      </c>
      <c r="E14272" s="26" t="s">
        <v>53969</v>
      </c>
      <c r="F14272" s="37" t="s">
        <v>54401</v>
      </c>
      <c r="G14272" s="39">
        <v>46933.78</v>
      </c>
      <c r="H14272" s="42">
        <v>211</v>
      </c>
    </row>
    <row r="14273" spans="1:8" ht="15" customHeight="1">
      <c r="A14273" s="26">
        <v>1057546756</v>
      </c>
      <c r="B14273" s="29" t="s">
        <v>16480</v>
      </c>
      <c r="C14273" s="29" t="s">
        <v>17204</v>
      </c>
      <c r="D14273" s="29" t="s">
        <v>43268</v>
      </c>
      <c r="E14273" s="29" t="s">
        <v>43926</v>
      </c>
      <c r="F14273" s="36" t="s">
        <v>54401</v>
      </c>
      <c r="G14273" s="39">
        <v>2155175.0699999998</v>
      </c>
      <c r="H14273" s="42">
        <v>211</v>
      </c>
    </row>
    <row r="14274" spans="1:8" ht="15" customHeight="1">
      <c r="A14274" s="26">
        <v>1057546855</v>
      </c>
      <c r="B14274" s="29" t="s">
        <v>16481</v>
      </c>
      <c r="C14274" s="26" t="s">
        <v>29724</v>
      </c>
      <c r="D14274" s="26" t="s">
        <v>43269</v>
      </c>
      <c r="E14274" s="26" t="s">
        <v>53970</v>
      </c>
      <c r="F14274" s="37" t="s">
        <v>54401</v>
      </c>
      <c r="G14274" s="39">
        <v>242211.79</v>
      </c>
      <c r="H14274" s="42">
        <v>211</v>
      </c>
    </row>
    <row r="14275" spans="1:8" ht="15" customHeight="1">
      <c r="A14275" s="26">
        <v>1057547216</v>
      </c>
      <c r="B14275" s="29" t="s">
        <v>16482</v>
      </c>
      <c r="C14275" s="29" t="s">
        <v>29725</v>
      </c>
      <c r="D14275" s="29" t="s">
        <v>43270</v>
      </c>
      <c r="E14275" s="29" t="s">
        <v>53971</v>
      </c>
      <c r="F14275" s="36" t="s">
        <v>54401</v>
      </c>
      <c r="G14275" s="39">
        <v>3047991.54</v>
      </c>
      <c r="H14275" s="42">
        <v>211</v>
      </c>
    </row>
    <row r="14276" spans="1:8" ht="15" customHeight="1">
      <c r="A14276" s="26">
        <v>1057547335</v>
      </c>
      <c r="B14276" s="29" t="s">
        <v>16483</v>
      </c>
      <c r="C14276" s="29" t="s">
        <v>17204</v>
      </c>
      <c r="D14276" s="29" t="s">
        <v>43271</v>
      </c>
      <c r="E14276" s="29" t="s">
        <v>53972</v>
      </c>
      <c r="F14276" s="36" t="s">
        <v>54414</v>
      </c>
      <c r="G14276" s="39">
        <v>568399.78</v>
      </c>
      <c r="H14276" s="42">
        <v>211</v>
      </c>
    </row>
    <row r="14277" spans="1:8" ht="15" customHeight="1">
      <c r="A14277" s="26">
        <v>1057547664</v>
      </c>
      <c r="B14277" s="29" t="s">
        <v>16484</v>
      </c>
      <c r="C14277" s="29" t="s">
        <v>29726</v>
      </c>
      <c r="D14277" s="29" t="s">
        <v>43272</v>
      </c>
      <c r="E14277" s="29" t="s">
        <v>48248</v>
      </c>
      <c r="F14277" s="36" t="s">
        <v>54401</v>
      </c>
      <c r="G14277" s="39">
        <v>3606421.41</v>
      </c>
      <c r="H14277" s="42">
        <v>211</v>
      </c>
    </row>
    <row r="14278" spans="1:8" ht="15" customHeight="1">
      <c r="A14278" s="26">
        <v>1057547695</v>
      </c>
      <c r="B14278" s="29" t="s">
        <v>16485</v>
      </c>
      <c r="C14278" s="29" t="s">
        <v>29727</v>
      </c>
      <c r="D14278" s="29" t="s">
        <v>43273</v>
      </c>
      <c r="E14278" s="29" t="s">
        <v>53973</v>
      </c>
      <c r="F14278" s="36" t="s">
        <v>54401</v>
      </c>
      <c r="G14278" s="39">
        <v>2019798.37</v>
      </c>
      <c r="H14278" s="42">
        <v>211</v>
      </c>
    </row>
    <row r="14279" spans="1:8" ht="15" customHeight="1">
      <c r="A14279" s="26">
        <v>1057547748</v>
      </c>
      <c r="B14279" s="29" t="s">
        <v>16486</v>
      </c>
      <c r="C14279" s="29" t="s">
        <v>29728</v>
      </c>
      <c r="D14279" s="29" t="s">
        <v>43274</v>
      </c>
      <c r="E14279" s="29" t="s">
        <v>43926</v>
      </c>
      <c r="F14279" s="36" t="s">
        <v>54401</v>
      </c>
      <c r="G14279" s="39">
        <v>4460700.6900000004</v>
      </c>
      <c r="H14279" s="42">
        <v>211</v>
      </c>
    </row>
    <row r="14280" spans="1:8" ht="15" customHeight="1">
      <c r="A14280" s="26">
        <v>1057547881</v>
      </c>
      <c r="B14280" s="29" t="s">
        <v>16487</v>
      </c>
      <c r="C14280" s="29" t="s">
        <v>17204</v>
      </c>
      <c r="D14280" s="29" t="s">
        <v>30349</v>
      </c>
      <c r="E14280" s="29" t="s">
        <v>43926</v>
      </c>
      <c r="F14280" s="36" t="s">
        <v>54401</v>
      </c>
      <c r="G14280" s="39">
        <v>615134.5</v>
      </c>
      <c r="H14280" s="42">
        <v>211</v>
      </c>
    </row>
    <row r="14281" spans="1:8" ht="15" customHeight="1">
      <c r="A14281" s="26">
        <v>1057548163</v>
      </c>
      <c r="B14281" s="29" t="s">
        <v>16488</v>
      </c>
      <c r="C14281" s="29" t="s">
        <v>29729</v>
      </c>
      <c r="D14281" s="29" t="s">
        <v>43275</v>
      </c>
      <c r="E14281" s="29" t="s">
        <v>53974</v>
      </c>
      <c r="F14281" s="36" t="s">
        <v>54401</v>
      </c>
      <c r="G14281" s="39">
        <v>2185076.46</v>
      </c>
      <c r="H14281" s="42">
        <v>211</v>
      </c>
    </row>
    <row r="14282" spans="1:8" ht="15" customHeight="1">
      <c r="A14282" s="26">
        <v>1057548634</v>
      </c>
      <c r="B14282" s="29" t="s">
        <v>16489</v>
      </c>
      <c r="C14282" s="26" t="s">
        <v>17204</v>
      </c>
      <c r="D14282" s="26" t="s">
        <v>30349</v>
      </c>
      <c r="E14282" s="26" t="s">
        <v>43926</v>
      </c>
      <c r="F14282" s="37" t="s">
        <v>54401</v>
      </c>
      <c r="G14282" s="39">
        <v>44308.57</v>
      </c>
      <c r="H14282" s="42">
        <v>211</v>
      </c>
    </row>
    <row r="14283" spans="1:8" ht="15" customHeight="1">
      <c r="A14283" s="26">
        <v>1057548747</v>
      </c>
      <c r="B14283" s="29" t="s">
        <v>16490</v>
      </c>
      <c r="C14283" s="29" t="s">
        <v>17204</v>
      </c>
      <c r="D14283" s="29" t="s">
        <v>30349</v>
      </c>
      <c r="E14283" s="29" t="s">
        <v>43926</v>
      </c>
      <c r="F14283" s="36" t="s">
        <v>54401</v>
      </c>
      <c r="G14283" s="39">
        <v>228579.34</v>
      </c>
      <c r="H14283" s="42">
        <v>211</v>
      </c>
    </row>
    <row r="14284" spans="1:8" ht="15" customHeight="1">
      <c r="A14284" s="26">
        <v>1057570231</v>
      </c>
      <c r="B14284" s="29" t="s">
        <v>16491</v>
      </c>
      <c r="C14284" s="29" t="s">
        <v>29730</v>
      </c>
      <c r="D14284" s="29" t="s">
        <v>43276</v>
      </c>
      <c r="E14284" s="29" t="s">
        <v>52051</v>
      </c>
      <c r="F14284" s="36" t="s">
        <v>54401</v>
      </c>
      <c r="G14284" s="39">
        <v>592156.13</v>
      </c>
      <c r="H14284" s="42">
        <v>211</v>
      </c>
    </row>
    <row r="14285" spans="1:8" ht="15" customHeight="1">
      <c r="A14285" s="26">
        <v>1057570385</v>
      </c>
      <c r="B14285" s="29" t="s">
        <v>16492</v>
      </c>
      <c r="C14285" s="29" t="s">
        <v>29731</v>
      </c>
      <c r="D14285" s="29" t="s">
        <v>43277</v>
      </c>
      <c r="E14285" s="29" t="s">
        <v>44260</v>
      </c>
      <c r="F14285" s="36" t="s">
        <v>54401</v>
      </c>
      <c r="G14285" s="39">
        <v>3641114.85</v>
      </c>
      <c r="H14285" s="42">
        <v>211</v>
      </c>
    </row>
    <row r="14286" spans="1:8" ht="15" customHeight="1">
      <c r="A14286" s="26">
        <v>1057570551</v>
      </c>
      <c r="B14286" s="29" t="s">
        <v>16493</v>
      </c>
      <c r="C14286" s="29" t="s">
        <v>29732</v>
      </c>
      <c r="D14286" s="29" t="s">
        <v>43278</v>
      </c>
      <c r="E14286" s="29" t="s">
        <v>53975</v>
      </c>
      <c r="F14286" s="36" t="s">
        <v>54401</v>
      </c>
      <c r="G14286" s="39">
        <v>2178956.98</v>
      </c>
      <c r="H14286" s="42">
        <v>211</v>
      </c>
    </row>
    <row r="14287" spans="1:8" ht="15" customHeight="1">
      <c r="A14287" s="26">
        <v>1057570678</v>
      </c>
      <c r="B14287" s="29" t="s">
        <v>16494</v>
      </c>
      <c r="C14287" s="29" t="s">
        <v>29733</v>
      </c>
      <c r="D14287" s="29" t="s">
        <v>43279</v>
      </c>
      <c r="E14287" s="29" t="s">
        <v>43926</v>
      </c>
      <c r="F14287" s="36" t="s">
        <v>54401</v>
      </c>
      <c r="G14287" s="39">
        <v>187195.89</v>
      </c>
      <c r="H14287" s="42">
        <v>211</v>
      </c>
    </row>
    <row r="14288" spans="1:8" ht="15" customHeight="1">
      <c r="A14288" s="26">
        <v>1057570823</v>
      </c>
      <c r="B14288" s="29" t="s">
        <v>16495</v>
      </c>
      <c r="C14288" s="29" t="s">
        <v>29734</v>
      </c>
      <c r="D14288" s="29" t="s">
        <v>43280</v>
      </c>
      <c r="E14288" s="29" t="s">
        <v>53976</v>
      </c>
      <c r="F14288" s="36" t="s">
        <v>54402</v>
      </c>
      <c r="G14288" s="39">
        <v>557900.57999999996</v>
      </c>
      <c r="H14288" s="42">
        <v>211</v>
      </c>
    </row>
    <row r="14289" spans="1:8" ht="15" customHeight="1">
      <c r="A14289" s="26">
        <v>1057570954</v>
      </c>
      <c r="B14289" s="29" t="s">
        <v>16496</v>
      </c>
      <c r="C14289" s="26" t="s">
        <v>29735</v>
      </c>
      <c r="D14289" s="26" t="s">
        <v>43281</v>
      </c>
      <c r="E14289" s="26" t="s">
        <v>53977</v>
      </c>
      <c r="F14289" s="37" t="s">
        <v>54401</v>
      </c>
      <c r="G14289" s="39">
        <v>621574.09</v>
      </c>
      <c r="H14289" s="42">
        <v>211</v>
      </c>
    </row>
    <row r="14290" spans="1:8" ht="15" customHeight="1">
      <c r="A14290" s="26">
        <v>1057571012</v>
      </c>
      <c r="B14290" s="29" t="s">
        <v>16497</v>
      </c>
      <c r="C14290" s="26" t="s">
        <v>17204</v>
      </c>
      <c r="D14290" s="26" t="s">
        <v>36748</v>
      </c>
      <c r="E14290" s="26" t="s">
        <v>43926</v>
      </c>
      <c r="F14290" s="37" t="s">
        <v>54401</v>
      </c>
      <c r="G14290" s="39">
        <v>396170.75</v>
      </c>
      <c r="H14290" s="42">
        <v>211</v>
      </c>
    </row>
    <row r="14291" spans="1:8" ht="15" customHeight="1">
      <c r="A14291" s="26">
        <v>1057571205</v>
      </c>
      <c r="B14291" s="29" t="s">
        <v>16498</v>
      </c>
      <c r="C14291" s="29" t="s">
        <v>29736</v>
      </c>
      <c r="D14291" s="29" t="s">
        <v>43282</v>
      </c>
      <c r="E14291" s="29" t="s">
        <v>53978</v>
      </c>
      <c r="F14291" s="36" t="s">
        <v>54420</v>
      </c>
      <c r="G14291" s="39">
        <v>342103.07</v>
      </c>
      <c r="H14291" s="42">
        <v>211</v>
      </c>
    </row>
    <row r="14292" spans="1:8" ht="15" customHeight="1">
      <c r="A14292" s="26">
        <v>1057571398</v>
      </c>
      <c r="B14292" s="29" t="s">
        <v>16499</v>
      </c>
      <c r="C14292" s="29" t="s">
        <v>29737</v>
      </c>
      <c r="D14292" s="29" t="s">
        <v>43283</v>
      </c>
      <c r="E14292" s="29" t="s">
        <v>52495</v>
      </c>
      <c r="F14292" s="36" t="s">
        <v>54401</v>
      </c>
      <c r="G14292" s="39">
        <v>499385.26</v>
      </c>
      <c r="H14292" s="42">
        <v>211</v>
      </c>
    </row>
    <row r="14293" spans="1:8" ht="15" customHeight="1">
      <c r="A14293" s="26">
        <v>1057571833</v>
      </c>
      <c r="B14293" s="29" t="s">
        <v>16500</v>
      </c>
      <c r="C14293" s="29" t="s">
        <v>29738</v>
      </c>
      <c r="D14293" s="29" t="s">
        <v>43284</v>
      </c>
      <c r="E14293" s="29" t="s">
        <v>43926</v>
      </c>
      <c r="F14293" s="36" t="s">
        <v>54401</v>
      </c>
      <c r="G14293" s="39">
        <v>311533.67</v>
      </c>
      <c r="H14293" s="42">
        <v>211</v>
      </c>
    </row>
    <row r="14294" spans="1:8" ht="15" customHeight="1">
      <c r="A14294" s="26">
        <v>1057571835</v>
      </c>
      <c r="B14294" s="29" t="s">
        <v>16501</v>
      </c>
      <c r="C14294" s="29" t="s">
        <v>29739</v>
      </c>
      <c r="D14294" s="29" t="s">
        <v>43285</v>
      </c>
      <c r="E14294" s="29" t="s">
        <v>53979</v>
      </c>
      <c r="F14294" s="36" t="s">
        <v>54401</v>
      </c>
      <c r="G14294" s="39">
        <v>68331.7</v>
      </c>
      <c r="H14294" s="42">
        <v>211</v>
      </c>
    </row>
    <row r="14295" spans="1:8" ht="15" customHeight="1">
      <c r="A14295" s="26">
        <v>1057571911</v>
      </c>
      <c r="B14295" s="29" t="s">
        <v>16502</v>
      </c>
      <c r="C14295" s="29" t="s">
        <v>29740</v>
      </c>
      <c r="D14295" s="29" t="s">
        <v>43286</v>
      </c>
      <c r="E14295" s="29" t="s">
        <v>48891</v>
      </c>
      <c r="F14295" s="36" t="s">
        <v>54401</v>
      </c>
      <c r="G14295" s="39">
        <v>4430067.01</v>
      </c>
      <c r="H14295" s="42">
        <v>211</v>
      </c>
    </row>
    <row r="14296" spans="1:8" ht="15" customHeight="1">
      <c r="A14296" s="26">
        <v>1057572047</v>
      </c>
      <c r="B14296" s="29" t="s">
        <v>16503</v>
      </c>
      <c r="C14296" s="29" t="s">
        <v>29741</v>
      </c>
      <c r="D14296" s="29" t="s">
        <v>43287</v>
      </c>
      <c r="E14296" s="29" t="s">
        <v>53980</v>
      </c>
      <c r="F14296" s="36" t="s">
        <v>54401</v>
      </c>
      <c r="G14296" s="39">
        <v>142382.74</v>
      </c>
      <c r="H14296" s="42">
        <v>211</v>
      </c>
    </row>
    <row r="14297" spans="1:8" ht="15" customHeight="1">
      <c r="A14297" s="26">
        <v>1057572649</v>
      </c>
      <c r="B14297" s="29" t="s">
        <v>16504</v>
      </c>
      <c r="C14297" s="29" t="s">
        <v>29742</v>
      </c>
      <c r="D14297" s="29" t="s">
        <v>43288</v>
      </c>
      <c r="E14297" s="29" t="s">
        <v>43926</v>
      </c>
      <c r="F14297" s="36" t="s">
        <v>54401</v>
      </c>
      <c r="G14297" s="39">
        <v>149571.1</v>
      </c>
      <c r="H14297" s="42">
        <v>211</v>
      </c>
    </row>
    <row r="14298" spans="1:8" ht="15" customHeight="1">
      <c r="A14298" s="26">
        <v>1057572723</v>
      </c>
      <c r="B14298" s="29" t="s">
        <v>16505</v>
      </c>
      <c r="C14298" s="29" t="s">
        <v>29743</v>
      </c>
      <c r="D14298" s="29" t="s">
        <v>43289</v>
      </c>
      <c r="E14298" s="29" t="s">
        <v>53981</v>
      </c>
      <c r="F14298" s="36" t="s">
        <v>54401</v>
      </c>
      <c r="G14298" s="39">
        <v>992634.1</v>
      </c>
      <c r="H14298" s="42">
        <v>211</v>
      </c>
    </row>
    <row r="14299" spans="1:8" ht="15" customHeight="1">
      <c r="A14299" s="26">
        <v>1057572872</v>
      </c>
      <c r="B14299" s="29" t="s">
        <v>16506</v>
      </c>
      <c r="C14299" s="29" t="s">
        <v>29744</v>
      </c>
      <c r="D14299" s="29" t="s">
        <v>43290</v>
      </c>
      <c r="E14299" s="29" t="s">
        <v>53982</v>
      </c>
      <c r="F14299" s="36" t="s">
        <v>54401</v>
      </c>
      <c r="G14299" s="39">
        <v>169457.61</v>
      </c>
      <c r="H14299" s="42">
        <v>211</v>
      </c>
    </row>
    <row r="14300" spans="1:8" ht="15" customHeight="1">
      <c r="A14300" s="26">
        <v>1057573003</v>
      </c>
      <c r="B14300" s="29" t="s">
        <v>16507</v>
      </c>
      <c r="C14300" s="29" t="s">
        <v>29745</v>
      </c>
      <c r="D14300" s="29" t="s">
        <v>43291</v>
      </c>
      <c r="E14300" s="29" t="s">
        <v>53983</v>
      </c>
      <c r="F14300" s="36" t="s">
        <v>54401</v>
      </c>
      <c r="G14300" s="39">
        <v>239170.69</v>
      </c>
      <c r="H14300" s="42">
        <v>211</v>
      </c>
    </row>
    <row r="14301" spans="1:8" ht="15" customHeight="1">
      <c r="A14301" s="26">
        <v>1057573240</v>
      </c>
      <c r="B14301" s="29" t="s">
        <v>16508</v>
      </c>
      <c r="C14301" s="29" t="s">
        <v>29746</v>
      </c>
      <c r="D14301" s="29" t="s">
        <v>43292</v>
      </c>
      <c r="E14301" s="29" t="s">
        <v>53984</v>
      </c>
      <c r="F14301" s="36" t="s">
        <v>54401</v>
      </c>
      <c r="G14301" s="39">
        <v>739322.02</v>
      </c>
      <c r="H14301" s="42">
        <v>211</v>
      </c>
    </row>
    <row r="14302" spans="1:8" ht="15" customHeight="1">
      <c r="A14302" s="26">
        <v>1057573431</v>
      </c>
      <c r="B14302" s="29" t="s">
        <v>16509</v>
      </c>
      <c r="C14302" s="29" t="s">
        <v>29747</v>
      </c>
      <c r="D14302" s="29" t="s">
        <v>43293</v>
      </c>
      <c r="E14302" s="29" t="s">
        <v>53985</v>
      </c>
      <c r="F14302" s="36" t="s">
        <v>54401</v>
      </c>
      <c r="G14302" s="39">
        <v>382240.93</v>
      </c>
      <c r="H14302" s="42">
        <v>211</v>
      </c>
    </row>
    <row r="14303" spans="1:8" ht="15" customHeight="1">
      <c r="A14303" s="26">
        <v>1057573435</v>
      </c>
      <c r="B14303" s="29" t="s">
        <v>16510</v>
      </c>
      <c r="C14303" s="29" t="s">
        <v>29748</v>
      </c>
      <c r="D14303" s="29" t="s">
        <v>43294</v>
      </c>
      <c r="E14303" s="29" t="s">
        <v>53986</v>
      </c>
      <c r="F14303" s="36" t="s">
        <v>54401</v>
      </c>
      <c r="G14303" s="39">
        <v>2735542</v>
      </c>
      <c r="H14303" s="42">
        <v>211</v>
      </c>
    </row>
    <row r="14304" spans="1:8" ht="15" customHeight="1">
      <c r="A14304" s="26">
        <v>1057573551</v>
      </c>
      <c r="B14304" s="29" t="s">
        <v>16511</v>
      </c>
      <c r="C14304" s="29" t="s">
        <v>29749</v>
      </c>
      <c r="D14304" s="29" t="s">
        <v>30760</v>
      </c>
      <c r="E14304" s="29" t="s">
        <v>53987</v>
      </c>
      <c r="F14304" s="36" t="s">
        <v>54401</v>
      </c>
      <c r="G14304" s="39">
        <v>397052.83</v>
      </c>
      <c r="H14304" s="42">
        <v>211</v>
      </c>
    </row>
    <row r="14305" spans="1:8" ht="15" customHeight="1">
      <c r="A14305" s="26">
        <v>1057573732</v>
      </c>
      <c r="B14305" s="29" t="s">
        <v>16512</v>
      </c>
      <c r="C14305" s="29" t="s">
        <v>29750</v>
      </c>
      <c r="D14305" s="29" t="s">
        <v>43295</v>
      </c>
      <c r="E14305" s="29" t="s">
        <v>53988</v>
      </c>
      <c r="F14305" s="36" t="s">
        <v>54409</v>
      </c>
      <c r="G14305" s="39">
        <v>272390.26</v>
      </c>
      <c r="H14305" s="42">
        <v>211</v>
      </c>
    </row>
    <row r="14306" spans="1:8" ht="15" customHeight="1">
      <c r="A14306" s="26">
        <v>1057573867</v>
      </c>
      <c r="B14306" s="29" t="s">
        <v>16513</v>
      </c>
      <c r="C14306" s="29" t="s">
        <v>29751</v>
      </c>
      <c r="D14306" s="29" t="s">
        <v>43296</v>
      </c>
      <c r="E14306" s="29" t="s">
        <v>53989</v>
      </c>
      <c r="F14306" s="36" t="s">
        <v>54401</v>
      </c>
      <c r="G14306" s="39">
        <v>2374684.98</v>
      </c>
      <c r="H14306" s="42">
        <v>211</v>
      </c>
    </row>
    <row r="14307" spans="1:8" ht="15" customHeight="1">
      <c r="A14307" s="26">
        <v>1057573973</v>
      </c>
      <c r="B14307" s="29" t="s">
        <v>16514</v>
      </c>
      <c r="C14307" s="29" t="s">
        <v>17337</v>
      </c>
      <c r="D14307" s="29" t="s">
        <v>43297</v>
      </c>
      <c r="E14307" s="29" t="s">
        <v>49726</v>
      </c>
      <c r="F14307" s="36" t="s">
        <v>54401</v>
      </c>
      <c r="G14307" s="39">
        <v>752308.65</v>
      </c>
      <c r="H14307" s="42">
        <v>211</v>
      </c>
    </row>
    <row r="14308" spans="1:8" ht="15" customHeight="1">
      <c r="A14308" s="26">
        <v>1057574214</v>
      </c>
      <c r="B14308" s="29" t="s">
        <v>16515</v>
      </c>
      <c r="C14308" s="29" t="s">
        <v>29752</v>
      </c>
      <c r="D14308" s="29" t="s">
        <v>43298</v>
      </c>
      <c r="E14308" s="29" t="s">
        <v>53990</v>
      </c>
      <c r="F14308" s="36" t="s">
        <v>54401</v>
      </c>
      <c r="G14308" s="39">
        <v>89369.98</v>
      </c>
      <c r="H14308" s="42">
        <v>211</v>
      </c>
    </row>
    <row r="14309" spans="1:8" ht="15" customHeight="1">
      <c r="A14309" s="26">
        <v>1057574231</v>
      </c>
      <c r="B14309" s="29" t="s">
        <v>16516</v>
      </c>
      <c r="C14309" s="26" t="s">
        <v>17204</v>
      </c>
      <c r="D14309" s="26" t="s">
        <v>43299</v>
      </c>
      <c r="E14309" s="26" t="s">
        <v>43926</v>
      </c>
      <c r="F14309" s="37" t="s">
        <v>54401</v>
      </c>
      <c r="G14309" s="39">
        <v>94223.25</v>
      </c>
      <c r="H14309" s="42">
        <v>211</v>
      </c>
    </row>
    <row r="14310" spans="1:8" ht="15" customHeight="1">
      <c r="A14310" s="26">
        <v>1057574480</v>
      </c>
      <c r="B14310" s="29" t="s">
        <v>16517</v>
      </c>
      <c r="C14310" s="29" t="s">
        <v>29753</v>
      </c>
      <c r="D14310" s="29" t="s">
        <v>43300</v>
      </c>
      <c r="E14310" s="29" t="s">
        <v>53991</v>
      </c>
      <c r="F14310" s="36" t="s">
        <v>54401</v>
      </c>
      <c r="G14310" s="39">
        <v>100606.73</v>
      </c>
      <c r="H14310" s="42">
        <v>211</v>
      </c>
    </row>
    <row r="14311" spans="1:8" ht="15" customHeight="1">
      <c r="A14311" s="26">
        <v>1057574569</v>
      </c>
      <c r="B14311" s="29" t="s">
        <v>16518</v>
      </c>
      <c r="C14311" s="29" t="s">
        <v>29754</v>
      </c>
      <c r="D14311" s="29" t="s">
        <v>43301</v>
      </c>
      <c r="E14311" s="29" t="s">
        <v>53992</v>
      </c>
      <c r="F14311" s="36" t="s">
        <v>54402</v>
      </c>
      <c r="G14311" s="39">
        <v>43186.05</v>
      </c>
      <c r="H14311" s="42">
        <v>211</v>
      </c>
    </row>
    <row r="14312" spans="1:8" ht="15" customHeight="1">
      <c r="A14312" s="26">
        <v>1057574741</v>
      </c>
      <c r="B14312" s="29" t="s">
        <v>16519</v>
      </c>
      <c r="C14312" s="29" t="s">
        <v>29755</v>
      </c>
      <c r="D14312" s="29" t="s">
        <v>43302</v>
      </c>
      <c r="E14312" s="29" t="s">
        <v>717</v>
      </c>
      <c r="F14312" s="36" t="s">
        <v>54401</v>
      </c>
      <c r="G14312" s="39">
        <v>547255.30000000005</v>
      </c>
      <c r="H14312" s="42">
        <v>211</v>
      </c>
    </row>
    <row r="14313" spans="1:8" ht="15" customHeight="1">
      <c r="A14313" s="26">
        <v>1057574788</v>
      </c>
      <c r="B14313" s="29" t="s">
        <v>16520</v>
      </c>
      <c r="C14313" s="29" t="s">
        <v>17204</v>
      </c>
      <c r="D14313" s="29" t="s">
        <v>30349</v>
      </c>
      <c r="E14313" s="29" t="s">
        <v>43926</v>
      </c>
      <c r="F14313" s="36" t="s">
        <v>54401</v>
      </c>
      <c r="G14313" s="39">
        <v>419895.25</v>
      </c>
      <c r="H14313" s="42">
        <v>211</v>
      </c>
    </row>
    <row r="14314" spans="1:8" ht="15" customHeight="1">
      <c r="A14314" s="26">
        <v>1057574904</v>
      </c>
      <c r="B14314" s="29" t="s">
        <v>16521</v>
      </c>
      <c r="C14314" s="29" t="s">
        <v>29756</v>
      </c>
      <c r="D14314" s="29" t="s">
        <v>43303</v>
      </c>
      <c r="E14314" s="29" t="s">
        <v>53227</v>
      </c>
      <c r="F14314" s="36" t="s">
        <v>54401</v>
      </c>
      <c r="G14314" s="39">
        <v>109269.65</v>
      </c>
      <c r="H14314" s="42">
        <v>211</v>
      </c>
    </row>
    <row r="14315" spans="1:8" ht="15" customHeight="1">
      <c r="A14315" s="26">
        <v>1057575080</v>
      </c>
      <c r="B14315" s="29" t="s">
        <v>16522</v>
      </c>
      <c r="C14315" s="29" t="s">
        <v>29757</v>
      </c>
      <c r="D14315" s="29" t="s">
        <v>43304</v>
      </c>
      <c r="E14315" s="29" t="s">
        <v>44324</v>
      </c>
      <c r="F14315" s="36" t="s">
        <v>54401</v>
      </c>
      <c r="G14315" s="39">
        <v>1004477.95</v>
      </c>
      <c r="H14315" s="42">
        <v>211</v>
      </c>
    </row>
    <row r="14316" spans="1:8" ht="15" customHeight="1">
      <c r="A14316" s="26">
        <v>1057575087</v>
      </c>
      <c r="B14316" s="29" t="s">
        <v>16523</v>
      </c>
      <c r="C14316" s="29" t="s">
        <v>29758</v>
      </c>
      <c r="D14316" s="29" t="s">
        <v>43305</v>
      </c>
      <c r="E14316" s="29" t="s">
        <v>53993</v>
      </c>
      <c r="F14316" s="36" t="s">
        <v>54402</v>
      </c>
      <c r="G14316" s="39">
        <v>42200.84</v>
      </c>
      <c r="H14316" s="42">
        <v>211</v>
      </c>
    </row>
    <row r="14317" spans="1:8" ht="15" customHeight="1">
      <c r="A14317" s="26">
        <v>1057575200</v>
      </c>
      <c r="B14317" s="29" t="s">
        <v>16524</v>
      </c>
      <c r="C14317" s="29" t="s">
        <v>29759</v>
      </c>
      <c r="D14317" s="29" t="s">
        <v>43306</v>
      </c>
      <c r="E14317" s="29" t="s">
        <v>53994</v>
      </c>
      <c r="F14317" s="36" t="s">
        <v>54401</v>
      </c>
      <c r="G14317" s="39">
        <v>661351.13</v>
      </c>
      <c r="H14317" s="42">
        <v>211</v>
      </c>
    </row>
    <row r="14318" spans="1:8" ht="15" customHeight="1">
      <c r="A14318" s="26">
        <v>1057575497</v>
      </c>
      <c r="B14318" s="29" t="s">
        <v>16525</v>
      </c>
      <c r="C14318" s="29" t="s">
        <v>29760</v>
      </c>
      <c r="D14318" s="29" t="s">
        <v>43307</v>
      </c>
      <c r="E14318" s="29" t="s">
        <v>53995</v>
      </c>
      <c r="F14318" s="36" t="s">
        <v>54402</v>
      </c>
      <c r="G14318" s="39">
        <v>1344913.29</v>
      </c>
      <c r="H14318" s="42">
        <v>211</v>
      </c>
    </row>
    <row r="14319" spans="1:8" ht="15" customHeight="1">
      <c r="A14319" s="26">
        <v>1057575573</v>
      </c>
      <c r="B14319" s="29" t="s">
        <v>16526</v>
      </c>
      <c r="C14319" s="26" t="s">
        <v>29761</v>
      </c>
      <c r="D14319" s="26" t="s">
        <v>43308</v>
      </c>
      <c r="E14319" s="26" t="s">
        <v>43926</v>
      </c>
      <c r="F14319" s="37" t="s">
        <v>54401</v>
      </c>
      <c r="G14319" s="39">
        <v>304390.57</v>
      </c>
      <c r="H14319" s="42">
        <v>211</v>
      </c>
    </row>
    <row r="14320" spans="1:8" ht="15" customHeight="1">
      <c r="A14320" s="26">
        <v>1057575639</v>
      </c>
      <c r="B14320" s="29" t="s">
        <v>16527</v>
      </c>
      <c r="C14320" s="29" t="s">
        <v>29762</v>
      </c>
      <c r="D14320" s="29" t="s">
        <v>43309</v>
      </c>
      <c r="E14320" s="29" t="s">
        <v>44310</v>
      </c>
      <c r="F14320" s="36" t="s">
        <v>54420</v>
      </c>
      <c r="G14320" s="39">
        <v>4297534.88</v>
      </c>
      <c r="H14320" s="42">
        <v>211</v>
      </c>
    </row>
    <row r="14321" spans="1:8" ht="15" customHeight="1">
      <c r="A14321" s="26">
        <v>1057575713</v>
      </c>
      <c r="B14321" s="29" t="s">
        <v>16528</v>
      </c>
      <c r="C14321" s="29" t="s">
        <v>29763</v>
      </c>
      <c r="D14321" s="29" t="s">
        <v>43310</v>
      </c>
      <c r="E14321" s="29" t="s">
        <v>52587</v>
      </c>
      <c r="F14321" s="36" t="s">
        <v>54402</v>
      </c>
      <c r="G14321" s="39">
        <v>1053228.83</v>
      </c>
      <c r="H14321" s="42">
        <v>211</v>
      </c>
    </row>
    <row r="14322" spans="1:8" ht="15" customHeight="1">
      <c r="A14322" s="26">
        <v>1057575765</v>
      </c>
      <c r="B14322" s="29" t="s">
        <v>16529</v>
      </c>
      <c r="C14322" s="29" t="s">
        <v>24732</v>
      </c>
      <c r="D14322" s="29" t="s">
        <v>43311</v>
      </c>
      <c r="E14322" s="29" t="s">
        <v>53996</v>
      </c>
      <c r="F14322" s="36" t="s">
        <v>54401</v>
      </c>
      <c r="G14322" s="39">
        <v>104268.3</v>
      </c>
      <c r="H14322" s="42">
        <v>211</v>
      </c>
    </row>
    <row r="14323" spans="1:8" ht="15" customHeight="1">
      <c r="A14323" s="26">
        <v>1057575798</v>
      </c>
      <c r="B14323" s="29" t="s">
        <v>16530</v>
      </c>
      <c r="C14323" s="29" t="s">
        <v>29764</v>
      </c>
      <c r="D14323" s="29" t="s">
        <v>43312</v>
      </c>
      <c r="E14323" s="29" t="s">
        <v>53997</v>
      </c>
      <c r="F14323" s="36" t="s">
        <v>54401</v>
      </c>
      <c r="G14323" s="39">
        <v>6811066.9299999997</v>
      </c>
      <c r="H14323" s="42">
        <v>211</v>
      </c>
    </row>
    <row r="14324" spans="1:8" ht="15" customHeight="1">
      <c r="A14324" s="26">
        <v>1057576149</v>
      </c>
      <c r="B14324" s="29" t="s">
        <v>16531</v>
      </c>
      <c r="C14324" s="29" t="s">
        <v>29765</v>
      </c>
      <c r="D14324" s="29" t="s">
        <v>43313</v>
      </c>
      <c r="E14324" s="29" t="s">
        <v>53998</v>
      </c>
      <c r="F14324" s="36" t="s">
        <v>54401</v>
      </c>
      <c r="G14324" s="39">
        <v>310582.96000000002</v>
      </c>
      <c r="H14324" s="42">
        <v>211</v>
      </c>
    </row>
    <row r="14325" spans="1:8" ht="15" customHeight="1">
      <c r="A14325" s="26">
        <v>1057576402</v>
      </c>
      <c r="B14325" s="29" t="s">
        <v>16532</v>
      </c>
      <c r="C14325" s="29" t="s">
        <v>29766</v>
      </c>
      <c r="D14325" s="29" t="s">
        <v>43314</v>
      </c>
      <c r="E14325" s="29" t="s">
        <v>53999</v>
      </c>
      <c r="F14325" s="36" t="s">
        <v>54401</v>
      </c>
      <c r="G14325" s="39">
        <v>469923.57</v>
      </c>
      <c r="H14325" s="42">
        <v>211</v>
      </c>
    </row>
    <row r="14326" spans="1:8" ht="15" customHeight="1">
      <c r="A14326" s="26">
        <v>1057576497</v>
      </c>
      <c r="B14326" s="29" t="s">
        <v>16533</v>
      </c>
      <c r="C14326" s="29" t="s">
        <v>29767</v>
      </c>
      <c r="D14326" s="29" t="s">
        <v>43315</v>
      </c>
      <c r="E14326" s="29" t="s">
        <v>54000</v>
      </c>
      <c r="F14326" s="36" t="s">
        <v>54401</v>
      </c>
      <c r="G14326" s="39">
        <v>120959.46</v>
      </c>
      <c r="H14326" s="42">
        <v>211</v>
      </c>
    </row>
    <row r="14327" spans="1:8" ht="15" customHeight="1">
      <c r="A14327" s="26">
        <v>1057576689</v>
      </c>
      <c r="B14327" s="29" t="s">
        <v>16534</v>
      </c>
      <c r="C14327" s="29" t="s">
        <v>29768</v>
      </c>
      <c r="D14327" s="29" t="s">
        <v>43316</v>
      </c>
      <c r="E14327" s="29" t="s">
        <v>54001</v>
      </c>
      <c r="F14327" s="36" t="s">
        <v>54402</v>
      </c>
      <c r="G14327" s="39">
        <v>16413445.369999999</v>
      </c>
      <c r="H14327" s="42">
        <v>211</v>
      </c>
    </row>
    <row r="14328" spans="1:8" ht="15" customHeight="1">
      <c r="A14328" s="26">
        <v>1057576764</v>
      </c>
      <c r="B14328" s="29" t="s">
        <v>16535</v>
      </c>
      <c r="C14328" s="29" t="s">
        <v>17204</v>
      </c>
      <c r="D14328" s="29" t="s">
        <v>30349</v>
      </c>
      <c r="E14328" s="29" t="s">
        <v>43926</v>
      </c>
      <c r="F14328" s="36" t="s">
        <v>54401</v>
      </c>
      <c r="G14328" s="39">
        <v>287328.08</v>
      </c>
      <c r="H14328" s="42">
        <v>211</v>
      </c>
    </row>
    <row r="14329" spans="1:8" ht="15" customHeight="1">
      <c r="A14329" s="26">
        <v>1057577288</v>
      </c>
      <c r="B14329" s="29" t="s">
        <v>16536</v>
      </c>
      <c r="C14329" s="26" t="s">
        <v>29769</v>
      </c>
      <c r="D14329" s="26" t="s">
        <v>32653</v>
      </c>
      <c r="E14329" s="26" t="s">
        <v>43926</v>
      </c>
      <c r="F14329" s="37" t="s">
        <v>54401</v>
      </c>
      <c r="G14329" s="39">
        <v>1871856.53</v>
      </c>
      <c r="H14329" s="42">
        <v>211</v>
      </c>
    </row>
    <row r="14330" spans="1:8" ht="15" customHeight="1">
      <c r="A14330" s="26">
        <v>1057577515</v>
      </c>
      <c r="B14330" s="29" t="s">
        <v>16537</v>
      </c>
      <c r="C14330" s="29" t="s">
        <v>29770</v>
      </c>
      <c r="D14330" s="29" t="s">
        <v>43317</v>
      </c>
      <c r="E14330" s="29" t="s">
        <v>257</v>
      </c>
      <c r="F14330" s="36" t="s">
        <v>54401</v>
      </c>
      <c r="G14330" s="39">
        <v>30847.9</v>
      </c>
      <c r="H14330" s="42">
        <v>211</v>
      </c>
    </row>
    <row r="14331" spans="1:8" ht="15" customHeight="1">
      <c r="A14331" s="26">
        <v>1057577584</v>
      </c>
      <c r="B14331" s="29" t="s">
        <v>16538</v>
      </c>
      <c r="C14331" s="29" t="s">
        <v>29771</v>
      </c>
      <c r="D14331" s="29" t="s">
        <v>43318</v>
      </c>
      <c r="E14331" s="29" t="s">
        <v>54002</v>
      </c>
      <c r="F14331" s="36" t="s">
        <v>54401</v>
      </c>
      <c r="G14331" s="39">
        <v>253512.15</v>
      </c>
      <c r="H14331" s="42">
        <v>211</v>
      </c>
    </row>
    <row r="14332" spans="1:8" ht="15" customHeight="1">
      <c r="A14332" s="26">
        <v>1057577597</v>
      </c>
      <c r="B14332" s="29" t="s">
        <v>16539</v>
      </c>
      <c r="C14332" s="29" t="s">
        <v>29772</v>
      </c>
      <c r="D14332" s="29" t="s">
        <v>43319</v>
      </c>
      <c r="E14332" s="29" t="s">
        <v>54003</v>
      </c>
      <c r="F14332" s="36" t="s">
        <v>54401</v>
      </c>
      <c r="G14332" s="39">
        <v>256012.08</v>
      </c>
      <c r="H14332" s="42">
        <v>211</v>
      </c>
    </row>
    <row r="14333" spans="1:8" ht="15" customHeight="1">
      <c r="A14333" s="26">
        <v>1057577786</v>
      </c>
      <c r="B14333" s="29" t="s">
        <v>16540</v>
      </c>
      <c r="C14333" s="29" t="s">
        <v>29773</v>
      </c>
      <c r="D14333" s="29" t="s">
        <v>43320</v>
      </c>
      <c r="E14333" s="29" t="s">
        <v>54004</v>
      </c>
      <c r="F14333" s="36" t="s">
        <v>54401</v>
      </c>
      <c r="G14333" s="39">
        <v>1814854.73</v>
      </c>
      <c r="H14333" s="42">
        <v>211</v>
      </c>
    </row>
    <row r="14334" spans="1:8" ht="15" customHeight="1">
      <c r="A14334" s="26">
        <v>1057577916</v>
      </c>
      <c r="B14334" s="29" t="s">
        <v>16541</v>
      </c>
      <c r="C14334" s="26" t="s">
        <v>29774</v>
      </c>
      <c r="D14334" s="26" t="s">
        <v>43321</v>
      </c>
      <c r="E14334" s="26" t="s">
        <v>43926</v>
      </c>
      <c r="F14334" s="37" t="s">
        <v>54401</v>
      </c>
      <c r="G14334" s="39">
        <v>269008.39</v>
      </c>
      <c r="H14334" s="42">
        <v>211</v>
      </c>
    </row>
    <row r="14335" spans="1:8" ht="15" customHeight="1">
      <c r="A14335" s="26">
        <v>1057578073</v>
      </c>
      <c r="B14335" s="29" t="s">
        <v>16542</v>
      </c>
      <c r="C14335" s="29" t="s">
        <v>17204</v>
      </c>
      <c r="D14335" s="29" t="s">
        <v>43322</v>
      </c>
      <c r="E14335" s="29" t="s">
        <v>54005</v>
      </c>
      <c r="F14335" s="36" t="s">
        <v>54401</v>
      </c>
      <c r="G14335" s="39">
        <v>20575.439999999999</v>
      </c>
      <c r="H14335" s="42">
        <v>211</v>
      </c>
    </row>
    <row r="14336" spans="1:8" ht="15" customHeight="1">
      <c r="A14336" s="26">
        <v>1057578083</v>
      </c>
      <c r="B14336" s="29" t="s">
        <v>16543</v>
      </c>
      <c r="C14336" s="29" t="s">
        <v>29775</v>
      </c>
      <c r="D14336" s="29" t="s">
        <v>43323</v>
      </c>
      <c r="E14336" s="29" t="s">
        <v>54006</v>
      </c>
      <c r="F14336" s="36" t="s">
        <v>54402</v>
      </c>
      <c r="G14336" s="39">
        <v>418921.35</v>
      </c>
      <c r="H14336" s="42">
        <v>211</v>
      </c>
    </row>
    <row r="14337" spans="1:8" ht="15" customHeight="1">
      <c r="A14337" s="26">
        <v>1057578185</v>
      </c>
      <c r="B14337" s="29" t="s">
        <v>16544</v>
      </c>
      <c r="C14337" s="26" t="s">
        <v>17204</v>
      </c>
      <c r="D14337" s="26" t="s">
        <v>30349</v>
      </c>
      <c r="E14337" s="26" t="s">
        <v>43926</v>
      </c>
      <c r="F14337" s="37" t="s">
        <v>54401</v>
      </c>
      <c r="G14337" s="39">
        <v>146430.82999999999</v>
      </c>
      <c r="H14337" s="42">
        <v>211</v>
      </c>
    </row>
    <row r="14338" spans="1:8" ht="15" customHeight="1">
      <c r="A14338" s="26">
        <v>1057578200</v>
      </c>
      <c r="B14338" s="29" t="s">
        <v>16545</v>
      </c>
      <c r="C14338" s="29" t="s">
        <v>29776</v>
      </c>
      <c r="D14338" s="29" t="s">
        <v>43324</v>
      </c>
      <c r="E14338" s="29" t="s">
        <v>54007</v>
      </c>
      <c r="F14338" s="36" t="s">
        <v>54401</v>
      </c>
      <c r="G14338" s="39">
        <v>3573409.97</v>
      </c>
      <c r="H14338" s="42">
        <v>211</v>
      </c>
    </row>
    <row r="14339" spans="1:8" ht="15" customHeight="1">
      <c r="A14339" s="26">
        <v>1057578377</v>
      </c>
      <c r="B14339" s="29" t="s">
        <v>16546</v>
      </c>
      <c r="C14339" s="29" t="s">
        <v>17204</v>
      </c>
      <c r="D14339" s="29" t="s">
        <v>30349</v>
      </c>
      <c r="E14339" s="29" t="s">
        <v>43926</v>
      </c>
      <c r="F14339" s="36" t="s">
        <v>54401</v>
      </c>
      <c r="G14339" s="39">
        <v>154877.54999999999</v>
      </c>
      <c r="H14339" s="42">
        <v>211</v>
      </c>
    </row>
    <row r="14340" spans="1:8" ht="15" customHeight="1">
      <c r="A14340" s="26">
        <v>1057578916</v>
      </c>
      <c r="B14340" s="29" t="s">
        <v>16547</v>
      </c>
      <c r="C14340" s="29" t="s">
        <v>29777</v>
      </c>
      <c r="D14340" s="29" t="s">
        <v>43325</v>
      </c>
      <c r="E14340" s="29" t="s">
        <v>54008</v>
      </c>
      <c r="F14340" s="36" t="s">
        <v>54401</v>
      </c>
      <c r="G14340" s="39">
        <v>1752930</v>
      </c>
      <c r="H14340" s="42">
        <v>211</v>
      </c>
    </row>
    <row r="14341" spans="1:8" ht="15" customHeight="1">
      <c r="A14341" s="26">
        <v>1057579240</v>
      </c>
      <c r="B14341" s="29" t="s">
        <v>16548</v>
      </c>
      <c r="C14341" s="29" t="s">
        <v>29778</v>
      </c>
      <c r="D14341" s="29" t="s">
        <v>43326</v>
      </c>
      <c r="E14341" s="29" t="s">
        <v>43926</v>
      </c>
      <c r="F14341" s="36" t="s">
        <v>54401</v>
      </c>
      <c r="G14341" s="39">
        <v>286304.27</v>
      </c>
      <c r="H14341" s="42">
        <v>211</v>
      </c>
    </row>
    <row r="14342" spans="1:8" ht="15" customHeight="1">
      <c r="A14342" s="26">
        <v>1057579353</v>
      </c>
      <c r="B14342" s="29" t="s">
        <v>16549</v>
      </c>
      <c r="C14342" s="29" t="s">
        <v>29779</v>
      </c>
      <c r="D14342" s="29" t="s">
        <v>43327</v>
      </c>
      <c r="E14342" s="29" t="s">
        <v>54009</v>
      </c>
      <c r="F14342" s="36" t="s">
        <v>54401</v>
      </c>
      <c r="G14342" s="39">
        <v>3826655.31</v>
      </c>
      <c r="H14342" s="42">
        <v>211</v>
      </c>
    </row>
    <row r="14343" spans="1:8" ht="15" customHeight="1">
      <c r="A14343" s="26">
        <v>1057579440</v>
      </c>
      <c r="B14343" s="29" t="s">
        <v>16550</v>
      </c>
      <c r="C14343" s="29" t="s">
        <v>29780</v>
      </c>
      <c r="D14343" s="29" t="s">
        <v>43328</v>
      </c>
      <c r="E14343" s="29" t="s">
        <v>54010</v>
      </c>
      <c r="F14343" s="36" t="s">
        <v>54401</v>
      </c>
      <c r="G14343" s="39">
        <v>112549.34</v>
      </c>
      <c r="H14343" s="42">
        <v>211</v>
      </c>
    </row>
    <row r="14344" spans="1:8" ht="15" customHeight="1">
      <c r="A14344" s="26">
        <v>1057579512</v>
      </c>
      <c r="B14344" s="29" t="s">
        <v>16551</v>
      </c>
      <c r="C14344" s="29" t="s">
        <v>29781</v>
      </c>
      <c r="D14344" s="29" t="s">
        <v>43329</v>
      </c>
      <c r="E14344" s="29" t="s">
        <v>54011</v>
      </c>
      <c r="F14344" s="36" t="s">
        <v>54401</v>
      </c>
      <c r="G14344" s="39">
        <v>250264.08</v>
      </c>
      <c r="H14344" s="42">
        <v>211</v>
      </c>
    </row>
    <row r="14345" spans="1:8" ht="15" customHeight="1">
      <c r="A14345" s="26">
        <v>1057579918</v>
      </c>
      <c r="B14345" s="29" t="s">
        <v>16552</v>
      </c>
      <c r="C14345" s="29" t="s">
        <v>17204</v>
      </c>
      <c r="D14345" s="29" t="s">
        <v>30349</v>
      </c>
      <c r="E14345" s="29" t="s">
        <v>43926</v>
      </c>
      <c r="F14345" s="36" t="s">
        <v>54401</v>
      </c>
      <c r="G14345" s="39">
        <v>591077.66</v>
      </c>
      <c r="H14345" s="42">
        <v>211</v>
      </c>
    </row>
    <row r="14346" spans="1:8" ht="15" customHeight="1">
      <c r="A14346" s="26">
        <v>1057579973</v>
      </c>
      <c r="B14346" s="29" t="s">
        <v>16553</v>
      </c>
      <c r="C14346" s="29" t="s">
        <v>29782</v>
      </c>
      <c r="D14346" s="29" t="s">
        <v>43330</v>
      </c>
      <c r="E14346" s="29" t="s">
        <v>54012</v>
      </c>
      <c r="F14346" s="36" t="s">
        <v>54401</v>
      </c>
      <c r="G14346" s="39">
        <v>1739369.75</v>
      </c>
      <c r="H14346" s="42">
        <v>211</v>
      </c>
    </row>
    <row r="14347" spans="1:8" ht="15" customHeight="1">
      <c r="A14347" s="26">
        <v>1057580144</v>
      </c>
      <c r="B14347" s="29" t="s">
        <v>16554</v>
      </c>
      <c r="C14347" s="29" t="s">
        <v>29783</v>
      </c>
      <c r="D14347" s="29" t="s">
        <v>43331</v>
      </c>
      <c r="E14347" s="29" t="s">
        <v>54013</v>
      </c>
      <c r="F14347" s="36" t="s">
        <v>54401</v>
      </c>
      <c r="G14347" s="39">
        <v>591481.1</v>
      </c>
      <c r="H14347" s="42">
        <v>211</v>
      </c>
    </row>
    <row r="14348" spans="1:8" ht="15" customHeight="1">
      <c r="A14348" s="26">
        <v>1057580326</v>
      </c>
      <c r="B14348" s="29" t="s">
        <v>16555</v>
      </c>
      <c r="C14348" s="29" t="s">
        <v>29784</v>
      </c>
      <c r="D14348" s="29" t="s">
        <v>43332</v>
      </c>
      <c r="E14348" s="29" t="s">
        <v>54014</v>
      </c>
      <c r="F14348" s="36" t="s">
        <v>54401</v>
      </c>
      <c r="G14348" s="39">
        <v>854171.21</v>
      </c>
      <c r="H14348" s="42">
        <v>211</v>
      </c>
    </row>
    <row r="14349" spans="1:8" ht="15" customHeight="1">
      <c r="A14349" s="26">
        <v>1057580351</v>
      </c>
      <c r="B14349" s="29" t="s">
        <v>16556</v>
      </c>
      <c r="C14349" s="29" t="s">
        <v>29785</v>
      </c>
      <c r="D14349" s="29" t="s">
        <v>43333</v>
      </c>
      <c r="E14349" s="29" t="s">
        <v>48616</v>
      </c>
      <c r="F14349" s="36" t="s">
        <v>54401</v>
      </c>
      <c r="G14349" s="39">
        <v>106087.4</v>
      </c>
      <c r="H14349" s="42">
        <v>211</v>
      </c>
    </row>
    <row r="14350" spans="1:8" ht="15" customHeight="1">
      <c r="A14350" s="26">
        <v>1057580388</v>
      </c>
      <c r="B14350" s="29" t="s">
        <v>16557</v>
      </c>
      <c r="C14350" s="29" t="s">
        <v>29786</v>
      </c>
      <c r="D14350" s="29" t="s">
        <v>43334</v>
      </c>
      <c r="E14350" s="29" t="s">
        <v>53677</v>
      </c>
      <c r="F14350" s="36" t="s">
        <v>54420</v>
      </c>
      <c r="G14350" s="39">
        <v>1824628.81</v>
      </c>
      <c r="H14350" s="42">
        <v>211</v>
      </c>
    </row>
    <row r="14351" spans="1:8" ht="15" customHeight="1">
      <c r="A14351" s="26">
        <v>1057580490</v>
      </c>
      <c r="B14351" s="29" t="s">
        <v>16558</v>
      </c>
      <c r="C14351" s="29" t="s">
        <v>29787</v>
      </c>
      <c r="D14351" s="29" t="s">
        <v>43335</v>
      </c>
      <c r="E14351" s="29" t="s">
        <v>43926</v>
      </c>
      <c r="F14351" s="36" t="s">
        <v>54401</v>
      </c>
      <c r="G14351" s="39">
        <v>247924.97</v>
      </c>
      <c r="H14351" s="42">
        <v>211</v>
      </c>
    </row>
    <row r="14352" spans="1:8" ht="15" customHeight="1">
      <c r="A14352" s="26">
        <v>1057580536</v>
      </c>
      <c r="B14352" s="29" t="s">
        <v>16559</v>
      </c>
      <c r="C14352" s="29" t="s">
        <v>29788</v>
      </c>
      <c r="D14352" s="29" t="s">
        <v>43336</v>
      </c>
      <c r="E14352" s="29" t="s">
        <v>54015</v>
      </c>
      <c r="F14352" s="36" t="s">
        <v>54401</v>
      </c>
      <c r="G14352" s="39">
        <v>398500.85</v>
      </c>
      <c r="H14352" s="42">
        <v>211</v>
      </c>
    </row>
    <row r="14353" spans="1:8" ht="15" customHeight="1">
      <c r="A14353" s="26">
        <v>1057580622</v>
      </c>
      <c r="B14353" s="29" t="s">
        <v>16560</v>
      </c>
      <c r="C14353" s="29" t="s">
        <v>17204</v>
      </c>
      <c r="D14353" s="29" t="s">
        <v>30349</v>
      </c>
      <c r="E14353" s="29" t="s">
        <v>43926</v>
      </c>
      <c r="F14353" s="36" t="s">
        <v>54401</v>
      </c>
      <c r="G14353" s="39">
        <v>421695.84</v>
      </c>
      <c r="H14353" s="42">
        <v>211</v>
      </c>
    </row>
    <row r="14354" spans="1:8" ht="15" customHeight="1">
      <c r="A14354" s="26">
        <v>1057580850</v>
      </c>
      <c r="B14354" s="29" t="s">
        <v>16561</v>
      </c>
      <c r="C14354" s="29" t="s">
        <v>29789</v>
      </c>
      <c r="D14354" s="29" t="s">
        <v>43337</v>
      </c>
      <c r="E14354" s="29" t="s">
        <v>46370</v>
      </c>
      <c r="F14354" s="36" t="s">
        <v>54401</v>
      </c>
      <c r="G14354" s="39">
        <v>534194.17000000004</v>
      </c>
      <c r="H14354" s="42">
        <v>211</v>
      </c>
    </row>
    <row r="14355" spans="1:8" ht="15" customHeight="1">
      <c r="A14355" s="26">
        <v>1057580933</v>
      </c>
      <c r="B14355" s="29" t="s">
        <v>16562</v>
      </c>
      <c r="C14355" s="29" t="s">
        <v>29790</v>
      </c>
      <c r="D14355" s="29" t="s">
        <v>43338</v>
      </c>
      <c r="E14355" s="29" t="s">
        <v>54016</v>
      </c>
      <c r="F14355" s="36" t="s">
        <v>54402</v>
      </c>
      <c r="G14355" s="39">
        <v>80418.16</v>
      </c>
      <c r="H14355" s="42">
        <v>211</v>
      </c>
    </row>
    <row r="14356" spans="1:8" ht="15" customHeight="1">
      <c r="A14356" s="26">
        <v>1057581068</v>
      </c>
      <c r="B14356" s="29" t="s">
        <v>16563</v>
      </c>
      <c r="C14356" s="29" t="s">
        <v>17204</v>
      </c>
      <c r="D14356" s="29" t="s">
        <v>30349</v>
      </c>
      <c r="E14356" s="29" t="s">
        <v>43926</v>
      </c>
      <c r="F14356" s="36" t="s">
        <v>54401</v>
      </c>
      <c r="G14356" s="39">
        <v>91273.36</v>
      </c>
      <c r="H14356" s="42">
        <v>211</v>
      </c>
    </row>
    <row r="14357" spans="1:8" ht="15" customHeight="1">
      <c r="A14357" s="26">
        <v>1057581153</v>
      </c>
      <c r="B14357" s="29" t="s">
        <v>16564</v>
      </c>
      <c r="C14357" s="29" t="s">
        <v>29791</v>
      </c>
      <c r="D14357" s="29" t="s">
        <v>43339</v>
      </c>
      <c r="E14357" s="29" t="s">
        <v>54017</v>
      </c>
      <c r="F14357" s="36" t="s">
        <v>54402</v>
      </c>
      <c r="G14357" s="39">
        <v>2224674</v>
      </c>
      <c r="H14357" s="42">
        <v>211</v>
      </c>
    </row>
    <row r="14358" spans="1:8" ht="15" customHeight="1">
      <c r="A14358" s="26">
        <v>1057581229</v>
      </c>
      <c r="B14358" s="29" t="s">
        <v>16565</v>
      </c>
      <c r="C14358" s="29" t="s">
        <v>29792</v>
      </c>
      <c r="D14358" s="29" t="s">
        <v>43340</v>
      </c>
      <c r="E14358" s="29" t="s">
        <v>54018</v>
      </c>
      <c r="F14358" s="36" t="s">
        <v>54402</v>
      </c>
      <c r="G14358" s="39">
        <v>634147.92000000004</v>
      </c>
      <c r="H14358" s="42">
        <v>211</v>
      </c>
    </row>
    <row r="14359" spans="1:8" ht="15" customHeight="1">
      <c r="A14359" s="26">
        <v>1057581264</v>
      </c>
      <c r="B14359" s="29" t="s">
        <v>16566</v>
      </c>
      <c r="C14359" s="29" t="s">
        <v>29793</v>
      </c>
      <c r="D14359" s="29" t="s">
        <v>43341</v>
      </c>
      <c r="E14359" s="29" t="s">
        <v>54019</v>
      </c>
      <c r="F14359" s="36" t="s">
        <v>54401</v>
      </c>
      <c r="G14359" s="39">
        <v>6510930</v>
      </c>
      <c r="H14359" s="42">
        <v>211</v>
      </c>
    </row>
    <row r="14360" spans="1:8" ht="15" customHeight="1">
      <c r="A14360" s="26">
        <v>1057581295</v>
      </c>
      <c r="B14360" s="29" t="s">
        <v>16567</v>
      </c>
      <c r="C14360" s="29" t="s">
        <v>29794</v>
      </c>
      <c r="D14360" s="29" t="s">
        <v>43342</v>
      </c>
      <c r="E14360" s="29" t="s">
        <v>54020</v>
      </c>
      <c r="F14360" s="36" t="s">
        <v>54401</v>
      </c>
      <c r="G14360" s="39">
        <v>369770.87</v>
      </c>
      <c r="H14360" s="42">
        <v>211</v>
      </c>
    </row>
    <row r="14361" spans="1:8" ht="15" customHeight="1">
      <c r="A14361" s="26">
        <v>1057581480</v>
      </c>
      <c r="B14361" s="29" t="s">
        <v>16568</v>
      </c>
      <c r="C14361" s="29" t="s">
        <v>29795</v>
      </c>
      <c r="D14361" s="29" t="s">
        <v>43343</v>
      </c>
      <c r="E14361" s="29" t="s">
        <v>54021</v>
      </c>
      <c r="F14361" s="36" t="s">
        <v>54401</v>
      </c>
      <c r="G14361" s="39">
        <v>82981.11</v>
      </c>
      <c r="H14361" s="42">
        <v>211</v>
      </c>
    </row>
    <row r="14362" spans="1:8" ht="15" customHeight="1">
      <c r="A14362" s="26">
        <v>1057581920</v>
      </c>
      <c r="B14362" s="29" t="s">
        <v>16569</v>
      </c>
      <c r="C14362" s="26" t="s">
        <v>29796</v>
      </c>
      <c r="D14362" s="26" t="s">
        <v>43344</v>
      </c>
      <c r="E14362" s="26" t="s">
        <v>54022</v>
      </c>
      <c r="F14362" s="37" t="s">
        <v>54401</v>
      </c>
      <c r="G14362" s="39">
        <v>226453.31</v>
      </c>
      <c r="H14362" s="42">
        <v>211</v>
      </c>
    </row>
    <row r="14363" spans="1:8" ht="15" customHeight="1">
      <c r="A14363" s="26">
        <v>1057581941</v>
      </c>
      <c r="B14363" s="29" t="s">
        <v>16570</v>
      </c>
      <c r="C14363" s="29" t="s">
        <v>29797</v>
      </c>
      <c r="D14363" s="29" t="s">
        <v>43345</v>
      </c>
      <c r="E14363" s="29" t="s">
        <v>54023</v>
      </c>
      <c r="F14363" s="36" t="s">
        <v>54401</v>
      </c>
      <c r="G14363" s="39">
        <v>4394913.13</v>
      </c>
      <c r="H14363" s="42">
        <v>211</v>
      </c>
    </row>
    <row r="14364" spans="1:8" ht="15" customHeight="1">
      <c r="A14364" s="26">
        <v>1057582514</v>
      </c>
      <c r="B14364" s="29" t="s">
        <v>16571</v>
      </c>
      <c r="C14364" s="29" t="s">
        <v>29798</v>
      </c>
      <c r="D14364" s="29" t="s">
        <v>43346</v>
      </c>
      <c r="E14364" s="29" t="s">
        <v>54024</v>
      </c>
      <c r="F14364" s="36" t="s">
        <v>54401</v>
      </c>
      <c r="G14364" s="39">
        <v>106992.13</v>
      </c>
      <c r="H14364" s="42">
        <v>211</v>
      </c>
    </row>
    <row r="14365" spans="1:8" ht="15" customHeight="1">
      <c r="A14365" s="26">
        <v>1057582604</v>
      </c>
      <c r="B14365" s="29" t="s">
        <v>16572</v>
      </c>
      <c r="C14365" s="29" t="s">
        <v>29799</v>
      </c>
      <c r="D14365" s="29" t="s">
        <v>43347</v>
      </c>
      <c r="E14365" s="29" t="s">
        <v>54025</v>
      </c>
      <c r="F14365" s="36" t="s">
        <v>54401</v>
      </c>
      <c r="G14365" s="39">
        <v>818053.3</v>
      </c>
      <c r="H14365" s="42">
        <v>211</v>
      </c>
    </row>
    <row r="14366" spans="1:8" ht="15" customHeight="1">
      <c r="A14366" s="26">
        <v>1057582834</v>
      </c>
      <c r="B14366" s="29" t="s">
        <v>16573</v>
      </c>
      <c r="C14366" s="29" t="s">
        <v>29800</v>
      </c>
      <c r="D14366" s="29" t="s">
        <v>43348</v>
      </c>
      <c r="E14366" s="29" t="s">
        <v>717</v>
      </c>
      <c r="F14366" s="36" t="s">
        <v>54401</v>
      </c>
      <c r="G14366" s="39">
        <v>695320.56</v>
      </c>
      <c r="H14366" s="42">
        <v>211</v>
      </c>
    </row>
    <row r="14367" spans="1:8" ht="15" customHeight="1">
      <c r="A14367" s="26">
        <v>1057582841</v>
      </c>
      <c r="B14367" s="29" t="s">
        <v>16574</v>
      </c>
      <c r="C14367" s="29" t="s">
        <v>29801</v>
      </c>
      <c r="D14367" s="29" t="s">
        <v>43349</v>
      </c>
      <c r="E14367" s="29" t="s">
        <v>54026</v>
      </c>
      <c r="F14367" s="36" t="s">
        <v>54402</v>
      </c>
      <c r="G14367" s="39">
        <v>4417926.55</v>
      </c>
      <c r="H14367" s="42">
        <v>211</v>
      </c>
    </row>
    <row r="14368" spans="1:8" ht="15" customHeight="1">
      <c r="A14368" s="26">
        <v>1057582897</v>
      </c>
      <c r="B14368" s="29" t="s">
        <v>16575</v>
      </c>
      <c r="C14368" s="29" t="s">
        <v>29802</v>
      </c>
      <c r="D14368" s="29" t="s">
        <v>43350</v>
      </c>
      <c r="E14368" s="29" t="s">
        <v>54027</v>
      </c>
      <c r="F14368" s="36" t="s">
        <v>54401</v>
      </c>
      <c r="G14368" s="39">
        <v>680940.99</v>
      </c>
      <c r="H14368" s="42">
        <v>211</v>
      </c>
    </row>
    <row r="14369" spans="1:8" ht="15" customHeight="1">
      <c r="A14369" s="26">
        <v>1057582923</v>
      </c>
      <c r="B14369" s="29" t="s">
        <v>16576</v>
      </c>
      <c r="C14369" s="29" t="s">
        <v>29803</v>
      </c>
      <c r="D14369" s="29" t="s">
        <v>43351</v>
      </c>
      <c r="E14369" s="29" t="s">
        <v>54028</v>
      </c>
      <c r="F14369" s="36" t="s">
        <v>54401</v>
      </c>
      <c r="G14369" s="39">
        <v>560592.67000000004</v>
      </c>
      <c r="H14369" s="42">
        <v>211</v>
      </c>
    </row>
    <row r="14370" spans="1:8" ht="15" customHeight="1">
      <c r="A14370" s="26">
        <v>1057583034</v>
      </c>
      <c r="B14370" s="29" t="s">
        <v>16577</v>
      </c>
      <c r="C14370" s="29" t="s">
        <v>29804</v>
      </c>
      <c r="D14370" s="29" t="s">
        <v>43352</v>
      </c>
      <c r="E14370" s="29" t="s">
        <v>54029</v>
      </c>
      <c r="F14370" s="36" t="s">
        <v>54401</v>
      </c>
      <c r="G14370" s="39">
        <v>79123.31</v>
      </c>
      <c r="H14370" s="42">
        <v>211</v>
      </c>
    </row>
    <row r="14371" spans="1:8" ht="15" customHeight="1">
      <c r="A14371" s="26">
        <v>1057583215</v>
      </c>
      <c r="B14371" s="29" t="s">
        <v>16578</v>
      </c>
      <c r="C14371" s="29" t="s">
        <v>29805</v>
      </c>
      <c r="D14371" s="29" t="s">
        <v>43353</v>
      </c>
      <c r="E14371" s="29" t="s">
        <v>54030</v>
      </c>
      <c r="F14371" s="36" t="s">
        <v>54401</v>
      </c>
      <c r="G14371" s="39">
        <v>2407573.12</v>
      </c>
      <c r="H14371" s="42">
        <v>211</v>
      </c>
    </row>
    <row r="14372" spans="1:8" ht="15" customHeight="1">
      <c r="A14372" s="26">
        <v>1057583728</v>
      </c>
      <c r="B14372" s="29" t="s">
        <v>16579</v>
      </c>
      <c r="C14372" s="29" t="s">
        <v>29806</v>
      </c>
      <c r="D14372" s="29" t="s">
        <v>43354</v>
      </c>
      <c r="E14372" s="29" t="s">
        <v>44882</v>
      </c>
      <c r="F14372" s="36" t="s">
        <v>54401</v>
      </c>
      <c r="G14372" s="39">
        <v>336119.74</v>
      </c>
      <c r="H14372" s="42">
        <v>211</v>
      </c>
    </row>
    <row r="14373" spans="1:8" ht="15" customHeight="1">
      <c r="A14373" s="26">
        <v>1057583923</v>
      </c>
      <c r="B14373" s="29" t="s">
        <v>16580</v>
      </c>
      <c r="C14373" s="29" t="s">
        <v>29807</v>
      </c>
      <c r="D14373" s="29" t="s">
        <v>43355</v>
      </c>
      <c r="E14373" s="29" t="s">
        <v>717</v>
      </c>
      <c r="F14373" s="36" t="s">
        <v>54401</v>
      </c>
      <c r="G14373" s="39">
        <v>5906656</v>
      </c>
      <c r="H14373" s="42">
        <v>211</v>
      </c>
    </row>
    <row r="14374" spans="1:8" ht="15" customHeight="1">
      <c r="A14374" s="26">
        <v>1057584009</v>
      </c>
      <c r="B14374" s="29" t="s">
        <v>16581</v>
      </c>
      <c r="C14374" s="29" t="s">
        <v>29808</v>
      </c>
      <c r="D14374" s="29" t="s">
        <v>43356</v>
      </c>
      <c r="E14374" s="29" t="s">
        <v>54031</v>
      </c>
      <c r="F14374" s="36" t="s">
        <v>54402</v>
      </c>
      <c r="G14374" s="39">
        <v>1330380.96</v>
      </c>
      <c r="H14374" s="42">
        <v>211</v>
      </c>
    </row>
    <row r="14375" spans="1:8" ht="15" customHeight="1">
      <c r="A14375" s="26">
        <v>1057584179</v>
      </c>
      <c r="B14375" s="29" t="s">
        <v>16582</v>
      </c>
      <c r="C14375" s="29" t="s">
        <v>29809</v>
      </c>
      <c r="D14375" s="29" t="s">
        <v>43357</v>
      </c>
      <c r="E14375" s="29" t="s">
        <v>48699</v>
      </c>
      <c r="F14375" s="36" t="s">
        <v>54401</v>
      </c>
      <c r="G14375" s="39">
        <v>31915.97</v>
      </c>
      <c r="H14375" s="42">
        <v>211</v>
      </c>
    </row>
    <row r="14376" spans="1:8" ht="15" customHeight="1">
      <c r="A14376" s="26">
        <v>1057584207</v>
      </c>
      <c r="B14376" s="29" t="s">
        <v>16583</v>
      </c>
      <c r="C14376" s="29" t="s">
        <v>29810</v>
      </c>
      <c r="D14376" s="29" t="s">
        <v>43358</v>
      </c>
      <c r="E14376" s="29" t="s">
        <v>54032</v>
      </c>
      <c r="F14376" s="36" t="s">
        <v>54402</v>
      </c>
      <c r="G14376" s="39">
        <v>482883.76</v>
      </c>
      <c r="H14376" s="42">
        <v>211</v>
      </c>
    </row>
    <row r="14377" spans="1:8" ht="15" customHeight="1">
      <c r="A14377" s="26">
        <v>1057584231</v>
      </c>
      <c r="B14377" s="29" t="s">
        <v>16584</v>
      </c>
      <c r="C14377" s="29" t="s">
        <v>17204</v>
      </c>
      <c r="D14377" s="29" t="s">
        <v>43359</v>
      </c>
      <c r="E14377" s="29" t="s">
        <v>43926</v>
      </c>
      <c r="F14377" s="36" t="s">
        <v>54401</v>
      </c>
      <c r="G14377" s="39">
        <v>190234.15</v>
      </c>
      <c r="H14377" s="42">
        <v>211</v>
      </c>
    </row>
    <row r="14378" spans="1:8" ht="15" customHeight="1">
      <c r="A14378" s="26">
        <v>1057584299</v>
      </c>
      <c r="B14378" s="29" t="s">
        <v>16585</v>
      </c>
      <c r="C14378" s="26" t="s">
        <v>29811</v>
      </c>
      <c r="D14378" s="26" t="s">
        <v>43360</v>
      </c>
      <c r="E14378" s="26" t="s">
        <v>54033</v>
      </c>
      <c r="F14378" s="37" t="s">
        <v>54401</v>
      </c>
      <c r="G14378" s="39">
        <v>412189.57</v>
      </c>
      <c r="H14378" s="42">
        <v>211</v>
      </c>
    </row>
    <row r="14379" spans="1:8" ht="15" customHeight="1">
      <c r="A14379" s="26">
        <v>1057584406</v>
      </c>
      <c r="B14379" s="29" t="s">
        <v>16586</v>
      </c>
      <c r="C14379" s="29" t="s">
        <v>29812</v>
      </c>
      <c r="D14379" s="29" t="s">
        <v>43361</v>
      </c>
      <c r="E14379" s="29" t="s">
        <v>54034</v>
      </c>
      <c r="F14379" s="36" t="s">
        <v>54402</v>
      </c>
      <c r="G14379" s="39">
        <v>1140208.23</v>
      </c>
      <c r="H14379" s="42">
        <v>211</v>
      </c>
    </row>
    <row r="14380" spans="1:8" ht="15" customHeight="1">
      <c r="A14380" s="26">
        <v>1057584419</v>
      </c>
      <c r="B14380" s="29" t="s">
        <v>16587</v>
      </c>
      <c r="C14380" s="29" t="s">
        <v>29813</v>
      </c>
      <c r="D14380" s="29" t="s">
        <v>43362</v>
      </c>
      <c r="E14380" s="29" t="s">
        <v>54035</v>
      </c>
      <c r="F14380" s="36" t="s">
        <v>54402</v>
      </c>
      <c r="G14380" s="39">
        <v>120780.93</v>
      </c>
      <c r="H14380" s="42">
        <v>211</v>
      </c>
    </row>
    <row r="14381" spans="1:8" ht="15" customHeight="1">
      <c r="A14381" s="26">
        <v>1057584554</v>
      </c>
      <c r="B14381" s="29" t="s">
        <v>16588</v>
      </c>
      <c r="C14381" s="29" t="s">
        <v>29814</v>
      </c>
      <c r="D14381" s="29" t="s">
        <v>43363</v>
      </c>
      <c r="E14381" s="29" t="s">
        <v>54036</v>
      </c>
      <c r="F14381" s="36" t="s">
        <v>54401</v>
      </c>
      <c r="G14381" s="39">
        <v>16053.77</v>
      </c>
      <c r="H14381" s="42">
        <v>211</v>
      </c>
    </row>
    <row r="14382" spans="1:8" ht="15" customHeight="1">
      <c r="A14382" s="26">
        <v>1057584846</v>
      </c>
      <c r="B14382" s="29" t="s">
        <v>16589</v>
      </c>
      <c r="C14382" s="29" t="s">
        <v>29815</v>
      </c>
      <c r="D14382" s="29" t="s">
        <v>43364</v>
      </c>
      <c r="E14382" s="29" t="s">
        <v>54037</v>
      </c>
      <c r="F14382" s="36" t="s">
        <v>54401</v>
      </c>
      <c r="G14382" s="39">
        <v>272930.15000000002</v>
      </c>
      <c r="H14382" s="42">
        <v>211</v>
      </c>
    </row>
    <row r="14383" spans="1:8" ht="15" customHeight="1">
      <c r="A14383" s="26">
        <v>1057584852</v>
      </c>
      <c r="B14383" s="29" t="s">
        <v>16590</v>
      </c>
      <c r="C14383" s="29" t="s">
        <v>29816</v>
      </c>
      <c r="D14383" s="29" t="s">
        <v>43365</v>
      </c>
      <c r="E14383" s="29" t="s">
        <v>50530</v>
      </c>
      <c r="F14383" s="36" t="s">
        <v>54401</v>
      </c>
      <c r="G14383" s="39">
        <v>1440268.63</v>
      </c>
      <c r="H14383" s="42">
        <v>211</v>
      </c>
    </row>
    <row r="14384" spans="1:8" ht="15" customHeight="1">
      <c r="A14384" s="26">
        <v>1057584963</v>
      </c>
      <c r="B14384" s="29" t="s">
        <v>16591</v>
      </c>
      <c r="C14384" s="29" t="s">
        <v>29817</v>
      </c>
      <c r="D14384" s="29" t="s">
        <v>43366</v>
      </c>
      <c r="E14384" s="29" t="s">
        <v>51333</v>
      </c>
      <c r="F14384" s="36" t="s">
        <v>54401</v>
      </c>
      <c r="G14384" s="39">
        <v>411755.17</v>
      </c>
      <c r="H14384" s="42">
        <v>211</v>
      </c>
    </row>
    <row r="14385" spans="1:8" ht="15" customHeight="1">
      <c r="A14385" s="26">
        <v>1057585054</v>
      </c>
      <c r="B14385" s="29" t="s">
        <v>16592</v>
      </c>
      <c r="C14385" s="29" t="s">
        <v>29818</v>
      </c>
      <c r="D14385" s="29" t="s">
        <v>43367</v>
      </c>
      <c r="E14385" s="29" t="s">
        <v>54038</v>
      </c>
      <c r="F14385" s="36" t="s">
        <v>54420</v>
      </c>
      <c r="G14385" s="39">
        <v>3525552.88</v>
      </c>
      <c r="H14385" s="42">
        <v>211</v>
      </c>
    </row>
    <row r="14386" spans="1:8" ht="15" customHeight="1">
      <c r="A14386" s="26">
        <v>1057585554</v>
      </c>
      <c r="B14386" s="29" t="s">
        <v>16593</v>
      </c>
      <c r="C14386" s="29" t="s">
        <v>29819</v>
      </c>
      <c r="D14386" s="29" t="s">
        <v>43368</v>
      </c>
      <c r="E14386" s="29" t="s">
        <v>54039</v>
      </c>
      <c r="F14386" s="36" t="s">
        <v>54401</v>
      </c>
      <c r="G14386" s="39">
        <v>133223.23000000001</v>
      </c>
      <c r="H14386" s="42">
        <v>211</v>
      </c>
    </row>
    <row r="14387" spans="1:8" ht="15" customHeight="1">
      <c r="A14387" s="26">
        <v>1057585573</v>
      </c>
      <c r="B14387" s="29" t="s">
        <v>16594</v>
      </c>
      <c r="C14387" s="29" t="s">
        <v>29820</v>
      </c>
      <c r="D14387" s="29" t="s">
        <v>43369</v>
      </c>
      <c r="E14387" s="29" t="s">
        <v>54040</v>
      </c>
      <c r="F14387" s="36" t="s">
        <v>54401</v>
      </c>
      <c r="G14387" s="39">
        <v>343847.12</v>
      </c>
      <c r="H14387" s="42">
        <v>211</v>
      </c>
    </row>
    <row r="14388" spans="1:8" ht="15" customHeight="1">
      <c r="A14388" s="26">
        <v>1057585583</v>
      </c>
      <c r="B14388" s="29" t="s">
        <v>16595</v>
      </c>
      <c r="C14388" s="29" t="s">
        <v>29821</v>
      </c>
      <c r="D14388" s="29" t="s">
        <v>43370</v>
      </c>
      <c r="E14388" s="29" t="s">
        <v>54041</v>
      </c>
      <c r="F14388" s="36" t="s">
        <v>54401</v>
      </c>
      <c r="G14388" s="39">
        <v>210133.74</v>
      </c>
      <c r="H14388" s="42">
        <v>211</v>
      </c>
    </row>
    <row r="14389" spans="1:8" ht="15" customHeight="1">
      <c r="A14389" s="26">
        <v>1057585910</v>
      </c>
      <c r="B14389" s="29" t="s">
        <v>16596</v>
      </c>
      <c r="C14389" s="29" t="s">
        <v>29822</v>
      </c>
      <c r="D14389" s="29" t="s">
        <v>43371</v>
      </c>
      <c r="E14389" s="29" t="s">
        <v>54042</v>
      </c>
      <c r="F14389" s="36" t="s">
        <v>54401</v>
      </c>
      <c r="G14389" s="39">
        <v>1489197.1</v>
      </c>
      <c r="H14389" s="42">
        <v>211</v>
      </c>
    </row>
    <row r="14390" spans="1:8" ht="15" customHeight="1">
      <c r="A14390" s="26">
        <v>1057585952</v>
      </c>
      <c r="B14390" s="29" t="s">
        <v>16597</v>
      </c>
      <c r="C14390" s="29" t="s">
        <v>29823</v>
      </c>
      <c r="D14390" s="29" t="s">
        <v>43372</v>
      </c>
      <c r="E14390" s="29" t="s">
        <v>51794</v>
      </c>
      <c r="F14390" s="36" t="s">
        <v>54401</v>
      </c>
      <c r="G14390" s="39">
        <v>4704148.7300000004</v>
      </c>
      <c r="H14390" s="42">
        <v>211</v>
      </c>
    </row>
    <row r="14391" spans="1:8" ht="15" customHeight="1">
      <c r="A14391" s="26">
        <v>1057586110</v>
      </c>
      <c r="B14391" s="29" t="s">
        <v>16598</v>
      </c>
      <c r="C14391" s="29" t="s">
        <v>29824</v>
      </c>
      <c r="D14391" s="29" t="s">
        <v>43373</v>
      </c>
      <c r="E14391" s="29" t="s">
        <v>43926</v>
      </c>
      <c r="F14391" s="36" t="s">
        <v>54401</v>
      </c>
      <c r="G14391" s="39">
        <v>727500.27</v>
      </c>
      <c r="H14391" s="42">
        <v>211</v>
      </c>
    </row>
    <row r="14392" spans="1:8" ht="15" customHeight="1">
      <c r="A14392" s="26">
        <v>1057586373</v>
      </c>
      <c r="B14392" s="29" t="s">
        <v>16599</v>
      </c>
      <c r="C14392" s="29" t="s">
        <v>29825</v>
      </c>
      <c r="D14392" s="29" t="s">
        <v>43374</v>
      </c>
      <c r="E14392" s="29" t="s">
        <v>54043</v>
      </c>
      <c r="F14392" s="36" t="s">
        <v>54402</v>
      </c>
      <c r="G14392" s="39">
        <v>27792.78</v>
      </c>
      <c r="H14392" s="42">
        <v>211</v>
      </c>
    </row>
    <row r="14393" spans="1:8" ht="15" customHeight="1">
      <c r="A14393" s="26">
        <v>1057586728</v>
      </c>
      <c r="B14393" s="29" t="s">
        <v>16600</v>
      </c>
      <c r="C14393" s="29" t="s">
        <v>17204</v>
      </c>
      <c r="D14393" s="29" t="s">
        <v>43375</v>
      </c>
      <c r="E14393" s="29" t="s">
        <v>43926</v>
      </c>
      <c r="F14393" s="36" t="s">
        <v>54401</v>
      </c>
      <c r="G14393" s="39">
        <v>117423.35</v>
      </c>
      <c r="H14393" s="42">
        <v>211</v>
      </c>
    </row>
    <row r="14394" spans="1:8" ht="15" customHeight="1">
      <c r="A14394" s="26">
        <v>1057586928</v>
      </c>
      <c r="B14394" s="29" t="s">
        <v>16601</v>
      </c>
      <c r="C14394" s="29" t="s">
        <v>29826</v>
      </c>
      <c r="D14394" s="29" t="s">
        <v>43376</v>
      </c>
      <c r="E14394" s="29" t="s">
        <v>54044</v>
      </c>
      <c r="F14394" s="36" t="s">
        <v>54401</v>
      </c>
      <c r="G14394" s="39">
        <v>221201.17</v>
      </c>
      <c r="H14394" s="42">
        <v>211</v>
      </c>
    </row>
    <row r="14395" spans="1:8" ht="15" customHeight="1">
      <c r="A14395" s="26">
        <v>1057587186</v>
      </c>
      <c r="B14395" s="29" t="s">
        <v>16602</v>
      </c>
      <c r="C14395" s="29" t="s">
        <v>29827</v>
      </c>
      <c r="D14395" s="29" t="s">
        <v>43377</v>
      </c>
      <c r="E14395" s="29" t="s">
        <v>48865</v>
      </c>
      <c r="F14395" s="36" t="s">
        <v>54401</v>
      </c>
      <c r="G14395" s="39">
        <v>848539.78</v>
      </c>
      <c r="H14395" s="42">
        <v>211</v>
      </c>
    </row>
    <row r="14396" spans="1:8" ht="15" customHeight="1">
      <c r="A14396" s="26">
        <v>1057587250</v>
      </c>
      <c r="B14396" s="29" t="s">
        <v>16603</v>
      </c>
      <c r="C14396" s="29" t="s">
        <v>29828</v>
      </c>
      <c r="D14396" s="29" t="s">
        <v>43378</v>
      </c>
      <c r="E14396" s="29" t="s">
        <v>54045</v>
      </c>
      <c r="F14396" s="36" t="s">
        <v>54401</v>
      </c>
      <c r="G14396" s="39">
        <v>2946768.16</v>
      </c>
      <c r="H14396" s="42">
        <v>211</v>
      </c>
    </row>
    <row r="14397" spans="1:8" ht="15" customHeight="1">
      <c r="A14397" s="26">
        <v>1057587268</v>
      </c>
      <c r="B14397" s="29" t="s">
        <v>16604</v>
      </c>
      <c r="C14397" s="29" t="s">
        <v>29829</v>
      </c>
      <c r="D14397" s="29" t="s">
        <v>43379</v>
      </c>
      <c r="E14397" s="29" t="s">
        <v>54046</v>
      </c>
      <c r="F14397" s="36" t="s">
        <v>54402</v>
      </c>
      <c r="G14397" s="39">
        <v>9387613</v>
      </c>
      <c r="H14397" s="42">
        <v>211</v>
      </c>
    </row>
    <row r="14398" spans="1:8" ht="15" customHeight="1">
      <c r="A14398" s="26">
        <v>1057587299</v>
      </c>
      <c r="B14398" s="29" t="s">
        <v>16605</v>
      </c>
      <c r="C14398" s="29" t="s">
        <v>29830</v>
      </c>
      <c r="D14398" s="29" t="s">
        <v>43380</v>
      </c>
      <c r="E14398" s="29" t="s">
        <v>54047</v>
      </c>
      <c r="F14398" s="36" t="s">
        <v>54401</v>
      </c>
      <c r="G14398" s="39">
        <v>377097.45</v>
      </c>
      <c r="H14398" s="42">
        <v>211</v>
      </c>
    </row>
    <row r="14399" spans="1:8" ht="15" customHeight="1">
      <c r="A14399" s="26">
        <v>1057587948</v>
      </c>
      <c r="B14399" s="29" t="s">
        <v>16606</v>
      </c>
      <c r="C14399" s="26" t="s">
        <v>29831</v>
      </c>
      <c r="D14399" s="26" t="s">
        <v>43381</v>
      </c>
      <c r="E14399" s="26" t="s">
        <v>54048</v>
      </c>
      <c r="F14399" s="37" t="s">
        <v>54409</v>
      </c>
      <c r="G14399" s="39">
        <v>1364710.7</v>
      </c>
      <c r="H14399" s="42">
        <v>211</v>
      </c>
    </row>
    <row r="14400" spans="1:8" ht="15" customHeight="1">
      <c r="A14400" s="26">
        <v>1057588114</v>
      </c>
      <c r="B14400" s="29" t="s">
        <v>16607</v>
      </c>
      <c r="C14400" s="29" t="s">
        <v>29832</v>
      </c>
      <c r="D14400" s="29" t="s">
        <v>43382</v>
      </c>
      <c r="E14400" s="29" t="s">
        <v>43926</v>
      </c>
      <c r="F14400" s="36" t="s">
        <v>54401</v>
      </c>
      <c r="G14400" s="39">
        <v>88689.22</v>
      </c>
      <c r="H14400" s="42">
        <v>211</v>
      </c>
    </row>
    <row r="14401" spans="1:8" ht="15" customHeight="1">
      <c r="A14401" s="26">
        <v>1057588120</v>
      </c>
      <c r="B14401" s="29" t="s">
        <v>16608</v>
      </c>
      <c r="C14401" s="29" t="s">
        <v>29833</v>
      </c>
      <c r="D14401" s="29" t="s">
        <v>43383</v>
      </c>
      <c r="E14401" s="29" t="s">
        <v>53962</v>
      </c>
      <c r="F14401" s="36" t="s">
        <v>54401</v>
      </c>
      <c r="G14401" s="39">
        <v>1800885.46</v>
      </c>
      <c r="H14401" s="42">
        <v>211</v>
      </c>
    </row>
    <row r="14402" spans="1:8" ht="15" customHeight="1">
      <c r="A14402" s="26">
        <v>1057588207</v>
      </c>
      <c r="B14402" s="29" t="s">
        <v>16609</v>
      </c>
      <c r="C14402" s="29" t="s">
        <v>29834</v>
      </c>
      <c r="D14402" s="29" t="s">
        <v>43384</v>
      </c>
      <c r="E14402" s="29" t="s">
        <v>54049</v>
      </c>
      <c r="F14402" s="36" t="s">
        <v>54401</v>
      </c>
      <c r="G14402" s="39">
        <v>5708915</v>
      </c>
      <c r="H14402" s="42">
        <v>211</v>
      </c>
    </row>
    <row r="14403" spans="1:8" ht="15" customHeight="1">
      <c r="A14403" s="26">
        <v>1057588348</v>
      </c>
      <c r="B14403" s="29" t="s">
        <v>16610</v>
      </c>
      <c r="C14403" s="29" t="s">
        <v>29835</v>
      </c>
      <c r="D14403" s="29" t="s">
        <v>43385</v>
      </c>
      <c r="E14403" s="29" t="s">
        <v>54050</v>
      </c>
      <c r="F14403" s="36" t="s">
        <v>54402</v>
      </c>
      <c r="G14403" s="39">
        <v>2207142.84</v>
      </c>
      <c r="H14403" s="42">
        <v>211</v>
      </c>
    </row>
    <row r="14404" spans="1:8" ht="15" customHeight="1">
      <c r="A14404" s="26">
        <v>1057589395</v>
      </c>
      <c r="B14404" s="29" t="s">
        <v>16611</v>
      </c>
      <c r="C14404" s="29" t="s">
        <v>17204</v>
      </c>
      <c r="D14404" s="29" t="s">
        <v>30349</v>
      </c>
      <c r="E14404" s="29" t="s">
        <v>43926</v>
      </c>
      <c r="F14404" s="36" t="s">
        <v>54401</v>
      </c>
      <c r="G14404" s="39">
        <v>253069.32</v>
      </c>
      <c r="H14404" s="42">
        <v>211</v>
      </c>
    </row>
    <row r="14405" spans="1:8" ht="15" customHeight="1">
      <c r="A14405" s="26">
        <v>1057589432</v>
      </c>
      <c r="B14405" s="29" t="s">
        <v>16612</v>
      </c>
      <c r="C14405" s="26" t="s">
        <v>29836</v>
      </c>
      <c r="D14405" s="26" t="s">
        <v>43386</v>
      </c>
      <c r="E14405" s="26" t="s">
        <v>54051</v>
      </c>
      <c r="F14405" s="37" t="s">
        <v>54402</v>
      </c>
      <c r="G14405" s="39">
        <v>199494.55</v>
      </c>
      <c r="H14405" s="42">
        <v>211</v>
      </c>
    </row>
    <row r="14406" spans="1:8" ht="15" customHeight="1">
      <c r="A14406" s="26">
        <v>1057590032</v>
      </c>
      <c r="B14406" s="29" t="s">
        <v>16613</v>
      </c>
      <c r="C14406" s="29" t="s">
        <v>29837</v>
      </c>
      <c r="D14406" s="29" t="s">
        <v>43387</v>
      </c>
      <c r="E14406" s="29" t="s">
        <v>54052</v>
      </c>
      <c r="F14406" s="36" t="s">
        <v>54402</v>
      </c>
      <c r="G14406" s="39">
        <v>4191719</v>
      </c>
      <c r="H14406" s="42">
        <v>211</v>
      </c>
    </row>
    <row r="14407" spans="1:8" ht="15" customHeight="1">
      <c r="A14407" s="26">
        <v>1057590408</v>
      </c>
      <c r="B14407" s="29" t="s">
        <v>16614</v>
      </c>
      <c r="C14407" s="29" t="s">
        <v>29838</v>
      </c>
      <c r="D14407" s="29" t="s">
        <v>43388</v>
      </c>
      <c r="E14407" s="29" t="s">
        <v>54053</v>
      </c>
      <c r="F14407" s="36" t="s">
        <v>54401</v>
      </c>
      <c r="G14407" s="39">
        <v>353057.38</v>
      </c>
      <c r="H14407" s="42">
        <v>211</v>
      </c>
    </row>
    <row r="14408" spans="1:8" ht="15" customHeight="1">
      <c r="A14408" s="26">
        <v>1057590488</v>
      </c>
      <c r="B14408" s="29" t="s">
        <v>16615</v>
      </c>
      <c r="C14408" s="26" t="s">
        <v>29839</v>
      </c>
      <c r="D14408" s="26" t="s">
        <v>43389</v>
      </c>
      <c r="E14408" s="26" t="s">
        <v>43926</v>
      </c>
      <c r="F14408" s="37" t="s">
        <v>54401</v>
      </c>
      <c r="G14408" s="39">
        <v>47656.7</v>
      </c>
      <c r="H14408" s="42">
        <v>211</v>
      </c>
    </row>
    <row r="14409" spans="1:8" ht="15" customHeight="1">
      <c r="A14409" s="26">
        <v>1057590558</v>
      </c>
      <c r="B14409" s="29" t="s">
        <v>16616</v>
      </c>
      <c r="C14409" s="29" t="s">
        <v>29840</v>
      </c>
      <c r="D14409" s="29" t="s">
        <v>43390</v>
      </c>
      <c r="E14409" s="29" t="s">
        <v>54054</v>
      </c>
      <c r="F14409" s="36" t="s">
        <v>54401</v>
      </c>
      <c r="G14409" s="39">
        <v>4237780.3</v>
      </c>
      <c r="H14409" s="42">
        <v>211</v>
      </c>
    </row>
    <row r="14410" spans="1:8" ht="15" customHeight="1">
      <c r="A14410" s="26">
        <v>1057590732</v>
      </c>
      <c r="B14410" s="29" t="s">
        <v>16617</v>
      </c>
      <c r="C14410" s="29" t="s">
        <v>29841</v>
      </c>
      <c r="D14410" s="29" t="s">
        <v>43391</v>
      </c>
      <c r="E14410" s="29" t="s">
        <v>54055</v>
      </c>
      <c r="F14410" s="36" t="s">
        <v>54434</v>
      </c>
      <c r="G14410" s="39">
        <v>1242599.5</v>
      </c>
      <c r="H14410" s="42">
        <v>211</v>
      </c>
    </row>
    <row r="14411" spans="1:8" ht="15" customHeight="1">
      <c r="A14411" s="26">
        <v>1057590950</v>
      </c>
      <c r="B14411" s="29" t="s">
        <v>16618</v>
      </c>
      <c r="C14411" s="29" t="s">
        <v>29842</v>
      </c>
      <c r="D14411" s="29" t="s">
        <v>43392</v>
      </c>
      <c r="E14411" s="29" t="s">
        <v>43926</v>
      </c>
      <c r="F14411" s="36" t="s">
        <v>54401</v>
      </c>
      <c r="G14411" s="39">
        <v>567464.61</v>
      </c>
      <c r="H14411" s="42">
        <v>211</v>
      </c>
    </row>
    <row r="14412" spans="1:8" ht="15" customHeight="1">
      <c r="A14412" s="26">
        <v>1057590958</v>
      </c>
      <c r="B14412" s="29" t="s">
        <v>16619</v>
      </c>
      <c r="C14412" s="29" t="s">
        <v>17204</v>
      </c>
      <c r="D14412" s="29" t="s">
        <v>43393</v>
      </c>
      <c r="E14412" s="29" t="s">
        <v>43926</v>
      </c>
      <c r="F14412" s="36" t="s">
        <v>54401</v>
      </c>
      <c r="G14412" s="39">
        <v>36664.870000000003</v>
      </c>
      <c r="H14412" s="42">
        <v>211</v>
      </c>
    </row>
    <row r="14413" spans="1:8" ht="15" customHeight="1">
      <c r="A14413" s="26">
        <v>1057591364</v>
      </c>
      <c r="B14413" s="29" t="s">
        <v>16620</v>
      </c>
      <c r="C14413" s="29" t="s">
        <v>29843</v>
      </c>
      <c r="D14413" s="29" t="s">
        <v>43394</v>
      </c>
      <c r="E14413" s="29" t="s">
        <v>54056</v>
      </c>
      <c r="F14413" s="36" t="s">
        <v>54401</v>
      </c>
      <c r="G14413" s="39">
        <v>283328.28999999998</v>
      </c>
      <c r="H14413" s="42">
        <v>211</v>
      </c>
    </row>
    <row r="14414" spans="1:8" ht="15" customHeight="1">
      <c r="A14414" s="26">
        <v>1057591411</v>
      </c>
      <c r="B14414" s="29" t="s">
        <v>16621</v>
      </c>
      <c r="C14414" s="29" t="s">
        <v>29844</v>
      </c>
      <c r="D14414" s="29" t="s">
        <v>43395</v>
      </c>
      <c r="E14414" s="29" t="s">
        <v>54057</v>
      </c>
      <c r="F14414" s="36" t="s">
        <v>54402</v>
      </c>
      <c r="G14414" s="39">
        <v>2185295</v>
      </c>
      <c r="H14414" s="42">
        <v>211</v>
      </c>
    </row>
    <row r="14415" spans="1:8" ht="15" customHeight="1">
      <c r="A14415" s="26">
        <v>1057591438</v>
      </c>
      <c r="B14415" s="29" t="s">
        <v>16622</v>
      </c>
      <c r="C14415" s="29" t="s">
        <v>29845</v>
      </c>
      <c r="D14415" s="29" t="s">
        <v>43396</v>
      </c>
      <c r="E14415" s="29" t="s">
        <v>54058</v>
      </c>
      <c r="F14415" s="36" t="s">
        <v>54401</v>
      </c>
      <c r="G14415" s="39">
        <v>59845.32</v>
      </c>
      <c r="H14415" s="42">
        <v>211</v>
      </c>
    </row>
    <row r="14416" spans="1:8" ht="15" customHeight="1">
      <c r="A14416" s="26">
        <v>1057591634</v>
      </c>
      <c r="B14416" s="29" t="s">
        <v>16623</v>
      </c>
      <c r="C14416" s="29" t="s">
        <v>17204</v>
      </c>
      <c r="D14416" s="29" t="s">
        <v>43397</v>
      </c>
      <c r="E14416" s="29" t="s">
        <v>43926</v>
      </c>
      <c r="F14416" s="36" t="s">
        <v>54401</v>
      </c>
      <c r="G14416" s="39">
        <v>509985.02</v>
      </c>
      <c r="H14416" s="42">
        <v>211</v>
      </c>
    </row>
    <row r="14417" spans="1:8" ht="15" customHeight="1">
      <c r="A14417" s="26">
        <v>1057591733</v>
      </c>
      <c r="B14417" s="29" t="s">
        <v>16624</v>
      </c>
      <c r="C14417" s="29" t="s">
        <v>29846</v>
      </c>
      <c r="D14417" s="29" t="s">
        <v>43398</v>
      </c>
      <c r="E14417" s="29" t="s">
        <v>52757</v>
      </c>
      <c r="F14417" s="36" t="s">
        <v>54401</v>
      </c>
      <c r="G14417" s="39">
        <v>4590595.99</v>
      </c>
      <c r="H14417" s="42">
        <v>211</v>
      </c>
    </row>
    <row r="14418" spans="1:8" ht="15" customHeight="1">
      <c r="A14418" s="26">
        <v>1057591908</v>
      </c>
      <c r="B14418" s="29" t="s">
        <v>16625</v>
      </c>
      <c r="C14418" s="29" t="s">
        <v>29847</v>
      </c>
      <c r="D14418" s="29" t="s">
        <v>43399</v>
      </c>
      <c r="E14418" s="29" t="s">
        <v>54059</v>
      </c>
      <c r="F14418" s="36" t="s">
        <v>54401</v>
      </c>
      <c r="G14418" s="39">
        <v>14738.21</v>
      </c>
      <c r="H14418" s="42">
        <v>211</v>
      </c>
    </row>
    <row r="14419" spans="1:8" ht="15" customHeight="1">
      <c r="A14419" s="26">
        <v>1057591956</v>
      </c>
      <c r="B14419" s="29" t="s">
        <v>16626</v>
      </c>
      <c r="C14419" s="29" t="s">
        <v>29848</v>
      </c>
      <c r="D14419" s="29" t="s">
        <v>43400</v>
      </c>
      <c r="E14419" s="29" t="s">
        <v>54060</v>
      </c>
      <c r="F14419" s="36" t="s">
        <v>54401</v>
      </c>
      <c r="G14419" s="39">
        <v>896711.73</v>
      </c>
      <c r="H14419" s="42">
        <v>211</v>
      </c>
    </row>
    <row r="14420" spans="1:8" ht="15" customHeight="1">
      <c r="A14420" s="26">
        <v>1057592065</v>
      </c>
      <c r="B14420" s="29" t="s">
        <v>16627</v>
      </c>
      <c r="C14420" s="29" t="s">
        <v>29849</v>
      </c>
      <c r="D14420" s="29" t="s">
        <v>43401</v>
      </c>
      <c r="E14420" s="29" t="s">
        <v>54061</v>
      </c>
      <c r="F14420" s="36" t="s">
        <v>54401</v>
      </c>
      <c r="G14420" s="39">
        <v>550055.74</v>
      </c>
      <c r="H14420" s="42">
        <v>211</v>
      </c>
    </row>
    <row r="14421" spans="1:8" ht="15" customHeight="1">
      <c r="A14421" s="26">
        <v>1057592074</v>
      </c>
      <c r="B14421" s="29" t="s">
        <v>16628</v>
      </c>
      <c r="C14421" s="29" t="s">
        <v>29850</v>
      </c>
      <c r="D14421" s="29" t="s">
        <v>43402</v>
      </c>
      <c r="E14421" s="29" t="s">
        <v>54062</v>
      </c>
      <c r="F14421" s="36" t="s">
        <v>54401</v>
      </c>
      <c r="G14421" s="39">
        <v>1248463.21</v>
      </c>
      <c r="H14421" s="42">
        <v>211</v>
      </c>
    </row>
    <row r="14422" spans="1:8" ht="15" customHeight="1">
      <c r="A14422" s="26">
        <v>1057592115</v>
      </c>
      <c r="B14422" s="29" t="s">
        <v>16629</v>
      </c>
      <c r="C14422" s="29" t="s">
        <v>29851</v>
      </c>
      <c r="D14422" s="29" t="s">
        <v>43403</v>
      </c>
      <c r="E14422" s="29" t="s">
        <v>44737</v>
      </c>
      <c r="F14422" s="36" t="s">
        <v>54401</v>
      </c>
      <c r="G14422" s="39">
        <v>4812822.4400000004</v>
      </c>
      <c r="H14422" s="42">
        <v>211</v>
      </c>
    </row>
    <row r="14423" spans="1:8" ht="15" customHeight="1">
      <c r="A14423" s="26">
        <v>1057592230</v>
      </c>
      <c r="B14423" s="29" t="s">
        <v>16630</v>
      </c>
      <c r="C14423" s="29" t="s">
        <v>17204</v>
      </c>
      <c r="D14423" s="29" t="s">
        <v>43404</v>
      </c>
      <c r="E14423" s="29" t="s">
        <v>43926</v>
      </c>
      <c r="F14423" s="36" t="s">
        <v>54401</v>
      </c>
      <c r="G14423" s="39">
        <v>106457.47</v>
      </c>
      <c r="H14423" s="42">
        <v>211</v>
      </c>
    </row>
    <row r="14424" spans="1:8" ht="15" customHeight="1">
      <c r="A14424" s="26">
        <v>1057592261</v>
      </c>
      <c r="B14424" s="29" t="s">
        <v>16631</v>
      </c>
      <c r="C14424" s="29" t="s">
        <v>29852</v>
      </c>
      <c r="D14424" s="29" t="s">
        <v>43405</v>
      </c>
      <c r="E14424" s="29" t="s">
        <v>54063</v>
      </c>
      <c r="F14424" s="36" t="s">
        <v>54401</v>
      </c>
      <c r="G14424" s="39">
        <v>265586.19</v>
      </c>
      <c r="H14424" s="42">
        <v>211</v>
      </c>
    </row>
    <row r="14425" spans="1:8" ht="15" customHeight="1">
      <c r="A14425" s="26">
        <v>1057592503</v>
      </c>
      <c r="B14425" s="29" t="s">
        <v>16632</v>
      </c>
      <c r="C14425" s="29" t="s">
        <v>29853</v>
      </c>
      <c r="D14425" s="29" t="s">
        <v>41608</v>
      </c>
      <c r="E14425" s="29" t="s">
        <v>54064</v>
      </c>
      <c r="F14425" s="36" t="s">
        <v>54401</v>
      </c>
      <c r="G14425" s="39">
        <v>4678841.3099999996</v>
      </c>
      <c r="H14425" s="42">
        <v>211</v>
      </c>
    </row>
    <row r="14426" spans="1:8" ht="15" customHeight="1">
      <c r="A14426" s="26">
        <v>1057592658</v>
      </c>
      <c r="B14426" s="29" t="s">
        <v>16633</v>
      </c>
      <c r="C14426" s="29" t="s">
        <v>29854</v>
      </c>
      <c r="D14426" s="29" t="s">
        <v>43406</v>
      </c>
      <c r="E14426" s="29" t="s">
        <v>54065</v>
      </c>
      <c r="F14426" s="36" t="s">
        <v>54401</v>
      </c>
      <c r="G14426" s="39">
        <v>670348.24</v>
      </c>
      <c r="H14426" s="42">
        <v>211</v>
      </c>
    </row>
    <row r="14427" spans="1:8" ht="15" customHeight="1">
      <c r="A14427" s="26">
        <v>1057592802</v>
      </c>
      <c r="B14427" s="29" t="s">
        <v>16634</v>
      </c>
      <c r="C14427" s="29" t="s">
        <v>29855</v>
      </c>
      <c r="D14427" s="29" t="s">
        <v>43407</v>
      </c>
      <c r="E14427" s="29" t="s">
        <v>54066</v>
      </c>
      <c r="F14427" s="36" t="s">
        <v>54402</v>
      </c>
      <c r="G14427" s="39">
        <v>21181206</v>
      </c>
      <c r="H14427" s="42">
        <v>211</v>
      </c>
    </row>
    <row r="14428" spans="1:8" ht="15" customHeight="1">
      <c r="A14428" s="26">
        <v>1057592951</v>
      </c>
      <c r="B14428" s="29" t="s">
        <v>16635</v>
      </c>
      <c r="C14428" s="29" t="s">
        <v>17204</v>
      </c>
      <c r="D14428" s="29" t="s">
        <v>43408</v>
      </c>
      <c r="E14428" s="29" t="s">
        <v>43926</v>
      </c>
      <c r="F14428" s="36" t="s">
        <v>54401</v>
      </c>
      <c r="G14428" s="39">
        <v>27252.1</v>
      </c>
      <c r="H14428" s="42">
        <v>211</v>
      </c>
    </row>
    <row r="14429" spans="1:8" ht="15" customHeight="1">
      <c r="A14429" s="26">
        <v>1057592958</v>
      </c>
      <c r="B14429" s="29" t="s">
        <v>16636</v>
      </c>
      <c r="C14429" s="29" t="s">
        <v>29856</v>
      </c>
      <c r="D14429" s="29" t="s">
        <v>43409</v>
      </c>
      <c r="E14429" s="29" t="s">
        <v>54067</v>
      </c>
      <c r="F14429" s="36" t="s">
        <v>54401</v>
      </c>
      <c r="G14429" s="39">
        <v>4072481.23</v>
      </c>
      <c r="H14429" s="42">
        <v>211</v>
      </c>
    </row>
    <row r="14430" spans="1:8" ht="15" customHeight="1">
      <c r="A14430" s="26">
        <v>1057593228</v>
      </c>
      <c r="B14430" s="29" t="s">
        <v>16637</v>
      </c>
      <c r="C14430" s="29" t="s">
        <v>29857</v>
      </c>
      <c r="D14430" s="29" t="s">
        <v>43410</v>
      </c>
      <c r="E14430" s="29" t="s">
        <v>54068</v>
      </c>
      <c r="F14430" s="36" t="s">
        <v>54401</v>
      </c>
      <c r="G14430" s="39">
        <v>4461525</v>
      </c>
      <c r="H14430" s="42">
        <v>211</v>
      </c>
    </row>
    <row r="14431" spans="1:8" ht="15" customHeight="1">
      <c r="A14431" s="26">
        <v>1057593238</v>
      </c>
      <c r="B14431" s="29" t="s">
        <v>16638</v>
      </c>
      <c r="C14431" s="29" t="s">
        <v>29858</v>
      </c>
      <c r="D14431" s="29" t="s">
        <v>43411</v>
      </c>
      <c r="E14431" s="29" t="s">
        <v>54069</v>
      </c>
      <c r="F14431" s="36" t="s">
        <v>54401</v>
      </c>
      <c r="G14431" s="39">
        <v>41925.339999999997</v>
      </c>
      <c r="H14431" s="42">
        <v>211</v>
      </c>
    </row>
    <row r="14432" spans="1:8" ht="15" customHeight="1">
      <c r="A14432" s="26">
        <v>1057593313</v>
      </c>
      <c r="B14432" s="29" t="s">
        <v>16639</v>
      </c>
      <c r="C14432" s="29" t="s">
        <v>29859</v>
      </c>
      <c r="D14432" s="29" t="s">
        <v>43412</v>
      </c>
      <c r="E14432" s="29" t="s">
        <v>54070</v>
      </c>
      <c r="F14432" s="36" t="s">
        <v>54401</v>
      </c>
      <c r="G14432" s="39">
        <v>2138988.91</v>
      </c>
      <c r="H14432" s="42">
        <v>211</v>
      </c>
    </row>
    <row r="14433" spans="1:8" ht="15" customHeight="1">
      <c r="A14433" s="26">
        <v>1057593320</v>
      </c>
      <c r="B14433" s="29" t="s">
        <v>16640</v>
      </c>
      <c r="C14433" s="29" t="s">
        <v>29860</v>
      </c>
      <c r="D14433" s="29" t="s">
        <v>43413</v>
      </c>
      <c r="E14433" s="29" t="s">
        <v>54071</v>
      </c>
      <c r="F14433" s="36" t="s">
        <v>54402</v>
      </c>
      <c r="G14433" s="39">
        <v>1941134.45</v>
      </c>
      <c r="H14433" s="42">
        <v>211</v>
      </c>
    </row>
    <row r="14434" spans="1:8" ht="15" customHeight="1">
      <c r="A14434" s="26">
        <v>1057593353</v>
      </c>
      <c r="B14434" s="29" t="s">
        <v>16641</v>
      </c>
      <c r="C14434" s="29" t="s">
        <v>17204</v>
      </c>
      <c r="D14434" s="29" t="s">
        <v>43414</v>
      </c>
      <c r="E14434" s="29" t="s">
        <v>43926</v>
      </c>
      <c r="F14434" s="36" t="s">
        <v>54401</v>
      </c>
      <c r="G14434" s="39">
        <v>553237.57999999996</v>
      </c>
      <c r="H14434" s="42">
        <v>211</v>
      </c>
    </row>
    <row r="14435" spans="1:8" ht="15" customHeight="1">
      <c r="A14435" s="26">
        <v>1057593676</v>
      </c>
      <c r="B14435" s="29" t="s">
        <v>16642</v>
      </c>
      <c r="C14435" s="29" t="s">
        <v>25449</v>
      </c>
      <c r="D14435" s="29" t="s">
        <v>43415</v>
      </c>
      <c r="E14435" s="29" t="s">
        <v>50978</v>
      </c>
      <c r="F14435" s="36" t="s">
        <v>54401</v>
      </c>
      <c r="G14435" s="39">
        <v>711277.63</v>
      </c>
      <c r="H14435" s="42">
        <v>211</v>
      </c>
    </row>
    <row r="14436" spans="1:8" ht="15" customHeight="1">
      <c r="A14436" s="26">
        <v>1057593686</v>
      </c>
      <c r="B14436" s="29" t="s">
        <v>16643</v>
      </c>
      <c r="C14436" s="29" t="s">
        <v>29861</v>
      </c>
      <c r="D14436" s="29" t="s">
        <v>43416</v>
      </c>
      <c r="E14436" s="29" t="s">
        <v>54072</v>
      </c>
      <c r="F14436" s="36" t="s">
        <v>54401</v>
      </c>
      <c r="G14436" s="39">
        <v>1243267.57</v>
      </c>
      <c r="H14436" s="42">
        <v>211</v>
      </c>
    </row>
    <row r="14437" spans="1:8" ht="15" customHeight="1">
      <c r="A14437" s="26">
        <v>1057593949</v>
      </c>
      <c r="B14437" s="29" t="s">
        <v>16644</v>
      </c>
      <c r="C14437" s="29" t="s">
        <v>17204</v>
      </c>
      <c r="D14437" s="29" t="s">
        <v>30349</v>
      </c>
      <c r="E14437" s="29" t="s">
        <v>43926</v>
      </c>
      <c r="F14437" s="36" t="s">
        <v>54401</v>
      </c>
      <c r="G14437" s="39">
        <v>47327.32</v>
      </c>
      <c r="H14437" s="42">
        <v>211</v>
      </c>
    </row>
    <row r="14438" spans="1:8" ht="15" customHeight="1">
      <c r="A14438" s="26">
        <v>1057593986</v>
      </c>
      <c r="B14438" s="29" t="s">
        <v>16645</v>
      </c>
      <c r="C14438" s="29" t="s">
        <v>23877</v>
      </c>
      <c r="D14438" s="29" t="s">
        <v>37149</v>
      </c>
      <c r="E14438" s="29" t="s">
        <v>54073</v>
      </c>
      <c r="F14438" s="36" t="s">
        <v>54401</v>
      </c>
      <c r="G14438" s="39">
        <v>585233.80000000005</v>
      </c>
      <c r="H14438" s="42">
        <v>211</v>
      </c>
    </row>
    <row r="14439" spans="1:8" ht="15" customHeight="1">
      <c r="A14439" s="26">
        <v>1057594059</v>
      </c>
      <c r="B14439" s="29" t="s">
        <v>16646</v>
      </c>
      <c r="C14439" s="29" t="s">
        <v>29862</v>
      </c>
      <c r="D14439" s="29" t="s">
        <v>43417</v>
      </c>
      <c r="E14439" s="29" t="s">
        <v>43926</v>
      </c>
      <c r="F14439" s="36" t="s">
        <v>54401</v>
      </c>
      <c r="G14439" s="39">
        <v>1597234.79</v>
      </c>
      <c r="H14439" s="42">
        <v>211</v>
      </c>
    </row>
    <row r="14440" spans="1:8" ht="15" customHeight="1">
      <c r="A14440" s="26">
        <v>1057594612</v>
      </c>
      <c r="B14440" s="29" t="s">
        <v>16647</v>
      </c>
      <c r="C14440" s="29" t="s">
        <v>29863</v>
      </c>
      <c r="D14440" s="29" t="s">
        <v>43418</v>
      </c>
      <c r="E14440" s="29" t="s">
        <v>54074</v>
      </c>
      <c r="F14440" s="36" t="s">
        <v>54401</v>
      </c>
      <c r="G14440" s="39">
        <v>410399.51</v>
      </c>
      <c r="H14440" s="42">
        <v>211</v>
      </c>
    </row>
    <row r="14441" spans="1:8" ht="15" customHeight="1">
      <c r="A14441" s="26">
        <v>1057594858</v>
      </c>
      <c r="B14441" s="29" t="s">
        <v>16648</v>
      </c>
      <c r="C14441" s="29" t="s">
        <v>29864</v>
      </c>
      <c r="D14441" s="29" t="s">
        <v>43419</v>
      </c>
      <c r="E14441" s="29" t="s">
        <v>54075</v>
      </c>
      <c r="F14441" s="36" t="s">
        <v>54401</v>
      </c>
      <c r="G14441" s="39">
        <v>4777989.49</v>
      </c>
      <c r="H14441" s="42">
        <v>211</v>
      </c>
    </row>
    <row r="14442" spans="1:8" ht="15" customHeight="1">
      <c r="A14442" s="26">
        <v>1057595112</v>
      </c>
      <c r="B14442" s="29" t="s">
        <v>16649</v>
      </c>
      <c r="C14442" s="29" t="s">
        <v>29865</v>
      </c>
      <c r="D14442" s="29" t="s">
        <v>43420</v>
      </c>
      <c r="E14442" s="29" t="s">
        <v>54076</v>
      </c>
      <c r="F14442" s="36" t="s">
        <v>54401</v>
      </c>
      <c r="G14442" s="39">
        <v>1094112.3400000001</v>
      </c>
      <c r="H14442" s="42">
        <v>211</v>
      </c>
    </row>
    <row r="14443" spans="1:8" ht="15" customHeight="1">
      <c r="A14443" s="26">
        <v>1057595134</v>
      </c>
      <c r="B14443" s="29" t="s">
        <v>16650</v>
      </c>
      <c r="C14443" s="29" t="s">
        <v>17204</v>
      </c>
      <c r="D14443" s="29" t="s">
        <v>30349</v>
      </c>
      <c r="E14443" s="29" t="s">
        <v>43926</v>
      </c>
      <c r="F14443" s="36" t="s">
        <v>54401</v>
      </c>
      <c r="G14443" s="39">
        <v>38458</v>
      </c>
      <c r="H14443" s="42">
        <v>211</v>
      </c>
    </row>
    <row r="14444" spans="1:8" ht="15" customHeight="1">
      <c r="A14444" s="26">
        <v>1057595355</v>
      </c>
      <c r="B14444" s="29" t="s">
        <v>16651</v>
      </c>
      <c r="C14444" s="29" t="s">
        <v>29866</v>
      </c>
      <c r="D14444" s="29" t="s">
        <v>43421</v>
      </c>
      <c r="E14444" s="29" t="s">
        <v>45502</v>
      </c>
      <c r="F14444" s="36" t="s">
        <v>54401</v>
      </c>
      <c r="G14444" s="39">
        <v>489688.67</v>
      </c>
      <c r="H14444" s="42">
        <v>211</v>
      </c>
    </row>
    <row r="14445" spans="1:8" ht="15" customHeight="1">
      <c r="A14445" s="26">
        <v>1057595940</v>
      </c>
      <c r="B14445" s="29" t="s">
        <v>16652</v>
      </c>
      <c r="C14445" s="29" t="s">
        <v>29867</v>
      </c>
      <c r="D14445" s="29" t="s">
        <v>43422</v>
      </c>
      <c r="E14445" s="29" t="s">
        <v>43926</v>
      </c>
      <c r="F14445" s="36" t="s">
        <v>54401</v>
      </c>
      <c r="G14445" s="39">
        <v>346809.53</v>
      </c>
      <c r="H14445" s="42">
        <v>211</v>
      </c>
    </row>
    <row r="14446" spans="1:8" ht="15" customHeight="1">
      <c r="A14446" s="26">
        <v>1057595947</v>
      </c>
      <c r="B14446" s="29" t="s">
        <v>16653</v>
      </c>
      <c r="C14446" s="29" t="s">
        <v>29868</v>
      </c>
      <c r="D14446" s="29" t="s">
        <v>43423</v>
      </c>
      <c r="E14446" s="29" t="s">
        <v>54077</v>
      </c>
      <c r="F14446" s="36" t="s">
        <v>54401</v>
      </c>
      <c r="G14446" s="39">
        <v>249946.67</v>
      </c>
      <c r="H14446" s="42">
        <v>211</v>
      </c>
    </row>
    <row r="14447" spans="1:8" ht="15" customHeight="1">
      <c r="A14447" s="26">
        <v>1057596129</v>
      </c>
      <c r="B14447" s="29" t="s">
        <v>16654</v>
      </c>
      <c r="C14447" s="29" t="s">
        <v>29869</v>
      </c>
      <c r="D14447" s="29" t="s">
        <v>43424</v>
      </c>
      <c r="E14447" s="29" t="s">
        <v>54078</v>
      </c>
      <c r="F14447" s="36" t="s">
        <v>54401</v>
      </c>
      <c r="G14447" s="39">
        <v>517733.98</v>
      </c>
      <c r="H14447" s="42">
        <v>211</v>
      </c>
    </row>
    <row r="14448" spans="1:8" ht="15" customHeight="1">
      <c r="A14448" s="26">
        <v>1057596307</v>
      </c>
      <c r="B14448" s="29" t="s">
        <v>16655</v>
      </c>
      <c r="C14448" s="26" t="s">
        <v>29870</v>
      </c>
      <c r="D14448" s="26" t="s">
        <v>43425</v>
      </c>
      <c r="E14448" s="26" t="s">
        <v>54079</v>
      </c>
      <c r="F14448" s="37" t="s">
        <v>54401</v>
      </c>
      <c r="G14448" s="39">
        <v>3877700</v>
      </c>
      <c r="H14448" s="42">
        <v>211</v>
      </c>
    </row>
    <row r="14449" spans="1:8" ht="15" customHeight="1">
      <c r="A14449" s="26">
        <v>1057596336</v>
      </c>
      <c r="B14449" s="29" t="s">
        <v>16656</v>
      </c>
      <c r="C14449" s="29" t="s">
        <v>29871</v>
      </c>
      <c r="D14449" s="29" t="s">
        <v>43426</v>
      </c>
      <c r="E14449" s="29" t="s">
        <v>54080</v>
      </c>
      <c r="F14449" s="36" t="s">
        <v>54401</v>
      </c>
      <c r="G14449" s="39">
        <v>682674.26</v>
      </c>
      <c r="H14449" s="42">
        <v>211</v>
      </c>
    </row>
    <row r="14450" spans="1:8" ht="15" customHeight="1">
      <c r="A14450" s="26">
        <v>1057596564</v>
      </c>
      <c r="B14450" s="29" t="s">
        <v>16657</v>
      </c>
      <c r="C14450" s="29" t="s">
        <v>29872</v>
      </c>
      <c r="D14450" s="29" t="s">
        <v>43427</v>
      </c>
      <c r="E14450" s="29" t="s">
        <v>47457</v>
      </c>
      <c r="F14450" s="36" t="s">
        <v>54401</v>
      </c>
      <c r="G14450" s="39">
        <v>612948.66</v>
      </c>
      <c r="H14450" s="42">
        <v>211</v>
      </c>
    </row>
    <row r="14451" spans="1:8" ht="15" customHeight="1">
      <c r="A14451" s="26">
        <v>1057596572</v>
      </c>
      <c r="B14451" s="29" t="s">
        <v>16658</v>
      </c>
      <c r="C14451" s="29" t="s">
        <v>29873</v>
      </c>
      <c r="D14451" s="29" t="s">
        <v>43428</v>
      </c>
      <c r="E14451" s="29" t="s">
        <v>54081</v>
      </c>
      <c r="F14451" s="36" t="s">
        <v>54401</v>
      </c>
      <c r="G14451" s="39">
        <v>242653.37</v>
      </c>
      <c r="H14451" s="42">
        <v>211</v>
      </c>
    </row>
    <row r="14452" spans="1:8" ht="15" customHeight="1">
      <c r="A14452" s="26">
        <v>1057596610</v>
      </c>
      <c r="B14452" s="29" t="s">
        <v>16659</v>
      </c>
      <c r="C14452" s="29" t="s">
        <v>29874</v>
      </c>
      <c r="D14452" s="29" t="s">
        <v>43429</v>
      </c>
      <c r="E14452" s="29" t="s">
        <v>54082</v>
      </c>
      <c r="F14452" s="36" t="s">
        <v>54401</v>
      </c>
      <c r="G14452" s="39">
        <v>3028072</v>
      </c>
      <c r="H14452" s="42">
        <v>211</v>
      </c>
    </row>
    <row r="14453" spans="1:8" ht="15" customHeight="1">
      <c r="A14453" s="26">
        <v>1057596633</v>
      </c>
      <c r="B14453" s="29" t="s">
        <v>16660</v>
      </c>
      <c r="C14453" s="29" t="s">
        <v>17204</v>
      </c>
      <c r="D14453" s="29" t="s">
        <v>30349</v>
      </c>
      <c r="E14453" s="29" t="s">
        <v>43926</v>
      </c>
      <c r="F14453" s="36" t="s">
        <v>54401</v>
      </c>
      <c r="G14453" s="39">
        <v>334554.59999999998</v>
      </c>
      <c r="H14453" s="42">
        <v>211</v>
      </c>
    </row>
    <row r="14454" spans="1:8" ht="15" customHeight="1">
      <c r="A14454" s="26">
        <v>1057596634</v>
      </c>
      <c r="B14454" s="29" t="s">
        <v>16661</v>
      </c>
      <c r="C14454" s="29" t="s">
        <v>29875</v>
      </c>
      <c r="D14454" s="29" t="s">
        <v>43430</v>
      </c>
      <c r="E14454" s="29" t="s">
        <v>43926</v>
      </c>
      <c r="F14454" s="36" t="s">
        <v>54401</v>
      </c>
      <c r="G14454" s="39">
        <v>322747.55</v>
      </c>
      <c r="H14454" s="42">
        <v>211</v>
      </c>
    </row>
    <row r="14455" spans="1:8" ht="15" customHeight="1">
      <c r="A14455" s="26">
        <v>1057596683</v>
      </c>
      <c r="B14455" s="29" t="s">
        <v>16662</v>
      </c>
      <c r="C14455" s="29" t="s">
        <v>29876</v>
      </c>
      <c r="D14455" s="29" t="s">
        <v>43431</v>
      </c>
      <c r="E14455" s="29" t="s">
        <v>54083</v>
      </c>
      <c r="F14455" s="36" t="s">
        <v>54401</v>
      </c>
      <c r="G14455" s="39">
        <v>4149610.08</v>
      </c>
      <c r="H14455" s="42">
        <v>211</v>
      </c>
    </row>
    <row r="14456" spans="1:8" ht="15" customHeight="1">
      <c r="A14456" s="26">
        <v>1057596703</v>
      </c>
      <c r="B14456" s="29" t="s">
        <v>16663</v>
      </c>
      <c r="C14456" s="29" t="s">
        <v>29877</v>
      </c>
      <c r="D14456" s="29" t="s">
        <v>43432</v>
      </c>
      <c r="E14456" s="29" t="s">
        <v>44023</v>
      </c>
      <c r="F14456" s="36" t="s">
        <v>54401</v>
      </c>
      <c r="G14456" s="39">
        <v>7546439</v>
      </c>
      <c r="H14456" s="42">
        <v>211</v>
      </c>
    </row>
    <row r="14457" spans="1:8" ht="15" customHeight="1">
      <c r="A14457" s="26">
        <v>1057596765</v>
      </c>
      <c r="B14457" s="29" t="s">
        <v>12097</v>
      </c>
      <c r="C14457" s="29" t="s">
        <v>29878</v>
      </c>
      <c r="D14457" s="29" t="s">
        <v>43433</v>
      </c>
      <c r="E14457" s="29" t="s">
        <v>54084</v>
      </c>
      <c r="F14457" s="36" t="s">
        <v>54401</v>
      </c>
      <c r="G14457" s="39">
        <v>407404.52</v>
      </c>
      <c r="H14457" s="42">
        <v>211</v>
      </c>
    </row>
    <row r="14458" spans="1:8" ht="15" customHeight="1">
      <c r="A14458" s="26">
        <v>1057596776</v>
      </c>
      <c r="B14458" s="29" t="s">
        <v>16664</v>
      </c>
      <c r="C14458" s="29" t="s">
        <v>29879</v>
      </c>
      <c r="D14458" s="29" t="s">
        <v>43434</v>
      </c>
      <c r="E14458" s="29" t="s">
        <v>54085</v>
      </c>
      <c r="F14458" s="36" t="s">
        <v>54401</v>
      </c>
      <c r="G14458" s="39">
        <v>2382357.98</v>
      </c>
      <c r="H14458" s="42">
        <v>211</v>
      </c>
    </row>
    <row r="14459" spans="1:8" ht="15" customHeight="1">
      <c r="A14459" s="26">
        <v>1057597018</v>
      </c>
      <c r="B14459" s="29" t="s">
        <v>16665</v>
      </c>
      <c r="C14459" s="29" t="s">
        <v>29880</v>
      </c>
      <c r="D14459" s="29" t="s">
        <v>43435</v>
      </c>
      <c r="E14459" s="29" t="s">
        <v>43926</v>
      </c>
      <c r="F14459" s="36" t="s">
        <v>54401</v>
      </c>
      <c r="G14459" s="39">
        <v>470317</v>
      </c>
      <c r="H14459" s="42">
        <v>211</v>
      </c>
    </row>
    <row r="14460" spans="1:8" ht="15" customHeight="1">
      <c r="A14460" s="26">
        <v>1057597058</v>
      </c>
      <c r="B14460" s="29" t="s">
        <v>16666</v>
      </c>
      <c r="C14460" s="29" t="s">
        <v>29881</v>
      </c>
      <c r="D14460" s="29" t="s">
        <v>43436</v>
      </c>
      <c r="E14460" s="29" t="s">
        <v>43926</v>
      </c>
      <c r="F14460" s="36" t="s">
        <v>54401</v>
      </c>
      <c r="G14460" s="39">
        <v>2342953.9300000002</v>
      </c>
      <c r="H14460" s="42">
        <v>211</v>
      </c>
    </row>
    <row r="14461" spans="1:8" ht="15" customHeight="1">
      <c r="A14461" s="26">
        <v>1057597206</v>
      </c>
      <c r="B14461" s="29" t="s">
        <v>16667</v>
      </c>
      <c r="C14461" s="29" t="s">
        <v>17204</v>
      </c>
      <c r="D14461" s="29" t="s">
        <v>30349</v>
      </c>
      <c r="E14461" s="29" t="s">
        <v>43926</v>
      </c>
      <c r="F14461" s="36" t="s">
        <v>54401</v>
      </c>
      <c r="G14461" s="39">
        <v>403958.26</v>
      </c>
      <c r="H14461" s="42">
        <v>211</v>
      </c>
    </row>
    <row r="14462" spans="1:8" ht="15" customHeight="1">
      <c r="A14462" s="26">
        <v>1057597531</v>
      </c>
      <c r="B14462" s="29" t="s">
        <v>16668</v>
      </c>
      <c r="C14462" s="29" t="s">
        <v>29882</v>
      </c>
      <c r="D14462" s="29" t="s">
        <v>43437</v>
      </c>
      <c r="E14462" s="29" t="s">
        <v>54086</v>
      </c>
      <c r="F14462" s="36" t="s">
        <v>54402</v>
      </c>
      <c r="G14462" s="39">
        <v>267247.89</v>
      </c>
      <c r="H14462" s="42">
        <v>211</v>
      </c>
    </row>
    <row r="14463" spans="1:8" ht="15" customHeight="1">
      <c r="A14463" s="26">
        <v>1057597674</v>
      </c>
      <c r="B14463" s="29" t="s">
        <v>16669</v>
      </c>
      <c r="C14463" s="29" t="s">
        <v>29883</v>
      </c>
      <c r="D14463" s="29" t="s">
        <v>43438</v>
      </c>
      <c r="E14463" s="29" t="s">
        <v>54087</v>
      </c>
      <c r="F14463" s="36" t="s">
        <v>54401</v>
      </c>
      <c r="G14463" s="39">
        <v>1436975.89</v>
      </c>
      <c r="H14463" s="42">
        <v>211</v>
      </c>
    </row>
    <row r="14464" spans="1:8" ht="15" customHeight="1">
      <c r="A14464" s="26">
        <v>1057597902</v>
      </c>
      <c r="B14464" s="29" t="s">
        <v>16670</v>
      </c>
      <c r="C14464" s="29" t="s">
        <v>29884</v>
      </c>
      <c r="D14464" s="29" t="s">
        <v>43439</v>
      </c>
      <c r="E14464" s="29" t="s">
        <v>54088</v>
      </c>
      <c r="F14464" s="36" t="s">
        <v>54401</v>
      </c>
      <c r="G14464" s="39">
        <v>100673.38</v>
      </c>
      <c r="H14464" s="42">
        <v>211</v>
      </c>
    </row>
    <row r="14465" spans="1:8" ht="15" customHeight="1">
      <c r="A14465" s="26">
        <v>1057598617</v>
      </c>
      <c r="B14465" s="29" t="s">
        <v>16671</v>
      </c>
      <c r="C14465" s="29" t="s">
        <v>29885</v>
      </c>
      <c r="D14465" s="29" t="s">
        <v>43440</v>
      </c>
      <c r="E14465" s="29" t="s">
        <v>54089</v>
      </c>
      <c r="F14465" s="36" t="s">
        <v>54401</v>
      </c>
      <c r="G14465" s="39">
        <v>1209374.28</v>
      </c>
      <c r="H14465" s="42">
        <v>211</v>
      </c>
    </row>
    <row r="14466" spans="1:8" ht="15" customHeight="1">
      <c r="A14466" s="26">
        <v>1057598678</v>
      </c>
      <c r="B14466" s="29" t="s">
        <v>16672</v>
      </c>
      <c r="C14466" s="29" t="s">
        <v>29886</v>
      </c>
      <c r="D14466" s="29" t="s">
        <v>43441</v>
      </c>
      <c r="E14466" s="29" t="s">
        <v>43926</v>
      </c>
      <c r="F14466" s="36" t="s">
        <v>54401</v>
      </c>
      <c r="G14466" s="39">
        <v>222380.06</v>
      </c>
      <c r="H14466" s="42">
        <v>211</v>
      </c>
    </row>
    <row r="14467" spans="1:8" ht="15" customHeight="1">
      <c r="A14467" s="26">
        <v>1057598754</v>
      </c>
      <c r="B14467" s="29" t="s">
        <v>16673</v>
      </c>
      <c r="C14467" s="29" t="s">
        <v>29887</v>
      </c>
      <c r="D14467" s="29" t="s">
        <v>43442</v>
      </c>
      <c r="E14467" s="29" t="s">
        <v>54090</v>
      </c>
      <c r="F14467" s="36" t="s">
        <v>54401</v>
      </c>
      <c r="G14467" s="39">
        <v>2422922.4700000002</v>
      </c>
      <c r="H14467" s="42">
        <v>211</v>
      </c>
    </row>
    <row r="14468" spans="1:8" ht="15" customHeight="1">
      <c r="A14468" s="26">
        <v>1057598799</v>
      </c>
      <c r="B14468" s="29" t="s">
        <v>16674</v>
      </c>
      <c r="C14468" s="29" t="s">
        <v>29888</v>
      </c>
      <c r="D14468" s="29" t="s">
        <v>43443</v>
      </c>
      <c r="E14468" s="29" t="s">
        <v>48792</v>
      </c>
      <c r="F14468" s="36" t="s">
        <v>54401</v>
      </c>
      <c r="G14468" s="39">
        <v>2707722.2400000002</v>
      </c>
      <c r="H14468" s="42">
        <v>211</v>
      </c>
    </row>
    <row r="14469" spans="1:8" ht="15" customHeight="1">
      <c r="A14469" s="26">
        <v>1057598840</v>
      </c>
      <c r="B14469" s="29" t="s">
        <v>16675</v>
      </c>
      <c r="C14469" s="29" t="s">
        <v>29889</v>
      </c>
      <c r="D14469" s="29" t="s">
        <v>30349</v>
      </c>
      <c r="E14469" s="29" t="s">
        <v>43926</v>
      </c>
      <c r="F14469" s="36" t="s">
        <v>54401</v>
      </c>
      <c r="G14469" s="39">
        <v>142021.54999999999</v>
      </c>
      <c r="H14469" s="42">
        <v>211</v>
      </c>
    </row>
    <row r="14470" spans="1:8" ht="15" customHeight="1">
      <c r="A14470" s="26">
        <v>1057598938</v>
      </c>
      <c r="B14470" s="29" t="s">
        <v>16676</v>
      </c>
      <c r="C14470" s="29" t="s">
        <v>29890</v>
      </c>
      <c r="D14470" s="29" t="s">
        <v>43444</v>
      </c>
      <c r="E14470" s="29" t="s">
        <v>54091</v>
      </c>
      <c r="F14470" s="36" t="s">
        <v>54402</v>
      </c>
      <c r="G14470" s="39">
        <v>33060437.539999999</v>
      </c>
      <c r="H14470" s="42">
        <v>211</v>
      </c>
    </row>
    <row r="14471" spans="1:8" ht="15" customHeight="1">
      <c r="A14471" s="26">
        <v>1057599278</v>
      </c>
      <c r="B14471" s="29" t="s">
        <v>16677</v>
      </c>
      <c r="C14471" s="29" t="s">
        <v>29891</v>
      </c>
      <c r="D14471" s="29" t="s">
        <v>43445</v>
      </c>
      <c r="E14471" s="29" t="s">
        <v>54092</v>
      </c>
      <c r="F14471" s="36" t="s">
        <v>54401</v>
      </c>
      <c r="G14471" s="39">
        <v>3228198.11</v>
      </c>
      <c r="H14471" s="42">
        <v>211</v>
      </c>
    </row>
    <row r="14472" spans="1:8" ht="15" customHeight="1">
      <c r="A14472" s="26">
        <v>1057599738</v>
      </c>
      <c r="B14472" s="29" t="s">
        <v>16678</v>
      </c>
      <c r="C14472" s="29" t="s">
        <v>29892</v>
      </c>
      <c r="D14472" s="29" t="s">
        <v>43446</v>
      </c>
      <c r="E14472" s="29" t="s">
        <v>54093</v>
      </c>
      <c r="F14472" s="36" t="s">
        <v>54401</v>
      </c>
      <c r="G14472" s="39">
        <v>431568.33</v>
      </c>
      <c r="H14472" s="42">
        <v>211</v>
      </c>
    </row>
    <row r="14473" spans="1:8" ht="15" customHeight="1">
      <c r="A14473" s="26">
        <v>1057600151</v>
      </c>
      <c r="B14473" s="29" t="s">
        <v>16679</v>
      </c>
      <c r="C14473" s="26" t="s">
        <v>17204</v>
      </c>
      <c r="D14473" s="26" t="s">
        <v>30349</v>
      </c>
      <c r="E14473" s="26" t="s">
        <v>43926</v>
      </c>
      <c r="F14473" s="37" t="s">
        <v>54401</v>
      </c>
      <c r="G14473" s="39">
        <v>64887.71</v>
      </c>
      <c r="H14473" s="42">
        <v>211</v>
      </c>
    </row>
    <row r="14474" spans="1:8" ht="15" customHeight="1">
      <c r="A14474" s="26">
        <v>1057600167</v>
      </c>
      <c r="B14474" s="29" t="s">
        <v>16680</v>
      </c>
      <c r="C14474" s="29" t="s">
        <v>29893</v>
      </c>
      <c r="D14474" s="29" t="s">
        <v>43447</v>
      </c>
      <c r="E14474" s="29" t="s">
        <v>54094</v>
      </c>
      <c r="F14474" s="36" t="s">
        <v>54401</v>
      </c>
      <c r="G14474" s="39">
        <v>112338.77</v>
      </c>
      <c r="H14474" s="42">
        <v>211</v>
      </c>
    </row>
    <row r="14475" spans="1:8" ht="15" customHeight="1">
      <c r="A14475" s="26">
        <v>1057600196</v>
      </c>
      <c r="B14475" s="29" t="s">
        <v>16681</v>
      </c>
      <c r="C14475" s="29" t="s">
        <v>29894</v>
      </c>
      <c r="D14475" s="29" t="s">
        <v>43448</v>
      </c>
      <c r="E14475" s="29" t="s">
        <v>54095</v>
      </c>
      <c r="F14475" s="36" t="s">
        <v>54402</v>
      </c>
      <c r="G14475" s="39">
        <v>16270525</v>
      </c>
      <c r="H14475" s="42">
        <v>211</v>
      </c>
    </row>
    <row r="14476" spans="1:8" ht="15" customHeight="1">
      <c r="A14476" s="26">
        <v>1057600226</v>
      </c>
      <c r="B14476" s="29" t="s">
        <v>16682</v>
      </c>
      <c r="C14476" s="29" t="s">
        <v>29895</v>
      </c>
      <c r="D14476" s="29" t="s">
        <v>43449</v>
      </c>
      <c r="E14476" s="29" t="s">
        <v>54096</v>
      </c>
      <c r="F14476" s="36" t="s">
        <v>54420</v>
      </c>
      <c r="G14476" s="39">
        <v>429801.82</v>
      </c>
      <c r="H14476" s="42">
        <v>211</v>
      </c>
    </row>
    <row r="14477" spans="1:8" ht="15" customHeight="1">
      <c r="A14477" s="26">
        <v>1057600394</v>
      </c>
      <c r="B14477" s="29" t="s">
        <v>16683</v>
      </c>
      <c r="C14477" s="29" t="s">
        <v>29896</v>
      </c>
      <c r="D14477" s="29" t="s">
        <v>43450</v>
      </c>
      <c r="E14477" s="29" t="s">
        <v>43926</v>
      </c>
      <c r="F14477" s="36" t="s">
        <v>54401</v>
      </c>
      <c r="G14477" s="39">
        <v>233432.68</v>
      </c>
      <c r="H14477" s="42">
        <v>211</v>
      </c>
    </row>
    <row r="14478" spans="1:8" ht="15" customHeight="1">
      <c r="A14478" s="26">
        <v>1057600671</v>
      </c>
      <c r="B14478" s="29" t="s">
        <v>16684</v>
      </c>
      <c r="C14478" s="29" t="s">
        <v>17204</v>
      </c>
      <c r="D14478" s="29" t="s">
        <v>30349</v>
      </c>
      <c r="E14478" s="29" t="s">
        <v>43926</v>
      </c>
      <c r="F14478" s="36" t="s">
        <v>54401</v>
      </c>
      <c r="G14478" s="39">
        <v>151941.01</v>
      </c>
      <c r="H14478" s="42">
        <v>211</v>
      </c>
    </row>
    <row r="14479" spans="1:8" ht="15" customHeight="1">
      <c r="A14479" s="26">
        <v>1057600691</v>
      </c>
      <c r="B14479" s="29" t="s">
        <v>16685</v>
      </c>
      <c r="C14479" s="29" t="s">
        <v>29897</v>
      </c>
      <c r="D14479" s="29" t="s">
        <v>43451</v>
      </c>
      <c r="E14479" s="29" t="s">
        <v>54097</v>
      </c>
      <c r="F14479" s="36" t="s">
        <v>54402</v>
      </c>
      <c r="G14479" s="39">
        <v>2096670.51</v>
      </c>
      <c r="H14479" s="42">
        <v>211</v>
      </c>
    </row>
    <row r="14480" spans="1:8" ht="15" customHeight="1">
      <c r="A14480" s="26">
        <v>1057600723</v>
      </c>
      <c r="B14480" s="29" t="s">
        <v>16686</v>
      </c>
      <c r="C14480" s="29" t="s">
        <v>29898</v>
      </c>
      <c r="D14480" s="29" t="s">
        <v>43452</v>
      </c>
      <c r="E14480" s="29" t="s">
        <v>43926</v>
      </c>
      <c r="F14480" s="36" t="s">
        <v>54401</v>
      </c>
      <c r="G14480" s="39">
        <v>413802.98</v>
      </c>
      <c r="H14480" s="42">
        <v>211</v>
      </c>
    </row>
    <row r="14481" spans="1:8" ht="15" customHeight="1">
      <c r="A14481" s="26">
        <v>1057601181</v>
      </c>
      <c r="B14481" s="29" t="s">
        <v>16687</v>
      </c>
      <c r="C14481" s="26" t="s">
        <v>29899</v>
      </c>
      <c r="D14481" s="26" t="s">
        <v>43453</v>
      </c>
      <c r="E14481" s="26" t="s">
        <v>54098</v>
      </c>
      <c r="F14481" s="37" t="s">
        <v>54401</v>
      </c>
      <c r="G14481" s="39">
        <v>2809408.78</v>
      </c>
      <c r="H14481" s="42">
        <v>211</v>
      </c>
    </row>
    <row r="14482" spans="1:8" ht="15" customHeight="1">
      <c r="A14482" s="26">
        <v>1057601379</v>
      </c>
      <c r="B14482" s="29" t="s">
        <v>16688</v>
      </c>
      <c r="C14482" s="29" t="s">
        <v>29900</v>
      </c>
      <c r="D14482" s="29" t="s">
        <v>40842</v>
      </c>
      <c r="E14482" s="29" t="s">
        <v>54099</v>
      </c>
      <c r="F14482" s="36" t="s">
        <v>54401</v>
      </c>
      <c r="G14482" s="39">
        <v>554777.04</v>
      </c>
      <c r="H14482" s="42">
        <v>211</v>
      </c>
    </row>
    <row r="14483" spans="1:8" ht="15" customHeight="1">
      <c r="A14483" s="26">
        <v>1057601777</v>
      </c>
      <c r="B14483" s="29" t="s">
        <v>16689</v>
      </c>
      <c r="C14483" s="29" t="s">
        <v>17204</v>
      </c>
      <c r="D14483" s="29" t="s">
        <v>43454</v>
      </c>
      <c r="E14483" s="29" t="s">
        <v>43926</v>
      </c>
      <c r="F14483" s="36" t="s">
        <v>54401</v>
      </c>
      <c r="G14483" s="39">
        <v>145955.98000000001</v>
      </c>
      <c r="H14483" s="42">
        <v>211</v>
      </c>
    </row>
    <row r="14484" spans="1:8" ht="15" customHeight="1">
      <c r="A14484" s="26">
        <v>1057601834</v>
      </c>
      <c r="B14484" s="29" t="s">
        <v>16690</v>
      </c>
      <c r="C14484" s="29" t="s">
        <v>29901</v>
      </c>
      <c r="D14484" s="29" t="s">
        <v>43455</v>
      </c>
      <c r="E14484" s="29" t="s">
        <v>54100</v>
      </c>
      <c r="F14484" s="36" t="s">
        <v>54402</v>
      </c>
      <c r="G14484" s="39">
        <v>3806736</v>
      </c>
      <c r="H14484" s="42">
        <v>211</v>
      </c>
    </row>
    <row r="14485" spans="1:8" ht="15" customHeight="1">
      <c r="A14485" s="26">
        <v>1057603188</v>
      </c>
      <c r="B14485" s="29" t="s">
        <v>16691</v>
      </c>
      <c r="C14485" s="29" t="s">
        <v>29902</v>
      </c>
      <c r="D14485" s="29" t="s">
        <v>43456</v>
      </c>
      <c r="E14485" s="29" t="s">
        <v>43926</v>
      </c>
      <c r="F14485" s="36" t="s">
        <v>54401</v>
      </c>
      <c r="G14485" s="39">
        <v>334216.93</v>
      </c>
      <c r="H14485" s="42">
        <v>211</v>
      </c>
    </row>
    <row r="14486" spans="1:8" ht="15" customHeight="1">
      <c r="A14486" s="26">
        <v>1057603236</v>
      </c>
      <c r="B14486" s="29" t="s">
        <v>16692</v>
      </c>
      <c r="C14486" s="29" t="s">
        <v>29903</v>
      </c>
      <c r="D14486" s="29" t="s">
        <v>43457</v>
      </c>
      <c r="E14486" s="29" t="s">
        <v>54101</v>
      </c>
      <c r="F14486" s="36" t="s">
        <v>54420</v>
      </c>
      <c r="G14486" s="39">
        <v>898917.02</v>
      </c>
      <c r="H14486" s="42">
        <v>211</v>
      </c>
    </row>
    <row r="14487" spans="1:8" ht="15" customHeight="1">
      <c r="A14487" s="26">
        <v>1057603692</v>
      </c>
      <c r="B14487" s="29" t="s">
        <v>16693</v>
      </c>
      <c r="C14487" s="29" t="s">
        <v>29904</v>
      </c>
      <c r="D14487" s="29" t="s">
        <v>43458</v>
      </c>
      <c r="E14487" s="29" t="s">
        <v>49634</v>
      </c>
      <c r="F14487" s="36" t="s">
        <v>54426</v>
      </c>
      <c r="G14487" s="39">
        <v>2209551.63</v>
      </c>
      <c r="H14487" s="42">
        <v>211</v>
      </c>
    </row>
    <row r="14488" spans="1:8" ht="15" customHeight="1">
      <c r="A14488" s="26">
        <v>1057604244</v>
      </c>
      <c r="B14488" s="29" t="s">
        <v>16694</v>
      </c>
      <c r="C14488" s="29" t="s">
        <v>29905</v>
      </c>
      <c r="D14488" s="29" t="s">
        <v>43459</v>
      </c>
      <c r="E14488" s="29" t="s">
        <v>54102</v>
      </c>
      <c r="F14488" s="36" t="s">
        <v>54417</v>
      </c>
      <c r="G14488" s="39">
        <v>716519.52</v>
      </c>
      <c r="H14488" s="42">
        <v>211</v>
      </c>
    </row>
    <row r="14489" spans="1:8" ht="15" customHeight="1">
      <c r="A14489" s="26">
        <v>1057604294</v>
      </c>
      <c r="B14489" s="29" t="s">
        <v>16695</v>
      </c>
      <c r="C14489" s="29" t="s">
        <v>29906</v>
      </c>
      <c r="D14489" s="29" t="s">
        <v>43460</v>
      </c>
      <c r="E14489" s="29" t="s">
        <v>54103</v>
      </c>
      <c r="F14489" s="36" t="s">
        <v>54401</v>
      </c>
      <c r="G14489" s="39">
        <v>356875.24</v>
      </c>
      <c r="H14489" s="42">
        <v>211</v>
      </c>
    </row>
    <row r="14490" spans="1:8" ht="15" customHeight="1">
      <c r="A14490" s="26">
        <v>1057604724</v>
      </c>
      <c r="B14490" s="29" t="s">
        <v>16696</v>
      </c>
      <c r="C14490" s="29" t="s">
        <v>29907</v>
      </c>
      <c r="D14490" s="29" t="s">
        <v>43461</v>
      </c>
      <c r="E14490" s="29" t="s">
        <v>51484</v>
      </c>
      <c r="F14490" s="36" t="s">
        <v>54401</v>
      </c>
      <c r="G14490" s="39">
        <v>1259791.55</v>
      </c>
      <c r="H14490" s="42">
        <v>211</v>
      </c>
    </row>
    <row r="14491" spans="1:8" ht="15" customHeight="1">
      <c r="A14491" s="26">
        <v>1057605125</v>
      </c>
      <c r="B14491" s="29" t="s">
        <v>16697</v>
      </c>
      <c r="C14491" s="29" t="s">
        <v>29908</v>
      </c>
      <c r="D14491" s="29" t="s">
        <v>43462</v>
      </c>
      <c r="E14491" s="29" t="s">
        <v>50041</v>
      </c>
      <c r="F14491" s="36" t="s">
        <v>54401</v>
      </c>
      <c r="G14491" s="39">
        <v>912990.13</v>
      </c>
      <c r="H14491" s="42">
        <v>211</v>
      </c>
    </row>
    <row r="14492" spans="1:8" ht="15" customHeight="1">
      <c r="A14492" s="26">
        <v>1057605152</v>
      </c>
      <c r="B14492" s="29" t="s">
        <v>16698</v>
      </c>
      <c r="C14492" s="29" t="s">
        <v>29909</v>
      </c>
      <c r="D14492" s="29" t="s">
        <v>43463</v>
      </c>
      <c r="E14492" s="29" t="s">
        <v>51670</v>
      </c>
      <c r="F14492" s="36" t="s">
        <v>54401</v>
      </c>
      <c r="G14492" s="39">
        <v>2927152.18</v>
      </c>
      <c r="H14492" s="42">
        <v>211</v>
      </c>
    </row>
    <row r="14493" spans="1:8" ht="15" customHeight="1">
      <c r="A14493" s="26">
        <v>1057605559</v>
      </c>
      <c r="B14493" s="29" t="s">
        <v>16699</v>
      </c>
      <c r="C14493" s="29" t="s">
        <v>29910</v>
      </c>
      <c r="D14493" s="29" t="s">
        <v>43464</v>
      </c>
      <c r="E14493" s="29" t="s">
        <v>54104</v>
      </c>
      <c r="F14493" s="36" t="s">
        <v>54401</v>
      </c>
      <c r="G14493" s="39">
        <v>225464.57</v>
      </c>
      <c r="H14493" s="42">
        <v>211</v>
      </c>
    </row>
    <row r="14494" spans="1:8" ht="15" customHeight="1">
      <c r="A14494" s="26">
        <v>1057606586</v>
      </c>
      <c r="B14494" s="29" t="s">
        <v>16700</v>
      </c>
      <c r="C14494" s="29" t="s">
        <v>29911</v>
      </c>
      <c r="D14494" s="29" t="s">
        <v>43465</v>
      </c>
      <c r="E14494" s="29" t="s">
        <v>53757</v>
      </c>
      <c r="F14494" s="36" t="s">
        <v>54423</v>
      </c>
      <c r="G14494" s="39">
        <v>546632.79</v>
      </c>
      <c r="H14494" s="42">
        <v>211</v>
      </c>
    </row>
    <row r="14495" spans="1:8" ht="15" customHeight="1">
      <c r="A14495" s="26">
        <v>1057606623</v>
      </c>
      <c r="B14495" s="29" t="s">
        <v>16701</v>
      </c>
      <c r="C14495" s="29" t="s">
        <v>29912</v>
      </c>
      <c r="D14495" s="29" t="s">
        <v>43466</v>
      </c>
      <c r="E14495" s="29" t="s">
        <v>54105</v>
      </c>
      <c r="F14495" s="36" t="s">
        <v>54401</v>
      </c>
      <c r="G14495" s="39">
        <v>475765.89</v>
      </c>
      <c r="H14495" s="42">
        <v>211</v>
      </c>
    </row>
    <row r="14496" spans="1:8" ht="15" customHeight="1">
      <c r="A14496" s="26">
        <v>1057606763</v>
      </c>
      <c r="B14496" s="29" t="s">
        <v>16702</v>
      </c>
      <c r="C14496" s="29" t="s">
        <v>29913</v>
      </c>
      <c r="D14496" s="29" t="s">
        <v>43467</v>
      </c>
      <c r="E14496" s="29" t="s">
        <v>54106</v>
      </c>
      <c r="F14496" s="36" t="s">
        <v>54402</v>
      </c>
      <c r="G14496" s="39">
        <v>8943009.5399999991</v>
      </c>
      <c r="H14496" s="42">
        <v>211</v>
      </c>
    </row>
    <row r="14497" spans="1:8" ht="15" customHeight="1">
      <c r="A14497" s="26">
        <v>1057606956</v>
      </c>
      <c r="B14497" s="29" t="s">
        <v>16703</v>
      </c>
      <c r="C14497" s="29" t="s">
        <v>29914</v>
      </c>
      <c r="D14497" s="29" t="s">
        <v>43468</v>
      </c>
      <c r="E14497" s="29" t="s">
        <v>54107</v>
      </c>
      <c r="F14497" s="36" t="s">
        <v>54401</v>
      </c>
      <c r="G14497" s="39">
        <v>440066.38</v>
      </c>
      <c r="H14497" s="42">
        <v>211</v>
      </c>
    </row>
    <row r="14498" spans="1:8" ht="15" customHeight="1">
      <c r="A14498" s="26">
        <v>1057606965</v>
      </c>
      <c r="B14498" s="29" t="s">
        <v>16704</v>
      </c>
      <c r="C14498" s="29" t="s">
        <v>29915</v>
      </c>
      <c r="D14498" s="29" t="s">
        <v>43469</v>
      </c>
      <c r="E14498" s="29" t="s">
        <v>54108</v>
      </c>
      <c r="F14498" s="36" t="s">
        <v>54402</v>
      </c>
      <c r="G14498" s="39">
        <v>310831.38</v>
      </c>
      <c r="H14498" s="42">
        <v>211</v>
      </c>
    </row>
    <row r="14499" spans="1:8" ht="15" customHeight="1">
      <c r="A14499" s="26">
        <v>1057607229</v>
      </c>
      <c r="B14499" s="29" t="s">
        <v>16705</v>
      </c>
      <c r="C14499" s="29" t="s">
        <v>29916</v>
      </c>
      <c r="D14499" s="29" t="s">
        <v>43470</v>
      </c>
      <c r="E14499" s="29" t="s">
        <v>54109</v>
      </c>
      <c r="F14499" s="36" t="s">
        <v>54401</v>
      </c>
      <c r="G14499" s="39">
        <v>197144.16</v>
      </c>
      <c r="H14499" s="42">
        <v>211</v>
      </c>
    </row>
    <row r="14500" spans="1:8" ht="15" customHeight="1">
      <c r="A14500" s="26">
        <v>1057607457</v>
      </c>
      <c r="B14500" s="29" t="s">
        <v>16706</v>
      </c>
      <c r="C14500" s="29" t="s">
        <v>17204</v>
      </c>
      <c r="D14500" s="29" t="s">
        <v>43471</v>
      </c>
      <c r="E14500" s="29" t="s">
        <v>43926</v>
      </c>
      <c r="F14500" s="36" t="s">
        <v>54401</v>
      </c>
      <c r="G14500" s="39">
        <v>1533572.11</v>
      </c>
      <c r="H14500" s="42">
        <v>211</v>
      </c>
    </row>
    <row r="14501" spans="1:8" ht="15" customHeight="1">
      <c r="A14501" s="26">
        <v>1057607494</v>
      </c>
      <c r="B14501" s="29" t="s">
        <v>16707</v>
      </c>
      <c r="C14501" s="29" t="s">
        <v>29917</v>
      </c>
      <c r="D14501" s="29" t="s">
        <v>43472</v>
      </c>
      <c r="E14501" s="29" t="s">
        <v>54110</v>
      </c>
      <c r="F14501" s="36" t="s">
        <v>54401</v>
      </c>
      <c r="G14501" s="39">
        <v>2025207.36</v>
      </c>
      <c r="H14501" s="42">
        <v>211</v>
      </c>
    </row>
    <row r="14502" spans="1:8" ht="15" customHeight="1">
      <c r="A14502" s="26">
        <v>1057607683</v>
      </c>
      <c r="B14502" s="29" t="s">
        <v>16708</v>
      </c>
      <c r="C14502" s="29" t="s">
        <v>29918</v>
      </c>
      <c r="D14502" s="29" t="s">
        <v>43473</v>
      </c>
      <c r="E14502" s="29" t="s">
        <v>54111</v>
      </c>
      <c r="F14502" s="36" t="s">
        <v>54402</v>
      </c>
      <c r="G14502" s="39">
        <v>105114.29</v>
      </c>
      <c r="H14502" s="42">
        <v>211</v>
      </c>
    </row>
    <row r="14503" spans="1:8" ht="15" customHeight="1">
      <c r="A14503" s="26">
        <v>1057607972</v>
      </c>
      <c r="B14503" s="29" t="s">
        <v>16709</v>
      </c>
      <c r="C14503" s="29" t="s">
        <v>29919</v>
      </c>
      <c r="D14503" s="29" t="s">
        <v>43474</v>
      </c>
      <c r="E14503" s="29" t="s">
        <v>54112</v>
      </c>
      <c r="F14503" s="36" t="s">
        <v>54401</v>
      </c>
      <c r="G14503" s="39">
        <v>214463.51</v>
      </c>
      <c r="H14503" s="42">
        <v>211</v>
      </c>
    </row>
    <row r="14504" spans="1:8" ht="15" customHeight="1">
      <c r="A14504" s="26">
        <v>1057608122</v>
      </c>
      <c r="B14504" s="29" t="s">
        <v>16710</v>
      </c>
      <c r="C14504" s="29" t="s">
        <v>29920</v>
      </c>
      <c r="D14504" s="29" t="s">
        <v>43475</v>
      </c>
      <c r="E14504" s="29" t="s">
        <v>54113</v>
      </c>
      <c r="F14504" s="36" t="s">
        <v>54401</v>
      </c>
      <c r="G14504" s="39">
        <v>727096.68</v>
      </c>
      <c r="H14504" s="42">
        <v>211</v>
      </c>
    </row>
    <row r="14505" spans="1:8" ht="15" customHeight="1">
      <c r="A14505" s="26">
        <v>1057608228</v>
      </c>
      <c r="B14505" s="29" t="s">
        <v>16711</v>
      </c>
      <c r="C14505" s="29" t="s">
        <v>29921</v>
      </c>
      <c r="D14505" s="29" t="s">
        <v>43476</v>
      </c>
      <c r="E14505" s="29" t="s">
        <v>49139</v>
      </c>
      <c r="F14505" s="36" t="s">
        <v>54401</v>
      </c>
      <c r="G14505" s="39">
        <v>320795.68</v>
      </c>
      <c r="H14505" s="42">
        <v>211</v>
      </c>
    </row>
    <row r="14506" spans="1:8" ht="15" customHeight="1">
      <c r="A14506" s="26">
        <v>1057608488</v>
      </c>
      <c r="B14506" s="29" t="s">
        <v>16712</v>
      </c>
      <c r="C14506" s="29" t="s">
        <v>29922</v>
      </c>
      <c r="D14506" s="29" t="s">
        <v>43477</v>
      </c>
      <c r="E14506" s="29" t="s">
        <v>52213</v>
      </c>
      <c r="F14506" s="36" t="s">
        <v>54401</v>
      </c>
      <c r="G14506" s="39">
        <v>934206.22</v>
      </c>
      <c r="H14506" s="42">
        <v>211</v>
      </c>
    </row>
    <row r="14507" spans="1:8" ht="15" customHeight="1">
      <c r="A14507" s="26">
        <v>1057608543</v>
      </c>
      <c r="B14507" s="29" t="s">
        <v>16713</v>
      </c>
      <c r="C14507" s="29" t="s">
        <v>29923</v>
      </c>
      <c r="D14507" s="29" t="s">
        <v>43478</v>
      </c>
      <c r="E14507" s="29" t="s">
        <v>54114</v>
      </c>
      <c r="F14507" s="36" t="s">
        <v>54401</v>
      </c>
      <c r="G14507" s="39">
        <v>4025413.26</v>
      </c>
      <c r="H14507" s="42">
        <v>211</v>
      </c>
    </row>
    <row r="14508" spans="1:8" ht="15" customHeight="1">
      <c r="A14508" s="26">
        <v>1057610982</v>
      </c>
      <c r="B14508" s="29" t="s">
        <v>16714</v>
      </c>
      <c r="C14508" s="29" t="s">
        <v>29924</v>
      </c>
      <c r="D14508" s="29" t="s">
        <v>43479</v>
      </c>
      <c r="E14508" s="29" t="s">
        <v>54115</v>
      </c>
      <c r="F14508" s="36" t="s">
        <v>54401</v>
      </c>
      <c r="G14508" s="39">
        <v>4553759.29</v>
      </c>
      <c r="H14508" s="42">
        <v>211</v>
      </c>
    </row>
    <row r="14509" spans="1:8" ht="15" customHeight="1">
      <c r="A14509" s="26">
        <v>1057611104</v>
      </c>
      <c r="B14509" s="29" t="s">
        <v>16715</v>
      </c>
      <c r="C14509" s="29" t="s">
        <v>29925</v>
      </c>
      <c r="D14509" s="29" t="s">
        <v>43480</v>
      </c>
      <c r="E14509" s="29" t="s">
        <v>54116</v>
      </c>
      <c r="F14509" s="36" t="s">
        <v>54402</v>
      </c>
      <c r="G14509" s="39">
        <v>2181020</v>
      </c>
      <c r="H14509" s="42">
        <v>211</v>
      </c>
    </row>
    <row r="14510" spans="1:8" ht="15" customHeight="1">
      <c r="A14510" s="26">
        <v>1057611157</v>
      </c>
      <c r="B14510" s="29" t="s">
        <v>16716</v>
      </c>
      <c r="C14510" s="29" t="s">
        <v>17204</v>
      </c>
      <c r="D14510" s="29" t="s">
        <v>43481</v>
      </c>
      <c r="E14510" s="29" t="s">
        <v>43926</v>
      </c>
      <c r="F14510" s="36" t="s">
        <v>54401</v>
      </c>
      <c r="G14510" s="39">
        <v>186324.96</v>
      </c>
      <c r="H14510" s="42">
        <v>211</v>
      </c>
    </row>
    <row r="14511" spans="1:8" ht="15" customHeight="1">
      <c r="A14511" s="26">
        <v>1057611520</v>
      </c>
      <c r="B14511" s="29" t="s">
        <v>16717</v>
      </c>
      <c r="C14511" s="29" t="s">
        <v>29926</v>
      </c>
      <c r="D14511" s="29" t="s">
        <v>43482</v>
      </c>
      <c r="E14511" s="29" t="s">
        <v>54117</v>
      </c>
      <c r="F14511" s="36" t="s">
        <v>54401</v>
      </c>
      <c r="G14511" s="39">
        <v>837260.26</v>
      </c>
      <c r="H14511" s="42">
        <v>211</v>
      </c>
    </row>
    <row r="14512" spans="1:8" ht="15" customHeight="1">
      <c r="A14512" s="26">
        <v>1057612057</v>
      </c>
      <c r="B14512" s="29" t="s">
        <v>16718</v>
      </c>
      <c r="C14512" s="29" t="s">
        <v>29927</v>
      </c>
      <c r="D14512" s="29" t="s">
        <v>43483</v>
      </c>
      <c r="E14512" s="29" t="s">
        <v>717</v>
      </c>
      <c r="F14512" s="36" t="s">
        <v>54409</v>
      </c>
      <c r="G14512" s="39">
        <v>129374.74</v>
      </c>
      <c r="H14512" s="42">
        <v>211</v>
      </c>
    </row>
    <row r="14513" spans="1:8" ht="15" customHeight="1">
      <c r="A14513" s="26">
        <v>1057710190</v>
      </c>
      <c r="B14513" s="29" t="s">
        <v>16719</v>
      </c>
      <c r="C14513" s="29" t="s">
        <v>29928</v>
      </c>
      <c r="D14513" s="29" t="s">
        <v>43484</v>
      </c>
      <c r="E14513" s="29" t="s">
        <v>54118</v>
      </c>
      <c r="F14513" s="36" t="s">
        <v>54401</v>
      </c>
      <c r="G14513" s="39">
        <v>165580.93</v>
      </c>
      <c r="H14513" s="42">
        <v>211</v>
      </c>
    </row>
    <row r="14514" spans="1:8" ht="15" customHeight="1">
      <c r="A14514" s="26">
        <v>1057893261</v>
      </c>
      <c r="B14514" s="29" t="s">
        <v>16720</v>
      </c>
      <c r="C14514" s="29" t="s">
        <v>29929</v>
      </c>
      <c r="D14514" s="29" t="s">
        <v>43485</v>
      </c>
      <c r="E14514" s="29" t="s">
        <v>54119</v>
      </c>
      <c r="F14514" s="36" t="s">
        <v>54401</v>
      </c>
      <c r="G14514" s="39">
        <v>415909.96</v>
      </c>
      <c r="H14514" s="42">
        <v>211</v>
      </c>
    </row>
    <row r="14515" spans="1:8" ht="15" customHeight="1">
      <c r="A14515" s="26">
        <v>1057919119</v>
      </c>
      <c r="B14515" s="29" t="s">
        <v>16721</v>
      </c>
      <c r="C14515" s="29" t="s">
        <v>29930</v>
      </c>
      <c r="D14515" s="29" t="s">
        <v>43486</v>
      </c>
      <c r="E14515" s="29" t="s">
        <v>45006</v>
      </c>
      <c r="F14515" s="36" t="s">
        <v>54401</v>
      </c>
      <c r="G14515" s="39">
        <v>1764037.6</v>
      </c>
      <c r="H14515" s="42">
        <v>211</v>
      </c>
    </row>
    <row r="14516" spans="1:8" ht="15" customHeight="1">
      <c r="A14516" s="26">
        <v>1057919342</v>
      </c>
      <c r="B14516" s="29" t="s">
        <v>16722</v>
      </c>
      <c r="C14516" s="29" t="s">
        <v>17204</v>
      </c>
      <c r="D14516" s="29" t="s">
        <v>30349</v>
      </c>
      <c r="E14516" s="29" t="s">
        <v>43926</v>
      </c>
      <c r="F14516" s="36" t="s">
        <v>54401</v>
      </c>
      <c r="G14516" s="39">
        <v>352604.53</v>
      </c>
      <c r="H14516" s="42">
        <v>211</v>
      </c>
    </row>
    <row r="14517" spans="1:8" ht="15" customHeight="1">
      <c r="A14517" s="26">
        <v>1058038015</v>
      </c>
      <c r="B14517" s="29" t="s">
        <v>16723</v>
      </c>
      <c r="C14517" s="29" t="s">
        <v>29931</v>
      </c>
      <c r="D14517" s="29" t="s">
        <v>43487</v>
      </c>
      <c r="E14517" s="29" t="s">
        <v>43926</v>
      </c>
      <c r="F14517" s="36" t="s">
        <v>54401</v>
      </c>
      <c r="G14517" s="39">
        <v>105399.55</v>
      </c>
      <c r="H14517" s="42">
        <v>211</v>
      </c>
    </row>
    <row r="14518" spans="1:8" ht="15" customHeight="1">
      <c r="A14518" s="26">
        <v>1058038514</v>
      </c>
      <c r="B14518" s="29" t="s">
        <v>16724</v>
      </c>
      <c r="C14518" s="26" t="s">
        <v>29932</v>
      </c>
      <c r="D14518" s="26" t="s">
        <v>43488</v>
      </c>
      <c r="E14518" s="26" t="s">
        <v>43926</v>
      </c>
      <c r="F14518" s="37" t="s">
        <v>54401</v>
      </c>
      <c r="G14518" s="39">
        <v>250516.75</v>
      </c>
      <c r="H14518" s="42">
        <v>211</v>
      </c>
    </row>
    <row r="14519" spans="1:8" ht="15" customHeight="1">
      <c r="A14519" s="26">
        <v>1058038620</v>
      </c>
      <c r="B14519" s="29" t="s">
        <v>16725</v>
      </c>
      <c r="C14519" s="29" t="s">
        <v>29933</v>
      </c>
      <c r="D14519" s="29" t="s">
        <v>42774</v>
      </c>
      <c r="E14519" s="29" t="s">
        <v>54120</v>
      </c>
      <c r="F14519" s="36" t="s">
        <v>54401</v>
      </c>
      <c r="G14519" s="39">
        <v>687869.74</v>
      </c>
      <c r="H14519" s="42">
        <v>211</v>
      </c>
    </row>
    <row r="14520" spans="1:8" ht="15" customHeight="1">
      <c r="A14520" s="26">
        <v>1058058527</v>
      </c>
      <c r="B14520" s="29" t="s">
        <v>16726</v>
      </c>
      <c r="C14520" s="26" t="s">
        <v>29934</v>
      </c>
      <c r="D14520" s="26" t="s">
        <v>43489</v>
      </c>
      <c r="E14520" s="26" t="s">
        <v>54121</v>
      </c>
      <c r="F14520" s="37" t="s">
        <v>54401</v>
      </c>
      <c r="G14520" s="39">
        <v>295105.12</v>
      </c>
      <c r="H14520" s="42">
        <v>211</v>
      </c>
    </row>
    <row r="14521" spans="1:8" ht="15" customHeight="1">
      <c r="A14521" s="26">
        <v>1058274097</v>
      </c>
      <c r="B14521" s="29" t="s">
        <v>16727</v>
      </c>
      <c r="C14521" s="29" t="s">
        <v>29935</v>
      </c>
      <c r="D14521" s="29" t="s">
        <v>43490</v>
      </c>
      <c r="E14521" s="29" t="s">
        <v>54122</v>
      </c>
      <c r="F14521" s="36" t="s">
        <v>54401</v>
      </c>
      <c r="G14521" s="39">
        <v>1377218.96</v>
      </c>
      <c r="H14521" s="42">
        <v>211</v>
      </c>
    </row>
    <row r="14522" spans="1:8" ht="15" customHeight="1">
      <c r="A14522" s="26">
        <v>1058274206</v>
      </c>
      <c r="B14522" s="29" t="s">
        <v>16728</v>
      </c>
      <c r="C14522" s="29" t="s">
        <v>17204</v>
      </c>
      <c r="D14522" s="29" t="s">
        <v>30511</v>
      </c>
      <c r="E14522" s="29" t="s">
        <v>43926</v>
      </c>
      <c r="F14522" s="36" t="s">
        <v>54401</v>
      </c>
      <c r="G14522" s="39">
        <v>126924.53</v>
      </c>
      <c r="H14522" s="42">
        <v>211</v>
      </c>
    </row>
    <row r="14523" spans="1:8" ht="15" customHeight="1">
      <c r="A14523" s="26">
        <v>1058274654</v>
      </c>
      <c r="B14523" s="29" t="s">
        <v>16729</v>
      </c>
      <c r="C14523" s="29" t="s">
        <v>29936</v>
      </c>
      <c r="D14523" s="29" t="s">
        <v>43491</v>
      </c>
      <c r="E14523" s="29" t="s">
        <v>52348</v>
      </c>
      <c r="F14523" s="36" t="s">
        <v>54401</v>
      </c>
      <c r="G14523" s="39">
        <v>3859682.76</v>
      </c>
      <c r="H14523" s="42">
        <v>211</v>
      </c>
    </row>
    <row r="14524" spans="1:8" ht="15" customHeight="1">
      <c r="A14524" s="26">
        <v>1058274857</v>
      </c>
      <c r="B14524" s="29" t="s">
        <v>16730</v>
      </c>
      <c r="C14524" s="29" t="s">
        <v>29937</v>
      </c>
      <c r="D14524" s="29" t="s">
        <v>43492</v>
      </c>
      <c r="E14524" s="29" t="s">
        <v>54123</v>
      </c>
      <c r="F14524" s="36" t="s">
        <v>54417</v>
      </c>
      <c r="G14524" s="39">
        <v>1591090</v>
      </c>
      <c r="H14524" s="42">
        <v>211</v>
      </c>
    </row>
    <row r="14525" spans="1:8" ht="15" customHeight="1">
      <c r="A14525" s="26">
        <v>1058274970</v>
      </c>
      <c r="B14525" s="29" t="s">
        <v>16731</v>
      </c>
      <c r="C14525" s="29" t="s">
        <v>29938</v>
      </c>
      <c r="D14525" s="29" t="s">
        <v>43493</v>
      </c>
      <c r="E14525" s="29" t="s">
        <v>50066</v>
      </c>
      <c r="F14525" s="36" t="s">
        <v>54401</v>
      </c>
      <c r="G14525" s="39">
        <v>263779.74</v>
      </c>
      <c r="H14525" s="42">
        <v>211</v>
      </c>
    </row>
    <row r="14526" spans="1:8" ht="15" customHeight="1">
      <c r="A14526" s="26">
        <v>1058275022</v>
      </c>
      <c r="B14526" s="29" t="s">
        <v>16732</v>
      </c>
      <c r="C14526" s="29" t="s">
        <v>29939</v>
      </c>
      <c r="D14526" s="29" t="s">
        <v>43494</v>
      </c>
      <c r="E14526" s="29" t="s">
        <v>45432</v>
      </c>
      <c r="F14526" s="36" t="s">
        <v>54401</v>
      </c>
      <c r="G14526" s="39">
        <v>579049.16</v>
      </c>
      <c r="H14526" s="42">
        <v>211</v>
      </c>
    </row>
    <row r="14527" spans="1:8" ht="15" customHeight="1">
      <c r="A14527" s="26">
        <v>1058275266</v>
      </c>
      <c r="B14527" s="29" t="s">
        <v>16733</v>
      </c>
      <c r="C14527" s="29" t="s">
        <v>29940</v>
      </c>
      <c r="D14527" s="29" t="s">
        <v>43495</v>
      </c>
      <c r="E14527" s="29" t="s">
        <v>54124</v>
      </c>
      <c r="F14527" s="36" t="s">
        <v>54401</v>
      </c>
      <c r="G14527" s="39">
        <v>4058561.34</v>
      </c>
      <c r="H14527" s="42">
        <v>211</v>
      </c>
    </row>
    <row r="14528" spans="1:8" ht="15" customHeight="1">
      <c r="A14528" s="26">
        <v>1058275542</v>
      </c>
      <c r="B14528" s="29" t="s">
        <v>16734</v>
      </c>
      <c r="C14528" s="29" t="s">
        <v>29941</v>
      </c>
      <c r="D14528" s="29" t="s">
        <v>43496</v>
      </c>
      <c r="E14528" s="29" t="s">
        <v>54125</v>
      </c>
      <c r="F14528" s="36" t="s">
        <v>54401</v>
      </c>
      <c r="G14528" s="39">
        <v>1613492.3</v>
      </c>
      <c r="H14528" s="42">
        <v>211</v>
      </c>
    </row>
    <row r="14529" spans="1:8" ht="15" customHeight="1">
      <c r="A14529" s="26">
        <v>1058324360</v>
      </c>
      <c r="B14529" s="29" t="s">
        <v>16735</v>
      </c>
      <c r="C14529" s="29" t="s">
        <v>29942</v>
      </c>
      <c r="D14529" s="29" t="s">
        <v>43497</v>
      </c>
      <c r="E14529" s="29" t="s">
        <v>47472</v>
      </c>
      <c r="F14529" s="36" t="s">
        <v>54401</v>
      </c>
      <c r="G14529" s="39">
        <v>1722156</v>
      </c>
      <c r="H14529" s="42">
        <v>211</v>
      </c>
    </row>
    <row r="14530" spans="1:8" ht="15" customHeight="1">
      <c r="A14530" s="26">
        <v>1058352817</v>
      </c>
      <c r="B14530" s="29" t="s">
        <v>16736</v>
      </c>
      <c r="C14530" s="29" t="s">
        <v>29943</v>
      </c>
      <c r="D14530" s="29" t="s">
        <v>43498</v>
      </c>
      <c r="E14530" s="29" t="s">
        <v>43926</v>
      </c>
      <c r="F14530" s="36" t="s">
        <v>54401</v>
      </c>
      <c r="G14530" s="39">
        <v>21608.57</v>
      </c>
      <c r="H14530" s="42">
        <v>211</v>
      </c>
    </row>
    <row r="14531" spans="1:8" ht="15" customHeight="1">
      <c r="A14531" s="26">
        <v>1058352922</v>
      </c>
      <c r="B14531" s="29" t="s">
        <v>16737</v>
      </c>
      <c r="C14531" s="29" t="s">
        <v>17204</v>
      </c>
      <c r="D14531" s="29" t="s">
        <v>43499</v>
      </c>
      <c r="E14531" s="29" t="s">
        <v>43926</v>
      </c>
      <c r="F14531" s="36" t="s">
        <v>54401</v>
      </c>
      <c r="G14531" s="39">
        <v>28182.41</v>
      </c>
      <c r="H14531" s="42">
        <v>211</v>
      </c>
    </row>
    <row r="14532" spans="1:8" ht="15" customHeight="1">
      <c r="A14532" s="26">
        <v>1058430447</v>
      </c>
      <c r="B14532" s="29" t="s">
        <v>16738</v>
      </c>
      <c r="C14532" s="29" t="s">
        <v>29944</v>
      </c>
      <c r="D14532" s="29" t="s">
        <v>43500</v>
      </c>
      <c r="E14532" s="29" t="s">
        <v>54126</v>
      </c>
      <c r="F14532" s="36" t="s">
        <v>54401</v>
      </c>
      <c r="G14532" s="39">
        <v>3482150.47</v>
      </c>
      <c r="H14532" s="42">
        <v>211</v>
      </c>
    </row>
    <row r="14533" spans="1:8" ht="15" customHeight="1">
      <c r="A14533" s="26">
        <v>1058430552</v>
      </c>
      <c r="B14533" s="29" t="s">
        <v>16739</v>
      </c>
      <c r="C14533" s="29" t="s">
        <v>29945</v>
      </c>
      <c r="D14533" s="29" t="s">
        <v>43501</v>
      </c>
      <c r="E14533" s="29" t="s">
        <v>54127</v>
      </c>
      <c r="F14533" s="36" t="s">
        <v>54423</v>
      </c>
      <c r="G14533" s="39">
        <v>356811.79</v>
      </c>
      <c r="H14533" s="42">
        <v>211</v>
      </c>
    </row>
    <row r="14534" spans="1:8" ht="15" customHeight="1">
      <c r="A14534" s="26">
        <v>1058430622</v>
      </c>
      <c r="B14534" s="29" t="s">
        <v>16740</v>
      </c>
      <c r="C14534" s="29" t="s">
        <v>29946</v>
      </c>
      <c r="D14534" s="29" t="s">
        <v>43502</v>
      </c>
      <c r="E14534" s="29" t="s">
        <v>54128</v>
      </c>
      <c r="F14534" s="36" t="s">
        <v>54401</v>
      </c>
      <c r="G14534" s="39">
        <v>591856.32999999996</v>
      </c>
      <c r="H14534" s="42">
        <v>211</v>
      </c>
    </row>
    <row r="14535" spans="1:8" ht="15" customHeight="1">
      <c r="A14535" s="26">
        <v>1058430631</v>
      </c>
      <c r="B14535" s="29" t="s">
        <v>16741</v>
      </c>
      <c r="C14535" s="29" t="s">
        <v>29947</v>
      </c>
      <c r="D14535" s="29" t="s">
        <v>43503</v>
      </c>
      <c r="E14535" s="29" t="s">
        <v>43926</v>
      </c>
      <c r="F14535" s="36" t="s">
        <v>54401</v>
      </c>
      <c r="G14535" s="39">
        <v>3259217.52</v>
      </c>
      <c r="H14535" s="42">
        <v>211</v>
      </c>
    </row>
    <row r="14536" spans="1:8" ht="15" customHeight="1">
      <c r="A14536" s="26">
        <v>1058430718</v>
      </c>
      <c r="B14536" s="29" t="s">
        <v>16742</v>
      </c>
      <c r="C14536" s="29" t="s">
        <v>29948</v>
      </c>
      <c r="D14536" s="29" t="s">
        <v>43504</v>
      </c>
      <c r="E14536" s="29" t="s">
        <v>49513</v>
      </c>
      <c r="F14536" s="36" t="s">
        <v>54401</v>
      </c>
      <c r="G14536" s="39">
        <v>1900434.64</v>
      </c>
      <c r="H14536" s="42">
        <v>211</v>
      </c>
    </row>
    <row r="14537" spans="1:8" ht="15" customHeight="1">
      <c r="A14537" s="26">
        <v>1058430769</v>
      </c>
      <c r="B14537" s="29" t="s">
        <v>16743</v>
      </c>
      <c r="C14537" s="29" t="s">
        <v>29949</v>
      </c>
      <c r="D14537" s="29" t="s">
        <v>43505</v>
      </c>
      <c r="E14537" s="29" t="s">
        <v>54129</v>
      </c>
      <c r="F14537" s="36" t="s">
        <v>54401</v>
      </c>
      <c r="G14537" s="39">
        <v>2224212.42</v>
      </c>
      <c r="H14537" s="42">
        <v>211</v>
      </c>
    </row>
    <row r="14538" spans="1:8" ht="15" customHeight="1">
      <c r="A14538" s="26">
        <v>1058430771</v>
      </c>
      <c r="B14538" s="29" t="s">
        <v>16744</v>
      </c>
      <c r="C14538" s="29" t="s">
        <v>29950</v>
      </c>
      <c r="D14538" s="29" t="s">
        <v>43506</v>
      </c>
      <c r="E14538" s="29" t="s">
        <v>53386</v>
      </c>
      <c r="F14538" s="36" t="s">
        <v>54401</v>
      </c>
      <c r="G14538" s="39">
        <v>468811.13</v>
      </c>
      <c r="H14538" s="42">
        <v>211</v>
      </c>
    </row>
    <row r="14539" spans="1:8" ht="15" customHeight="1">
      <c r="A14539" s="26">
        <v>1058430790</v>
      </c>
      <c r="B14539" s="29" t="s">
        <v>16745</v>
      </c>
      <c r="C14539" s="26" t="s">
        <v>29951</v>
      </c>
      <c r="D14539" s="26" t="s">
        <v>43507</v>
      </c>
      <c r="E14539" s="26" t="s">
        <v>43926</v>
      </c>
      <c r="F14539" s="37" t="s">
        <v>54401</v>
      </c>
      <c r="G14539" s="39">
        <v>159946.47</v>
      </c>
      <c r="H14539" s="42">
        <v>211</v>
      </c>
    </row>
    <row r="14540" spans="1:8" ht="15" customHeight="1">
      <c r="A14540" s="26">
        <v>1058430931</v>
      </c>
      <c r="B14540" s="29" t="s">
        <v>16746</v>
      </c>
      <c r="C14540" s="29" t="s">
        <v>29952</v>
      </c>
      <c r="D14540" s="29" t="s">
        <v>43508</v>
      </c>
      <c r="E14540" s="29" t="s">
        <v>54130</v>
      </c>
      <c r="F14540" s="36" t="s">
        <v>54401</v>
      </c>
      <c r="G14540" s="39">
        <v>1031627.5</v>
      </c>
      <c r="H14540" s="42">
        <v>211</v>
      </c>
    </row>
    <row r="14541" spans="1:8" ht="15" customHeight="1">
      <c r="A14541" s="26">
        <v>1058430964</v>
      </c>
      <c r="B14541" s="29" t="s">
        <v>16747</v>
      </c>
      <c r="C14541" s="29" t="s">
        <v>29953</v>
      </c>
      <c r="D14541" s="29" t="s">
        <v>43509</v>
      </c>
      <c r="E14541" s="29" t="s">
        <v>54131</v>
      </c>
      <c r="F14541" s="36" t="s">
        <v>54401</v>
      </c>
      <c r="G14541" s="39">
        <v>870877.44</v>
      </c>
      <c r="H14541" s="42">
        <v>211</v>
      </c>
    </row>
    <row r="14542" spans="1:8" ht="15" customHeight="1">
      <c r="A14542" s="26">
        <v>1059814738</v>
      </c>
      <c r="B14542" s="29" t="s">
        <v>16748</v>
      </c>
      <c r="C14542" s="26" t="s">
        <v>29954</v>
      </c>
      <c r="D14542" s="26" t="s">
        <v>43510</v>
      </c>
      <c r="E14542" s="26" t="s">
        <v>47561</v>
      </c>
      <c r="F14542" s="37" t="s">
        <v>54406</v>
      </c>
      <c r="G14542" s="39">
        <v>50798.32</v>
      </c>
      <c r="H14542" s="42">
        <v>211</v>
      </c>
    </row>
    <row r="14543" spans="1:8" ht="15" customHeight="1">
      <c r="A14543" s="26">
        <v>1061599420</v>
      </c>
      <c r="B14543" s="29" t="s">
        <v>16749</v>
      </c>
      <c r="C14543" s="29" t="s">
        <v>29955</v>
      </c>
      <c r="D14543" s="29" t="s">
        <v>43511</v>
      </c>
      <c r="E14543" s="29" t="s">
        <v>54132</v>
      </c>
      <c r="F14543" s="36" t="s">
        <v>54401</v>
      </c>
      <c r="G14543" s="39">
        <v>236110.53</v>
      </c>
      <c r="H14543" s="42">
        <v>211</v>
      </c>
    </row>
    <row r="14544" spans="1:8" ht="15" customHeight="1">
      <c r="A14544" s="26">
        <v>1061716351</v>
      </c>
      <c r="B14544" s="29" t="s">
        <v>16750</v>
      </c>
      <c r="C14544" s="29" t="s">
        <v>29956</v>
      </c>
      <c r="D14544" s="29" t="s">
        <v>43512</v>
      </c>
      <c r="E14544" s="29" t="s">
        <v>46370</v>
      </c>
      <c r="F14544" s="36" t="s">
        <v>54401</v>
      </c>
      <c r="G14544" s="39">
        <v>468105.07</v>
      </c>
      <c r="H14544" s="42">
        <v>211</v>
      </c>
    </row>
    <row r="14545" spans="1:8" ht="15" customHeight="1">
      <c r="A14545" s="26">
        <v>1062402901</v>
      </c>
      <c r="B14545" s="29" t="s">
        <v>16751</v>
      </c>
      <c r="C14545" s="29" t="s">
        <v>29957</v>
      </c>
      <c r="D14545" s="29" t="s">
        <v>43513</v>
      </c>
      <c r="E14545" s="29" t="s">
        <v>54133</v>
      </c>
      <c r="F14545" s="36" t="s">
        <v>54401</v>
      </c>
      <c r="G14545" s="39">
        <v>2023137</v>
      </c>
      <c r="H14545" s="42">
        <v>211</v>
      </c>
    </row>
    <row r="14546" spans="1:8" ht="15" customHeight="1">
      <c r="A14546" s="26">
        <v>1063563145</v>
      </c>
      <c r="B14546" s="29" t="s">
        <v>16752</v>
      </c>
      <c r="C14546" s="26" t="s">
        <v>29958</v>
      </c>
      <c r="D14546" s="26" t="s">
        <v>43514</v>
      </c>
      <c r="E14546" s="26" t="s">
        <v>54134</v>
      </c>
      <c r="F14546" s="37" t="s">
        <v>54401</v>
      </c>
      <c r="G14546" s="39">
        <v>227738.75</v>
      </c>
      <c r="H14546" s="42">
        <v>211</v>
      </c>
    </row>
    <row r="14547" spans="1:8" ht="15" customHeight="1">
      <c r="A14547" s="26">
        <v>1064110892</v>
      </c>
      <c r="B14547" s="29" t="s">
        <v>16753</v>
      </c>
      <c r="C14547" s="29" t="s">
        <v>29959</v>
      </c>
      <c r="D14547" s="29" t="s">
        <v>43515</v>
      </c>
      <c r="E14547" s="29" t="s">
        <v>44345</v>
      </c>
      <c r="F14547" s="36" t="s">
        <v>54401</v>
      </c>
      <c r="G14547" s="39">
        <v>337380.63</v>
      </c>
      <c r="H14547" s="42">
        <v>211</v>
      </c>
    </row>
    <row r="14548" spans="1:8" ht="15" customHeight="1">
      <c r="A14548" s="26">
        <v>1064983137</v>
      </c>
      <c r="B14548" s="29" t="s">
        <v>16754</v>
      </c>
      <c r="C14548" s="26" t="s">
        <v>29960</v>
      </c>
      <c r="D14548" s="26" t="s">
        <v>43516</v>
      </c>
      <c r="E14548" s="26" t="s">
        <v>54135</v>
      </c>
      <c r="F14548" s="37" t="s">
        <v>54401</v>
      </c>
      <c r="G14548" s="39">
        <v>110930.98</v>
      </c>
      <c r="H14548" s="42">
        <v>211</v>
      </c>
    </row>
    <row r="14549" spans="1:8" ht="15" customHeight="1">
      <c r="A14549" s="26">
        <v>1065006087</v>
      </c>
      <c r="B14549" s="29" t="s">
        <v>16755</v>
      </c>
      <c r="C14549" s="29" t="s">
        <v>29961</v>
      </c>
      <c r="D14549" s="29" t="s">
        <v>43517</v>
      </c>
      <c r="E14549" s="29" t="s">
        <v>54136</v>
      </c>
      <c r="F14549" s="36" t="s">
        <v>54401</v>
      </c>
      <c r="G14549" s="39">
        <v>902458.88</v>
      </c>
      <c r="H14549" s="42">
        <v>211</v>
      </c>
    </row>
    <row r="14550" spans="1:8" ht="15" customHeight="1">
      <c r="A14550" s="26">
        <v>1065238243</v>
      </c>
      <c r="B14550" s="29" t="s">
        <v>16756</v>
      </c>
      <c r="C14550" s="29" t="s">
        <v>29962</v>
      </c>
      <c r="D14550" s="29" t="s">
        <v>43518</v>
      </c>
      <c r="E14550" s="29" t="s">
        <v>54137</v>
      </c>
      <c r="F14550" s="36" t="s">
        <v>54401</v>
      </c>
      <c r="G14550" s="39">
        <v>211567.78</v>
      </c>
      <c r="H14550" s="42">
        <v>211</v>
      </c>
    </row>
    <row r="14551" spans="1:8" ht="15" customHeight="1">
      <c r="A14551" s="26">
        <v>1065562997</v>
      </c>
      <c r="B14551" s="29" t="s">
        <v>16757</v>
      </c>
      <c r="C14551" s="26" t="s">
        <v>23098</v>
      </c>
      <c r="D14551" s="26" t="s">
        <v>36371</v>
      </c>
      <c r="E14551" s="26" t="s">
        <v>43926</v>
      </c>
      <c r="F14551" s="37" t="s">
        <v>54401</v>
      </c>
      <c r="G14551" s="39">
        <v>5933154.0899999999</v>
      </c>
      <c r="H14551" s="42">
        <v>211</v>
      </c>
    </row>
    <row r="14552" spans="1:8" ht="15" customHeight="1">
      <c r="A14552" s="26">
        <v>1065623217</v>
      </c>
      <c r="B14552" s="29" t="s">
        <v>16758</v>
      </c>
      <c r="C14552" s="29" t="s">
        <v>29963</v>
      </c>
      <c r="D14552" s="29" t="s">
        <v>43519</v>
      </c>
      <c r="E14552" s="29" t="s">
        <v>54138</v>
      </c>
      <c r="F14552" s="36" t="s">
        <v>54401</v>
      </c>
      <c r="G14552" s="39">
        <v>110104.51</v>
      </c>
      <c r="H14552" s="42">
        <v>211</v>
      </c>
    </row>
    <row r="14553" spans="1:8" ht="15" customHeight="1">
      <c r="A14553" s="26">
        <v>1065654772</v>
      </c>
      <c r="B14553" s="29" t="s">
        <v>16759</v>
      </c>
      <c r="C14553" s="29" t="s">
        <v>29964</v>
      </c>
      <c r="D14553" s="29" t="s">
        <v>43520</v>
      </c>
      <c r="E14553" s="29" t="s">
        <v>727</v>
      </c>
      <c r="F14553" s="36" t="s">
        <v>54401</v>
      </c>
      <c r="G14553" s="39">
        <v>75455.87</v>
      </c>
      <c r="H14553" s="42">
        <v>211</v>
      </c>
    </row>
    <row r="14554" spans="1:8" ht="15" customHeight="1">
      <c r="A14554" s="26">
        <v>1066519175</v>
      </c>
      <c r="B14554" s="29" t="s">
        <v>16760</v>
      </c>
      <c r="C14554" s="29" t="s">
        <v>29965</v>
      </c>
      <c r="D14554" s="29" t="s">
        <v>43521</v>
      </c>
      <c r="E14554" s="29" t="s">
        <v>54139</v>
      </c>
      <c r="F14554" s="36" t="s">
        <v>54401</v>
      </c>
      <c r="G14554" s="39">
        <v>4248431.13</v>
      </c>
      <c r="H14554" s="42">
        <v>211</v>
      </c>
    </row>
    <row r="14555" spans="1:8" ht="15" customHeight="1">
      <c r="A14555" s="26">
        <v>1067847311</v>
      </c>
      <c r="B14555" s="29" t="s">
        <v>16761</v>
      </c>
      <c r="C14555" s="29" t="s">
        <v>29966</v>
      </c>
      <c r="D14555" s="29" t="s">
        <v>43522</v>
      </c>
      <c r="E14555" s="29" t="s">
        <v>43926</v>
      </c>
      <c r="F14555" s="36" t="s">
        <v>54401</v>
      </c>
      <c r="G14555" s="39">
        <v>1217181.24</v>
      </c>
      <c r="H14555" s="42">
        <v>211</v>
      </c>
    </row>
    <row r="14556" spans="1:8" ht="15" customHeight="1">
      <c r="A14556" s="26">
        <v>1067864018</v>
      </c>
      <c r="B14556" s="29" t="s">
        <v>16762</v>
      </c>
      <c r="C14556" s="29" t="s">
        <v>29967</v>
      </c>
      <c r="D14556" s="29" t="s">
        <v>43523</v>
      </c>
      <c r="E14556" s="29" t="s">
        <v>45006</v>
      </c>
      <c r="F14556" s="36" t="s">
        <v>54401</v>
      </c>
      <c r="G14556" s="39">
        <v>620995.32999999996</v>
      </c>
      <c r="H14556" s="42">
        <v>211</v>
      </c>
    </row>
    <row r="14557" spans="1:8" ht="15" customHeight="1">
      <c r="A14557" s="26">
        <v>1068927555</v>
      </c>
      <c r="B14557" s="29" t="s">
        <v>16763</v>
      </c>
      <c r="C14557" s="29" t="s">
        <v>29968</v>
      </c>
      <c r="D14557" s="29" t="s">
        <v>43524</v>
      </c>
      <c r="E14557" s="29" t="s">
        <v>54140</v>
      </c>
      <c r="F14557" s="36" t="s">
        <v>54401</v>
      </c>
      <c r="G14557" s="39">
        <v>4899133.8899999997</v>
      </c>
      <c r="H14557" s="42">
        <v>211</v>
      </c>
    </row>
    <row r="14558" spans="1:8" ht="15" customHeight="1">
      <c r="A14558" s="26">
        <v>1069257863</v>
      </c>
      <c r="B14558" s="29" t="s">
        <v>16764</v>
      </c>
      <c r="C14558" s="29" t="s">
        <v>29969</v>
      </c>
      <c r="D14558" s="29" t="s">
        <v>43525</v>
      </c>
      <c r="E14558" s="29" t="s">
        <v>54141</v>
      </c>
      <c r="F14558" s="36" t="s">
        <v>54401</v>
      </c>
      <c r="G14558" s="39">
        <v>4164265.69</v>
      </c>
      <c r="H14558" s="42">
        <v>211</v>
      </c>
    </row>
    <row r="14559" spans="1:8" ht="15" customHeight="1">
      <c r="A14559" s="26">
        <v>1069260677</v>
      </c>
      <c r="B14559" s="29" t="s">
        <v>16765</v>
      </c>
      <c r="C14559" s="29" t="s">
        <v>29970</v>
      </c>
      <c r="D14559" s="29" t="s">
        <v>43526</v>
      </c>
      <c r="E14559" s="29" t="s">
        <v>54142</v>
      </c>
      <c r="F14559" s="36" t="s">
        <v>54401</v>
      </c>
      <c r="G14559" s="39">
        <v>437321.11</v>
      </c>
      <c r="H14559" s="42">
        <v>211</v>
      </c>
    </row>
    <row r="14560" spans="1:8" ht="15" customHeight="1">
      <c r="A14560" s="26">
        <v>1069264094</v>
      </c>
      <c r="B14560" s="29" t="s">
        <v>16766</v>
      </c>
      <c r="C14560" s="29" t="s">
        <v>29971</v>
      </c>
      <c r="D14560" s="29" t="s">
        <v>43527</v>
      </c>
      <c r="E14560" s="29" t="s">
        <v>54143</v>
      </c>
      <c r="F14560" s="36" t="s">
        <v>54401</v>
      </c>
      <c r="G14560" s="39">
        <v>343478.26</v>
      </c>
      <c r="H14560" s="42">
        <v>211</v>
      </c>
    </row>
    <row r="14561" spans="1:8" ht="15" customHeight="1">
      <c r="A14561" s="26">
        <v>1069403860</v>
      </c>
      <c r="B14561" s="29" t="s">
        <v>16767</v>
      </c>
      <c r="C14561" s="29" t="s">
        <v>29972</v>
      </c>
      <c r="D14561" s="29" t="s">
        <v>43528</v>
      </c>
      <c r="E14561" s="29" t="s">
        <v>54144</v>
      </c>
      <c r="F14561" s="36" t="s">
        <v>54401</v>
      </c>
      <c r="G14561" s="39">
        <v>201308.94</v>
      </c>
      <c r="H14561" s="42">
        <v>211</v>
      </c>
    </row>
    <row r="14562" spans="1:8" ht="15" customHeight="1">
      <c r="A14562" s="26">
        <v>1069433475</v>
      </c>
      <c r="B14562" s="29" t="s">
        <v>16768</v>
      </c>
      <c r="C14562" s="29" t="s">
        <v>29973</v>
      </c>
      <c r="D14562" s="29" t="s">
        <v>43529</v>
      </c>
      <c r="E14562" s="29" t="s">
        <v>54145</v>
      </c>
      <c r="F14562" s="36" t="s">
        <v>54401</v>
      </c>
      <c r="G14562" s="39">
        <v>1149046.46</v>
      </c>
      <c r="H14562" s="42">
        <v>211</v>
      </c>
    </row>
    <row r="14563" spans="1:8" ht="15" customHeight="1">
      <c r="A14563" s="26">
        <v>1069582375</v>
      </c>
      <c r="B14563" s="29" t="s">
        <v>16769</v>
      </c>
      <c r="C14563" s="26" t="s">
        <v>29974</v>
      </c>
      <c r="D14563" s="26" t="s">
        <v>43530</v>
      </c>
      <c r="E14563" s="26" t="s">
        <v>54146</v>
      </c>
      <c r="F14563" s="37" t="s">
        <v>54401</v>
      </c>
      <c r="G14563" s="39">
        <v>182997.82</v>
      </c>
      <c r="H14563" s="42">
        <v>211</v>
      </c>
    </row>
    <row r="14564" spans="1:8" ht="15" customHeight="1">
      <c r="A14564" s="26">
        <v>1069723804</v>
      </c>
      <c r="B14564" s="29" t="s">
        <v>16770</v>
      </c>
      <c r="C14564" s="29" t="s">
        <v>29975</v>
      </c>
      <c r="D14564" s="29" t="s">
        <v>43531</v>
      </c>
      <c r="E14564" s="29" t="s">
        <v>54147</v>
      </c>
      <c r="F14564" s="36" t="s">
        <v>54401</v>
      </c>
      <c r="G14564" s="39">
        <v>5005324.8499999996</v>
      </c>
      <c r="H14564" s="42">
        <v>211</v>
      </c>
    </row>
    <row r="14565" spans="1:8" ht="15" customHeight="1">
      <c r="A14565" s="26">
        <v>1069726078</v>
      </c>
      <c r="B14565" s="29" t="s">
        <v>16771</v>
      </c>
      <c r="C14565" s="26" t="s">
        <v>17204</v>
      </c>
      <c r="D14565" s="26" t="s">
        <v>43532</v>
      </c>
      <c r="E14565" s="26" t="s">
        <v>54148</v>
      </c>
      <c r="F14565" s="37" t="s">
        <v>54401</v>
      </c>
      <c r="G14565" s="39">
        <v>16176.47</v>
      </c>
      <c r="H14565" s="42">
        <v>211</v>
      </c>
    </row>
    <row r="14566" spans="1:8" ht="15" customHeight="1">
      <c r="A14566" s="26">
        <v>1069727509</v>
      </c>
      <c r="B14566" s="29" t="s">
        <v>16772</v>
      </c>
      <c r="C14566" s="26" t="s">
        <v>29976</v>
      </c>
      <c r="D14566" s="26" t="s">
        <v>43533</v>
      </c>
      <c r="E14566" s="26" t="s">
        <v>43926</v>
      </c>
      <c r="F14566" s="37" t="s">
        <v>54401</v>
      </c>
      <c r="G14566" s="39">
        <v>65411.76</v>
      </c>
      <c r="H14566" s="42">
        <v>211</v>
      </c>
    </row>
    <row r="14567" spans="1:8" ht="15" customHeight="1">
      <c r="A14567" s="26">
        <v>1069740986</v>
      </c>
      <c r="B14567" s="29" t="s">
        <v>16773</v>
      </c>
      <c r="C14567" s="29" t="s">
        <v>29977</v>
      </c>
      <c r="D14567" s="29" t="s">
        <v>43534</v>
      </c>
      <c r="E14567" s="29" t="s">
        <v>44337</v>
      </c>
      <c r="F14567" s="36" t="s">
        <v>54401</v>
      </c>
      <c r="G14567" s="39">
        <v>138821.10999999999</v>
      </c>
      <c r="H14567" s="42">
        <v>211</v>
      </c>
    </row>
    <row r="14568" spans="1:8" ht="15" customHeight="1">
      <c r="A14568" s="26">
        <v>1069745180</v>
      </c>
      <c r="B14568" s="29" t="s">
        <v>16774</v>
      </c>
      <c r="C14568" s="29" t="s">
        <v>17204</v>
      </c>
      <c r="D14568" s="29" t="s">
        <v>43535</v>
      </c>
      <c r="E14568" s="29" t="s">
        <v>43926</v>
      </c>
      <c r="F14568" s="36" t="s">
        <v>54401</v>
      </c>
      <c r="G14568" s="39">
        <v>783023.56</v>
      </c>
      <c r="H14568" s="42">
        <v>211</v>
      </c>
    </row>
    <row r="14569" spans="1:8" ht="15" customHeight="1">
      <c r="A14569" s="26">
        <v>1069924671</v>
      </c>
      <c r="B14569" s="29" t="s">
        <v>16775</v>
      </c>
      <c r="C14569" s="29" t="s">
        <v>29978</v>
      </c>
      <c r="D14569" s="29" t="s">
        <v>43536</v>
      </c>
      <c r="E14569" s="29" t="s">
        <v>54149</v>
      </c>
      <c r="F14569" s="36" t="s">
        <v>54401</v>
      </c>
      <c r="G14569" s="39">
        <v>2535471</v>
      </c>
      <c r="H14569" s="42">
        <v>211</v>
      </c>
    </row>
    <row r="14570" spans="1:8" ht="15" customHeight="1">
      <c r="A14570" s="26">
        <v>1070011201</v>
      </c>
      <c r="B14570" s="29" t="s">
        <v>16776</v>
      </c>
      <c r="C14570" s="29" t="s">
        <v>29979</v>
      </c>
      <c r="D14570" s="29" t="s">
        <v>43537</v>
      </c>
      <c r="E14570" s="29" t="s">
        <v>48891</v>
      </c>
      <c r="F14570" s="36" t="s">
        <v>54401</v>
      </c>
      <c r="G14570" s="39">
        <v>2236034</v>
      </c>
      <c r="H14570" s="42">
        <v>211</v>
      </c>
    </row>
    <row r="14571" spans="1:8" ht="15" customHeight="1">
      <c r="A14571" s="26">
        <v>1070017615</v>
      </c>
      <c r="B14571" s="29" t="s">
        <v>16777</v>
      </c>
      <c r="C14571" s="29" t="s">
        <v>29980</v>
      </c>
      <c r="D14571" s="29" t="s">
        <v>43538</v>
      </c>
      <c r="E14571" s="29" t="s">
        <v>731</v>
      </c>
      <c r="F14571" s="36" t="s">
        <v>54401</v>
      </c>
      <c r="G14571" s="39">
        <v>137282.73000000001</v>
      </c>
      <c r="H14571" s="42">
        <v>211</v>
      </c>
    </row>
    <row r="14572" spans="1:8" ht="15" customHeight="1">
      <c r="A14572" s="26">
        <v>1070018349</v>
      </c>
      <c r="B14572" s="29" t="s">
        <v>16778</v>
      </c>
      <c r="C14572" s="29" t="s">
        <v>17204</v>
      </c>
      <c r="D14572" s="29" t="s">
        <v>30349</v>
      </c>
      <c r="E14572" s="29" t="s">
        <v>43926</v>
      </c>
      <c r="F14572" s="36" t="s">
        <v>54401</v>
      </c>
      <c r="G14572" s="39">
        <v>430285.62</v>
      </c>
      <c r="H14572" s="42">
        <v>211</v>
      </c>
    </row>
    <row r="14573" spans="1:8" ht="15" customHeight="1">
      <c r="A14573" s="26">
        <v>1070328198</v>
      </c>
      <c r="B14573" s="29" t="s">
        <v>16779</v>
      </c>
      <c r="C14573" s="26" t="s">
        <v>29981</v>
      </c>
      <c r="D14573" s="26" t="s">
        <v>43539</v>
      </c>
      <c r="E14573" s="26" t="s">
        <v>43926</v>
      </c>
      <c r="F14573" s="37" t="s">
        <v>54401</v>
      </c>
      <c r="G14573" s="39">
        <v>148068.84</v>
      </c>
      <c r="H14573" s="42">
        <v>211</v>
      </c>
    </row>
    <row r="14574" spans="1:8" ht="15" customHeight="1">
      <c r="A14574" s="26">
        <v>1070584566</v>
      </c>
      <c r="B14574" s="29" t="s">
        <v>16780</v>
      </c>
      <c r="C14574" s="29" t="s">
        <v>29982</v>
      </c>
      <c r="D14574" s="29" t="s">
        <v>43540</v>
      </c>
      <c r="E14574" s="29" t="s">
        <v>54150</v>
      </c>
      <c r="F14574" s="36" t="s">
        <v>54401</v>
      </c>
      <c r="G14574" s="39">
        <v>92848.1</v>
      </c>
      <c r="H14574" s="42">
        <v>211</v>
      </c>
    </row>
    <row r="14575" spans="1:8" ht="15" customHeight="1">
      <c r="A14575" s="26">
        <v>1070603821</v>
      </c>
      <c r="B14575" s="29" t="s">
        <v>16781</v>
      </c>
      <c r="C14575" s="29" t="s">
        <v>29983</v>
      </c>
      <c r="D14575" s="29" t="s">
        <v>43541</v>
      </c>
      <c r="E14575" s="29" t="s">
        <v>54151</v>
      </c>
      <c r="F14575" s="36" t="s">
        <v>54401</v>
      </c>
      <c r="G14575" s="39">
        <v>228049.56</v>
      </c>
      <c r="H14575" s="42">
        <v>211</v>
      </c>
    </row>
    <row r="14576" spans="1:8" ht="15" customHeight="1">
      <c r="A14576" s="26">
        <v>1070950434</v>
      </c>
      <c r="B14576" s="29" t="s">
        <v>16782</v>
      </c>
      <c r="C14576" s="29" t="s">
        <v>29984</v>
      </c>
      <c r="D14576" s="29" t="s">
        <v>43542</v>
      </c>
      <c r="E14576" s="29" t="s">
        <v>43926</v>
      </c>
      <c r="F14576" s="36" t="s">
        <v>54401</v>
      </c>
      <c r="G14576" s="39">
        <v>372049.32</v>
      </c>
      <c r="H14576" s="42">
        <v>211</v>
      </c>
    </row>
    <row r="14577" spans="1:8" ht="15" customHeight="1">
      <c r="A14577" s="26">
        <v>1070954663</v>
      </c>
      <c r="B14577" s="29" t="s">
        <v>16783</v>
      </c>
      <c r="C14577" s="29" t="s">
        <v>29985</v>
      </c>
      <c r="D14577" s="29" t="s">
        <v>43543</v>
      </c>
      <c r="E14577" s="29" t="s">
        <v>727</v>
      </c>
      <c r="F14577" s="36" t="s">
        <v>54401</v>
      </c>
      <c r="G14577" s="39">
        <v>2540976.04</v>
      </c>
      <c r="H14577" s="42">
        <v>211</v>
      </c>
    </row>
    <row r="14578" spans="1:8" ht="15" customHeight="1">
      <c r="A14578" s="26">
        <v>1071838800</v>
      </c>
      <c r="B14578" s="29" t="s">
        <v>16784</v>
      </c>
      <c r="C14578" s="29" t="s">
        <v>29986</v>
      </c>
      <c r="D14578" s="29" t="s">
        <v>43544</v>
      </c>
      <c r="E14578" s="29" t="s">
        <v>48037</v>
      </c>
      <c r="F14578" s="36" t="s">
        <v>54401</v>
      </c>
      <c r="G14578" s="39">
        <v>137110.57</v>
      </c>
      <c r="H14578" s="42">
        <v>211</v>
      </c>
    </row>
    <row r="14579" spans="1:8" ht="15" customHeight="1">
      <c r="A14579" s="26">
        <v>1071890475</v>
      </c>
      <c r="B14579" s="29" t="s">
        <v>16785</v>
      </c>
      <c r="C14579" s="29" t="s">
        <v>29987</v>
      </c>
      <c r="D14579" s="29" t="s">
        <v>43545</v>
      </c>
      <c r="E14579" s="29" t="s">
        <v>54152</v>
      </c>
      <c r="F14579" s="36" t="s">
        <v>54401</v>
      </c>
      <c r="G14579" s="39">
        <v>229715.37</v>
      </c>
      <c r="H14579" s="42">
        <v>211</v>
      </c>
    </row>
    <row r="14580" spans="1:8" ht="15" customHeight="1">
      <c r="A14580" s="26">
        <v>1072196971</v>
      </c>
      <c r="B14580" s="29" t="s">
        <v>16786</v>
      </c>
      <c r="C14580" s="29" t="s">
        <v>29988</v>
      </c>
      <c r="D14580" s="29" t="s">
        <v>43546</v>
      </c>
      <c r="E14580" s="29" t="s">
        <v>43926</v>
      </c>
      <c r="F14580" s="36" t="s">
        <v>54401</v>
      </c>
      <c r="G14580" s="39">
        <v>205798.57</v>
      </c>
      <c r="H14580" s="42">
        <v>211</v>
      </c>
    </row>
    <row r="14581" spans="1:8" ht="15" customHeight="1">
      <c r="A14581" s="26">
        <v>1072493896</v>
      </c>
      <c r="B14581" s="29" t="s">
        <v>16787</v>
      </c>
      <c r="C14581" s="29" t="s">
        <v>17204</v>
      </c>
      <c r="D14581" s="29" t="s">
        <v>30349</v>
      </c>
      <c r="E14581" s="29" t="s">
        <v>43926</v>
      </c>
      <c r="F14581" s="36" t="s">
        <v>54401</v>
      </c>
      <c r="G14581" s="39">
        <v>294591.94</v>
      </c>
      <c r="H14581" s="42">
        <v>211</v>
      </c>
    </row>
    <row r="14582" spans="1:8" ht="15" customHeight="1">
      <c r="A14582" s="26">
        <v>1072643425</v>
      </c>
      <c r="B14582" s="29" t="s">
        <v>16788</v>
      </c>
      <c r="C14582" s="29" t="s">
        <v>29989</v>
      </c>
      <c r="D14582" s="29" t="s">
        <v>43547</v>
      </c>
      <c r="E14582" s="29" t="s">
        <v>54153</v>
      </c>
      <c r="F14582" s="36" t="s">
        <v>54401</v>
      </c>
      <c r="G14582" s="39">
        <v>1832867.34</v>
      </c>
      <c r="H14582" s="42">
        <v>211</v>
      </c>
    </row>
    <row r="14583" spans="1:8" ht="15" customHeight="1">
      <c r="A14583" s="26">
        <v>1072660126</v>
      </c>
      <c r="B14583" s="29" t="s">
        <v>16789</v>
      </c>
      <c r="C14583" s="29" t="s">
        <v>29990</v>
      </c>
      <c r="D14583" s="29" t="s">
        <v>43548</v>
      </c>
      <c r="E14583" s="29" t="s">
        <v>44973</v>
      </c>
      <c r="F14583" s="36" t="s">
        <v>54401</v>
      </c>
      <c r="G14583" s="39">
        <v>341264.63</v>
      </c>
      <c r="H14583" s="42">
        <v>211</v>
      </c>
    </row>
    <row r="14584" spans="1:8" ht="15" customHeight="1">
      <c r="A14584" s="26">
        <v>1072706846</v>
      </c>
      <c r="B14584" s="29" t="s">
        <v>16790</v>
      </c>
      <c r="C14584" s="26" t="s">
        <v>29991</v>
      </c>
      <c r="D14584" s="26" t="s">
        <v>43549</v>
      </c>
      <c r="E14584" s="26" t="s">
        <v>43926</v>
      </c>
      <c r="F14584" s="37" t="s">
        <v>54401</v>
      </c>
      <c r="G14584" s="39">
        <v>82069.320000000007</v>
      </c>
      <c r="H14584" s="42">
        <v>211</v>
      </c>
    </row>
    <row r="14585" spans="1:8" ht="15" customHeight="1">
      <c r="A14585" s="26">
        <v>1072744066</v>
      </c>
      <c r="B14585" s="29" t="s">
        <v>16791</v>
      </c>
      <c r="C14585" s="29" t="s">
        <v>29992</v>
      </c>
      <c r="D14585" s="29" t="s">
        <v>43550</v>
      </c>
      <c r="E14585" s="29" t="s">
        <v>54154</v>
      </c>
      <c r="F14585" s="36" t="s">
        <v>54401</v>
      </c>
      <c r="G14585" s="39">
        <v>276652.42</v>
      </c>
      <c r="H14585" s="42">
        <v>211</v>
      </c>
    </row>
    <row r="14586" spans="1:8" ht="15" customHeight="1">
      <c r="A14586" s="26">
        <v>1073171880</v>
      </c>
      <c r="B14586" s="29" t="s">
        <v>16792</v>
      </c>
      <c r="C14586" s="29" t="s">
        <v>29993</v>
      </c>
      <c r="D14586" s="29" t="s">
        <v>43551</v>
      </c>
      <c r="E14586" s="29" t="s">
        <v>54155</v>
      </c>
      <c r="F14586" s="36" t="s">
        <v>54440</v>
      </c>
      <c r="G14586" s="39">
        <v>937686.71</v>
      </c>
      <c r="H14586" s="42">
        <v>211</v>
      </c>
    </row>
    <row r="14587" spans="1:8" ht="15" customHeight="1">
      <c r="A14587" s="26">
        <v>1073234734</v>
      </c>
      <c r="B14587" s="29" t="s">
        <v>16793</v>
      </c>
      <c r="C14587" s="29" t="s">
        <v>17204</v>
      </c>
      <c r="D14587" s="29" t="s">
        <v>43552</v>
      </c>
      <c r="E14587" s="29" t="s">
        <v>48863</v>
      </c>
      <c r="F14587" s="36" t="s">
        <v>54409</v>
      </c>
      <c r="G14587" s="39">
        <v>23263.87</v>
      </c>
      <c r="H14587" s="42">
        <v>211</v>
      </c>
    </row>
    <row r="14588" spans="1:8" ht="15" customHeight="1">
      <c r="A14588" s="26">
        <v>1073380356</v>
      </c>
      <c r="B14588" s="29" t="s">
        <v>16794</v>
      </c>
      <c r="C14588" s="29" t="s">
        <v>29994</v>
      </c>
      <c r="D14588" s="29" t="s">
        <v>43553</v>
      </c>
      <c r="E14588" s="29" t="s">
        <v>54156</v>
      </c>
      <c r="F14588" s="36" t="s">
        <v>54401</v>
      </c>
      <c r="G14588" s="39">
        <v>7511710</v>
      </c>
      <c r="H14588" s="42">
        <v>211</v>
      </c>
    </row>
    <row r="14589" spans="1:8" ht="15" customHeight="1">
      <c r="A14589" s="26">
        <v>1073380451</v>
      </c>
      <c r="B14589" s="29" t="s">
        <v>16795</v>
      </c>
      <c r="C14589" s="29" t="s">
        <v>29995</v>
      </c>
      <c r="D14589" s="29" t="s">
        <v>43554</v>
      </c>
      <c r="E14589" s="29" t="s">
        <v>54157</v>
      </c>
      <c r="F14589" s="36" t="s">
        <v>54401</v>
      </c>
      <c r="G14589" s="39">
        <v>577043.07999999996</v>
      </c>
      <c r="H14589" s="42">
        <v>211</v>
      </c>
    </row>
    <row r="14590" spans="1:8" ht="15" customHeight="1">
      <c r="A14590" s="26">
        <v>1073383112</v>
      </c>
      <c r="B14590" s="29" t="s">
        <v>16796</v>
      </c>
      <c r="C14590" s="29" t="s">
        <v>29996</v>
      </c>
      <c r="D14590" s="29" t="s">
        <v>43555</v>
      </c>
      <c r="E14590" s="29" t="s">
        <v>44324</v>
      </c>
      <c r="F14590" s="36" t="s">
        <v>54401</v>
      </c>
      <c r="G14590" s="39">
        <v>1342659.65</v>
      </c>
      <c r="H14590" s="42">
        <v>211</v>
      </c>
    </row>
    <row r="14591" spans="1:8" ht="15" customHeight="1">
      <c r="A14591" s="26">
        <v>1073383647</v>
      </c>
      <c r="B14591" s="29" t="s">
        <v>16797</v>
      </c>
      <c r="C14591" s="29" t="s">
        <v>29997</v>
      </c>
      <c r="D14591" s="29" t="s">
        <v>43556</v>
      </c>
      <c r="E14591" s="29" t="s">
        <v>48467</v>
      </c>
      <c r="F14591" s="36" t="s">
        <v>54401</v>
      </c>
      <c r="G14591" s="39">
        <v>2288623.34</v>
      </c>
      <c r="H14591" s="42">
        <v>211</v>
      </c>
    </row>
    <row r="14592" spans="1:8" ht="15" customHeight="1">
      <c r="A14592" s="26">
        <v>1073505970</v>
      </c>
      <c r="B14592" s="29" t="s">
        <v>16798</v>
      </c>
      <c r="C14592" s="29" t="s">
        <v>29998</v>
      </c>
      <c r="D14592" s="29" t="s">
        <v>43557</v>
      </c>
      <c r="E14592" s="29" t="s">
        <v>52127</v>
      </c>
      <c r="F14592" s="36" t="s">
        <v>54401</v>
      </c>
      <c r="G14592" s="39">
        <v>4474317.88</v>
      </c>
      <c r="H14592" s="42">
        <v>211</v>
      </c>
    </row>
    <row r="14593" spans="1:8" ht="15" customHeight="1">
      <c r="A14593" s="26">
        <v>1073510407</v>
      </c>
      <c r="B14593" s="29" t="s">
        <v>16799</v>
      </c>
      <c r="C14593" s="29" t="s">
        <v>29999</v>
      </c>
      <c r="D14593" s="29" t="s">
        <v>43558</v>
      </c>
      <c r="E14593" s="29" t="s">
        <v>54158</v>
      </c>
      <c r="F14593" s="36" t="s">
        <v>54401</v>
      </c>
      <c r="G14593" s="39">
        <v>4176710</v>
      </c>
      <c r="H14593" s="42">
        <v>211</v>
      </c>
    </row>
    <row r="14594" spans="1:8" ht="15" customHeight="1">
      <c r="A14594" s="26">
        <v>1073512127</v>
      </c>
      <c r="B14594" s="29" t="s">
        <v>16800</v>
      </c>
      <c r="C14594" s="29" t="s">
        <v>30000</v>
      </c>
      <c r="D14594" s="29" t="s">
        <v>43559</v>
      </c>
      <c r="E14594" s="29" t="s">
        <v>54159</v>
      </c>
      <c r="F14594" s="36" t="s">
        <v>54423</v>
      </c>
      <c r="G14594" s="39">
        <v>1272661.83</v>
      </c>
      <c r="H14594" s="42">
        <v>211</v>
      </c>
    </row>
    <row r="14595" spans="1:8" ht="15" customHeight="1">
      <c r="A14595" s="26">
        <v>1073513298</v>
      </c>
      <c r="B14595" s="29" t="s">
        <v>16801</v>
      </c>
      <c r="C14595" s="29" t="s">
        <v>30001</v>
      </c>
      <c r="D14595" s="29" t="s">
        <v>43560</v>
      </c>
      <c r="E14595" s="29" t="s">
        <v>54160</v>
      </c>
      <c r="F14595" s="36" t="s">
        <v>54401</v>
      </c>
      <c r="G14595" s="39">
        <v>101836.08</v>
      </c>
      <c r="H14595" s="42">
        <v>211</v>
      </c>
    </row>
    <row r="14596" spans="1:8" ht="15" customHeight="1">
      <c r="A14596" s="26">
        <v>1073513911</v>
      </c>
      <c r="B14596" s="29" t="s">
        <v>16802</v>
      </c>
      <c r="C14596" s="29" t="s">
        <v>30002</v>
      </c>
      <c r="D14596" s="29" t="s">
        <v>43561</v>
      </c>
      <c r="E14596" s="29" t="s">
        <v>54161</v>
      </c>
      <c r="F14596" s="36" t="s">
        <v>54401</v>
      </c>
      <c r="G14596" s="39">
        <v>105898.14</v>
      </c>
      <c r="H14596" s="42">
        <v>211</v>
      </c>
    </row>
    <row r="14597" spans="1:8" ht="15" customHeight="1">
      <c r="A14597" s="26">
        <v>1073518827</v>
      </c>
      <c r="B14597" s="29" t="s">
        <v>16803</v>
      </c>
      <c r="C14597" s="29" t="s">
        <v>30003</v>
      </c>
      <c r="D14597" s="29" t="s">
        <v>43562</v>
      </c>
      <c r="E14597" s="29" t="s">
        <v>44324</v>
      </c>
      <c r="F14597" s="36" t="s">
        <v>54401</v>
      </c>
      <c r="G14597" s="39">
        <v>849379.16</v>
      </c>
      <c r="H14597" s="42">
        <v>211</v>
      </c>
    </row>
    <row r="14598" spans="1:8" ht="15" customHeight="1">
      <c r="A14598" s="26">
        <v>1073679127</v>
      </c>
      <c r="B14598" s="29" t="s">
        <v>16804</v>
      </c>
      <c r="C14598" s="26" t="s">
        <v>17204</v>
      </c>
      <c r="D14598" s="26" t="s">
        <v>30349</v>
      </c>
      <c r="E14598" s="26" t="s">
        <v>43926</v>
      </c>
      <c r="F14598" s="37" t="s">
        <v>54401</v>
      </c>
      <c r="G14598" s="39">
        <v>32857.980000000003</v>
      </c>
      <c r="H14598" s="42">
        <v>211</v>
      </c>
    </row>
    <row r="14599" spans="1:8" ht="15" customHeight="1">
      <c r="A14599" s="26">
        <v>1073813882</v>
      </c>
      <c r="B14599" s="29" t="s">
        <v>16805</v>
      </c>
      <c r="C14599" s="29" t="s">
        <v>30004</v>
      </c>
      <c r="D14599" s="29" t="s">
        <v>43563</v>
      </c>
      <c r="E14599" s="29" t="s">
        <v>54162</v>
      </c>
      <c r="F14599" s="36" t="s">
        <v>54401</v>
      </c>
      <c r="G14599" s="39">
        <v>132232.91</v>
      </c>
      <c r="H14599" s="42">
        <v>211</v>
      </c>
    </row>
    <row r="14600" spans="1:8" ht="15" customHeight="1">
      <c r="A14600" s="26">
        <v>1074136040</v>
      </c>
      <c r="B14600" s="29" t="s">
        <v>16806</v>
      </c>
      <c r="C14600" s="29" t="s">
        <v>17204</v>
      </c>
      <c r="D14600" s="29" t="s">
        <v>43564</v>
      </c>
      <c r="E14600" s="29" t="s">
        <v>43926</v>
      </c>
      <c r="F14600" s="36" t="s">
        <v>54401</v>
      </c>
      <c r="G14600" s="39">
        <v>26176.47</v>
      </c>
      <c r="H14600" s="42">
        <v>211</v>
      </c>
    </row>
    <row r="14601" spans="1:8" ht="15" customHeight="1">
      <c r="A14601" s="26">
        <v>1074160485</v>
      </c>
      <c r="B14601" s="29" t="s">
        <v>16807</v>
      </c>
      <c r="C14601" s="29" t="s">
        <v>30005</v>
      </c>
      <c r="D14601" s="29" t="s">
        <v>39413</v>
      </c>
      <c r="E14601" s="29" t="s">
        <v>54163</v>
      </c>
      <c r="F14601" s="36" t="s">
        <v>54409</v>
      </c>
      <c r="G14601" s="39">
        <v>4369860.37</v>
      </c>
      <c r="H14601" s="42">
        <v>211</v>
      </c>
    </row>
    <row r="14602" spans="1:8" ht="15" customHeight="1">
      <c r="A14602" s="26">
        <v>1074418462</v>
      </c>
      <c r="B14602" s="29" t="s">
        <v>16808</v>
      </c>
      <c r="C14602" s="29" t="s">
        <v>17204</v>
      </c>
      <c r="D14602" s="29" t="s">
        <v>43565</v>
      </c>
      <c r="E14602" s="29" t="s">
        <v>43926</v>
      </c>
      <c r="F14602" s="36" t="s">
        <v>54401</v>
      </c>
      <c r="G14602" s="39">
        <v>523755.65</v>
      </c>
      <c r="H14602" s="42">
        <v>211</v>
      </c>
    </row>
    <row r="14603" spans="1:8" ht="15" customHeight="1">
      <c r="A14603" s="26">
        <v>1074809852</v>
      </c>
      <c r="B14603" s="29" t="s">
        <v>16809</v>
      </c>
      <c r="C14603" s="29" t="s">
        <v>30006</v>
      </c>
      <c r="D14603" s="29" t="s">
        <v>43566</v>
      </c>
      <c r="E14603" s="29" t="s">
        <v>54164</v>
      </c>
      <c r="F14603" s="36" t="s">
        <v>54401</v>
      </c>
      <c r="G14603" s="39">
        <v>12342.22</v>
      </c>
      <c r="H14603" s="42">
        <v>211</v>
      </c>
    </row>
    <row r="14604" spans="1:8" ht="15" customHeight="1">
      <c r="A14604" s="26">
        <v>1075220440</v>
      </c>
      <c r="B14604" s="29" t="s">
        <v>16810</v>
      </c>
      <c r="C14604" s="29" t="s">
        <v>30007</v>
      </c>
      <c r="D14604" s="29" t="s">
        <v>43567</v>
      </c>
      <c r="E14604" s="29" t="s">
        <v>54165</v>
      </c>
      <c r="F14604" s="36" t="s">
        <v>54401</v>
      </c>
      <c r="G14604" s="39">
        <v>440282.22</v>
      </c>
      <c r="H14604" s="42">
        <v>211</v>
      </c>
    </row>
    <row r="14605" spans="1:8" ht="15" customHeight="1">
      <c r="A14605" s="26">
        <v>1075234905</v>
      </c>
      <c r="B14605" s="29" t="s">
        <v>16811</v>
      </c>
      <c r="C14605" s="29" t="s">
        <v>17204</v>
      </c>
      <c r="D14605" s="29" t="s">
        <v>30349</v>
      </c>
      <c r="E14605" s="29" t="s">
        <v>43926</v>
      </c>
      <c r="F14605" s="36" t="s">
        <v>54401</v>
      </c>
      <c r="G14605" s="39">
        <v>72860.63</v>
      </c>
      <c r="H14605" s="42">
        <v>211</v>
      </c>
    </row>
    <row r="14606" spans="1:8" ht="15" customHeight="1">
      <c r="A14606" s="26">
        <v>1075238140</v>
      </c>
      <c r="B14606" s="29" t="s">
        <v>16812</v>
      </c>
      <c r="C14606" s="29" t="s">
        <v>30008</v>
      </c>
      <c r="D14606" s="29" t="s">
        <v>43568</v>
      </c>
      <c r="E14606" s="29" t="s">
        <v>54166</v>
      </c>
      <c r="F14606" s="36" t="s">
        <v>54401</v>
      </c>
      <c r="G14606" s="39">
        <v>6440893</v>
      </c>
      <c r="H14606" s="42">
        <v>211</v>
      </c>
    </row>
    <row r="14607" spans="1:8" ht="15" customHeight="1">
      <c r="A14607" s="26">
        <v>1075542172</v>
      </c>
      <c r="B14607" s="29" t="s">
        <v>16813</v>
      </c>
      <c r="C14607" s="29" t="s">
        <v>30009</v>
      </c>
      <c r="D14607" s="29" t="s">
        <v>43569</v>
      </c>
      <c r="E14607" s="29" t="s">
        <v>52577</v>
      </c>
      <c r="F14607" s="36" t="s">
        <v>54401</v>
      </c>
      <c r="G14607" s="39">
        <v>904978.09</v>
      </c>
      <c r="H14607" s="42">
        <v>211</v>
      </c>
    </row>
    <row r="14608" spans="1:8" ht="15" customHeight="1">
      <c r="A14608" s="26">
        <v>1075651694</v>
      </c>
      <c r="B14608" s="29" t="s">
        <v>16814</v>
      </c>
      <c r="C14608" s="29" t="s">
        <v>17204</v>
      </c>
      <c r="D14608" s="29" t="s">
        <v>43570</v>
      </c>
      <c r="E14608" s="29" t="s">
        <v>43926</v>
      </c>
      <c r="F14608" s="36" t="s">
        <v>54401</v>
      </c>
      <c r="G14608" s="39">
        <v>9956.9699999999993</v>
      </c>
      <c r="H14608" s="42">
        <v>211</v>
      </c>
    </row>
    <row r="14609" spans="1:8" ht="15" customHeight="1">
      <c r="A14609" s="26">
        <v>1075651802</v>
      </c>
      <c r="B14609" s="29" t="s">
        <v>16815</v>
      </c>
      <c r="C14609" s="29" t="s">
        <v>30010</v>
      </c>
      <c r="D14609" s="29" t="s">
        <v>43571</v>
      </c>
      <c r="E14609" s="29" t="s">
        <v>54167</v>
      </c>
      <c r="F14609" s="36" t="s">
        <v>54401</v>
      </c>
      <c r="G14609" s="39">
        <v>5561816.0999999996</v>
      </c>
      <c r="H14609" s="42">
        <v>211</v>
      </c>
    </row>
    <row r="14610" spans="1:8" ht="15" customHeight="1">
      <c r="A14610" s="26">
        <v>1075653193</v>
      </c>
      <c r="B14610" s="29" t="s">
        <v>16816</v>
      </c>
      <c r="C14610" s="29" t="s">
        <v>30011</v>
      </c>
      <c r="D14610" s="29" t="s">
        <v>43572</v>
      </c>
      <c r="E14610" s="29" t="s">
        <v>49360</v>
      </c>
      <c r="F14610" s="36" t="s">
        <v>54401</v>
      </c>
      <c r="G14610" s="39">
        <v>1616765.64</v>
      </c>
      <c r="H14610" s="42">
        <v>211</v>
      </c>
    </row>
    <row r="14611" spans="1:8" ht="15" customHeight="1">
      <c r="A14611" s="26">
        <v>1075668465</v>
      </c>
      <c r="B14611" s="29" t="s">
        <v>16817</v>
      </c>
      <c r="C14611" s="29" t="s">
        <v>30012</v>
      </c>
      <c r="D14611" s="29" t="s">
        <v>43573</v>
      </c>
      <c r="E14611" s="29" t="s">
        <v>54168</v>
      </c>
      <c r="F14611" s="36" t="s">
        <v>54401</v>
      </c>
      <c r="G14611" s="39">
        <v>837767.44</v>
      </c>
      <c r="H14611" s="42">
        <v>211</v>
      </c>
    </row>
    <row r="14612" spans="1:8" ht="15" customHeight="1">
      <c r="A14612" s="26">
        <v>1075683702</v>
      </c>
      <c r="B14612" s="29" t="s">
        <v>16818</v>
      </c>
      <c r="C14612" s="29" t="s">
        <v>30013</v>
      </c>
      <c r="D14612" s="29" t="s">
        <v>43574</v>
      </c>
      <c r="E14612" s="29" t="s">
        <v>43926</v>
      </c>
      <c r="F14612" s="36" t="s">
        <v>54401</v>
      </c>
      <c r="G14612" s="39">
        <v>3570626.49</v>
      </c>
      <c r="H14612" s="42">
        <v>211</v>
      </c>
    </row>
    <row r="14613" spans="1:8" ht="15" customHeight="1">
      <c r="A14613" s="26">
        <v>1075870454</v>
      </c>
      <c r="B14613" s="29" t="s">
        <v>16819</v>
      </c>
      <c r="C14613" s="29" t="s">
        <v>30014</v>
      </c>
      <c r="D14613" s="29" t="s">
        <v>43575</v>
      </c>
      <c r="E14613" s="29" t="s">
        <v>54169</v>
      </c>
      <c r="F14613" s="36" t="s">
        <v>54413</v>
      </c>
      <c r="G14613" s="39">
        <v>9952706</v>
      </c>
      <c r="H14613" s="42">
        <v>211</v>
      </c>
    </row>
    <row r="14614" spans="1:8" ht="15" customHeight="1">
      <c r="A14614" s="26">
        <v>1076620444</v>
      </c>
      <c r="B14614" s="29" t="s">
        <v>16820</v>
      </c>
      <c r="C14614" s="29" t="s">
        <v>30015</v>
      </c>
      <c r="D14614" s="29" t="s">
        <v>43576</v>
      </c>
      <c r="E14614" s="29" t="s">
        <v>2095</v>
      </c>
      <c r="F14614" s="36" t="s">
        <v>54401</v>
      </c>
      <c r="G14614" s="39">
        <v>248371.72</v>
      </c>
      <c r="H14614" s="42">
        <v>211</v>
      </c>
    </row>
    <row r="14615" spans="1:8" ht="15" customHeight="1">
      <c r="A14615" s="26">
        <v>1076651343</v>
      </c>
      <c r="B14615" s="29" t="s">
        <v>16821</v>
      </c>
      <c r="C14615" s="29" t="s">
        <v>30016</v>
      </c>
      <c r="D14615" s="29" t="s">
        <v>43577</v>
      </c>
      <c r="E14615" s="29" t="s">
        <v>54170</v>
      </c>
      <c r="F14615" s="36" t="s">
        <v>54401</v>
      </c>
      <c r="G14615" s="39">
        <v>309863.09999999998</v>
      </c>
      <c r="H14615" s="42">
        <v>211</v>
      </c>
    </row>
    <row r="14616" spans="1:8" ht="15" customHeight="1">
      <c r="A14616" s="26">
        <v>1076660375</v>
      </c>
      <c r="B14616" s="29" t="s">
        <v>16822</v>
      </c>
      <c r="C14616" s="29" t="s">
        <v>30017</v>
      </c>
      <c r="D14616" s="29" t="s">
        <v>43578</v>
      </c>
      <c r="E14616" s="29" t="s">
        <v>54171</v>
      </c>
      <c r="F14616" s="36" t="s">
        <v>54401</v>
      </c>
      <c r="G14616" s="39">
        <v>215601.58</v>
      </c>
      <c r="H14616" s="42">
        <v>211</v>
      </c>
    </row>
    <row r="14617" spans="1:8" ht="15" customHeight="1">
      <c r="A14617" s="26">
        <v>1077084779</v>
      </c>
      <c r="B14617" s="29" t="s">
        <v>16823</v>
      </c>
      <c r="C14617" s="29" t="s">
        <v>30018</v>
      </c>
      <c r="D14617" s="29" t="s">
        <v>30376</v>
      </c>
      <c r="E14617" s="29" t="s">
        <v>49022</v>
      </c>
      <c r="F14617" s="36" t="s">
        <v>54401</v>
      </c>
      <c r="G14617" s="39">
        <v>100078.46</v>
      </c>
      <c r="H14617" s="42">
        <v>211</v>
      </c>
    </row>
    <row r="14618" spans="1:8" ht="15" customHeight="1">
      <c r="A14618" s="26">
        <v>1077149876</v>
      </c>
      <c r="B14618" s="29" t="s">
        <v>16824</v>
      </c>
      <c r="C14618" s="29" t="s">
        <v>30019</v>
      </c>
      <c r="D14618" s="29" t="s">
        <v>43579</v>
      </c>
      <c r="E14618" s="29" t="s">
        <v>54172</v>
      </c>
      <c r="F14618" s="36" t="s">
        <v>54401</v>
      </c>
      <c r="G14618" s="39">
        <v>790130.79</v>
      </c>
      <c r="H14618" s="42">
        <v>211</v>
      </c>
    </row>
    <row r="14619" spans="1:8" ht="15" customHeight="1">
      <c r="A14619" s="26">
        <v>1077859048</v>
      </c>
      <c r="B14619" s="29" t="s">
        <v>16825</v>
      </c>
      <c r="C14619" s="29" t="s">
        <v>30020</v>
      </c>
      <c r="D14619" s="29" t="s">
        <v>43580</v>
      </c>
      <c r="E14619" s="29" t="s">
        <v>47998</v>
      </c>
      <c r="F14619" s="36" t="s">
        <v>54401</v>
      </c>
      <c r="G14619" s="39">
        <v>1369077.28</v>
      </c>
      <c r="H14619" s="42">
        <v>211</v>
      </c>
    </row>
    <row r="14620" spans="1:8" ht="15" customHeight="1">
      <c r="A14620" s="26">
        <v>1077861639</v>
      </c>
      <c r="B14620" s="29" t="s">
        <v>16826</v>
      </c>
      <c r="C14620" s="29" t="s">
        <v>30021</v>
      </c>
      <c r="D14620" s="29" t="s">
        <v>43581</v>
      </c>
      <c r="E14620" s="29" t="s">
        <v>54173</v>
      </c>
      <c r="F14620" s="36" t="s">
        <v>54401</v>
      </c>
      <c r="G14620" s="39">
        <v>72400.320000000007</v>
      </c>
      <c r="H14620" s="42">
        <v>211</v>
      </c>
    </row>
    <row r="14621" spans="1:8" ht="15" customHeight="1">
      <c r="A14621" s="26">
        <v>1077872242</v>
      </c>
      <c r="B14621" s="29" t="s">
        <v>16827</v>
      </c>
      <c r="C14621" s="29" t="s">
        <v>30022</v>
      </c>
      <c r="D14621" s="29" t="s">
        <v>43582</v>
      </c>
      <c r="E14621" s="29" t="s">
        <v>54174</v>
      </c>
      <c r="F14621" s="36" t="s">
        <v>54401</v>
      </c>
      <c r="G14621" s="39">
        <v>356503.39</v>
      </c>
      <c r="H14621" s="42">
        <v>211</v>
      </c>
    </row>
    <row r="14622" spans="1:8" ht="15" customHeight="1">
      <c r="A14622" s="26">
        <v>1079033580</v>
      </c>
      <c r="B14622" s="29" t="s">
        <v>16828</v>
      </c>
      <c r="C14622" s="29" t="s">
        <v>30023</v>
      </c>
      <c r="D14622" s="29" t="s">
        <v>43583</v>
      </c>
      <c r="E14622" s="29" t="s">
        <v>54175</v>
      </c>
      <c r="F14622" s="36" t="s">
        <v>54401</v>
      </c>
      <c r="G14622" s="39">
        <v>13194869.73</v>
      </c>
      <c r="H14622" s="42">
        <v>211</v>
      </c>
    </row>
    <row r="14623" spans="1:8" ht="15" customHeight="1">
      <c r="A14623" s="26">
        <v>1080265613</v>
      </c>
      <c r="B14623" s="29" t="s">
        <v>16829</v>
      </c>
      <c r="C14623" s="26" t="s">
        <v>30024</v>
      </c>
      <c r="D14623" s="26" t="s">
        <v>43584</v>
      </c>
      <c r="E14623" s="26" t="s">
        <v>54176</v>
      </c>
      <c r="F14623" s="37" t="s">
        <v>54401</v>
      </c>
      <c r="G14623" s="39">
        <v>463541.48</v>
      </c>
      <c r="H14623" s="42">
        <v>211</v>
      </c>
    </row>
    <row r="14624" spans="1:8" ht="15" customHeight="1">
      <c r="A14624" s="26">
        <v>1081156067</v>
      </c>
      <c r="B14624" s="29" t="s">
        <v>16830</v>
      </c>
      <c r="C14624" s="26" t="s">
        <v>30025</v>
      </c>
      <c r="D14624" s="26" t="s">
        <v>43585</v>
      </c>
      <c r="E14624" s="26" t="s">
        <v>43926</v>
      </c>
      <c r="F14624" s="37" t="s">
        <v>54401</v>
      </c>
      <c r="G14624" s="39">
        <v>307289.68</v>
      </c>
      <c r="H14624" s="42">
        <v>211</v>
      </c>
    </row>
    <row r="14625" spans="1:8" ht="15" customHeight="1">
      <c r="A14625" s="26">
        <v>1081785449</v>
      </c>
      <c r="B14625" s="29" t="s">
        <v>16831</v>
      </c>
      <c r="C14625" s="29" t="s">
        <v>27738</v>
      </c>
      <c r="D14625" s="29" t="s">
        <v>41228</v>
      </c>
      <c r="E14625" s="29" t="s">
        <v>45178</v>
      </c>
      <c r="F14625" s="36" t="s">
        <v>54401</v>
      </c>
      <c r="G14625" s="39">
        <v>1991074.07</v>
      </c>
      <c r="H14625" s="42">
        <v>211</v>
      </c>
    </row>
    <row r="14626" spans="1:8" ht="15" customHeight="1">
      <c r="A14626" s="26">
        <v>1082158177</v>
      </c>
      <c r="B14626" s="29" t="s">
        <v>16832</v>
      </c>
      <c r="C14626" s="29" t="s">
        <v>30026</v>
      </c>
      <c r="D14626" s="29" t="s">
        <v>43586</v>
      </c>
      <c r="E14626" s="29" t="s">
        <v>45908</v>
      </c>
      <c r="F14626" s="36" t="s">
        <v>54401</v>
      </c>
      <c r="G14626" s="39">
        <v>334496.99</v>
      </c>
      <c r="H14626" s="42">
        <v>211</v>
      </c>
    </row>
    <row r="14627" spans="1:8" ht="15" customHeight="1">
      <c r="A14627" s="26">
        <v>1082215805</v>
      </c>
      <c r="B14627" s="29" t="s">
        <v>16833</v>
      </c>
      <c r="C14627" s="29" t="s">
        <v>30027</v>
      </c>
      <c r="D14627" s="29" t="s">
        <v>43587</v>
      </c>
      <c r="E14627" s="29" t="s">
        <v>52316</v>
      </c>
      <c r="F14627" s="36" t="s">
        <v>54401</v>
      </c>
      <c r="G14627" s="39">
        <v>796137.34</v>
      </c>
      <c r="H14627" s="42">
        <v>211</v>
      </c>
    </row>
    <row r="14628" spans="1:8" ht="15" customHeight="1">
      <c r="A14628" s="26">
        <v>1082216277</v>
      </c>
      <c r="B14628" s="29" t="s">
        <v>16834</v>
      </c>
      <c r="C14628" s="29" t="s">
        <v>30028</v>
      </c>
      <c r="D14628" s="29" t="s">
        <v>43588</v>
      </c>
      <c r="E14628" s="29" t="s">
        <v>54177</v>
      </c>
      <c r="F14628" s="36" t="s">
        <v>54401</v>
      </c>
      <c r="G14628" s="39">
        <v>528531.13</v>
      </c>
      <c r="H14628" s="42">
        <v>211</v>
      </c>
    </row>
    <row r="14629" spans="1:8" ht="15" customHeight="1">
      <c r="A14629" s="26">
        <v>1082803126</v>
      </c>
      <c r="B14629" s="29" t="s">
        <v>16835</v>
      </c>
      <c r="C14629" s="29" t="s">
        <v>30029</v>
      </c>
      <c r="D14629" s="29" t="s">
        <v>43589</v>
      </c>
      <c r="E14629" s="29" t="s">
        <v>717</v>
      </c>
      <c r="F14629" s="36" t="s">
        <v>54401</v>
      </c>
      <c r="G14629" s="39">
        <v>583026.84</v>
      </c>
      <c r="H14629" s="42">
        <v>211</v>
      </c>
    </row>
    <row r="14630" spans="1:8" ht="15" customHeight="1">
      <c r="A14630" s="26">
        <v>1082832875</v>
      </c>
      <c r="B14630" s="29" t="s">
        <v>16836</v>
      </c>
      <c r="C14630" s="29" t="s">
        <v>30030</v>
      </c>
      <c r="D14630" s="29" t="s">
        <v>43590</v>
      </c>
      <c r="E14630" s="29" t="s">
        <v>54178</v>
      </c>
      <c r="F14630" s="36" t="s">
        <v>54412</v>
      </c>
      <c r="G14630" s="39">
        <v>192196.03</v>
      </c>
      <c r="H14630" s="42">
        <v>211</v>
      </c>
    </row>
    <row r="14631" spans="1:8" ht="15" customHeight="1">
      <c r="A14631" s="26">
        <v>1084732722</v>
      </c>
      <c r="B14631" s="29" t="s">
        <v>16837</v>
      </c>
      <c r="C14631" s="29" t="s">
        <v>30031</v>
      </c>
      <c r="D14631" s="29" t="s">
        <v>43591</v>
      </c>
      <c r="E14631" s="29" t="s">
        <v>54179</v>
      </c>
      <c r="F14631" s="36" t="s">
        <v>54401</v>
      </c>
      <c r="G14631" s="39">
        <v>20111.34</v>
      </c>
      <c r="H14631" s="42">
        <v>211</v>
      </c>
    </row>
    <row r="14632" spans="1:8" ht="15" customHeight="1">
      <c r="A14632" s="26">
        <v>1085099414</v>
      </c>
      <c r="B14632" s="29" t="s">
        <v>16838</v>
      </c>
      <c r="C14632" s="29" t="s">
        <v>30032</v>
      </c>
      <c r="D14632" s="29" t="s">
        <v>43592</v>
      </c>
      <c r="E14632" s="29" t="s">
        <v>54180</v>
      </c>
      <c r="F14632" s="36" t="s">
        <v>54401</v>
      </c>
      <c r="G14632" s="39">
        <v>3091406.66</v>
      </c>
      <c r="H14632" s="42">
        <v>211</v>
      </c>
    </row>
    <row r="14633" spans="1:8" ht="15" customHeight="1">
      <c r="A14633" s="26">
        <v>1085287431</v>
      </c>
      <c r="B14633" s="29" t="s">
        <v>16839</v>
      </c>
      <c r="C14633" s="29" t="s">
        <v>30033</v>
      </c>
      <c r="D14633" s="29" t="s">
        <v>43593</v>
      </c>
      <c r="E14633" s="29" t="s">
        <v>54181</v>
      </c>
      <c r="F14633" s="36" t="s">
        <v>54401</v>
      </c>
      <c r="G14633" s="39">
        <v>4808711.22</v>
      </c>
      <c r="H14633" s="42">
        <v>211</v>
      </c>
    </row>
    <row r="14634" spans="1:8" ht="15" customHeight="1">
      <c r="A14634" s="26">
        <v>1085326510</v>
      </c>
      <c r="B14634" s="29" t="s">
        <v>16840</v>
      </c>
      <c r="C14634" s="29" t="s">
        <v>30034</v>
      </c>
      <c r="D14634" s="29" t="s">
        <v>43594</v>
      </c>
      <c r="E14634" s="29" t="s">
        <v>54182</v>
      </c>
      <c r="F14634" s="36" t="s">
        <v>54401</v>
      </c>
      <c r="G14634" s="39">
        <v>149317.64000000001</v>
      </c>
      <c r="H14634" s="42">
        <v>211</v>
      </c>
    </row>
    <row r="14635" spans="1:8" ht="15" customHeight="1">
      <c r="A14635" s="26">
        <v>1085902346</v>
      </c>
      <c r="B14635" s="29" t="s">
        <v>16841</v>
      </c>
      <c r="C14635" s="29" t="s">
        <v>30035</v>
      </c>
      <c r="D14635" s="29" t="s">
        <v>43595</v>
      </c>
      <c r="E14635" s="29" t="s">
        <v>54183</v>
      </c>
      <c r="F14635" s="36" t="s">
        <v>54401</v>
      </c>
      <c r="G14635" s="39">
        <v>414324.59</v>
      </c>
      <c r="H14635" s="42">
        <v>211</v>
      </c>
    </row>
    <row r="14636" spans="1:8" ht="15" customHeight="1">
      <c r="A14636" s="26">
        <v>1086137500</v>
      </c>
      <c r="B14636" s="29" t="s">
        <v>16842</v>
      </c>
      <c r="C14636" s="29" t="s">
        <v>30036</v>
      </c>
      <c r="D14636" s="29" t="s">
        <v>43596</v>
      </c>
      <c r="E14636" s="29" t="s">
        <v>54184</v>
      </c>
      <c r="F14636" s="36" t="s">
        <v>54401</v>
      </c>
      <c r="G14636" s="39">
        <v>55201.69</v>
      </c>
      <c r="H14636" s="42">
        <v>211</v>
      </c>
    </row>
    <row r="14637" spans="1:8" ht="15" customHeight="1">
      <c r="A14637" s="26">
        <v>1086362218</v>
      </c>
      <c r="B14637" s="29" t="s">
        <v>16843</v>
      </c>
      <c r="C14637" s="29" t="s">
        <v>30037</v>
      </c>
      <c r="D14637" s="29" t="s">
        <v>43597</v>
      </c>
      <c r="E14637" s="29" t="s">
        <v>54185</v>
      </c>
      <c r="F14637" s="36" t="s">
        <v>54401</v>
      </c>
      <c r="G14637" s="39">
        <v>587536.30000000005</v>
      </c>
      <c r="H14637" s="42">
        <v>211</v>
      </c>
    </row>
    <row r="14638" spans="1:8" ht="15" customHeight="1">
      <c r="A14638" s="26">
        <v>1090175340</v>
      </c>
      <c r="B14638" s="29" t="s">
        <v>16844</v>
      </c>
      <c r="C14638" s="29" t="s">
        <v>30038</v>
      </c>
      <c r="D14638" s="29" t="s">
        <v>43598</v>
      </c>
      <c r="E14638" s="29" t="s">
        <v>54186</v>
      </c>
      <c r="F14638" s="36" t="s">
        <v>54401</v>
      </c>
      <c r="G14638" s="39">
        <v>5559967.9500000002</v>
      </c>
      <c r="H14638" s="42">
        <v>211</v>
      </c>
    </row>
    <row r="14639" spans="1:8" ht="15" customHeight="1">
      <c r="A14639" s="26">
        <v>1090362411</v>
      </c>
      <c r="B14639" s="29" t="s">
        <v>16845</v>
      </c>
      <c r="C14639" s="29" t="s">
        <v>30039</v>
      </c>
      <c r="D14639" s="29" t="s">
        <v>43599</v>
      </c>
      <c r="E14639" s="29" t="s">
        <v>53601</v>
      </c>
      <c r="F14639" s="36" t="s">
        <v>54401</v>
      </c>
      <c r="G14639" s="39">
        <v>197201.72</v>
      </c>
      <c r="H14639" s="42">
        <v>211</v>
      </c>
    </row>
    <row r="14640" spans="1:8" ht="15" customHeight="1">
      <c r="A14640" s="26">
        <v>1090364247</v>
      </c>
      <c r="B14640" s="29" t="s">
        <v>16846</v>
      </c>
      <c r="C14640" s="29" t="s">
        <v>30040</v>
      </c>
      <c r="D14640" s="29" t="s">
        <v>43600</v>
      </c>
      <c r="E14640" s="29" t="s">
        <v>44413</v>
      </c>
      <c r="F14640" s="36" t="s">
        <v>54401</v>
      </c>
      <c r="G14640" s="39">
        <v>253699.98</v>
      </c>
      <c r="H14640" s="42">
        <v>211</v>
      </c>
    </row>
    <row r="14641" spans="1:8" ht="15" customHeight="1">
      <c r="A14641" s="26">
        <v>1090375112</v>
      </c>
      <c r="B14641" s="29" t="s">
        <v>16847</v>
      </c>
      <c r="C14641" s="26" t="s">
        <v>30041</v>
      </c>
      <c r="D14641" s="26" t="s">
        <v>43601</v>
      </c>
      <c r="E14641" s="26" t="s">
        <v>54187</v>
      </c>
      <c r="F14641" s="37" t="s">
        <v>54409</v>
      </c>
      <c r="G14641" s="39">
        <v>74835.820000000007</v>
      </c>
      <c r="H14641" s="42">
        <v>211</v>
      </c>
    </row>
    <row r="14642" spans="1:8" ht="15" customHeight="1">
      <c r="A14642" s="26">
        <v>1090386145</v>
      </c>
      <c r="B14642" s="29" t="s">
        <v>16848</v>
      </c>
      <c r="C14642" s="29" t="s">
        <v>30042</v>
      </c>
      <c r="D14642" s="29" t="s">
        <v>43602</v>
      </c>
      <c r="E14642" s="29" t="s">
        <v>54188</v>
      </c>
      <c r="F14642" s="36" t="s">
        <v>54401</v>
      </c>
      <c r="G14642" s="39">
        <v>1051587.8600000001</v>
      </c>
      <c r="H14642" s="42">
        <v>211</v>
      </c>
    </row>
    <row r="14643" spans="1:8" ht="15" customHeight="1">
      <c r="A14643" s="26">
        <v>1090395770</v>
      </c>
      <c r="B14643" s="29" t="s">
        <v>16849</v>
      </c>
      <c r="C14643" s="29" t="s">
        <v>30043</v>
      </c>
      <c r="D14643" s="29" t="s">
        <v>43603</v>
      </c>
      <c r="E14643" s="29" t="s">
        <v>54189</v>
      </c>
      <c r="F14643" s="36" t="s">
        <v>54401</v>
      </c>
      <c r="G14643" s="39">
        <v>145647.76999999999</v>
      </c>
      <c r="H14643" s="42">
        <v>211</v>
      </c>
    </row>
    <row r="14644" spans="1:8" ht="15" customHeight="1">
      <c r="A14644" s="26">
        <v>1090397939</v>
      </c>
      <c r="B14644" s="29" t="s">
        <v>16850</v>
      </c>
      <c r="C14644" s="29" t="s">
        <v>30044</v>
      </c>
      <c r="D14644" s="29" t="s">
        <v>43604</v>
      </c>
      <c r="E14644" s="29" t="s">
        <v>54190</v>
      </c>
      <c r="F14644" s="36" t="s">
        <v>54401</v>
      </c>
      <c r="G14644" s="39">
        <v>104147.9</v>
      </c>
      <c r="H14644" s="42">
        <v>211</v>
      </c>
    </row>
    <row r="14645" spans="1:8" ht="15" customHeight="1">
      <c r="A14645" s="26">
        <v>1090400445</v>
      </c>
      <c r="B14645" s="29" t="s">
        <v>16851</v>
      </c>
      <c r="C14645" s="29" t="s">
        <v>30045</v>
      </c>
      <c r="D14645" s="29" t="s">
        <v>43605</v>
      </c>
      <c r="E14645" s="29" t="s">
        <v>54191</v>
      </c>
      <c r="F14645" s="36" t="s">
        <v>54401</v>
      </c>
      <c r="G14645" s="39">
        <v>4442563.4000000004</v>
      </c>
      <c r="H14645" s="42">
        <v>211</v>
      </c>
    </row>
    <row r="14646" spans="1:8" ht="15" customHeight="1">
      <c r="A14646" s="26">
        <v>1090401151</v>
      </c>
      <c r="B14646" s="29" t="s">
        <v>16852</v>
      </c>
      <c r="C14646" s="29" t="s">
        <v>17204</v>
      </c>
      <c r="D14646" s="29" t="s">
        <v>43606</v>
      </c>
      <c r="E14646" s="29" t="s">
        <v>43926</v>
      </c>
      <c r="F14646" s="36" t="s">
        <v>54401</v>
      </c>
      <c r="G14646" s="39">
        <v>38944.550000000003</v>
      </c>
      <c r="H14646" s="42">
        <v>211</v>
      </c>
    </row>
    <row r="14647" spans="1:8" ht="15" customHeight="1">
      <c r="A14647" s="26">
        <v>1090411524</v>
      </c>
      <c r="B14647" s="29" t="s">
        <v>16853</v>
      </c>
      <c r="C14647" s="29" t="s">
        <v>30046</v>
      </c>
      <c r="D14647" s="29" t="s">
        <v>43607</v>
      </c>
      <c r="E14647" s="29" t="s">
        <v>54192</v>
      </c>
      <c r="F14647" s="36" t="s">
        <v>54401</v>
      </c>
      <c r="G14647" s="39">
        <v>3306797</v>
      </c>
      <c r="H14647" s="42">
        <v>211</v>
      </c>
    </row>
    <row r="14648" spans="1:8" ht="15" customHeight="1">
      <c r="A14648" s="26">
        <v>1090418686</v>
      </c>
      <c r="B14648" s="29" t="s">
        <v>16854</v>
      </c>
      <c r="C14648" s="29" t="s">
        <v>17204</v>
      </c>
      <c r="D14648" s="29" t="s">
        <v>43608</v>
      </c>
      <c r="E14648" s="29" t="s">
        <v>43926</v>
      </c>
      <c r="F14648" s="36" t="s">
        <v>54401</v>
      </c>
      <c r="G14648" s="39">
        <v>18921.009999999998</v>
      </c>
      <c r="H14648" s="42">
        <v>211</v>
      </c>
    </row>
    <row r="14649" spans="1:8" ht="15" customHeight="1">
      <c r="A14649" s="26">
        <v>1090422061</v>
      </c>
      <c r="B14649" s="29" t="s">
        <v>16855</v>
      </c>
      <c r="C14649" s="29" t="s">
        <v>30047</v>
      </c>
      <c r="D14649" s="29" t="s">
        <v>43609</v>
      </c>
      <c r="E14649" s="29" t="s">
        <v>54193</v>
      </c>
      <c r="F14649" s="36" t="s">
        <v>54401</v>
      </c>
      <c r="G14649" s="39">
        <v>2114208</v>
      </c>
      <c r="H14649" s="42">
        <v>211</v>
      </c>
    </row>
    <row r="14650" spans="1:8" ht="15" customHeight="1">
      <c r="A14650" s="26">
        <v>1090423109</v>
      </c>
      <c r="B14650" s="29" t="s">
        <v>16856</v>
      </c>
      <c r="C14650" s="29" t="s">
        <v>17204</v>
      </c>
      <c r="D14650" s="29" t="s">
        <v>30349</v>
      </c>
      <c r="E14650" s="29" t="s">
        <v>43926</v>
      </c>
      <c r="F14650" s="36" t="s">
        <v>54401</v>
      </c>
      <c r="G14650" s="39">
        <v>368136.66</v>
      </c>
      <c r="H14650" s="42">
        <v>211</v>
      </c>
    </row>
    <row r="14651" spans="1:8" ht="15" customHeight="1">
      <c r="A14651" s="26">
        <v>1090439137</v>
      </c>
      <c r="B14651" s="29" t="s">
        <v>16857</v>
      </c>
      <c r="C14651" s="29" t="s">
        <v>17337</v>
      </c>
      <c r="D14651" s="29" t="s">
        <v>43610</v>
      </c>
      <c r="E14651" s="29" t="s">
        <v>54194</v>
      </c>
      <c r="F14651" s="36" t="s">
        <v>54401</v>
      </c>
      <c r="G14651" s="39">
        <v>156655.23000000001</v>
      </c>
      <c r="H14651" s="42">
        <v>211</v>
      </c>
    </row>
    <row r="14652" spans="1:8" ht="15" customHeight="1">
      <c r="A14652" s="26">
        <v>1090440049</v>
      </c>
      <c r="B14652" s="29" t="s">
        <v>16858</v>
      </c>
      <c r="C14652" s="29" t="s">
        <v>30048</v>
      </c>
      <c r="D14652" s="29" t="s">
        <v>43611</v>
      </c>
      <c r="E14652" s="29" t="s">
        <v>43926</v>
      </c>
      <c r="F14652" s="36" t="s">
        <v>54401</v>
      </c>
      <c r="G14652" s="39">
        <v>321234.63</v>
      </c>
      <c r="H14652" s="42">
        <v>211</v>
      </c>
    </row>
    <row r="14653" spans="1:8" ht="15" customHeight="1">
      <c r="A14653" s="26">
        <v>1090465802</v>
      </c>
      <c r="B14653" s="29" t="s">
        <v>16859</v>
      </c>
      <c r="C14653" s="29" t="s">
        <v>30049</v>
      </c>
      <c r="D14653" s="29" t="s">
        <v>43612</v>
      </c>
      <c r="E14653" s="29" t="s">
        <v>51923</v>
      </c>
      <c r="F14653" s="36" t="s">
        <v>54401</v>
      </c>
      <c r="G14653" s="39">
        <v>10815.13</v>
      </c>
      <c r="H14653" s="42">
        <v>211</v>
      </c>
    </row>
    <row r="14654" spans="1:8" ht="15" customHeight="1">
      <c r="A14654" s="26">
        <v>1090520840</v>
      </c>
      <c r="B14654" s="29" t="s">
        <v>16860</v>
      </c>
      <c r="C14654" s="29" t="s">
        <v>30050</v>
      </c>
      <c r="D14654" s="29" t="s">
        <v>43613</v>
      </c>
      <c r="E14654" s="29" t="s">
        <v>54195</v>
      </c>
      <c r="F14654" s="36" t="s">
        <v>54401</v>
      </c>
      <c r="G14654" s="39">
        <v>979680.2</v>
      </c>
      <c r="H14654" s="42">
        <v>211</v>
      </c>
    </row>
    <row r="14655" spans="1:8" ht="15" customHeight="1">
      <c r="A14655" s="26">
        <v>1090528756</v>
      </c>
      <c r="B14655" s="29" t="s">
        <v>16861</v>
      </c>
      <c r="C14655" s="29" t="s">
        <v>30051</v>
      </c>
      <c r="D14655" s="29" t="s">
        <v>43614</v>
      </c>
      <c r="E14655" s="29" t="s">
        <v>54196</v>
      </c>
      <c r="F14655" s="36" t="s">
        <v>54401</v>
      </c>
      <c r="G14655" s="39">
        <v>3830104</v>
      </c>
      <c r="H14655" s="42">
        <v>211</v>
      </c>
    </row>
    <row r="14656" spans="1:8" ht="15" customHeight="1">
      <c r="A14656" s="26">
        <v>1090531411</v>
      </c>
      <c r="B14656" s="29" t="s">
        <v>16862</v>
      </c>
      <c r="C14656" s="29" t="s">
        <v>30052</v>
      </c>
      <c r="D14656" s="29" t="s">
        <v>43615</v>
      </c>
      <c r="E14656" s="29" t="s">
        <v>49593</v>
      </c>
      <c r="F14656" s="36" t="s">
        <v>54401</v>
      </c>
      <c r="G14656" s="39">
        <v>653847.69999999995</v>
      </c>
      <c r="H14656" s="42">
        <v>211</v>
      </c>
    </row>
    <row r="14657" spans="1:8" ht="15" customHeight="1">
      <c r="A14657" s="26">
        <v>1090538980</v>
      </c>
      <c r="B14657" s="29" t="s">
        <v>16863</v>
      </c>
      <c r="C14657" s="29" t="s">
        <v>30053</v>
      </c>
      <c r="D14657" s="29" t="s">
        <v>43616</v>
      </c>
      <c r="E14657" s="29" t="s">
        <v>54197</v>
      </c>
      <c r="F14657" s="36" t="s">
        <v>54414</v>
      </c>
      <c r="G14657" s="39">
        <v>3129931.74</v>
      </c>
      <c r="H14657" s="42">
        <v>211</v>
      </c>
    </row>
    <row r="14658" spans="1:8" ht="15" customHeight="1">
      <c r="A14658" s="26">
        <v>1091378417</v>
      </c>
      <c r="B14658" s="29" t="s">
        <v>16864</v>
      </c>
      <c r="C14658" s="29" t="s">
        <v>30054</v>
      </c>
      <c r="D14658" s="29" t="s">
        <v>43617</v>
      </c>
      <c r="E14658" s="29" t="s">
        <v>54198</v>
      </c>
      <c r="F14658" s="36" t="s">
        <v>54401</v>
      </c>
      <c r="G14658" s="39">
        <v>1648278.81</v>
      </c>
      <c r="H14658" s="42">
        <v>211</v>
      </c>
    </row>
    <row r="14659" spans="1:8" ht="15" customHeight="1">
      <c r="A14659" s="26">
        <v>1091964449</v>
      </c>
      <c r="B14659" s="29" t="s">
        <v>16865</v>
      </c>
      <c r="C14659" s="29" t="s">
        <v>30055</v>
      </c>
      <c r="D14659" s="29" t="s">
        <v>43618</v>
      </c>
      <c r="E14659" s="29" t="s">
        <v>54199</v>
      </c>
      <c r="F14659" s="36" t="s">
        <v>54401</v>
      </c>
      <c r="G14659" s="39">
        <v>355053.54</v>
      </c>
      <c r="H14659" s="42">
        <v>211</v>
      </c>
    </row>
    <row r="14660" spans="1:8" ht="15" customHeight="1">
      <c r="A14660" s="26">
        <v>1092343084</v>
      </c>
      <c r="B14660" s="29" t="s">
        <v>16866</v>
      </c>
      <c r="C14660" s="29" t="s">
        <v>26250</v>
      </c>
      <c r="D14660" s="29" t="s">
        <v>39702</v>
      </c>
      <c r="E14660" s="29" t="s">
        <v>46539</v>
      </c>
      <c r="F14660" s="36" t="s">
        <v>54401</v>
      </c>
      <c r="G14660" s="39">
        <v>2818875.52</v>
      </c>
      <c r="H14660" s="42">
        <v>211</v>
      </c>
    </row>
    <row r="14661" spans="1:8" ht="15" customHeight="1">
      <c r="A14661" s="26">
        <v>1092354257</v>
      </c>
      <c r="B14661" s="29" t="s">
        <v>16867</v>
      </c>
      <c r="C14661" s="29" t="s">
        <v>30056</v>
      </c>
      <c r="D14661" s="29" t="s">
        <v>43619</v>
      </c>
      <c r="E14661" s="29" t="s">
        <v>54200</v>
      </c>
      <c r="F14661" s="36" t="s">
        <v>54401</v>
      </c>
      <c r="G14661" s="39">
        <v>402659.66</v>
      </c>
      <c r="H14661" s="42">
        <v>211</v>
      </c>
    </row>
    <row r="14662" spans="1:8" ht="15" customHeight="1">
      <c r="A14662" s="26">
        <v>1092393995</v>
      </c>
      <c r="B14662" s="29" t="s">
        <v>16868</v>
      </c>
      <c r="C14662" s="29" t="s">
        <v>30057</v>
      </c>
      <c r="D14662" s="29" t="s">
        <v>43620</v>
      </c>
      <c r="E14662" s="29" t="s">
        <v>43926</v>
      </c>
      <c r="F14662" s="36" t="s">
        <v>54401</v>
      </c>
      <c r="G14662" s="39">
        <v>20915.97</v>
      </c>
      <c r="H14662" s="42">
        <v>211</v>
      </c>
    </row>
    <row r="14663" spans="1:8" ht="15" customHeight="1">
      <c r="A14663" s="26">
        <v>1092525575</v>
      </c>
      <c r="B14663" s="29" t="s">
        <v>16869</v>
      </c>
      <c r="C14663" s="29" t="s">
        <v>30058</v>
      </c>
      <c r="D14663" s="29" t="s">
        <v>43621</v>
      </c>
      <c r="E14663" s="29" t="s">
        <v>54201</v>
      </c>
      <c r="F14663" s="36" t="s">
        <v>54401</v>
      </c>
      <c r="G14663" s="39">
        <v>1238007.02</v>
      </c>
      <c r="H14663" s="42">
        <v>211</v>
      </c>
    </row>
    <row r="14664" spans="1:8" ht="15" customHeight="1">
      <c r="A14664" s="26">
        <v>1093432031</v>
      </c>
      <c r="B14664" s="29" t="s">
        <v>16870</v>
      </c>
      <c r="C14664" s="29" t="s">
        <v>30059</v>
      </c>
      <c r="D14664" s="29" t="s">
        <v>43622</v>
      </c>
      <c r="E14664" s="29" t="s">
        <v>54202</v>
      </c>
      <c r="F14664" s="36" t="s">
        <v>54401</v>
      </c>
      <c r="G14664" s="39">
        <v>332940.44</v>
      </c>
      <c r="H14664" s="42">
        <v>211</v>
      </c>
    </row>
    <row r="14665" spans="1:8" ht="15" customHeight="1">
      <c r="A14665" s="26">
        <v>1093737236</v>
      </c>
      <c r="B14665" s="29" t="s">
        <v>16871</v>
      </c>
      <c r="C14665" s="29" t="s">
        <v>30060</v>
      </c>
      <c r="D14665" s="29" t="s">
        <v>43623</v>
      </c>
      <c r="E14665" s="29" t="s">
        <v>43926</v>
      </c>
      <c r="F14665" s="36" t="s">
        <v>54401</v>
      </c>
      <c r="G14665" s="39">
        <v>1085615.54</v>
      </c>
      <c r="H14665" s="42">
        <v>211</v>
      </c>
    </row>
    <row r="14666" spans="1:8" ht="15" customHeight="1">
      <c r="A14666" s="26">
        <v>1093759485</v>
      </c>
      <c r="B14666" s="29" t="s">
        <v>16872</v>
      </c>
      <c r="C14666" s="26" t="s">
        <v>30061</v>
      </c>
      <c r="D14666" s="26" t="s">
        <v>43624</v>
      </c>
      <c r="E14666" s="26" t="s">
        <v>54203</v>
      </c>
      <c r="F14666" s="37" t="s">
        <v>54401</v>
      </c>
      <c r="G14666" s="39">
        <v>1023752.07</v>
      </c>
      <c r="H14666" s="42">
        <v>211</v>
      </c>
    </row>
    <row r="14667" spans="1:8" ht="15" customHeight="1">
      <c r="A14667" s="26">
        <v>1093779896</v>
      </c>
      <c r="B14667" s="29" t="s">
        <v>16873</v>
      </c>
      <c r="C14667" s="29" t="s">
        <v>30062</v>
      </c>
      <c r="D14667" s="29" t="s">
        <v>43625</v>
      </c>
      <c r="E14667" s="29" t="s">
        <v>54204</v>
      </c>
      <c r="F14667" s="36" t="s">
        <v>54401</v>
      </c>
      <c r="G14667" s="39">
        <v>164284.73000000001</v>
      </c>
      <c r="H14667" s="42">
        <v>211</v>
      </c>
    </row>
    <row r="14668" spans="1:8" ht="15" customHeight="1">
      <c r="A14668" s="26">
        <v>1093798557</v>
      </c>
      <c r="B14668" s="29" t="s">
        <v>16874</v>
      </c>
      <c r="C14668" s="26" t="s">
        <v>30063</v>
      </c>
      <c r="D14668" s="26" t="s">
        <v>43626</v>
      </c>
      <c r="E14668" s="26" t="s">
        <v>54205</v>
      </c>
      <c r="F14668" s="37" t="s">
        <v>54401</v>
      </c>
      <c r="G14668" s="39">
        <v>239486.79</v>
      </c>
      <c r="H14668" s="42">
        <v>211</v>
      </c>
    </row>
    <row r="14669" spans="1:8" ht="15" customHeight="1">
      <c r="A14669" s="26">
        <v>1094163528</v>
      </c>
      <c r="B14669" s="29" t="s">
        <v>16875</v>
      </c>
      <c r="C14669" s="29" t="s">
        <v>30064</v>
      </c>
      <c r="D14669" s="29" t="s">
        <v>43627</v>
      </c>
      <c r="E14669" s="29" t="s">
        <v>45169</v>
      </c>
      <c r="F14669" s="36" t="s">
        <v>54401</v>
      </c>
      <c r="G14669" s="39">
        <v>4343821</v>
      </c>
      <c r="H14669" s="42">
        <v>211</v>
      </c>
    </row>
    <row r="14670" spans="1:8" ht="15" customHeight="1">
      <c r="A14670" s="26">
        <v>1094241361</v>
      </c>
      <c r="B14670" s="29" t="s">
        <v>16876</v>
      </c>
      <c r="C14670" s="29" t="s">
        <v>30065</v>
      </c>
      <c r="D14670" s="29" t="s">
        <v>43628</v>
      </c>
      <c r="E14670" s="29" t="s">
        <v>54206</v>
      </c>
      <c r="F14670" s="36" t="s">
        <v>54401</v>
      </c>
      <c r="G14670" s="39">
        <v>1456289.62</v>
      </c>
      <c r="H14670" s="42">
        <v>211</v>
      </c>
    </row>
    <row r="14671" spans="1:8" ht="15" customHeight="1">
      <c r="A14671" s="26">
        <v>1094243751</v>
      </c>
      <c r="B14671" s="29" t="s">
        <v>16877</v>
      </c>
      <c r="C14671" s="29" t="s">
        <v>30066</v>
      </c>
      <c r="D14671" s="29" t="s">
        <v>43629</v>
      </c>
      <c r="E14671" s="29" t="s">
        <v>54207</v>
      </c>
      <c r="F14671" s="36" t="s">
        <v>54401</v>
      </c>
      <c r="G14671" s="39">
        <v>3521036.01</v>
      </c>
      <c r="H14671" s="42">
        <v>211</v>
      </c>
    </row>
    <row r="14672" spans="1:8" ht="15" customHeight="1">
      <c r="A14672" s="26">
        <v>1094270566</v>
      </c>
      <c r="B14672" s="29" t="s">
        <v>16878</v>
      </c>
      <c r="C14672" s="29" t="s">
        <v>30067</v>
      </c>
      <c r="D14672" s="29" t="s">
        <v>43630</v>
      </c>
      <c r="E14672" s="29" t="s">
        <v>54208</v>
      </c>
      <c r="F14672" s="36" t="s">
        <v>54482</v>
      </c>
      <c r="G14672" s="39">
        <v>59001.67</v>
      </c>
      <c r="H14672" s="42">
        <v>211</v>
      </c>
    </row>
    <row r="14673" spans="1:8" ht="15" customHeight="1">
      <c r="A14673" s="26">
        <v>1094272103</v>
      </c>
      <c r="B14673" s="29" t="s">
        <v>16879</v>
      </c>
      <c r="C14673" s="29" t="s">
        <v>30068</v>
      </c>
      <c r="D14673" s="29" t="s">
        <v>43631</v>
      </c>
      <c r="E14673" s="29" t="s">
        <v>54209</v>
      </c>
      <c r="F14673" s="36" t="s">
        <v>54401</v>
      </c>
      <c r="G14673" s="39">
        <v>395179.86</v>
      </c>
      <c r="H14673" s="42">
        <v>211</v>
      </c>
    </row>
    <row r="14674" spans="1:8" ht="15" customHeight="1">
      <c r="A14674" s="26">
        <v>1094280200</v>
      </c>
      <c r="B14674" s="29" t="s">
        <v>16880</v>
      </c>
      <c r="C14674" s="29" t="s">
        <v>30069</v>
      </c>
      <c r="D14674" s="29" t="s">
        <v>43632</v>
      </c>
      <c r="E14674" s="29" t="s">
        <v>54210</v>
      </c>
      <c r="F14674" s="36" t="s">
        <v>54401</v>
      </c>
      <c r="G14674" s="39">
        <v>940201.1</v>
      </c>
      <c r="H14674" s="42">
        <v>211</v>
      </c>
    </row>
    <row r="14675" spans="1:8" ht="15" customHeight="1">
      <c r="A14675" s="26">
        <v>1094284731</v>
      </c>
      <c r="B14675" s="29" t="s">
        <v>16881</v>
      </c>
      <c r="C14675" s="29" t="s">
        <v>30070</v>
      </c>
      <c r="D14675" s="29" t="s">
        <v>43633</v>
      </c>
      <c r="E14675" s="29" t="s">
        <v>43926</v>
      </c>
      <c r="F14675" s="36" t="s">
        <v>54401</v>
      </c>
      <c r="G14675" s="39">
        <v>831555.53</v>
      </c>
      <c r="H14675" s="42">
        <v>211</v>
      </c>
    </row>
    <row r="14676" spans="1:8" ht="15" customHeight="1">
      <c r="A14676" s="26">
        <v>1095813571</v>
      </c>
      <c r="B14676" s="29" t="s">
        <v>16882</v>
      </c>
      <c r="C14676" s="29" t="s">
        <v>30071</v>
      </c>
      <c r="D14676" s="29" t="s">
        <v>43634</v>
      </c>
      <c r="E14676" s="29" t="s">
        <v>49544</v>
      </c>
      <c r="F14676" s="36" t="s">
        <v>54401</v>
      </c>
      <c r="G14676" s="39">
        <v>3319382.54</v>
      </c>
      <c r="H14676" s="42">
        <v>211</v>
      </c>
    </row>
    <row r="14677" spans="1:8" ht="15" customHeight="1">
      <c r="A14677" s="26">
        <v>1095923207</v>
      </c>
      <c r="B14677" s="29" t="s">
        <v>16883</v>
      </c>
      <c r="C14677" s="29" t="s">
        <v>30072</v>
      </c>
      <c r="D14677" s="29" t="s">
        <v>43635</v>
      </c>
      <c r="E14677" s="29" t="s">
        <v>47759</v>
      </c>
      <c r="F14677" s="36" t="s">
        <v>54423</v>
      </c>
      <c r="G14677" s="39">
        <v>4970493.99</v>
      </c>
      <c r="H14677" s="42">
        <v>211</v>
      </c>
    </row>
    <row r="14678" spans="1:8" ht="15" customHeight="1">
      <c r="A14678" s="26">
        <v>1095926061</v>
      </c>
      <c r="B14678" s="29" t="s">
        <v>16884</v>
      </c>
      <c r="C14678" s="29" t="s">
        <v>30073</v>
      </c>
      <c r="D14678" s="29" t="s">
        <v>43636</v>
      </c>
      <c r="E14678" s="29" t="s">
        <v>54211</v>
      </c>
      <c r="F14678" s="36" t="s">
        <v>54401</v>
      </c>
      <c r="G14678" s="39">
        <v>475530.12</v>
      </c>
      <c r="H14678" s="42">
        <v>211</v>
      </c>
    </row>
    <row r="14679" spans="1:8" ht="15" customHeight="1">
      <c r="A14679" s="26">
        <v>1096194755</v>
      </c>
      <c r="B14679" s="29" t="s">
        <v>16885</v>
      </c>
      <c r="C14679" s="29" t="s">
        <v>30074</v>
      </c>
      <c r="D14679" s="29" t="s">
        <v>43637</v>
      </c>
      <c r="E14679" s="29" t="s">
        <v>48459</v>
      </c>
      <c r="F14679" s="36" t="s">
        <v>54401</v>
      </c>
      <c r="G14679" s="39">
        <v>3452231.79</v>
      </c>
      <c r="H14679" s="42">
        <v>211</v>
      </c>
    </row>
    <row r="14680" spans="1:8" ht="15" customHeight="1">
      <c r="A14680" s="26">
        <v>1096199187</v>
      </c>
      <c r="B14680" s="29" t="s">
        <v>16886</v>
      </c>
      <c r="C14680" s="29" t="s">
        <v>30075</v>
      </c>
      <c r="D14680" s="29" t="s">
        <v>43638</v>
      </c>
      <c r="E14680" s="29" t="s">
        <v>54212</v>
      </c>
      <c r="F14680" s="36" t="s">
        <v>54401</v>
      </c>
      <c r="G14680" s="39">
        <v>89153.11</v>
      </c>
      <c r="H14680" s="42">
        <v>211</v>
      </c>
    </row>
    <row r="14681" spans="1:8" ht="15" customHeight="1">
      <c r="A14681" s="26">
        <v>1096227715</v>
      </c>
      <c r="B14681" s="29" t="s">
        <v>16887</v>
      </c>
      <c r="C14681" s="29" t="s">
        <v>17204</v>
      </c>
      <c r="D14681" s="29" t="s">
        <v>30349</v>
      </c>
      <c r="E14681" s="29" t="s">
        <v>43926</v>
      </c>
      <c r="F14681" s="36" t="s">
        <v>54401</v>
      </c>
      <c r="G14681" s="39">
        <v>599501.55000000005</v>
      </c>
      <c r="H14681" s="42">
        <v>211</v>
      </c>
    </row>
    <row r="14682" spans="1:8" ht="15" customHeight="1">
      <c r="A14682" s="26">
        <v>1096947861</v>
      </c>
      <c r="B14682" s="29" t="s">
        <v>16888</v>
      </c>
      <c r="C14682" s="29" t="s">
        <v>30076</v>
      </c>
      <c r="D14682" s="29" t="s">
        <v>43639</v>
      </c>
      <c r="E14682" s="29" t="s">
        <v>54213</v>
      </c>
      <c r="F14682" s="36" t="s">
        <v>54401</v>
      </c>
      <c r="G14682" s="39">
        <v>1457368.43</v>
      </c>
      <c r="H14682" s="42">
        <v>211</v>
      </c>
    </row>
    <row r="14683" spans="1:8" ht="15" customHeight="1">
      <c r="A14683" s="26">
        <v>1096947969</v>
      </c>
      <c r="B14683" s="29" t="s">
        <v>16889</v>
      </c>
      <c r="C14683" s="29" t="s">
        <v>17204</v>
      </c>
      <c r="D14683" s="29" t="s">
        <v>30349</v>
      </c>
      <c r="E14683" s="29" t="s">
        <v>43926</v>
      </c>
      <c r="F14683" s="36" t="s">
        <v>54401</v>
      </c>
      <c r="G14683" s="39">
        <v>208531.77</v>
      </c>
      <c r="H14683" s="42">
        <v>211</v>
      </c>
    </row>
    <row r="14684" spans="1:8" ht="15" customHeight="1">
      <c r="A14684" s="26">
        <v>1096951368</v>
      </c>
      <c r="B14684" s="29" t="s">
        <v>16890</v>
      </c>
      <c r="C14684" s="26" t="s">
        <v>30077</v>
      </c>
      <c r="D14684" s="26" t="s">
        <v>43640</v>
      </c>
      <c r="E14684" s="26" t="s">
        <v>54214</v>
      </c>
      <c r="F14684" s="37" t="s">
        <v>54401</v>
      </c>
      <c r="G14684" s="39">
        <v>3043088</v>
      </c>
      <c r="H14684" s="42">
        <v>211</v>
      </c>
    </row>
    <row r="14685" spans="1:8" ht="15" customHeight="1">
      <c r="A14685" s="26">
        <v>1096951389</v>
      </c>
      <c r="B14685" s="29" t="s">
        <v>16891</v>
      </c>
      <c r="C14685" s="29" t="s">
        <v>30078</v>
      </c>
      <c r="D14685" s="29" t="s">
        <v>43641</v>
      </c>
      <c r="E14685" s="29" t="s">
        <v>54215</v>
      </c>
      <c r="F14685" s="36" t="s">
        <v>54414</v>
      </c>
      <c r="G14685" s="39">
        <v>4217989.4800000004</v>
      </c>
      <c r="H14685" s="42">
        <v>211</v>
      </c>
    </row>
    <row r="14686" spans="1:8" ht="15" customHeight="1">
      <c r="A14686" s="26">
        <v>1096951838</v>
      </c>
      <c r="B14686" s="29" t="s">
        <v>16892</v>
      </c>
      <c r="C14686" s="26" t="s">
        <v>30079</v>
      </c>
      <c r="D14686" s="26" t="s">
        <v>43642</v>
      </c>
      <c r="E14686" s="26" t="s">
        <v>43926</v>
      </c>
      <c r="F14686" s="37" t="s">
        <v>54401</v>
      </c>
      <c r="G14686" s="39">
        <v>454464.47</v>
      </c>
      <c r="H14686" s="42">
        <v>211</v>
      </c>
    </row>
    <row r="14687" spans="1:8" ht="15" customHeight="1">
      <c r="A14687" s="26">
        <v>1096951979</v>
      </c>
      <c r="B14687" s="29" t="s">
        <v>16893</v>
      </c>
      <c r="C14687" s="29" t="s">
        <v>30080</v>
      </c>
      <c r="D14687" s="29" t="s">
        <v>43643</v>
      </c>
      <c r="E14687" s="29" t="s">
        <v>43926</v>
      </c>
      <c r="F14687" s="36" t="s">
        <v>54401</v>
      </c>
      <c r="G14687" s="39">
        <v>156811.18</v>
      </c>
      <c r="H14687" s="42">
        <v>211</v>
      </c>
    </row>
    <row r="14688" spans="1:8" ht="15" customHeight="1">
      <c r="A14688" s="26">
        <v>1096953784</v>
      </c>
      <c r="B14688" s="29" t="s">
        <v>16894</v>
      </c>
      <c r="C14688" s="29" t="s">
        <v>30081</v>
      </c>
      <c r="D14688" s="29" t="s">
        <v>43644</v>
      </c>
      <c r="E14688" s="29" t="s">
        <v>54216</v>
      </c>
      <c r="F14688" s="36" t="s">
        <v>54401</v>
      </c>
      <c r="G14688" s="39">
        <v>872966.68</v>
      </c>
      <c r="H14688" s="42">
        <v>211</v>
      </c>
    </row>
    <row r="14689" spans="1:8" ht="15" customHeight="1">
      <c r="A14689" s="26">
        <v>1096955255</v>
      </c>
      <c r="B14689" s="29" t="s">
        <v>16895</v>
      </c>
      <c r="C14689" s="29" t="s">
        <v>30082</v>
      </c>
      <c r="D14689" s="29" t="s">
        <v>43645</v>
      </c>
      <c r="E14689" s="29" t="s">
        <v>54217</v>
      </c>
      <c r="F14689" s="36" t="s">
        <v>54401</v>
      </c>
      <c r="G14689" s="39">
        <v>973992.6</v>
      </c>
      <c r="H14689" s="42">
        <v>211</v>
      </c>
    </row>
    <row r="14690" spans="1:8" ht="15" customHeight="1">
      <c r="A14690" s="26">
        <v>1096955663</v>
      </c>
      <c r="B14690" s="29" t="s">
        <v>16896</v>
      </c>
      <c r="C14690" s="29" t="s">
        <v>30083</v>
      </c>
      <c r="D14690" s="29" t="s">
        <v>43646</v>
      </c>
      <c r="E14690" s="29" t="s">
        <v>54218</v>
      </c>
      <c r="F14690" s="36" t="s">
        <v>54401</v>
      </c>
      <c r="G14690" s="39">
        <v>517539.32</v>
      </c>
      <c r="H14690" s="42">
        <v>211</v>
      </c>
    </row>
    <row r="14691" spans="1:8" ht="15" customHeight="1">
      <c r="A14691" s="26">
        <v>1097035172</v>
      </c>
      <c r="B14691" s="29" t="s">
        <v>16897</v>
      </c>
      <c r="C14691" s="29" t="s">
        <v>30084</v>
      </c>
      <c r="D14691" s="29" t="s">
        <v>43647</v>
      </c>
      <c r="E14691" s="29" t="s">
        <v>54219</v>
      </c>
      <c r="F14691" s="36" t="s">
        <v>54401</v>
      </c>
      <c r="G14691" s="39">
        <v>303677.14</v>
      </c>
      <c r="H14691" s="42">
        <v>211</v>
      </c>
    </row>
    <row r="14692" spans="1:8" ht="15" customHeight="1">
      <c r="A14692" s="26">
        <v>1097666320</v>
      </c>
      <c r="B14692" s="29" t="s">
        <v>16898</v>
      </c>
      <c r="C14692" s="26" t="s">
        <v>30085</v>
      </c>
      <c r="D14692" s="26" t="s">
        <v>43648</v>
      </c>
      <c r="E14692" s="26" t="s">
        <v>43926</v>
      </c>
      <c r="F14692" s="37" t="s">
        <v>54401</v>
      </c>
      <c r="G14692" s="39">
        <v>296065.28000000003</v>
      </c>
      <c r="H14692" s="42">
        <v>211</v>
      </c>
    </row>
    <row r="14693" spans="1:8" ht="15" customHeight="1">
      <c r="A14693" s="26">
        <v>1097781964</v>
      </c>
      <c r="B14693" s="29" t="s">
        <v>16899</v>
      </c>
      <c r="C14693" s="29" t="s">
        <v>30086</v>
      </c>
      <c r="D14693" s="29" t="s">
        <v>43649</v>
      </c>
      <c r="E14693" s="29" t="s">
        <v>54220</v>
      </c>
      <c r="F14693" s="36" t="s">
        <v>54401</v>
      </c>
      <c r="G14693" s="39">
        <v>59420.160000000003</v>
      </c>
      <c r="H14693" s="42">
        <v>211</v>
      </c>
    </row>
    <row r="14694" spans="1:8" ht="15" customHeight="1">
      <c r="A14694" s="26">
        <v>1098100345</v>
      </c>
      <c r="B14694" s="29" t="s">
        <v>16900</v>
      </c>
      <c r="C14694" s="26" t="s">
        <v>30087</v>
      </c>
      <c r="D14694" s="26" t="s">
        <v>43650</v>
      </c>
      <c r="E14694" s="26" t="s">
        <v>43926</v>
      </c>
      <c r="F14694" s="37" t="s">
        <v>54401</v>
      </c>
      <c r="G14694" s="39">
        <v>331375.67</v>
      </c>
      <c r="H14694" s="42">
        <v>211</v>
      </c>
    </row>
    <row r="14695" spans="1:8" ht="15" customHeight="1">
      <c r="A14695" s="26">
        <v>1098100504</v>
      </c>
      <c r="B14695" s="29" t="s">
        <v>16901</v>
      </c>
      <c r="C14695" s="29" t="s">
        <v>30088</v>
      </c>
      <c r="D14695" s="29" t="s">
        <v>43651</v>
      </c>
      <c r="E14695" s="29" t="s">
        <v>54221</v>
      </c>
      <c r="F14695" s="36" t="s">
        <v>54401</v>
      </c>
      <c r="G14695" s="39">
        <v>2168300.5499999998</v>
      </c>
      <c r="H14695" s="42">
        <v>211</v>
      </c>
    </row>
    <row r="14696" spans="1:8" ht="15" customHeight="1">
      <c r="A14696" s="26">
        <v>1098100979</v>
      </c>
      <c r="B14696" s="29" t="s">
        <v>16902</v>
      </c>
      <c r="C14696" s="29" t="s">
        <v>30089</v>
      </c>
      <c r="D14696" s="29" t="s">
        <v>43652</v>
      </c>
      <c r="E14696" s="29" t="s">
        <v>44345</v>
      </c>
      <c r="F14696" s="36" t="s">
        <v>54401</v>
      </c>
      <c r="G14696" s="39">
        <v>1665741.35</v>
      </c>
      <c r="H14696" s="42">
        <v>211</v>
      </c>
    </row>
    <row r="14697" spans="1:8" ht="15" customHeight="1">
      <c r="A14697" s="26">
        <v>1098101897</v>
      </c>
      <c r="B14697" s="29" t="s">
        <v>16903</v>
      </c>
      <c r="C14697" s="29" t="s">
        <v>30090</v>
      </c>
      <c r="D14697" s="29" t="s">
        <v>43653</v>
      </c>
      <c r="E14697" s="29" t="s">
        <v>45285</v>
      </c>
      <c r="F14697" s="36" t="s">
        <v>54401</v>
      </c>
      <c r="G14697" s="39">
        <v>4657296</v>
      </c>
      <c r="H14697" s="42">
        <v>211</v>
      </c>
    </row>
    <row r="14698" spans="1:8" ht="15" customHeight="1">
      <c r="A14698" s="26">
        <v>1098150366</v>
      </c>
      <c r="B14698" s="29" t="s">
        <v>16904</v>
      </c>
      <c r="C14698" s="29" t="s">
        <v>30091</v>
      </c>
      <c r="D14698" s="29" t="s">
        <v>43654</v>
      </c>
      <c r="E14698" s="29" t="s">
        <v>54222</v>
      </c>
      <c r="F14698" s="36" t="s">
        <v>54401</v>
      </c>
      <c r="G14698" s="39">
        <v>49100</v>
      </c>
      <c r="H14698" s="42">
        <v>211</v>
      </c>
    </row>
    <row r="14699" spans="1:8" ht="15" customHeight="1">
      <c r="A14699" s="26">
        <v>1098150374</v>
      </c>
      <c r="B14699" s="29" t="s">
        <v>16905</v>
      </c>
      <c r="C14699" s="29" t="s">
        <v>30092</v>
      </c>
      <c r="D14699" s="29" t="s">
        <v>43655</v>
      </c>
      <c r="E14699" s="29" t="s">
        <v>49609</v>
      </c>
      <c r="F14699" s="36" t="s">
        <v>54401</v>
      </c>
      <c r="G14699" s="39">
        <v>4017900.68</v>
      </c>
      <c r="H14699" s="42">
        <v>211</v>
      </c>
    </row>
    <row r="14700" spans="1:8" ht="15" customHeight="1">
      <c r="A14700" s="26">
        <v>1098220745</v>
      </c>
      <c r="B14700" s="29" t="s">
        <v>16906</v>
      </c>
      <c r="C14700" s="29" t="s">
        <v>30093</v>
      </c>
      <c r="D14700" s="29" t="s">
        <v>43656</v>
      </c>
      <c r="E14700" s="29" t="s">
        <v>45953</v>
      </c>
      <c r="F14700" s="36" t="s">
        <v>54401</v>
      </c>
      <c r="G14700" s="39">
        <v>568547.32999999996</v>
      </c>
      <c r="H14700" s="42">
        <v>211</v>
      </c>
    </row>
    <row r="14701" spans="1:8" ht="15" customHeight="1">
      <c r="A14701" s="26">
        <v>1098406968</v>
      </c>
      <c r="B14701" s="29" t="s">
        <v>16907</v>
      </c>
      <c r="C14701" s="29" t="s">
        <v>30094</v>
      </c>
      <c r="D14701" s="29" t="s">
        <v>43657</v>
      </c>
      <c r="E14701" s="29" t="s">
        <v>52432</v>
      </c>
      <c r="F14701" s="36" t="s">
        <v>54401</v>
      </c>
      <c r="G14701" s="39">
        <v>2952943.89</v>
      </c>
      <c r="H14701" s="42">
        <v>211</v>
      </c>
    </row>
    <row r="14702" spans="1:8" ht="15" customHeight="1">
      <c r="A14702" s="26">
        <v>1098436026</v>
      </c>
      <c r="B14702" s="29" t="s">
        <v>16908</v>
      </c>
      <c r="C14702" s="29" t="s">
        <v>30095</v>
      </c>
      <c r="D14702" s="29" t="s">
        <v>43658</v>
      </c>
      <c r="E14702" s="29" t="s">
        <v>44616</v>
      </c>
      <c r="F14702" s="36" t="s">
        <v>54401</v>
      </c>
      <c r="G14702" s="39">
        <v>789852.84</v>
      </c>
      <c r="H14702" s="42">
        <v>211</v>
      </c>
    </row>
    <row r="14703" spans="1:8" ht="15" customHeight="1">
      <c r="A14703" s="26">
        <v>1098436154</v>
      </c>
      <c r="B14703" s="29" t="s">
        <v>16909</v>
      </c>
      <c r="C14703" s="29" t="s">
        <v>30096</v>
      </c>
      <c r="D14703" s="29" t="s">
        <v>43659</v>
      </c>
      <c r="E14703" s="29" t="s">
        <v>43926</v>
      </c>
      <c r="F14703" s="36" t="s">
        <v>54401</v>
      </c>
      <c r="G14703" s="39">
        <v>981041.22</v>
      </c>
      <c r="H14703" s="42">
        <v>211</v>
      </c>
    </row>
    <row r="14704" spans="1:8" ht="15" customHeight="1">
      <c r="A14704" s="26">
        <v>1098436359</v>
      </c>
      <c r="B14704" s="29" t="s">
        <v>16910</v>
      </c>
      <c r="C14704" s="29" t="s">
        <v>30097</v>
      </c>
      <c r="D14704" s="29" t="s">
        <v>43660</v>
      </c>
      <c r="E14704" s="29" t="s">
        <v>717</v>
      </c>
      <c r="F14704" s="36" t="s">
        <v>54409</v>
      </c>
      <c r="G14704" s="39">
        <v>1999217.55</v>
      </c>
      <c r="H14704" s="42">
        <v>211</v>
      </c>
    </row>
    <row r="14705" spans="1:8" ht="15" customHeight="1">
      <c r="A14705" s="26">
        <v>1098436441</v>
      </c>
      <c r="B14705" s="29" t="s">
        <v>16911</v>
      </c>
      <c r="C14705" s="29" t="s">
        <v>30098</v>
      </c>
      <c r="D14705" s="29" t="s">
        <v>43661</v>
      </c>
      <c r="E14705" s="29" t="s">
        <v>49360</v>
      </c>
      <c r="F14705" s="36" t="s">
        <v>54401</v>
      </c>
      <c r="G14705" s="39">
        <v>4606575</v>
      </c>
      <c r="H14705" s="42">
        <v>211</v>
      </c>
    </row>
    <row r="14706" spans="1:8" ht="15" customHeight="1">
      <c r="A14706" s="26">
        <v>1098436453</v>
      </c>
      <c r="B14706" s="29" t="s">
        <v>16912</v>
      </c>
      <c r="C14706" s="26" t="s">
        <v>30099</v>
      </c>
      <c r="D14706" s="26" t="s">
        <v>43662</v>
      </c>
      <c r="E14706" s="26" t="s">
        <v>54223</v>
      </c>
      <c r="F14706" s="37" t="s">
        <v>54401</v>
      </c>
      <c r="G14706" s="39">
        <v>48011.37</v>
      </c>
      <c r="H14706" s="42">
        <v>211</v>
      </c>
    </row>
    <row r="14707" spans="1:8" ht="15" customHeight="1">
      <c r="A14707" s="26">
        <v>1098437025</v>
      </c>
      <c r="B14707" s="29" t="s">
        <v>16913</v>
      </c>
      <c r="C14707" s="29" t="s">
        <v>30100</v>
      </c>
      <c r="D14707" s="29" t="s">
        <v>43663</v>
      </c>
      <c r="E14707" s="29" t="s">
        <v>52697</v>
      </c>
      <c r="F14707" s="36" t="s">
        <v>54401</v>
      </c>
      <c r="G14707" s="39">
        <v>8092.43</v>
      </c>
      <c r="H14707" s="42">
        <v>211</v>
      </c>
    </row>
    <row r="14708" spans="1:8" ht="15" customHeight="1">
      <c r="A14708" s="26">
        <v>1098607349</v>
      </c>
      <c r="B14708" s="29" t="s">
        <v>16914</v>
      </c>
      <c r="C14708" s="29" t="s">
        <v>30101</v>
      </c>
      <c r="D14708" s="29" t="s">
        <v>43664</v>
      </c>
      <c r="E14708" s="29" t="s">
        <v>43926</v>
      </c>
      <c r="F14708" s="36" t="s">
        <v>54401</v>
      </c>
      <c r="G14708" s="39">
        <v>370672.97</v>
      </c>
      <c r="H14708" s="42">
        <v>211</v>
      </c>
    </row>
    <row r="14709" spans="1:8" ht="15" customHeight="1">
      <c r="A14709" s="26">
        <v>1098622859</v>
      </c>
      <c r="B14709" s="29" t="s">
        <v>16915</v>
      </c>
      <c r="C14709" s="29" t="s">
        <v>30102</v>
      </c>
      <c r="D14709" s="29" t="s">
        <v>43665</v>
      </c>
      <c r="E14709" s="29" t="s">
        <v>54224</v>
      </c>
      <c r="F14709" s="36" t="s">
        <v>54401</v>
      </c>
      <c r="G14709" s="39">
        <v>3310550.21</v>
      </c>
      <c r="H14709" s="42">
        <v>211</v>
      </c>
    </row>
    <row r="14710" spans="1:8" ht="15" customHeight="1">
      <c r="A14710" s="26">
        <v>1098623622</v>
      </c>
      <c r="B14710" s="29" t="s">
        <v>16916</v>
      </c>
      <c r="C14710" s="29" t="s">
        <v>30103</v>
      </c>
      <c r="D14710" s="29" t="s">
        <v>43666</v>
      </c>
      <c r="E14710" s="29" t="s">
        <v>43926</v>
      </c>
      <c r="F14710" s="36" t="s">
        <v>54401</v>
      </c>
      <c r="G14710" s="39">
        <v>915848.7</v>
      </c>
      <c r="H14710" s="42">
        <v>211</v>
      </c>
    </row>
    <row r="14711" spans="1:8" ht="15" customHeight="1">
      <c r="A14711" s="26">
        <v>1098630954</v>
      </c>
      <c r="B14711" s="29" t="s">
        <v>16917</v>
      </c>
      <c r="C14711" s="29" t="s">
        <v>30104</v>
      </c>
      <c r="D14711" s="29" t="s">
        <v>43667</v>
      </c>
      <c r="E14711" s="29" t="s">
        <v>54225</v>
      </c>
      <c r="F14711" s="36" t="s">
        <v>54401</v>
      </c>
      <c r="G14711" s="39">
        <v>141045.93</v>
      </c>
      <c r="H14711" s="42">
        <v>211</v>
      </c>
    </row>
    <row r="14712" spans="1:8" ht="15" customHeight="1">
      <c r="A14712" s="26">
        <v>1098658271</v>
      </c>
      <c r="B14712" s="29" t="s">
        <v>16918</v>
      </c>
      <c r="C14712" s="26" t="s">
        <v>30105</v>
      </c>
      <c r="D14712" s="26" t="s">
        <v>43668</v>
      </c>
      <c r="E14712" s="26" t="s">
        <v>44999</v>
      </c>
      <c r="F14712" s="37" t="s">
        <v>54401</v>
      </c>
      <c r="G14712" s="39">
        <v>1947668</v>
      </c>
      <c r="H14712" s="42">
        <v>211</v>
      </c>
    </row>
    <row r="14713" spans="1:8" ht="15" customHeight="1">
      <c r="A14713" s="26">
        <v>1098658474</v>
      </c>
      <c r="B14713" s="29" t="s">
        <v>16919</v>
      </c>
      <c r="C14713" s="29" t="s">
        <v>30106</v>
      </c>
      <c r="D14713" s="29" t="s">
        <v>43669</v>
      </c>
      <c r="E14713" s="29" t="s">
        <v>54226</v>
      </c>
      <c r="F14713" s="36" t="s">
        <v>54401</v>
      </c>
      <c r="G14713" s="39">
        <v>2786739</v>
      </c>
      <c r="H14713" s="42">
        <v>211</v>
      </c>
    </row>
    <row r="14714" spans="1:8" ht="15" customHeight="1">
      <c r="A14714" s="26">
        <v>1098666542</v>
      </c>
      <c r="B14714" s="29" t="s">
        <v>16920</v>
      </c>
      <c r="C14714" s="29" t="s">
        <v>17204</v>
      </c>
      <c r="D14714" s="29" t="s">
        <v>30349</v>
      </c>
      <c r="E14714" s="29" t="s">
        <v>43926</v>
      </c>
      <c r="F14714" s="36" t="s">
        <v>54401</v>
      </c>
      <c r="G14714" s="39">
        <v>245884.34</v>
      </c>
      <c r="H14714" s="42">
        <v>211</v>
      </c>
    </row>
    <row r="14715" spans="1:8" ht="15" customHeight="1">
      <c r="A14715" s="26">
        <v>1098679035</v>
      </c>
      <c r="B14715" s="29" t="s">
        <v>16921</v>
      </c>
      <c r="C14715" s="29" t="s">
        <v>30107</v>
      </c>
      <c r="D14715" s="29" t="s">
        <v>43670</v>
      </c>
      <c r="E14715" s="29" t="s">
        <v>54227</v>
      </c>
      <c r="F14715" s="36" t="s">
        <v>54401</v>
      </c>
      <c r="G14715" s="39">
        <v>323924.95</v>
      </c>
      <c r="H14715" s="42">
        <v>211</v>
      </c>
    </row>
    <row r="14716" spans="1:8" ht="15" customHeight="1">
      <c r="A14716" s="26">
        <v>1098679863</v>
      </c>
      <c r="B14716" s="29" t="s">
        <v>16922</v>
      </c>
      <c r="C14716" s="29" t="s">
        <v>30108</v>
      </c>
      <c r="D14716" s="29" t="s">
        <v>43671</v>
      </c>
      <c r="E14716" s="29" t="s">
        <v>50757</v>
      </c>
      <c r="F14716" s="36" t="s">
        <v>54401</v>
      </c>
      <c r="G14716" s="39">
        <v>6395809</v>
      </c>
      <c r="H14716" s="42">
        <v>211</v>
      </c>
    </row>
    <row r="14717" spans="1:8" ht="15" customHeight="1">
      <c r="A14717" s="26">
        <v>1098683967</v>
      </c>
      <c r="B14717" s="29" t="s">
        <v>16923</v>
      </c>
      <c r="C14717" s="29" t="s">
        <v>30109</v>
      </c>
      <c r="D14717" s="29" t="s">
        <v>43672</v>
      </c>
      <c r="E14717" s="29" t="s">
        <v>54228</v>
      </c>
      <c r="F14717" s="36" t="s">
        <v>54401</v>
      </c>
      <c r="G14717" s="39">
        <v>2370431</v>
      </c>
      <c r="H14717" s="42">
        <v>211</v>
      </c>
    </row>
    <row r="14718" spans="1:8" ht="15" customHeight="1">
      <c r="A14718" s="26">
        <v>1098687217</v>
      </c>
      <c r="B14718" s="29" t="s">
        <v>16924</v>
      </c>
      <c r="C14718" s="29" t="s">
        <v>30110</v>
      </c>
      <c r="D14718" s="29" t="s">
        <v>43673</v>
      </c>
      <c r="E14718" s="29" t="s">
        <v>43942</v>
      </c>
      <c r="F14718" s="36" t="s">
        <v>54401</v>
      </c>
      <c r="G14718" s="39">
        <v>120319.13</v>
      </c>
      <c r="H14718" s="42">
        <v>211</v>
      </c>
    </row>
    <row r="14719" spans="1:8" ht="15" customHeight="1">
      <c r="A14719" s="26">
        <v>1098689775</v>
      </c>
      <c r="B14719" s="29" t="s">
        <v>16925</v>
      </c>
      <c r="C14719" s="29" t="s">
        <v>30111</v>
      </c>
      <c r="D14719" s="29" t="s">
        <v>43674</v>
      </c>
      <c r="E14719" s="29" t="s">
        <v>54229</v>
      </c>
      <c r="F14719" s="36" t="s">
        <v>54401</v>
      </c>
      <c r="G14719" s="39">
        <v>297797.43</v>
      </c>
      <c r="H14719" s="42">
        <v>211</v>
      </c>
    </row>
    <row r="14720" spans="1:8" ht="15" customHeight="1">
      <c r="A14720" s="26">
        <v>1098708658</v>
      </c>
      <c r="B14720" s="29" t="s">
        <v>16926</v>
      </c>
      <c r="C14720" s="29" t="s">
        <v>17204</v>
      </c>
      <c r="D14720" s="29" t="s">
        <v>43675</v>
      </c>
      <c r="E14720" s="29" t="s">
        <v>54230</v>
      </c>
      <c r="F14720" s="36" t="s">
        <v>54401</v>
      </c>
      <c r="G14720" s="39">
        <v>444412.73</v>
      </c>
      <c r="H14720" s="42">
        <v>211</v>
      </c>
    </row>
    <row r="14721" spans="1:8" ht="15" customHeight="1">
      <c r="A14721" s="26">
        <v>1098723306</v>
      </c>
      <c r="B14721" s="29" t="s">
        <v>16927</v>
      </c>
      <c r="C14721" s="29" t="s">
        <v>30112</v>
      </c>
      <c r="D14721" s="29" t="s">
        <v>43676</v>
      </c>
      <c r="E14721" s="29" t="s">
        <v>54231</v>
      </c>
      <c r="F14721" s="36" t="s">
        <v>54401</v>
      </c>
      <c r="G14721" s="39">
        <v>306486.17</v>
      </c>
      <c r="H14721" s="42">
        <v>211</v>
      </c>
    </row>
    <row r="14722" spans="1:8" ht="15" customHeight="1">
      <c r="A14722" s="26">
        <v>1098760457</v>
      </c>
      <c r="B14722" s="29" t="s">
        <v>16928</v>
      </c>
      <c r="C14722" s="29" t="s">
        <v>30113</v>
      </c>
      <c r="D14722" s="29" t="s">
        <v>43677</v>
      </c>
      <c r="E14722" s="29" t="s">
        <v>54232</v>
      </c>
      <c r="F14722" s="36" t="s">
        <v>54401</v>
      </c>
      <c r="G14722" s="39">
        <v>814354.44</v>
      </c>
      <c r="H14722" s="42">
        <v>211</v>
      </c>
    </row>
    <row r="14723" spans="1:8" ht="15" customHeight="1">
      <c r="A14723" s="26">
        <v>1098778830</v>
      </c>
      <c r="B14723" s="29" t="s">
        <v>16929</v>
      </c>
      <c r="C14723" s="29" t="s">
        <v>18155</v>
      </c>
      <c r="D14723" s="29" t="s">
        <v>43678</v>
      </c>
      <c r="E14723" s="29" t="s">
        <v>54233</v>
      </c>
      <c r="F14723" s="36" t="s">
        <v>54401</v>
      </c>
      <c r="G14723" s="39">
        <v>385121.37</v>
      </c>
      <c r="H14723" s="42">
        <v>211</v>
      </c>
    </row>
    <row r="14724" spans="1:8" ht="15" customHeight="1">
      <c r="A14724" s="26">
        <v>1098787924</v>
      </c>
      <c r="B14724" s="29" t="s">
        <v>16930</v>
      </c>
      <c r="C14724" s="29" t="s">
        <v>30114</v>
      </c>
      <c r="D14724" s="29" t="s">
        <v>43679</v>
      </c>
      <c r="E14724" s="29" t="s">
        <v>54234</v>
      </c>
      <c r="F14724" s="36" t="s">
        <v>54401</v>
      </c>
      <c r="G14724" s="39">
        <v>1306349.8700000001</v>
      </c>
      <c r="H14724" s="42">
        <v>211</v>
      </c>
    </row>
    <row r="14725" spans="1:8" ht="15" customHeight="1">
      <c r="A14725" s="26">
        <v>1098798019</v>
      </c>
      <c r="B14725" s="29" t="s">
        <v>16931</v>
      </c>
      <c r="C14725" s="29" t="s">
        <v>30115</v>
      </c>
      <c r="D14725" s="29" t="s">
        <v>43680</v>
      </c>
      <c r="E14725" s="29" t="s">
        <v>54235</v>
      </c>
      <c r="F14725" s="36" t="s">
        <v>54401</v>
      </c>
      <c r="G14725" s="39">
        <v>230112.6</v>
      </c>
      <c r="H14725" s="42">
        <v>211</v>
      </c>
    </row>
    <row r="14726" spans="1:8" ht="15" customHeight="1">
      <c r="A14726" s="26">
        <v>1098800333</v>
      </c>
      <c r="B14726" s="29" t="s">
        <v>16932</v>
      </c>
      <c r="C14726" s="29" t="s">
        <v>30116</v>
      </c>
      <c r="D14726" s="29" t="s">
        <v>43681</v>
      </c>
      <c r="E14726" s="29" t="s">
        <v>54236</v>
      </c>
      <c r="F14726" s="36" t="s">
        <v>54401</v>
      </c>
      <c r="G14726" s="39">
        <v>99137.79</v>
      </c>
      <c r="H14726" s="42">
        <v>211</v>
      </c>
    </row>
    <row r="14727" spans="1:8" ht="15" customHeight="1">
      <c r="A14727" s="26">
        <v>1098809027</v>
      </c>
      <c r="B14727" s="29" t="s">
        <v>16933</v>
      </c>
      <c r="C14727" s="29" t="s">
        <v>17204</v>
      </c>
      <c r="D14727" s="29" t="s">
        <v>43682</v>
      </c>
      <c r="E14727" s="29" t="s">
        <v>43926</v>
      </c>
      <c r="F14727" s="36" t="s">
        <v>54401</v>
      </c>
      <c r="G14727" s="39">
        <v>50840.9</v>
      </c>
      <c r="H14727" s="42">
        <v>211</v>
      </c>
    </row>
    <row r="14728" spans="1:8" ht="15" customHeight="1">
      <c r="A14728" s="26">
        <v>1098810055</v>
      </c>
      <c r="B14728" s="29" t="s">
        <v>16934</v>
      </c>
      <c r="C14728" s="29" t="s">
        <v>30117</v>
      </c>
      <c r="D14728" s="29" t="s">
        <v>43683</v>
      </c>
      <c r="E14728" s="29" t="s">
        <v>47159</v>
      </c>
      <c r="F14728" s="36" t="s">
        <v>54401</v>
      </c>
      <c r="G14728" s="39">
        <v>4765959.37</v>
      </c>
      <c r="H14728" s="42">
        <v>211</v>
      </c>
    </row>
    <row r="14729" spans="1:8" ht="15" customHeight="1">
      <c r="A14729" s="26">
        <v>1098822743</v>
      </c>
      <c r="B14729" s="29" t="s">
        <v>16935</v>
      </c>
      <c r="C14729" s="29" t="s">
        <v>30118</v>
      </c>
      <c r="D14729" s="29" t="s">
        <v>43684</v>
      </c>
      <c r="E14729" s="29" t="s">
        <v>54237</v>
      </c>
      <c r="F14729" s="36" t="s">
        <v>54401</v>
      </c>
      <c r="G14729" s="39">
        <v>1981409.92</v>
      </c>
      <c r="H14729" s="42">
        <v>211</v>
      </c>
    </row>
    <row r="14730" spans="1:8" ht="15" customHeight="1">
      <c r="A14730" s="26">
        <v>1099204752</v>
      </c>
      <c r="B14730" s="29" t="s">
        <v>16936</v>
      </c>
      <c r="C14730" s="29" t="s">
        <v>17204</v>
      </c>
      <c r="D14730" s="29" t="s">
        <v>30349</v>
      </c>
      <c r="E14730" s="29" t="s">
        <v>43926</v>
      </c>
      <c r="F14730" s="36" t="s">
        <v>54401</v>
      </c>
      <c r="G14730" s="39">
        <v>440319.03</v>
      </c>
      <c r="H14730" s="42">
        <v>211</v>
      </c>
    </row>
    <row r="14731" spans="1:8" ht="15" customHeight="1">
      <c r="A14731" s="26">
        <v>1099206520</v>
      </c>
      <c r="B14731" s="29" t="s">
        <v>16937</v>
      </c>
      <c r="C14731" s="29" t="s">
        <v>30119</v>
      </c>
      <c r="D14731" s="29" t="s">
        <v>43685</v>
      </c>
      <c r="E14731" s="29" t="s">
        <v>54238</v>
      </c>
      <c r="F14731" s="36" t="s">
        <v>54401</v>
      </c>
      <c r="G14731" s="39">
        <v>440690.68</v>
      </c>
      <c r="H14731" s="42">
        <v>211</v>
      </c>
    </row>
    <row r="14732" spans="1:8" ht="15" customHeight="1">
      <c r="A14732" s="26">
        <v>1099207707</v>
      </c>
      <c r="B14732" s="29" t="s">
        <v>16938</v>
      </c>
      <c r="C14732" s="29" t="s">
        <v>30120</v>
      </c>
      <c r="D14732" s="29" t="s">
        <v>43686</v>
      </c>
      <c r="E14732" s="29" t="s">
        <v>49682</v>
      </c>
      <c r="F14732" s="36" t="s">
        <v>54401</v>
      </c>
      <c r="G14732" s="39">
        <v>2965333.86</v>
      </c>
      <c r="H14732" s="42">
        <v>211</v>
      </c>
    </row>
    <row r="14733" spans="1:8" ht="15" customHeight="1">
      <c r="A14733" s="26">
        <v>1099207974</v>
      </c>
      <c r="B14733" s="29" t="s">
        <v>16939</v>
      </c>
      <c r="C14733" s="29" t="s">
        <v>30121</v>
      </c>
      <c r="D14733" s="29" t="s">
        <v>43687</v>
      </c>
      <c r="E14733" s="29" t="s">
        <v>43926</v>
      </c>
      <c r="F14733" s="36" t="s">
        <v>54401</v>
      </c>
      <c r="G14733" s="39">
        <v>166599.29</v>
      </c>
      <c r="H14733" s="42">
        <v>211</v>
      </c>
    </row>
    <row r="14734" spans="1:8" ht="15" customHeight="1">
      <c r="A14734" s="26">
        <v>1099215891</v>
      </c>
      <c r="B14734" s="29" t="s">
        <v>16940</v>
      </c>
      <c r="C14734" s="29" t="s">
        <v>30122</v>
      </c>
      <c r="D14734" s="29" t="s">
        <v>43688</v>
      </c>
      <c r="E14734" s="29" t="s">
        <v>47797</v>
      </c>
      <c r="F14734" s="36" t="s">
        <v>54401</v>
      </c>
      <c r="G14734" s="39">
        <v>2333102.46</v>
      </c>
      <c r="H14734" s="42">
        <v>211</v>
      </c>
    </row>
    <row r="14735" spans="1:8" ht="15" customHeight="1">
      <c r="A14735" s="26">
        <v>1099216267</v>
      </c>
      <c r="B14735" s="29" t="s">
        <v>16941</v>
      </c>
      <c r="C14735" s="29" t="s">
        <v>30123</v>
      </c>
      <c r="D14735" s="29" t="s">
        <v>43689</v>
      </c>
      <c r="E14735" s="29" t="s">
        <v>46396</v>
      </c>
      <c r="F14735" s="36" t="s">
        <v>54401</v>
      </c>
      <c r="G14735" s="39">
        <v>1605762.44</v>
      </c>
      <c r="H14735" s="42">
        <v>211</v>
      </c>
    </row>
    <row r="14736" spans="1:8" ht="15" customHeight="1">
      <c r="A14736" s="26">
        <v>1099322259</v>
      </c>
      <c r="B14736" s="29" t="s">
        <v>16942</v>
      </c>
      <c r="C14736" s="26" t="s">
        <v>17204</v>
      </c>
      <c r="D14736" s="26" t="s">
        <v>30349</v>
      </c>
      <c r="E14736" s="26" t="s">
        <v>43926</v>
      </c>
      <c r="F14736" s="37" t="s">
        <v>54401</v>
      </c>
      <c r="G14736" s="39">
        <v>15457.52</v>
      </c>
      <c r="H14736" s="42">
        <v>211</v>
      </c>
    </row>
    <row r="14737" spans="1:8" ht="15" customHeight="1">
      <c r="A14737" s="26">
        <v>1099543779</v>
      </c>
      <c r="B14737" s="29" t="s">
        <v>16943</v>
      </c>
      <c r="C14737" s="26" t="s">
        <v>30124</v>
      </c>
      <c r="D14737" s="26" t="s">
        <v>43690</v>
      </c>
      <c r="E14737" s="26" t="s">
        <v>54239</v>
      </c>
      <c r="F14737" s="37" t="s">
        <v>54401</v>
      </c>
      <c r="G14737" s="39">
        <v>684525.85</v>
      </c>
      <c r="H14737" s="42">
        <v>211</v>
      </c>
    </row>
    <row r="14738" spans="1:8" ht="15" customHeight="1">
      <c r="A14738" s="26">
        <v>1099622365</v>
      </c>
      <c r="B14738" s="29" t="s">
        <v>16944</v>
      </c>
      <c r="C14738" s="29" t="s">
        <v>30125</v>
      </c>
      <c r="D14738" s="29" t="s">
        <v>43691</v>
      </c>
      <c r="E14738" s="29" t="s">
        <v>54240</v>
      </c>
      <c r="F14738" s="36" t="s">
        <v>54401</v>
      </c>
      <c r="G14738" s="39">
        <v>25897.64</v>
      </c>
      <c r="H14738" s="42">
        <v>211</v>
      </c>
    </row>
    <row r="14739" spans="1:8" ht="15" customHeight="1">
      <c r="A14739" s="26">
        <v>1100628427</v>
      </c>
      <c r="B14739" s="29" t="s">
        <v>16945</v>
      </c>
      <c r="C14739" s="29" t="s">
        <v>30126</v>
      </c>
      <c r="D14739" s="29" t="s">
        <v>43692</v>
      </c>
      <c r="E14739" s="29" t="s">
        <v>44481</v>
      </c>
      <c r="F14739" s="36" t="s">
        <v>54401</v>
      </c>
      <c r="G14739" s="39">
        <v>6255230.7000000002</v>
      </c>
      <c r="H14739" s="42">
        <v>211</v>
      </c>
    </row>
    <row r="14740" spans="1:8" ht="15" customHeight="1">
      <c r="A14740" s="26">
        <v>1100812697</v>
      </c>
      <c r="B14740" s="29" t="s">
        <v>16946</v>
      </c>
      <c r="C14740" s="29" t="s">
        <v>30127</v>
      </c>
      <c r="D14740" s="29" t="s">
        <v>30376</v>
      </c>
      <c r="E14740" s="29" t="s">
        <v>54241</v>
      </c>
      <c r="F14740" s="36" t="s">
        <v>54401</v>
      </c>
      <c r="G14740" s="39">
        <v>389245.97</v>
      </c>
      <c r="H14740" s="42">
        <v>211</v>
      </c>
    </row>
    <row r="14741" spans="1:8" ht="15" customHeight="1">
      <c r="A14741" s="26">
        <v>1100813402</v>
      </c>
      <c r="B14741" s="29" t="s">
        <v>16947</v>
      </c>
      <c r="C14741" s="29" t="s">
        <v>30128</v>
      </c>
      <c r="D14741" s="29" t="s">
        <v>43693</v>
      </c>
      <c r="E14741" s="29" t="s">
        <v>45314</v>
      </c>
      <c r="F14741" s="36" t="s">
        <v>54401</v>
      </c>
      <c r="G14741" s="39">
        <v>69153.05</v>
      </c>
      <c r="H14741" s="42">
        <v>211</v>
      </c>
    </row>
    <row r="14742" spans="1:8" ht="15" customHeight="1">
      <c r="A14742" s="26">
        <v>1100948110</v>
      </c>
      <c r="B14742" s="29" t="s">
        <v>16948</v>
      </c>
      <c r="C14742" s="29" t="s">
        <v>30129</v>
      </c>
      <c r="D14742" s="29" t="s">
        <v>43694</v>
      </c>
      <c r="E14742" s="29" t="s">
        <v>43928</v>
      </c>
      <c r="F14742" s="36" t="s">
        <v>54401</v>
      </c>
      <c r="G14742" s="39">
        <v>602062.79</v>
      </c>
      <c r="H14742" s="42">
        <v>211</v>
      </c>
    </row>
    <row r="14743" spans="1:8" ht="15" customHeight="1">
      <c r="A14743" s="26">
        <v>1100948355</v>
      </c>
      <c r="B14743" s="29" t="s">
        <v>16949</v>
      </c>
      <c r="C14743" s="29" t="s">
        <v>30130</v>
      </c>
      <c r="D14743" s="29" t="s">
        <v>43695</v>
      </c>
      <c r="E14743" s="29" t="s">
        <v>46246</v>
      </c>
      <c r="F14743" s="36" t="s">
        <v>54401</v>
      </c>
      <c r="G14743" s="39">
        <v>10332</v>
      </c>
      <c r="H14743" s="42">
        <v>211</v>
      </c>
    </row>
    <row r="14744" spans="1:8" ht="15" customHeight="1">
      <c r="A14744" s="26">
        <v>1100948523</v>
      </c>
      <c r="B14744" s="29" t="s">
        <v>16950</v>
      </c>
      <c r="C14744" s="29" t="s">
        <v>30131</v>
      </c>
      <c r="D14744" s="29" t="s">
        <v>43696</v>
      </c>
      <c r="E14744" s="29" t="s">
        <v>54242</v>
      </c>
      <c r="F14744" s="36" t="s">
        <v>54401</v>
      </c>
      <c r="G14744" s="39">
        <v>644002.02</v>
      </c>
      <c r="H14744" s="42">
        <v>211</v>
      </c>
    </row>
    <row r="14745" spans="1:8" ht="15" customHeight="1">
      <c r="A14745" s="26">
        <v>1100954612</v>
      </c>
      <c r="B14745" s="29" t="s">
        <v>16951</v>
      </c>
      <c r="C14745" s="29" t="s">
        <v>30132</v>
      </c>
      <c r="D14745" s="29" t="s">
        <v>43697</v>
      </c>
      <c r="E14745" s="29" t="s">
        <v>54243</v>
      </c>
      <c r="F14745" s="36" t="s">
        <v>54401</v>
      </c>
      <c r="G14745" s="39">
        <v>383863.46</v>
      </c>
      <c r="H14745" s="42">
        <v>211</v>
      </c>
    </row>
    <row r="14746" spans="1:8" ht="15" customHeight="1">
      <c r="A14746" s="26">
        <v>1100958143</v>
      </c>
      <c r="B14746" s="29" t="s">
        <v>16952</v>
      </c>
      <c r="C14746" s="29" t="s">
        <v>30133</v>
      </c>
      <c r="D14746" s="29" t="s">
        <v>43698</v>
      </c>
      <c r="E14746" s="29" t="s">
        <v>54244</v>
      </c>
      <c r="F14746" s="36" t="s">
        <v>54401</v>
      </c>
      <c r="G14746" s="39">
        <v>5456941</v>
      </c>
      <c r="H14746" s="42">
        <v>211</v>
      </c>
    </row>
    <row r="14747" spans="1:8" ht="15" customHeight="1">
      <c r="A14747" s="26">
        <v>1100958154</v>
      </c>
      <c r="B14747" s="29" t="s">
        <v>16953</v>
      </c>
      <c r="C14747" s="29" t="s">
        <v>30134</v>
      </c>
      <c r="D14747" s="29" t="s">
        <v>43699</v>
      </c>
      <c r="E14747" s="29" t="s">
        <v>43926</v>
      </c>
      <c r="F14747" s="36" t="s">
        <v>54401</v>
      </c>
      <c r="G14747" s="39">
        <v>1577866.31</v>
      </c>
      <c r="H14747" s="42">
        <v>211</v>
      </c>
    </row>
    <row r="14748" spans="1:8" ht="15" customHeight="1">
      <c r="A14748" s="26">
        <v>1101320134</v>
      </c>
      <c r="B14748" s="29" t="s">
        <v>16954</v>
      </c>
      <c r="C14748" s="29" t="s">
        <v>30135</v>
      </c>
      <c r="D14748" s="29" t="s">
        <v>43700</v>
      </c>
      <c r="E14748" s="29" t="s">
        <v>43926</v>
      </c>
      <c r="F14748" s="36" t="s">
        <v>54401</v>
      </c>
      <c r="G14748" s="39">
        <v>91807.02</v>
      </c>
      <c r="H14748" s="42">
        <v>211</v>
      </c>
    </row>
    <row r="14749" spans="1:8" ht="15" customHeight="1">
      <c r="A14749" s="26">
        <v>1101598580</v>
      </c>
      <c r="B14749" s="29" t="s">
        <v>16955</v>
      </c>
      <c r="C14749" s="29" t="s">
        <v>30136</v>
      </c>
      <c r="D14749" s="29" t="s">
        <v>43701</v>
      </c>
      <c r="E14749" s="29" t="s">
        <v>54245</v>
      </c>
      <c r="F14749" s="36" t="s">
        <v>54401</v>
      </c>
      <c r="G14749" s="39">
        <v>134117.65</v>
      </c>
      <c r="H14749" s="42">
        <v>211</v>
      </c>
    </row>
    <row r="14750" spans="1:8" ht="15" customHeight="1">
      <c r="A14750" s="26">
        <v>1101690366</v>
      </c>
      <c r="B14750" s="29" t="s">
        <v>16956</v>
      </c>
      <c r="C14750" s="29" t="s">
        <v>17204</v>
      </c>
      <c r="D14750" s="29" t="s">
        <v>43702</v>
      </c>
      <c r="E14750" s="29" t="s">
        <v>43926</v>
      </c>
      <c r="F14750" s="36" t="s">
        <v>54401</v>
      </c>
      <c r="G14750" s="39">
        <v>54276.31</v>
      </c>
      <c r="H14750" s="42">
        <v>211</v>
      </c>
    </row>
    <row r="14751" spans="1:8" ht="15" customHeight="1">
      <c r="A14751" s="26">
        <v>1101692511</v>
      </c>
      <c r="B14751" s="29" t="s">
        <v>16957</v>
      </c>
      <c r="C14751" s="29" t="s">
        <v>30137</v>
      </c>
      <c r="D14751" s="29" t="s">
        <v>43703</v>
      </c>
      <c r="E14751" s="29" t="s">
        <v>44327</v>
      </c>
      <c r="F14751" s="36" t="s">
        <v>54401</v>
      </c>
      <c r="G14751" s="39">
        <v>292830.03000000003</v>
      </c>
      <c r="H14751" s="42">
        <v>211</v>
      </c>
    </row>
    <row r="14752" spans="1:8" ht="15" customHeight="1">
      <c r="A14752" s="26">
        <v>1101694102</v>
      </c>
      <c r="B14752" s="29" t="s">
        <v>16958</v>
      </c>
      <c r="C14752" s="29" t="s">
        <v>30138</v>
      </c>
      <c r="D14752" s="29" t="s">
        <v>43704</v>
      </c>
      <c r="E14752" s="29" t="s">
        <v>45552</v>
      </c>
      <c r="F14752" s="36" t="s">
        <v>54401</v>
      </c>
      <c r="G14752" s="39">
        <v>730202.35</v>
      </c>
      <c r="H14752" s="42">
        <v>211</v>
      </c>
    </row>
    <row r="14753" spans="1:8" ht="15" customHeight="1">
      <c r="A14753" s="26">
        <v>1101696380</v>
      </c>
      <c r="B14753" s="29" t="s">
        <v>16959</v>
      </c>
      <c r="C14753" s="29" t="s">
        <v>17204</v>
      </c>
      <c r="D14753" s="29" t="s">
        <v>30349</v>
      </c>
      <c r="E14753" s="29" t="s">
        <v>43926</v>
      </c>
      <c r="F14753" s="36" t="s">
        <v>54401</v>
      </c>
      <c r="G14753" s="39">
        <v>157068.65</v>
      </c>
      <c r="H14753" s="42">
        <v>211</v>
      </c>
    </row>
    <row r="14754" spans="1:8" ht="15" customHeight="1">
      <c r="A14754" s="26">
        <v>1101820699</v>
      </c>
      <c r="B14754" s="29" t="s">
        <v>16960</v>
      </c>
      <c r="C14754" s="29" t="s">
        <v>17204</v>
      </c>
      <c r="D14754" s="29" t="s">
        <v>43705</v>
      </c>
      <c r="E14754" s="29" t="s">
        <v>43926</v>
      </c>
      <c r="F14754" s="36" t="s">
        <v>54401</v>
      </c>
      <c r="G14754" s="39">
        <v>200336.96</v>
      </c>
      <c r="H14754" s="42">
        <v>211</v>
      </c>
    </row>
    <row r="14755" spans="1:8" ht="15" customHeight="1">
      <c r="A14755" s="26">
        <v>1102362876</v>
      </c>
      <c r="B14755" s="29" t="s">
        <v>16961</v>
      </c>
      <c r="C14755" s="29" t="s">
        <v>30139</v>
      </c>
      <c r="D14755" s="29" t="s">
        <v>43706</v>
      </c>
      <c r="E14755" s="29" t="s">
        <v>54246</v>
      </c>
      <c r="F14755" s="36" t="s">
        <v>54409</v>
      </c>
      <c r="G14755" s="39">
        <v>431558.01</v>
      </c>
      <c r="H14755" s="42">
        <v>211</v>
      </c>
    </row>
    <row r="14756" spans="1:8" ht="15" customHeight="1">
      <c r="A14756" s="26">
        <v>1102376923</v>
      </c>
      <c r="B14756" s="29" t="s">
        <v>16962</v>
      </c>
      <c r="C14756" s="26" t="s">
        <v>30140</v>
      </c>
      <c r="D14756" s="26" t="s">
        <v>30349</v>
      </c>
      <c r="E14756" s="26" t="s">
        <v>43926</v>
      </c>
      <c r="F14756" s="37" t="s">
        <v>54401</v>
      </c>
      <c r="G14756" s="39">
        <v>78988.34</v>
      </c>
      <c r="H14756" s="42">
        <v>211</v>
      </c>
    </row>
    <row r="14757" spans="1:8" ht="15" customHeight="1">
      <c r="A14757" s="26">
        <v>1102549551</v>
      </c>
      <c r="B14757" s="29" t="s">
        <v>16963</v>
      </c>
      <c r="C14757" s="26" t="s">
        <v>30141</v>
      </c>
      <c r="D14757" s="26" t="s">
        <v>43707</v>
      </c>
      <c r="E14757" s="26" t="s">
        <v>46960</v>
      </c>
      <c r="F14757" s="37" t="s">
        <v>54401</v>
      </c>
      <c r="G14757" s="39">
        <v>1515123.21</v>
      </c>
      <c r="H14757" s="42">
        <v>211</v>
      </c>
    </row>
    <row r="14758" spans="1:8" ht="15" customHeight="1">
      <c r="A14758" s="26">
        <v>1103471049</v>
      </c>
      <c r="B14758" s="29" t="s">
        <v>16964</v>
      </c>
      <c r="C14758" s="29" t="s">
        <v>30142</v>
      </c>
      <c r="D14758" s="29" t="s">
        <v>43708</v>
      </c>
      <c r="E14758" s="29" t="s">
        <v>54247</v>
      </c>
      <c r="F14758" s="36" t="s">
        <v>54401</v>
      </c>
      <c r="G14758" s="39">
        <v>781059.76</v>
      </c>
      <c r="H14758" s="42">
        <v>211</v>
      </c>
    </row>
    <row r="14759" spans="1:8" ht="15" customHeight="1">
      <c r="A14759" s="26">
        <v>1103712532</v>
      </c>
      <c r="B14759" s="29" t="s">
        <v>16965</v>
      </c>
      <c r="C14759" s="29" t="s">
        <v>30143</v>
      </c>
      <c r="D14759" s="29" t="s">
        <v>43709</v>
      </c>
      <c r="E14759" s="29" t="s">
        <v>54248</v>
      </c>
      <c r="F14759" s="36" t="s">
        <v>54401</v>
      </c>
      <c r="G14759" s="39">
        <v>619784</v>
      </c>
      <c r="H14759" s="42">
        <v>211</v>
      </c>
    </row>
    <row r="14760" spans="1:8" ht="15" customHeight="1">
      <c r="A14760" s="26">
        <v>1104407751</v>
      </c>
      <c r="B14760" s="29" t="s">
        <v>16966</v>
      </c>
      <c r="C14760" s="29" t="s">
        <v>30144</v>
      </c>
      <c r="D14760" s="29" t="s">
        <v>43710</v>
      </c>
      <c r="E14760" s="29" t="s">
        <v>54249</v>
      </c>
      <c r="F14760" s="36" t="s">
        <v>54401</v>
      </c>
      <c r="G14760" s="39">
        <v>8424576.3900000006</v>
      </c>
      <c r="H14760" s="42">
        <v>211</v>
      </c>
    </row>
    <row r="14761" spans="1:8" ht="15" customHeight="1">
      <c r="A14761" s="26">
        <v>1104697419</v>
      </c>
      <c r="B14761" s="29" t="s">
        <v>16967</v>
      </c>
      <c r="C14761" s="29" t="s">
        <v>30145</v>
      </c>
      <c r="D14761" s="29" t="s">
        <v>43711</v>
      </c>
      <c r="E14761" s="29" t="s">
        <v>52133</v>
      </c>
      <c r="F14761" s="36" t="s">
        <v>54401</v>
      </c>
      <c r="G14761" s="39">
        <v>391802.18</v>
      </c>
      <c r="H14761" s="42">
        <v>211</v>
      </c>
    </row>
    <row r="14762" spans="1:8" ht="15" customHeight="1">
      <c r="A14762" s="26">
        <v>1105614470</v>
      </c>
      <c r="B14762" s="29" t="s">
        <v>16968</v>
      </c>
      <c r="C14762" s="29" t="s">
        <v>30146</v>
      </c>
      <c r="D14762" s="29" t="s">
        <v>43712</v>
      </c>
      <c r="E14762" s="29" t="s">
        <v>47841</v>
      </c>
      <c r="F14762" s="36" t="s">
        <v>54401</v>
      </c>
      <c r="G14762" s="39">
        <v>40250.18</v>
      </c>
      <c r="H14762" s="42">
        <v>211</v>
      </c>
    </row>
    <row r="14763" spans="1:8" ht="15" customHeight="1">
      <c r="A14763" s="26">
        <v>1105790697</v>
      </c>
      <c r="B14763" s="29" t="s">
        <v>16969</v>
      </c>
      <c r="C14763" s="29" t="s">
        <v>30147</v>
      </c>
      <c r="D14763" s="29" t="s">
        <v>43713</v>
      </c>
      <c r="E14763" s="29" t="s">
        <v>54114</v>
      </c>
      <c r="F14763" s="36" t="s">
        <v>54401</v>
      </c>
      <c r="G14763" s="39">
        <v>163507.23000000001</v>
      </c>
      <c r="H14763" s="42">
        <v>211</v>
      </c>
    </row>
    <row r="14764" spans="1:8" ht="15" customHeight="1">
      <c r="A14764" s="26">
        <v>1106397578</v>
      </c>
      <c r="B14764" s="29" t="s">
        <v>16970</v>
      </c>
      <c r="C14764" s="29" t="s">
        <v>30148</v>
      </c>
      <c r="D14764" s="29" t="s">
        <v>43714</v>
      </c>
      <c r="E14764" s="29" t="s">
        <v>43926</v>
      </c>
      <c r="F14764" s="36" t="s">
        <v>54401</v>
      </c>
      <c r="G14764" s="39">
        <v>344680.23</v>
      </c>
      <c r="H14764" s="42">
        <v>211</v>
      </c>
    </row>
    <row r="14765" spans="1:8" ht="15" customHeight="1">
      <c r="A14765" s="26">
        <v>1107054962</v>
      </c>
      <c r="B14765" s="29" t="s">
        <v>16971</v>
      </c>
      <c r="C14765" s="29" t="s">
        <v>30149</v>
      </c>
      <c r="D14765" s="29" t="s">
        <v>43715</v>
      </c>
      <c r="E14765" s="29" t="s">
        <v>54250</v>
      </c>
      <c r="F14765" s="36" t="s">
        <v>54401</v>
      </c>
      <c r="G14765" s="39">
        <v>850013.18</v>
      </c>
      <c r="H14765" s="42">
        <v>211</v>
      </c>
    </row>
    <row r="14766" spans="1:8" ht="15" customHeight="1">
      <c r="A14766" s="26">
        <v>1107096874</v>
      </c>
      <c r="B14766" s="29" t="s">
        <v>16972</v>
      </c>
      <c r="C14766" s="29" t="s">
        <v>30150</v>
      </c>
      <c r="D14766" s="29" t="s">
        <v>43716</v>
      </c>
      <c r="E14766" s="29" t="s">
        <v>764</v>
      </c>
      <c r="F14766" s="36" t="s">
        <v>54401</v>
      </c>
      <c r="G14766" s="39">
        <v>100990.17</v>
      </c>
      <c r="H14766" s="42">
        <v>211</v>
      </c>
    </row>
    <row r="14767" spans="1:8" ht="15" customHeight="1">
      <c r="A14767" s="26">
        <v>1109006186</v>
      </c>
      <c r="B14767" s="29" t="s">
        <v>16973</v>
      </c>
      <c r="C14767" s="29" t="s">
        <v>30151</v>
      </c>
      <c r="D14767" s="29" t="s">
        <v>43717</v>
      </c>
      <c r="E14767" s="29" t="s">
        <v>54251</v>
      </c>
      <c r="F14767" s="36" t="s">
        <v>54401</v>
      </c>
      <c r="G14767" s="39">
        <v>59028.75</v>
      </c>
      <c r="H14767" s="42">
        <v>211</v>
      </c>
    </row>
    <row r="14768" spans="1:8" ht="15" customHeight="1">
      <c r="A14768" s="26">
        <v>1109244179</v>
      </c>
      <c r="B14768" s="29" t="s">
        <v>16974</v>
      </c>
      <c r="C14768" s="29" t="s">
        <v>30152</v>
      </c>
      <c r="D14768" s="29" t="s">
        <v>43718</v>
      </c>
      <c r="E14768" s="29" t="s">
        <v>49673</v>
      </c>
      <c r="F14768" s="36" t="s">
        <v>54401</v>
      </c>
      <c r="G14768" s="39">
        <v>2595513.19</v>
      </c>
      <c r="H14768" s="42">
        <v>211</v>
      </c>
    </row>
    <row r="14769" spans="1:8" ht="15" customHeight="1">
      <c r="A14769" s="26">
        <v>1110087359</v>
      </c>
      <c r="B14769" s="29" t="s">
        <v>16975</v>
      </c>
      <c r="C14769" s="29" t="s">
        <v>30153</v>
      </c>
      <c r="D14769" s="29" t="s">
        <v>43719</v>
      </c>
      <c r="E14769" s="29" t="s">
        <v>54252</v>
      </c>
      <c r="F14769" s="36" t="s">
        <v>54401</v>
      </c>
      <c r="G14769" s="39">
        <v>2420154.52</v>
      </c>
      <c r="H14769" s="42">
        <v>211</v>
      </c>
    </row>
    <row r="14770" spans="1:8" ht="15" customHeight="1">
      <c r="A14770" s="26">
        <v>1110453775</v>
      </c>
      <c r="B14770" s="29" t="s">
        <v>16976</v>
      </c>
      <c r="C14770" s="29" t="s">
        <v>30154</v>
      </c>
      <c r="D14770" s="29" t="s">
        <v>38507</v>
      </c>
      <c r="E14770" s="29" t="s">
        <v>45235</v>
      </c>
      <c r="F14770" s="36" t="s">
        <v>54401</v>
      </c>
      <c r="G14770" s="39">
        <v>2168406</v>
      </c>
      <c r="H14770" s="42">
        <v>211</v>
      </c>
    </row>
    <row r="14771" spans="1:8" ht="15" customHeight="1">
      <c r="A14771" s="26">
        <v>1110460878</v>
      </c>
      <c r="B14771" s="29" t="s">
        <v>16977</v>
      </c>
      <c r="C14771" s="29" t="s">
        <v>30155</v>
      </c>
      <c r="D14771" s="29" t="s">
        <v>43720</v>
      </c>
      <c r="E14771" s="29" t="s">
        <v>43926</v>
      </c>
      <c r="F14771" s="36" t="s">
        <v>54401</v>
      </c>
      <c r="G14771" s="39">
        <v>6128916</v>
      </c>
      <c r="H14771" s="42">
        <v>211</v>
      </c>
    </row>
    <row r="14772" spans="1:8" ht="15" customHeight="1">
      <c r="A14772" s="26">
        <v>1110486223</v>
      </c>
      <c r="B14772" s="29" t="s">
        <v>16978</v>
      </c>
      <c r="C14772" s="29" t="s">
        <v>30156</v>
      </c>
      <c r="D14772" s="29" t="s">
        <v>43721</v>
      </c>
      <c r="E14772" s="29" t="s">
        <v>49360</v>
      </c>
      <c r="F14772" s="36" t="s">
        <v>54401</v>
      </c>
      <c r="G14772" s="39">
        <v>27686.55</v>
      </c>
      <c r="H14772" s="42">
        <v>211</v>
      </c>
    </row>
    <row r="14773" spans="1:8" ht="15" customHeight="1">
      <c r="A14773" s="26">
        <v>1110487541</v>
      </c>
      <c r="B14773" s="29" t="s">
        <v>16979</v>
      </c>
      <c r="C14773" s="29" t="s">
        <v>30157</v>
      </c>
      <c r="D14773" s="29" t="s">
        <v>43722</v>
      </c>
      <c r="E14773" s="29" t="s">
        <v>46818</v>
      </c>
      <c r="F14773" s="36" t="s">
        <v>54401</v>
      </c>
      <c r="G14773" s="39">
        <v>3343242.95</v>
      </c>
      <c r="H14773" s="42">
        <v>211</v>
      </c>
    </row>
    <row r="14774" spans="1:8" ht="15" customHeight="1">
      <c r="A14774" s="26">
        <v>1110524685</v>
      </c>
      <c r="B14774" s="29" t="s">
        <v>16980</v>
      </c>
      <c r="C14774" s="29" t="s">
        <v>30158</v>
      </c>
      <c r="D14774" s="29" t="s">
        <v>43723</v>
      </c>
      <c r="E14774" s="29" t="s">
        <v>44205</v>
      </c>
      <c r="F14774" s="36" t="s">
        <v>54412</v>
      </c>
      <c r="G14774" s="39">
        <v>117983.19</v>
      </c>
      <c r="H14774" s="42">
        <v>211</v>
      </c>
    </row>
    <row r="14775" spans="1:8" ht="15" customHeight="1">
      <c r="A14775" s="26">
        <v>1110548616</v>
      </c>
      <c r="B14775" s="29" t="s">
        <v>16981</v>
      </c>
      <c r="C14775" s="29" t="s">
        <v>30159</v>
      </c>
      <c r="D14775" s="29" t="s">
        <v>43724</v>
      </c>
      <c r="E14775" s="29" t="s">
        <v>54253</v>
      </c>
      <c r="F14775" s="36" t="s">
        <v>54401</v>
      </c>
      <c r="G14775" s="39">
        <v>1802423.91</v>
      </c>
      <c r="H14775" s="42">
        <v>211</v>
      </c>
    </row>
    <row r="14776" spans="1:8" ht="15" customHeight="1">
      <c r="A14776" s="26">
        <v>1110556664</v>
      </c>
      <c r="B14776" s="29" t="s">
        <v>16982</v>
      </c>
      <c r="C14776" s="29" t="s">
        <v>30160</v>
      </c>
      <c r="D14776" s="29" t="s">
        <v>43725</v>
      </c>
      <c r="E14776" s="29" t="s">
        <v>54254</v>
      </c>
      <c r="F14776" s="36" t="s">
        <v>54401</v>
      </c>
      <c r="G14776" s="39">
        <v>17292.73</v>
      </c>
      <c r="H14776" s="42">
        <v>211</v>
      </c>
    </row>
    <row r="14777" spans="1:8" ht="15" customHeight="1">
      <c r="A14777" s="26">
        <v>1111194725</v>
      </c>
      <c r="B14777" s="29" t="s">
        <v>16983</v>
      </c>
      <c r="C14777" s="29" t="s">
        <v>30161</v>
      </c>
      <c r="D14777" s="29" t="s">
        <v>43726</v>
      </c>
      <c r="E14777" s="29" t="s">
        <v>44737</v>
      </c>
      <c r="F14777" s="36" t="s">
        <v>54401</v>
      </c>
      <c r="G14777" s="39">
        <v>3381660.05</v>
      </c>
      <c r="H14777" s="42">
        <v>211</v>
      </c>
    </row>
    <row r="14778" spans="1:8" ht="15" customHeight="1">
      <c r="A14778" s="26">
        <v>1111195307</v>
      </c>
      <c r="B14778" s="29" t="s">
        <v>16984</v>
      </c>
      <c r="C14778" s="26" t="s">
        <v>30162</v>
      </c>
      <c r="D14778" s="26" t="s">
        <v>43727</v>
      </c>
      <c r="E14778" s="26" t="s">
        <v>43926</v>
      </c>
      <c r="F14778" s="37" t="s">
        <v>54401</v>
      </c>
      <c r="G14778" s="39">
        <v>33091.660000000003</v>
      </c>
      <c r="H14778" s="42">
        <v>211</v>
      </c>
    </row>
    <row r="14779" spans="1:8" ht="15" customHeight="1">
      <c r="A14779" s="26">
        <v>1111201594</v>
      </c>
      <c r="B14779" s="29" t="s">
        <v>16985</v>
      </c>
      <c r="C14779" s="29" t="s">
        <v>30163</v>
      </c>
      <c r="D14779" s="29" t="s">
        <v>43728</v>
      </c>
      <c r="E14779" s="29" t="s">
        <v>54255</v>
      </c>
      <c r="F14779" s="36" t="s">
        <v>54401</v>
      </c>
      <c r="G14779" s="39">
        <v>636851.81999999995</v>
      </c>
      <c r="H14779" s="42">
        <v>211</v>
      </c>
    </row>
    <row r="14780" spans="1:8" ht="15" customHeight="1">
      <c r="A14780" s="26">
        <v>1111206023</v>
      </c>
      <c r="B14780" s="29" t="s">
        <v>16986</v>
      </c>
      <c r="C14780" s="29" t="s">
        <v>30164</v>
      </c>
      <c r="D14780" s="29" t="s">
        <v>43729</v>
      </c>
      <c r="E14780" s="29" t="s">
        <v>54256</v>
      </c>
      <c r="F14780" s="36" t="s">
        <v>54401</v>
      </c>
      <c r="G14780" s="39">
        <v>55975.29</v>
      </c>
      <c r="H14780" s="42">
        <v>211</v>
      </c>
    </row>
    <row r="14781" spans="1:8" ht="15" customHeight="1">
      <c r="A14781" s="26">
        <v>1112777285</v>
      </c>
      <c r="B14781" s="29" t="s">
        <v>16987</v>
      </c>
      <c r="C14781" s="29" t="s">
        <v>30165</v>
      </c>
      <c r="D14781" s="29" t="s">
        <v>43730</v>
      </c>
      <c r="E14781" s="29" t="s">
        <v>46458</v>
      </c>
      <c r="F14781" s="36" t="s">
        <v>54401</v>
      </c>
      <c r="G14781" s="39">
        <v>3536814</v>
      </c>
      <c r="H14781" s="42">
        <v>211</v>
      </c>
    </row>
    <row r="14782" spans="1:8" ht="15" customHeight="1">
      <c r="A14782" s="26">
        <v>1113650345</v>
      </c>
      <c r="B14782" s="29" t="s">
        <v>16988</v>
      </c>
      <c r="C14782" s="29" t="s">
        <v>30166</v>
      </c>
      <c r="D14782" s="29" t="s">
        <v>43731</v>
      </c>
      <c r="E14782" s="29" t="s">
        <v>54257</v>
      </c>
      <c r="F14782" s="36" t="s">
        <v>54401</v>
      </c>
      <c r="G14782" s="39">
        <v>2324216.69</v>
      </c>
      <c r="H14782" s="42">
        <v>211</v>
      </c>
    </row>
    <row r="14783" spans="1:8" ht="15" customHeight="1">
      <c r="A14783" s="26">
        <v>1114119046</v>
      </c>
      <c r="B14783" s="29" t="s">
        <v>16989</v>
      </c>
      <c r="C14783" s="29" t="s">
        <v>30167</v>
      </c>
      <c r="D14783" s="29" t="s">
        <v>43732</v>
      </c>
      <c r="E14783" s="29" t="s">
        <v>52281</v>
      </c>
      <c r="F14783" s="36" t="s">
        <v>54401</v>
      </c>
      <c r="G14783" s="39">
        <v>833693.91</v>
      </c>
      <c r="H14783" s="42">
        <v>211</v>
      </c>
    </row>
    <row r="14784" spans="1:8" ht="15" customHeight="1">
      <c r="A14784" s="26">
        <v>1114787772</v>
      </c>
      <c r="B14784" s="29" t="s">
        <v>16990</v>
      </c>
      <c r="C14784" s="29" t="s">
        <v>30168</v>
      </c>
      <c r="D14784" s="29" t="s">
        <v>43733</v>
      </c>
      <c r="E14784" s="29" t="s">
        <v>54258</v>
      </c>
      <c r="F14784" s="36" t="s">
        <v>54401</v>
      </c>
      <c r="G14784" s="39">
        <v>798669.74</v>
      </c>
      <c r="H14784" s="42">
        <v>211</v>
      </c>
    </row>
    <row r="14785" spans="1:8" ht="15" customHeight="1">
      <c r="A14785" s="26">
        <v>1115691499</v>
      </c>
      <c r="B14785" s="29" t="s">
        <v>16991</v>
      </c>
      <c r="C14785" s="29" t="s">
        <v>30169</v>
      </c>
      <c r="D14785" s="29" t="s">
        <v>43734</v>
      </c>
      <c r="E14785" s="29" t="s">
        <v>54259</v>
      </c>
      <c r="F14785" s="36" t="s">
        <v>54401</v>
      </c>
      <c r="G14785" s="39">
        <v>4202261</v>
      </c>
      <c r="H14785" s="42">
        <v>211</v>
      </c>
    </row>
    <row r="14786" spans="1:8" ht="15" customHeight="1">
      <c r="A14786" s="26">
        <v>1115721124</v>
      </c>
      <c r="B14786" s="29" t="s">
        <v>16992</v>
      </c>
      <c r="C14786" s="26" t="s">
        <v>30170</v>
      </c>
      <c r="D14786" s="26" t="s">
        <v>43735</v>
      </c>
      <c r="E14786" s="26" t="s">
        <v>54260</v>
      </c>
      <c r="F14786" s="37" t="s">
        <v>54401</v>
      </c>
      <c r="G14786" s="39">
        <v>103008.4</v>
      </c>
      <c r="H14786" s="42">
        <v>211</v>
      </c>
    </row>
    <row r="14787" spans="1:8" ht="15" customHeight="1">
      <c r="A14787" s="26">
        <v>1115741501</v>
      </c>
      <c r="B14787" s="29" t="s">
        <v>16993</v>
      </c>
      <c r="C14787" s="29" t="s">
        <v>30171</v>
      </c>
      <c r="D14787" s="29" t="s">
        <v>43736</v>
      </c>
      <c r="E14787" s="29" t="s">
        <v>54261</v>
      </c>
      <c r="F14787" s="36" t="s">
        <v>54401</v>
      </c>
      <c r="G14787" s="39">
        <v>240308.69</v>
      </c>
      <c r="H14787" s="42">
        <v>211</v>
      </c>
    </row>
    <row r="14788" spans="1:8" ht="15" customHeight="1">
      <c r="A14788" s="26">
        <v>1115850705</v>
      </c>
      <c r="B14788" s="29" t="s">
        <v>16994</v>
      </c>
      <c r="C14788" s="29" t="s">
        <v>30172</v>
      </c>
      <c r="D14788" s="29" t="s">
        <v>43737</v>
      </c>
      <c r="E14788" s="29" t="s">
        <v>43926</v>
      </c>
      <c r="F14788" s="36" t="s">
        <v>54401</v>
      </c>
      <c r="G14788" s="39">
        <v>763016.86</v>
      </c>
      <c r="H14788" s="42">
        <v>211</v>
      </c>
    </row>
    <row r="14789" spans="1:8" ht="15" customHeight="1">
      <c r="A14789" s="26">
        <v>1115852606</v>
      </c>
      <c r="B14789" s="29" t="s">
        <v>10528</v>
      </c>
      <c r="C14789" s="29" t="s">
        <v>30173</v>
      </c>
      <c r="D14789" s="29" t="s">
        <v>43738</v>
      </c>
      <c r="E14789" s="29" t="s">
        <v>54262</v>
      </c>
      <c r="F14789" s="36" t="s">
        <v>54401</v>
      </c>
      <c r="G14789" s="39">
        <v>2654405.3199999998</v>
      </c>
      <c r="H14789" s="42">
        <v>211</v>
      </c>
    </row>
    <row r="14790" spans="1:8" ht="15" customHeight="1">
      <c r="A14790" s="26">
        <v>1115857086</v>
      </c>
      <c r="B14790" s="29" t="s">
        <v>16995</v>
      </c>
      <c r="C14790" s="29" t="s">
        <v>30174</v>
      </c>
      <c r="D14790" s="29" t="s">
        <v>43739</v>
      </c>
      <c r="E14790" s="29" t="s">
        <v>54263</v>
      </c>
      <c r="F14790" s="36" t="s">
        <v>54401</v>
      </c>
      <c r="G14790" s="39">
        <v>26029.69</v>
      </c>
      <c r="H14790" s="42">
        <v>211</v>
      </c>
    </row>
    <row r="14791" spans="1:8" ht="15" customHeight="1">
      <c r="A14791" s="26">
        <v>1115859279</v>
      </c>
      <c r="B14791" s="29" t="s">
        <v>16996</v>
      </c>
      <c r="C14791" s="29" t="s">
        <v>17204</v>
      </c>
      <c r="D14791" s="29" t="s">
        <v>30349</v>
      </c>
      <c r="E14791" s="29" t="s">
        <v>43926</v>
      </c>
      <c r="F14791" s="36" t="s">
        <v>54401</v>
      </c>
      <c r="G14791" s="39">
        <v>27565.919999999998</v>
      </c>
      <c r="H14791" s="42">
        <v>211</v>
      </c>
    </row>
    <row r="14792" spans="1:8" ht="15" customHeight="1">
      <c r="A14792" s="26">
        <v>1115860777</v>
      </c>
      <c r="B14792" s="29" t="s">
        <v>16997</v>
      </c>
      <c r="C14792" s="29" t="s">
        <v>30175</v>
      </c>
      <c r="D14792" s="29" t="s">
        <v>43740</v>
      </c>
      <c r="E14792" s="29" t="s">
        <v>54039</v>
      </c>
      <c r="F14792" s="36" t="s">
        <v>54401</v>
      </c>
      <c r="G14792" s="39">
        <v>407689.99</v>
      </c>
      <c r="H14792" s="42">
        <v>211</v>
      </c>
    </row>
    <row r="14793" spans="1:8" ht="15" customHeight="1">
      <c r="A14793" s="26">
        <v>1115865836</v>
      </c>
      <c r="B14793" s="29" t="s">
        <v>16998</v>
      </c>
      <c r="C14793" s="26" t="s">
        <v>30176</v>
      </c>
      <c r="D14793" s="26" t="s">
        <v>43741</v>
      </c>
      <c r="E14793" s="26" t="s">
        <v>54264</v>
      </c>
      <c r="F14793" s="37" t="s">
        <v>54401</v>
      </c>
      <c r="G14793" s="39">
        <v>527817.23</v>
      </c>
      <c r="H14793" s="42">
        <v>211</v>
      </c>
    </row>
    <row r="14794" spans="1:8" ht="15" customHeight="1">
      <c r="A14794" s="26">
        <v>1115866556</v>
      </c>
      <c r="B14794" s="29" t="s">
        <v>16999</v>
      </c>
      <c r="C14794" s="29" t="s">
        <v>30177</v>
      </c>
      <c r="D14794" s="29" t="s">
        <v>43742</v>
      </c>
      <c r="E14794" s="29" t="s">
        <v>49593</v>
      </c>
      <c r="F14794" s="36" t="s">
        <v>54401</v>
      </c>
      <c r="G14794" s="39">
        <v>1679538.54</v>
      </c>
      <c r="H14794" s="42">
        <v>211</v>
      </c>
    </row>
    <row r="14795" spans="1:8" ht="15" customHeight="1">
      <c r="A14795" s="26">
        <v>1115910644</v>
      </c>
      <c r="B14795" s="29" t="s">
        <v>17000</v>
      </c>
      <c r="C14795" s="29" t="s">
        <v>30178</v>
      </c>
      <c r="D14795" s="29" t="s">
        <v>43743</v>
      </c>
      <c r="E14795" s="29" t="s">
        <v>54265</v>
      </c>
      <c r="F14795" s="36" t="s">
        <v>54401</v>
      </c>
      <c r="G14795" s="39">
        <v>400161.4</v>
      </c>
      <c r="H14795" s="42">
        <v>211</v>
      </c>
    </row>
    <row r="14796" spans="1:8" ht="15" customHeight="1">
      <c r="A14796" s="26">
        <v>1115911566</v>
      </c>
      <c r="B14796" s="29" t="s">
        <v>17001</v>
      </c>
      <c r="C14796" s="29" t="s">
        <v>30179</v>
      </c>
      <c r="D14796" s="29" t="s">
        <v>43744</v>
      </c>
      <c r="E14796" s="29" t="s">
        <v>54266</v>
      </c>
      <c r="F14796" s="36" t="s">
        <v>54401</v>
      </c>
      <c r="G14796" s="39">
        <v>268410.46000000002</v>
      </c>
      <c r="H14796" s="42">
        <v>211</v>
      </c>
    </row>
    <row r="14797" spans="1:8" ht="15" customHeight="1">
      <c r="A14797" s="26">
        <v>1115913453</v>
      </c>
      <c r="B14797" s="29" t="s">
        <v>17002</v>
      </c>
      <c r="C14797" s="29" t="s">
        <v>30180</v>
      </c>
      <c r="D14797" s="29" t="s">
        <v>43745</v>
      </c>
      <c r="E14797" s="29" t="s">
        <v>45949</v>
      </c>
      <c r="F14797" s="36" t="s">
        <v>54401</v>
      </c>
      <c r="G14797" s="39">
        <v>3004925.69</v>
      </c>
      <c r="H14797" s="42">
        <v>211</v>
      </c>
    </row>
    <row r="14798" spans="1:8" ht="15" customHeight="1">
      <c r="A14798" s="26">
        <v>1116020361</v>
      </c>
      <c r="B14798" s="29" t="s">
        <v>17003</v>
      </c>
      <c r="C14798" s="29" t="s">
        <v>30181</v>
      </c>
      <c r="D14798" s="29" t="s">
        <v>43746</v>
      </c>
      <c r="E14798" s="29" t="s">
        <v>54267</v>
      </c>
      <c r="F14798" s="36" t="s">
        <v>54401</v>
      </c>
      <c r="G14798" s="39">
        <v>502821.49</v>
      </c>
      <c r="H14798" s="42">
        <v>211</v>
      </c>
    </row>
    <row r="14799" spans="1:8" ht="15" customHeight="1">
      <c r="A14799" s="26">
        <v>1116020504</v>
      </c>
      <c r="B14799" s="29" t="s">
        <v>17004</v>
      </c>
      <c r="C14799" s="29" t="s">
        <v>30182</v>
      </c>
      <c r="D14799" s="29" t="s">
        <v>43747</v>
      </c>
      <c r="E14799" s="29" t="s">
        <v>54268</v>
      </c>
      <c r="F14799" s="36" t="s">
        <v>54401</v>
      </c>
      <c r="G14799" s="39">
        <v>720066.52</v>
      </c>
      <c r="H14799" s="42">
        <v>211</v>
      </c>
    </row>
    <row r="14800" spans="1:8" ht="15" customHeight="1">
      <c r="A14800" s="26">
        <v>1116543975</v>
      </c>
      <c r="B14800" s="29" t="s">
        <v>17005</v>
      </c>
      <c r="C14800" s="29" t="s">
        <v>30183</v>
      </c>
      <c r="D14800" s="29" t="s">
        <v>43748</v>
      </c>
      <c r="E14800" s="29" t="s">
        <v>54269</v>
      </c>
      <c r="F14800" s="36" t="s">
        <v>54401</v>
      </c>
      <c r="G14800" s="39">
        <v>3827465.05</v>
      </c>
      <c r="H14800" s="42">
        <v>211</v>
      </c>
    </row>
    <row r="14801" spans="1:8" ht="15" customHeight="1">
      <c r="A14801" s="26">
        <v>1116545517</v>
      </c>
      <c r="B14801" s="29" t="s">
        <v>17006</v>
      </c>
      <c r="C14801" s="29" t="s">
        <v>28468</v>
      </c>
      <c r="D14801" s="29" t="s">
        <v>43749</v>
      </c>
      <c r="E14801" s="29" t="s">
        <v>54270</v>
      </c>
      <c r="F14801" s="36" t="s">
        <v>54401</v>
      </c>
      <c r="G14801" s="39">
        <v>508422</v>
      </c>
      <c r="H14801" s="42">
        <v>211</v>
      </c>
    </row>
    <row r="14802" spans="1:8" ht="15" customHeight="1">
      <c r="A14802" s="26">
        <v>1116549260</v>
      </c>
      <c r="B14802" s="29" t="s">
        <v>17007</v>
      </c>
      <c r="C14802" s="29" t="s">
        <v>30184</v>
      </c>
      <c r="D14802" s="29" t="s">
        <v>43750</v>
      </c>
      <c r="E14802" s="29" t="s">
        <v>54271</v>
      </c>
      <c r="F14802" s="36" t="s">
        <v>54401</v>
      </c>
      <c r="G14802" s="39">
        <v>61244.15</v>
      </c>
      <c r="H14802" s="42">
        <v>211</v>
      </c>
    </row>
    <row r="14803" spans="1:8" ht="15" customHeight="1">
      <c r="A14803" s="26">
        <v>1116552248</v>
      </c>
      <c r="B14803" s="29" t="s">
        <v>17008</v>
      </c>
      <c r="C14803" s="29" t="s">
        <v>30185</v>
      </c>
      <c r="D14803" s="29" t="s">
        <v>43751</v>
      </c>
      <c r="E14803" s="29" t="s">
        <v>51025</v>
      </c>
      <c r="F14803" s="36" t="s">
        <v>54401</v>
      </c>
      <c r="G14803" s="39">
        <v>258247.6</v>
      </c>
      <c r="H14803" s="42">
        <v>211</v>
      </c>
    </row>
    <row r="14804" spans="1:8" ht="15" customHeight="1">
      <c r="A14804" s="26">
        <v>1116552718</v>
      </c>
      <c r="B14804" s="29" t="s">
        <v>17009</v>
      </c>
      <c r="C14804" s="29" t="s">
        <v>17204</v>
      </c>
      <c r="D14804" s="29" t="s">
        <v>30349</v>
      </c>
      <c r="E14804" s="29" t="s">
        <v>43926</v>
      </c>
      <c r="F14804" s="36" t="s">
        <v>54401</v>
      </c>
      <c r="G14804" s="39">
        <v>176326.18</v>
      </c>
      <c r="H14804" s="42">
        <v>211</v>
      </c>
    </row>
    <row r="14805" spans="1:8" ht="15" customHeight="1">
      <c r="A14805" s="26">
        <v>1116552981</v>
      </c>
      <c r="B14805" s="29" t="s">
        <v>17010</v>
      </c>
      <c r="C14805" s="29" t="s">
        <v>30186</v>
      </c>
      <c r="D14805" s="29" t="s">
        <v>43752</v>
      </c>
      <c r="E14805" s="29" t="s">
        <v>54272</v>
      </c>
      <c r="F14805" s="36" t="s">
        <v>54401</v>
      </c>
      <c r="G14805" s="39">
        <v>3111545</v>
      </c>
      <c r="H14805" s="42">
        <v>211</v>
      </c>
    </row>
    <row r="14806" spans="1:8" ht="15" customHeight="1">
      <c r="A14806" s="26">
        <v>1116554391</v>
      </c>
      <c r="B14806" s="29" t="s">
        <v>17011</v>
      </c>
      <c r="C14806" s="29" t="s">
        <v>30187</v>
      </c>
      <c r="D14806" s="29" t="s">
        <v>43753</v>
      </c>
      <c r="E14806" s="29" t="s">
        <v>54273</v>
      </c>
      <c r="F14806" s="36" t="s">
        <v>54401</v>
      </c>
      <c r="G14806" s="39">
        <v>792357.75</v>
      </c>
      <c r="H14806" s="42">
        <v>211</v>
      </c>
    </row>
    <row r="14807" spans="1:8" ht="15" customHeight="1">
      <c r="A14807" s="26">
        <v>1116642117</v>
      </c>
      <c r="B14807" s="29" t="s">
        <v>17012</v>
      </c>
      <c r="C14807" s="29" t="s">
        <v>30188</v>
      </c>
      <c r="D14807" s="29" t="s">
        <v>43754</v>
      </c>
      <c r="E14807" s="29" t="s">
        <v>54274</v>
      </c>
      <c r="F14807" s="36" t="s">
        <v>54402</v>
      </c>
      <c r="G14807" s="39">
        <v>2084104</v>
      </c>
      <c r="H14807" s="42">
        <v>211</v>
      </c>
    </row>
    <row r="14808" spans="1:8" ht="15" customHeight="1">
      <c r="A14808" s="26">
        <v>1116642267</v>
      </c>
      <c r="B14808" s="29" t="s">
        <v>17013</v>
      </c>
      <c r="C14808" s="26" t="s">
        <v>30189</v>
      </c>
      <c r="D14808" s="26" t="s">
        <v>43755</v>
      </c>
      <c r="E14808" s="26" t="s">
        <v>43926</v>
      </c>
      <c r="F14808" s="37" t="s">
        <v>54401</v>
      </c>
      <c r="G14808" s="39">
        <v>21038.25</v>
      </c>
      <c r="H14808" s="42">
        <v>211</v>
      </c>
    </row>
    <row r="14809" spans="1:8" ht="15" customHeight="1">
      <c r="A14809" s="26">
        <v>1116663138</v>
      </c>
      <c r="B14809" s="29" t="s">
        <v>7542</v>
      </c>
      <c r="C14809" s="29" t="s">
        <v>17204</v>
      </c>
      <c r="D14809" s="29" t="s">
        <v>43756</v>
      </c>
      <c r="E14809" s="29" t="s">
        <v>43926</v>
      </c>
      <c r="F14809" s="36" t="s">
        <v>54401</v>
      </c>
      <c r="G14809" s="39">
        <v>56313.04</v>
      </c>
      <c r="H14809" s="42">
        <v>211</v>
      </c>
    </row>
    <row r="14810" spans="1:8" ht="15" customHeight="1">
      <c r="A14810" s="26">
        <v>1116665494</v>
      </c>
      <c r="B14810" s="29" t="s">
        <v>17014</v>
      </c>
      <c r="C14810" s="29" t="s">
        <v>30190</v>
      </c>
      <c r="D14810" s="29" t="s">
        <v>43757</v>
      </c>
      <c r="E14810" s="29" t="s">
        <v>53566</v>
      </c>
      <c r="F14810" s="36" t="s">
        <v>54401</v>
      </c>
      <c r="G14810" s="39">
        <v>1629560.51</v>
      </c>
      <c r="H14810" s="42">
        <v>211</v>
      </c>
    </row>
    <row r="14811" spans="1:8" ht="15" customHeight="1">
      <c r="A14811" s="26">
        <v>1116666926</v>
      </c>
      <c r="B14811" s="29" t="s">
        <v>17015</v>
      </c>
      <c r="C14811" s="29" t="s">
        <v>30191</v>
      </c>
      <c r="D14811" s="29" t="s">
        <v>43758</v>
      </c>
      <c r="E14811" s="29" t="s">
        <v>54275</v>
      </c>
      <c r="F14811" s="36" t="s">
        <v>54401</v>
      </c>
      <c r="G14811" s="39">
        <v>365146.7</v>
      </c>
      <c r="H14811" s="42">
        <v>211</v>
      </c>
    </row>
    <row r="14812" spans="1:8" ht="15" customHeight="1">
      <c r="A14812" s="26">
        <v>1116791951</v>
      </c>
      <c r="B14812" s="29" t="s">
        <v>17016</v>
      </c>
      <c r="C14812" s="29" t="s">
        <v>30192</v>
      </c>
      <c r="D14812" s="29" t="s">
        <v>43759</v>
      </c>
      <c r="E14812" s="29" t="s">
        <v>54276</v>
      </c>
      <c r="F14812" s="36" t="s">
        <v>54401</v>
      </c>
      <c r="G14812" s="39">
        <v>237788.28</v>
      </c>
      <c r="H14812" s="42">
        <v>211</v>
      </c>
    </row>
    <row r="14813" spans="1:8" ht="15" customHeight="1">
      <c r="A14813" s="26">
        <v>1116796493</v>
      </c>
      <c r="B14813" s="29" t="s">
        <v>17017</v>
      </c>
      <c r="C14813" s="29" t="s">
        <v>30193</v>
      </c>
      <c r="D14813" s="29" t="s">
        <v>43760</v>
      </c>
      <c r="E14813" s="29" t="s">
        <v>54277</v>
      </c>
      <c r="F14813" s="36" t="s">
        <v>54401</v>
      </c>
      <c r="G14813" s="39">
        <v>78600.899999999994</v>
      </c>
      <c r="H14813" s="42">
        <v>211</v>
      </c>
    </row>
    <row r="14814" spans="1:8" ht="15" customHeight="1">
      <c r="A14814" s="26">
        <v>1116798078</v>
      </c>
      <c r="B14814" s="29" t="s">
        <v>17018</v>
      </c>
      <c r="C14814" s="29" t="s">
        <v>30194</v>
      </c>
      <c r="D14814" s="29" t="s">
        <v>43761</v>
      </c>
      <c r="E14814" s="29" t="s">
        <v>54278</v>
      </c>
      <c r="F14814" s="36" t="s">
        <v>54401</v>
      </c>
      <c r="G14814" s="39">
        <v>176519.16</v>
      </c>
      <c r="H14814" s="42">
        <v>211</v>
      </c>
    </row>
    <row r="14815" spans="1:8" ht="15" customHeight="1">
      <c r="A14815" s="26">
        <v>1116806051</v>
      </c>
      <c r="B14815" s="29" t="s">
        <v>17019</v>
      </c>
      <c r="C14815" s="29" t="s">
        <v>30195</v>
      </c>
      <c r="D14815" s="29" t="s">
        <v>43762</v>
      </c>
      <c r="E14815" s="29" t="s">
        <v>54279</v>
      </c>
      <c r="F14815" s="36" t="s">
        <v>54401</v>
      </c>
      <c r="G14815" s="39">
        <v>395406.07</v>
      </c>
      <c r="H14815" s="42">
        <v>211</v>
      </c>
    </row>
    <row r="14816" spans="1:8" ht="15" customHeight="1">
      <c r="A14816" s="26">
        <v>1116812789</v>
      </c>
      <c r="B14816" s="29" t="s">
        <v>17020</v>
      </c>
      <c r="C14816" s="29" t="s">
        <v>30196</v>
      </c>
      <c r="D14816" s="29" t="s">
        <v>43763</v>
      </c>
      <c r="E14816" s="29" t="s">
        <v>54280</v>
      </c>
      <c r="F14816" s="36" t="s">
        <v>54401</v>
      </c>
      <c r="G14816" s="39">
        <v>265390.77</v>
      </c>
      <c r="H14816" s="42">
        <v>211</v>
      </c>
    </row>
    <row r="14817" spans="1:8" ht="15" customHeight="1">
      <c r="A14817" s="26">
        <v>1116820261</v>
      </c>
      <c r="B14817" s="29" t="s">
        <v>17021</v>
      </c>
      <c r="C14817" s="29" t="s">
        <v>17204</v>
      </c>
      <c r="D14817" s="29" t="s">
        <v>43764</v>
      </c>
      <c r="E14817" s="29" t="s">
        <v>43926</v>
      </c>
      <c r="F14817" s="36" t="s">
        <v>54401</v>
      </c>
      <c r="G14817" s="39">
        <v>958122.34</v>
      </c>
      <c r="H14817" s="42">
        <v>211</v>
      </c>
    </row>
    <row r="14818" spans="1:8" ht="15" customHeight="1">
      <c r="A14818" s="26">
        <v>1116852130</v>
      </c>
      <c r="B14818" s="29" t="s">
        <v>17022</v>
      </c>
      <c r="C14818" s="29" t="s">
        <v>30197</v>
      </c>
      <c r="D14818" s="29" t="s">
        <v>43765</v>
      </c>
      <c r="E14818" s="29" t="s">
        <v>54281</v>
      </c>
      <c r="F14818" s="36" t="s">
        <v>54401</v>
      </c>
      <c r="G14818" s="39">
        <v>1979908.02</v>
      </c>
      <c r="H14818" s="42">
        <v>211</v>
      </c>
    </row>
    <row r="14819" spans="1:8" ht="15" customHeight="1">
      <c r="A14819" s="26">
        <v>1116852201</v>
      </c>
      <c r="B14819" s="29" t="s">
        <v>17023</v>
      </c>
      <c r="C14819" s="29" t="s">
        <v>17204</v>
      </c>
      <c r="D14819" s="29" t="s">
        <v>30349</v>
      </c>
      <c r="E14819" s="29" t="s">
        <v>43926</v>
      </c>
      <c r="F14819" s="36" t="s">
        <v>54401</v>
      </c>
      <c r="G14819" s="39">
        <v>22663.7</v>
      </c>
      <c r="H14819" s="42">
        <v>211</v>
      </c>
    </row>
    <row r="14820" spans="1:8" ht="15" customHeight="1">
      <c r="A14820" s="26">
        <v>1116852369</v>
      </c>
      <c r="B14820" s="29" t="s">
        <v>17024</v>
      </c>
      <c r="C14820" s="29" t="s">
        <v>17204</v>
      </c>
      <c r="D14820" s="29" t="s">
        <v>30349</v>
      </c>
      <c r="E14820" s="29" t="s">
        <v>43926</v>
      </c>
      <c r="F14820" s="36" t="s">
        <v>54401</v>
      </c>
      <c r="G14820" s="39">
        <v>135081.72</v>
      </c>
      <c r="H14820" s="42">
        <v>211</v>
      </c>
    </row>
    <row r="14821" spans="1:8" ht="15" customHeight="1">
      <c r="A14821" s="26">
        <v>1116852530</v>
      </c>
      <c r="B14821" s="29" t="s">
        <v>17025</v>
      </c>
      <c r="C14821" s="29" t="s">
        <v>30198</v>
      </c>
      <c r="D14821" s="29" t="s">
        <v>43766</v>
      </c>
      <c r="E14821" s="29" t="s">
        <v>54282</v>
      </c>
      <c r="F14821" s="36" t="s">
        <v>54401</v>
      </c>
      <c r="G14821" s="39">
        <v>1184168.24</v>
      </c>
      <c r="H14821" s="42">
        <v>211</v>
      </c>
    </row>
    <row r="14822" spans="1:8" ht="15" customHeight="1">
      <c r="A14822" s="26">
        <v>1116862363</v>
      </c>
      <c r="B14822" s="29" t="s">
        <v>17026</v>
      </c>
      <c r="C14822" s="29" t="s">
        <v>30199</v>
      </c>
      <c r="D14822" s="29" t="s">
        <v>43767</v>
      </c>
      <c r="E14822" s="29" t="s">
        <v>54283</v>
      </c>
      <c r="F14822" s="36" t="s">
        <v>54401</v>
      </c>
      <c r="G14822" s="39">
        <v>94646.11</v>
      </c>
      <c r="H14822" s="42">
        <v>211</v>
      </c>
    </row>
    <row r="14823" spans="1:8" ht="15" customHeight="1">
      <c r="A14823" s="26">
        <v>1116872554</v>
      </c>
      <c r="B14823" s="29" t="s">
        <v>17027</v>
      </c>
      <c r="C14823" s="29" t="s">
        <v>24649</v>
      </c>
      <c r="D14823" s="29" t="s">
        <v>37945</v>
      </c>
      <c r="E14823" s="29" t="s">
        <v>54284</v>
      </c>
      <c r="F14823" s="36" t="s">
        <v>54401</v>
      </c>
      <c r="G14823" s="39">
        <v>2103215.91</v>
      </c>
      <c r="H14823" s="42">
        <v>211</v>
      </c>
    </row>
    <row r="14824" spans="1:8" ht="15" customHeight="1">
      <c r="A14824" s="26">
        <v>1116920427</v>
      </c>
      <c r="B14824" s="29" t="s">
        <v>17028</v>
      </c>
      <c r="C14824" s="29" t="s">
        <v>30200</v>
      </c>
      <c r="D14824" s="29" t="s">
        <v>43768</v>
      </c>
      <c r="E14824" s="29" t="s">
        <v>54285</v>
      </c>
      <c r="F14824" s="36" t="s">
        <v>54401</v>
      </c>
      <c r="G14824" s="39">
        <v>6750194.96</v>
      </c>
      <c r="H14824" s="42">
        <v>211</v>
      </c>
    </row>
    <row r="14825" spans="1:8" ht="15" customHeight="1">
      <c r="A14825" s="26">
        <v>1116993159</v>
      </c>
      <c r="B14825" s="29" t="s">
        <v>17029</v>
      </c>
      <c r="C14825" s="29" t="s">
        <v>30201</v>
      </c>
      <c r="D14825" s="29" t="s">
        <v>43769</v>
      </c>
      <c r="E14825" s="29" t="s">
        <v>53566</v>
      </c>
      <c r="F14825" s="36" t="s">
        <v>54401</v>
      </c>
      <c r="G14825" s="39">
        <v>187076.79</v>
      </c>
      <c r="H14825" s="42">
        <v>211</v>
      </c>
    </row>
    <row r="14826" spans="1:8" ht="15" customHeight="1">
      <c r="A14826" s="26">
        <v>1117325313</v>
      </c>
      <c r="B14826" s="29" t="s">
        <v>17030</v>
      </c>
      <c r="C14826" s="29" t="s">
        <v>30202</v>
      </c>
      <c r="D14826" s="29" t="s">
        <v>43770</v>
      </c>
      <c r="E14826" s="29" t="s">
        <v>54286</v>
      </c>
      <c r="F14826" s="36" t="s">
        <v>54401</v>
      </c>
      <c r="G14826" s="39">
        <v>3317162.21</v>
      </c>
      <c r="H14826" s="42">
        <v>211</v>
      </c>
    </row>
    <row r="14827" spans="1:8" ht="15" customHeight="1">
      <c r="A14827" s="26">
        <v>1117489002</v>
      </c>
      <c r="B14827" s="29" t="s">
        <v>17031</v>
      </c>
      <c r="C14827" s="29" t="s">
        <v>30203</v>
      </c>
      <c r="D14827" s="29" t="s">
        <v>43771</v>
      </c>
      <c r="E14827" s="29" t="s">
        <v>45006</v>
      </c>
      <c r="F14827" s="36" t="s">
        <v>54401</v>
      </c>
      <c r="G14827" s="39">
        <v>637222.39</v>
      </c>
      <c r="H14827" s="42">
        <v>211</v>
      </c>
    </row>
    <row r="14828" spans="1:8" ht="15" customHeight="1">
      <c r="A14828" s="26">
        <v>1117496930</v>
      </c>
      <c r="B14828" s="29" t="s">
        <v>17032</v>
      </c>
      <c r="C14828" s="29" t="s">
        <v>30204</v>
      </c>
      <c r="D14828" s="29" t="s">
        <v>43772</v>
      </c>
      <c r="E14828" s="29" t="s">
        <v>54287</v>
      </c>
      <c r="F14828" s="36" t="s">
        <v>54401</v>
      </c>
      <c r="G14828" s="39">
        <v>3020658.34</v>
      </c>
      <c r="H14828" s="42">
        <v>211</v>
      </c>
    </row>
    <row r="14829" spans="1:8" ht="15" customHeight="1">
      <c r="A14829" s="26">
        <v>1117498305</v>
      </c>
      <c r="B14829" s="29" t="s">
        <v>17033</v>
      </c>
      <c r="C14829" s="29" t="s">
        <v>30205</v>
      </c>
      <c r="D14829" s="29" t="s">
        <v>43773</v>
      </c>
      <c r="E14829" s="29" t="s">
        <v>44973</v>
      </c>
      <c r="F14829" s="36" t="s">
        <v>54401</v>
      </c>
      <c r="G14829" s="39">
        <v>602795.99</v>
      </c>
      <c r="H14829" s="42">
        <v>211</v>
      </c>
    </row>
    <row r="14830" spans="1:8" ht="15" customHeight="1">
      <c r="A14830" s="26">
        <v>1117498584</v>
      </c>
      <c r="B14830" s="29" t="s">
        <v>17034</v>
      </c>
      <c r="C14830" s="29" t="s">
        <v>30206</v>
      </c>
      <c r="D14830" s="29" t="s">
        <v>43774</v>
      </c>
      <c r="E14830" s="29" t="s">
        <v>46356</v>
      </c>
      <c r="F14830" s="36" t="s">
        <v>54401</v>
      </c>
      <c r="G14830" s="39">
        <v>519625.03</v>
      </c>
      <c r="H14830" s="42">
        <v>211</v>
      </c>
    </row>
    <row r="14831" spans="1:8" ht="15" customHeight="1">
      <c r="A14831" s="26">
        <v>1117499864</v>
      </c>
      <c r="B14831" s="29" t="s">
        <v>17035</v>
      </c>
      <c r="C14831" s="29" t="s">
        <v>30207</v>
      </c>
      <c r="D14831" s="29" t="s">
        <v>43775</v>
      </c>
      <c r="E14831" s="29" t="s">
        <v>54288</v>
      </c>
      <c r="F14831" s="36" t="s">
        <v>54401</v>
      </c>
      <c r="G14831" s="39">
        <v>690492.28</v>
      </c>
      <c r="H14831" s="42">
        <v>211</v>
      </c>
    </row>
    <row r="14832" spans="1:8" ht="15" customHeight="1">
      <c r="A14832" s="26">
        <v>1117527172</v>
      </c>
      <c r="B14832" s="29" t="s">
        <v>17036</v>
      </c>
      <c r="C14832" s="29" t="s">
        <v>17204</v>
      </c>
      <c r="D14832" s="29" t="s">
        <v>43776</v>
      </c>
      <c r="E14832" s="29" t="s">
        <v>43926</v>
      </c>
      <c r="F14832" s="36" t="s">
        <v>54401</v>
      </c>
      <c r="G14832" s="39">
        <v>2927352.03</v>
      </c>
      <c r="H14832" s="42">
        <v>211</v>
      </c>
    </row>
    <row r="14833" spans="1:8" ht="15" customHeight="1">
      <c r="A14833" s="26">
        <v>1118166799</v>
      </c>
      <c r="B14833" s="29" t="s">
        <v>17037</v>
      </c>
      <c r="C14833" s="29" t="s">
        <v>30208</v>
      </c>
      <c r="D14833" s="29" t="s">
        <v>43777</v>
      </c>
      <c r="E14833" s="29" t="s">
        <v>54289</v>
      </c>
      <c r="F14833" s="36" t="s">
        <v>54401</v>
      </c>
      <c r="G14833" s="39">
        <v>1970555</v>
      </c>
      <c r="H14833" s="42">
        <v>211</v>
      </c>
    </row>
    <row r="14834" spans="1:8" ht="15" customHeight="1">
      <c r="A14834" s="26">
        <v>1118201120</v>
      </c>
      <c r="B14834" s="29" t="s">
        <v>17038</v>
      </c>
      <c r="C14834" s="29" t="s">
        <v>30209</v>
      </c>
      <c r="D14834" s="29" t="s">
        <v>43778</v>
      </c>
      <c r="E14834" s="29" t="s">
        <v>54290</v>
      </c>
      <c r="F14834" s="36" t="s">
        <v>54401</v>
      </c>
      <c r="G14834" s="39">
        <v>398051.36</v>
      </c>
      <c r="H14834" s="42">
        <v>211</v>
      </c>
    </row>
    <row r="14835" spans="1:8" ht="15" customHeight="1">
      <c r="A14835" s="26">
        <v>1118201620</v>
      </c>
      <c r="B14835" s="29" t="s">
        <v>17039</v>
      </c>
      <c r="C14835" s="29" t="s">
        <v>30210</v>
      </c>
      <c r="D14835" s="29" t="s">
        <v>43779</v>
      </c>
      <c r="E14835" s="29" t="s">
        <v>51912</v>
      </c>
      <c r="F14835" s="36" t="s">
        <v>54401</v>
      </c>
      <c r="G14835" s="39">
        <v>322605.73</v>
      </c>
      <c r="H14835" s="42">
        <v>211</v>
      </c>
    </row>
    <row r="14836" spans="1:8" ht="15" customHeight="1">
      <c r="A14836" s="26">
        <v>1118529464</v>
      </c>
      <c r="B14836" s="29" t="s">
        <v>17040</v>
      </c>
      <c r="C14836" s="29" t="s">
        <v>30211</v>
      </c>
      <c r="D14836" s="29" t="s">
        <v>43780</v>
      </c>
      <c r="E14836" s="29" t="s">
        <v>54291</v>
      </c>
      <c r="F14836" s="36" t="s">
        <v>54401</v>
      </c>
      <c r="G14836" s="39">
        <v>789395.3</v>
      </c>
      <c r="H14836" s="42">
        <v>211</v>
      </c>
    </row>
    <row r="14837" spans="1:8" ht="15" customHeight="1">
      <c r="A14837" s="26">
        <v>1118530414</v>
      </c>
      <c r="B14837" s="29" t="s">
        <v>17041</v>
      </c>
      <c r="C14837" s="29" t="s">
        <v>17204</v>
      </c>
      <c r="D14837" s="29" t="s">
        <v>43781</v>
      </c>
      <c r="E14837" s="29" t="s">
        <v>43926</v>
      </c>
      <c r="F14837" s="36" t="s">
        <v>54401</v>
      </c>
      <c r="G14837" s="39">
        <v>2938774.28</v>
      </c>
      <c r="H14837" s="42">
        <v>211</v>
      </c>
    </row>
    <row r="14838" spans="1:8" ht="15" customHeight="1">
      <c r="A14838" s="26">
        <v>1118531643</v>
      </c>
      <c r="B14838" s="29" t="s">
        <v>17042</v>
      </c>
      <c r="C14838" s="29" t="s">
        <v>30212</v>
      </c>
      <c r="D14838" s="29" t="s">
        <v>43782</v>
      </c>
      <c r="E14838" s="29" t="s">
        <v>54292</v>
      </c>
      <c r="F14838" s="36" t="s">
        <v>54401</v>
      </c>
      <c r="G14838" s="39">
        <v>3641192.02</v>
      </c>
      <c r="H14838" s="42">
        <v>211</v>
      </c>
    </row>
    <row r="14839" spans="1:8" ht="15" customHeight="1">
      <c r="A14839" s="26">
        <v>1118533100</v>
      </c>
      <c r="B14839" s="29" t="s">
        <v>17043</v>
      </c>
      <c r="C14839" s="29" t="s">
        <v>30213</v>
      </c>
      <c r="D14839" s="29" t="s">
        <v>43783</v>
      </c>
      <c r="E14839" s="29" t="s">
        <v>54293</v>
      </c>
      <c r="F14839" s="36" t="s">
        <v>54406</v>
      </c>
      <c r="G14839" s="39">
        <v>202859.94</v>
      </c>
      <c r="H14839" s="42">
        <v>211</v>
      </c>
    </row>
    <row r="14840" spans="1:8" ht="15" customHeight="1">
      <c r="A14840" s="26">
        <v>1118535247</v>
      </c>
      <c r="B14840" s="29" t="s">
        <v>17044</v>
      </c>
      <c r="C14840" s="29" t="s">
        <v>30214</v>
      </c>
      <c r="D14840" s="29" t="s">
        <v>43784</v>
      </c>
      <c r="E14840" s="29" t="s">
        <v>54294</v>
      </c>
      <c r="F14840" s="36" t="s">
        <v>54401</v>
      </c>
      <c r="G14840" s="39">
        <v>486494.24</v>
      </c>
      <c r="H14840" s="42">
        <v>211</v>
      </c>
    </row>
    <row r="14841" spans="1:8" ht="15" customHeight="1">
      <c r="A14841" s="26">
        <v>1118536645</v>
      </c>
      <c r="B14841" s="29" t="s">
        <v>17045</v>
      </c>
      <c r="C14841" s="29" t="s">
        <v>30215</v>
      </c>
      <c r="D14841" s="29" t="s">
        <v>43785</v>
      </c>
      <c r="E14841" s="29" t="s">
        <v>54295</v>
      </c>
      <c r="F14841" s="36" t="s">
        <v>54401</v>
      </c>
      <c r="G14841" s="39">
        <v>4179993.68</v>
      </c>
      <c r="H14841" s="42">
        <v>211</v>
      </c>
    </row>
    <row r="14842" spans="1:8" ht="15" customHeight="1">
      <c r="A14842" s="26">
        <v>1118536825</v>
      </c>
      <c r="B14842" s="29" t="s">
        <v>17046</v>
      </c>
      <c r="C14842" s="29" t="s">
        <v>30216</v>
      </c>
      <c r="D14842" s="29" t="s">
        <v>43786</v>
      </c>
      <c r="E14842" s="29" t="s">
        <v>54296</v>
      </c>
      <c r="F14842" s="36" t="s">
        <v>54401</v>
      </c>
      <c r="G14842" s="39">
        <v>834684.11</v>
      </c>
      <c r="H14842" s="42">
        <v>211</v>
      </c>
    </row>
    <row r="14843" spans="1:8" ht="15" customHeight="1">
      <c r="A14843" s="26">
        <v>1118537057</v>
      </c>
      <c r="B14843" s="29" t="s">
        <v>17047</v>
      </c>
      <c r="C14843" s="29" t="s">
        <v>17204</v>
      </c>
      <c r="D14843" s="29" t="s">
        <v>43787</v>
      </c>
      <c r="E14843" s="29" t="s">
        <v>43926</v>
      </c>
      <c r="F14843" s="36" t="s">
        <v>54401</v>
      </c>
      <c r="G14843" s="39">
        <v>144859.42000000001</v>
      </c>
      <c r="H14843" s="42">
        <v>211</v>
      </c>
    </row>
    <row r="14844" spans="1:8" ht="15" customHeight="1">
      <c r="A14844" s="26">
        <v>1118537496</v>
      </c>
      <c r="B14844" s="29" t="s">
        <v>17048</v>
      </c>
      <c r="C14844" s="29" t="s">
        <v>30217</v>
      </c>
      <c r="D14844" s="29" t="s">
        <v>43788</v>
      </c>
      <c r="E14844" s="29" t="s">
        <v>54297</v>
      </c>
      <c r="F14844" s="36" t="s">
        <v>54401</v>
      </c>
      <c r="G14844" s="39">
        <v>216433.69</v>
      </c>
      <c r="H14844" s="42">
        <v>211</v>
      </c>
    </row>
    <row r="14845" spans="1:8" ht="15" customHeight="1">
      <c r="A14845" s="26">
        <v>1118538418</v>
      </c>
      <c r="B14845" s="29" t="s">
        <v>17049</v>
      </c>
      <c r="C14845" s="29" t="s">
        <v>30218</v>
      </c>
      <c r="D14845" s="29" t="s">
        <v>43789</v>
      </c>
      <c r="E14845" s="29" t="s">
        <v>54298</v>
      </c>
      <c r="F14845" s="36" t="s">
        <v>54401</v>
      </c>
      <c r="G14845" s="39">
        <v>4188752</v>
      </c>
      <c r="H14845" s="42">
        <v>211</v>
      </c>
    </row>
    <row r="14846" spans="1:8" ht="15" customHeight="1">
      <c r="A14846" s="26">
        <v>1118539764</v>
      </c>
      <c r="B14846" s="29" t="s">
        <v>17050</v>
      </c>
      <c r="C14846" s="29" t="s">
        <v>30219</v>
      </c>
      <c r="D14846" s="29" t="s">
        <v>43790</v>
      </c>
      <c r="E14846" s="29" t="s">
        <v>54299</v>
      </c>
      <c r="F14846" s="36" t="s">
        <v>54401</v>
      </c>
      <c r="G14846" s="39">
        <v>5074039.7300000004</v>
      </c>
      <c r="H14846" s="42">
        <v>211</v>
      </c>
    </row>
    <row r="14847" spans="1:8" ht="15" customHeight="1">
      <c r="A14847" s="26">
        <v>1118540346</v>
      </c>
      <c r="B14847" s="29" t="s">
        <v>17051</v>
      </c>
      <c r="C14847" s="29" t="s">
        <v>30220</v>
      </c>
      <c r="D14847" s="29" t="s">
        <v>43791</v>
      </c>
      <c r="E14847" s="29" t="s">
        <v>54300</v>
      </c>
      <c r="F14847" s="36" t="s">
        <v>54401</v>
      </c>
      <c r="G14847" s="39">
        <v>183552.23</v>
      </c>
      <c r="H14847" s="42">
        <v>211</v>
      </c>
    </row>
    <row r="14848" spans="1:8" ht="15" customHeight="1">
      <c r="A14848" s="26">
        <v>1118540799</v>
      </c>
      <c r="B14848" s="29" t="s">
        <v>17052</v>
      </c>
      <c r="C14848" s="29" t="s">
        <v>30221</v>
      </c>
      <c r="D14848" s="29" t="s">
        <v>43792</v>
      </c>
      <c r="E14848" s="29" t="s">
        <v>44205</v>
      </c>
      <c r="F14848" s="36" t="s">
        <v>54401</v>
      </c>
      <c r="G14848" s="39">
        <v>74141.59</v>
      </c>
      <c r="H14848" s="42">
        <v>211</v>
      </c>
    </row>
    <row r="14849" spans="1:8" ht="15" customHeight="1">
      <c r="A14849" s="26">
        <v>1118541589</v>
      </c>
      <c r="B14849" s="29" t="s">
        <v>17053</v>
      </c>
      <c r="C14849" s="29" t="s">
        <v>30222</v>
      </c>
      <c r="D14849" s="29" t="s">
        <v>43793</v>
      </c>
      <c r="E14849" s="29" t="s">
        <v>47118</v>
      </c>
      <c r="F14849" s="36" t="s">
        <v>54401</v>
      </c>
      <c r="G14849" s="39">
        <v>478378.85</v>
      </c>
      <c r="H14849" s="42">
        <v>211</v>
      </c>
    </row>
    <row r="14850" spans="1:8" ht="15" customHeight="1">
      <c r="A14850" s="26">
        <v>1118542100</v>
      </c>
      <c r="B14850" s="29" t="s">
        <v>17054</v>
      </c>
      <c r="C14850" s="29" t="s">
        <v>30223</v>
      </c>
      <c r="D14850" s="29" t="s">
        <v>43794</v>
      </c>
      <c r="E14850" s="29" t="s">
        <v>54301</v>
      </c>
      <c r="F14850" s="36" t="s">
        <v>54401</v>
      </c>
      <c r="G14850" s="39">
        <v>579204.25</v>
      </c>
      <c r="H14850" s="42">
        <v>211</v>
      </c>
    </row>
    <row r="14851" spans="1:8" ht="15" customHeight="1">
      <c r="A14851" s="26">
        <v>1118544578</v>
      </c>
      <c r="B14851" s="29" t="s">
        <v>17055</v>
      </c>
      <c r="C14851" s="29" t="s">
        <v>17204</v>
      </c>
      <c r="D14851" s="29" t="s">
        <v>30349</v>
      </c>
      <c r="E14851" s="29" t="s">
        <v>43926</v>
      </c>
      <c r="F14851" s="36" t="s">
        <v>54401</v>
      </c>
      <c r="G14851" s="39">
        <v>203557.94</v>
      </c>
      <c r="H14851" s="42">
        <v>211</v>
      </c>
    </row>
    <row r="14852" spans="1:8" ht="15" customHeight="1">
      <c r="A14852" s="26">
        <v>1118546559</v>
      </c>
      <c r="B14852" s="29" t="s">
        <v>17056</v>
      </c>
      <c r="C14852" s="29" t="s">
        <v>30224</v>
      </c>
      <c r="D14852" s="29" t="s">
        <v>43795</v>
      </c>
      <c r="E14852" s="29" t="s">
        <v>54302</v>
      </c>
      <c r="F14852" s="36" t="s">
        <v>54401</v>
      </c>
      <c r="G14852" s="39">
        <v>277912.84000000003</v>
      </c>
      <c r="H14852" s="42">
        <v>211</v>
      </c>
    </row>
    <row r="14853" spans="1:8" ht="15" customHeight="1">
      <c r="A14853" s="26">
        <v>1118547771</v>
      </c>
      <c r="B14853" s="29" t="s">
        <v>17057</v>
      </c>
      <c r="C14853" s="26" t="s">
        <v>30225</v>
      </c>
      <c r="D14853" s="26" t="s">
        <v>43796</v>
      </c>
      <c r="E14853" s="26" t="s">
        <v>54303</v>
      </c>
      <c r="F14853" s="37" t="s">
        <v>54401</v>
      </c>
      <c r="G14853" s="39">
        <v>422909.75</v>
      </c>
      <c r="H14853" s="42">
        <v>211</v>
      </c>
    </row>
    <row r="14854" spans="1:8" ht="15" customHeight="1">
      <c r="A14854" s="26">
        <v>1118552640</v>
      </c>
      <c r="B14854" s="29" t="s">
        <v>17058</v>
      </c>
      <c r="C14854" s="29" t="s">
        <v>30226</v>
      </c>
      <c r="D14854" s="29" t="s">
        <v>43797</v>
      </c>
      <c r="E14854" s="29" t="s">
        <v>54304</v>
      </c>
      <c r="F14854" s="36" t="s">
        <v>54401</v>
      </c>
      <c r="G14854" s="39">
        <v>1637418.9</v>
      </c>
      <c r="H14854" s="42">
        <v>211</v>
      </c>
    </row>
    <row r="14855" spans="1:8" ht="15" customHeight="1">
      <c r="A14855" s="26">
        <v>1118552790</v>
      </c>
      <c r="B14855" s="29" t="s">
        <v>17059</v>
      </c>
      <c r="C14855" s="29" t="s">
        <v>30227</v>
      </c>
      <c r="D14855" s="29" t="s">
        <v>43798</v>
      </c>
      <c r="E14855" s="29" t="s">
        <v>54305</v>
      </c>
      <c r="F14855" s="36" t="s">
        <v>54402</v>
      </c>
      <c r="G14855" s="39">
        <v>1720950.34</v>
      </c>
      <c r="H14855" s="42">
        <v>211</v>
      </c>
    </row>
    <row r="14856" spans="1:8" ht="15" customHeight="1">
      <c r="A14856" s="26">
        <v>1118553378</v>
      </c>
      <c r="B14856" s="29" t="s">
        <v>17060</v>
      </c>
      <c r="C14856" s="29" t="s">
        <v>30228</v>
      </c>
      <c r="D14856" s="29" t="s">
        <v>43799</v>
      </c>
      <c r="E14856" s="29" t="s">
        <v>46209</v>
      </c>
      <c r="F14856" s="36" t="s">
        <v>54401</v>
      </c>
      <c r="G14856" s="39">
        <v>3820905</v>
      </c>
      <c r="H14856" s="42">
        <v>211</v>
      </c>
    </row>
    <row r="14857" spans="1:8" ht="15" customHeight="1">
      <c r="A14857" s="26">
        <v>1118553591</v>
      </c>
      <c r="B14857" s="29" t="s">
        <v>17061</v>
      </c>
      <c r="C14857" s="29" t="s">
        <v>30229</v>
      </c>
      <c r="D14857" s="29" t="s">
        <v>38947</v>
      </c>
      <c r="E14857" s="29" t="s">
        <v>54306</v>
      </c>
      <c r="F14857" s="36" t="s">
        <v>54401</v>
      </c>
      <c r="G14857" s="39">
        <v>27350.21</v>
      </c>
      <c r="H14857" s="42">
        <v>211</v>
      </c>
    </row>
    <row r="14858" spans="1:8" ht="15" customHeight="1">
      <c r="A14858" s="26">
        <v>1118554098</v>
      </c>
      <c r="B14858" s="29" t="s">
        <v>17062</v>
      </c>
      <c r="C14858" s="29" t="s">
        <v>30230</v>
      </c>
      <c r="D14858" s="29" t="s">
        <v>43800</v>
      </c>
      <c r="E14858" s="29" t="s">
        <v>54307</v>
      </c>
      <c r="F14858" s="36" t="s">
        <v>54401</v>
      </c>
      <c r="G14858" s="39">
        <v>309272.37</v>
      </c>
      <c r="H14858" s="42">
        <v>211</v>
      </c>
    </row>
    <row r="14859" spans="1:8" ht="15" customHeight="1">
      <c r="A14859" s="26">
        <v>1118554927</v>
      </c>
      <c r="B14859" s="29" t="s">
        <v>17063</v>
      </c>
      <c r="C14859" s="29" t="s">
        <v>30231</v>
      </c>
      <c r="D14859" s="29" t="s">
        <v>43801</v>
      </c>
      <c r="E14859" s="29" t="s">
        <v>54308</v>
      </c>
      <c r="F14859" s="36" t="s">
        <v>54401</v>
      </c>
      <c r="G14859" s="39">
        <v>52617.24</v>
      </c>
      <c r="H14859" s="42">
        <v>211</v>
      </c>
    </row>
    <row r="14860" spans="1:8" ht="15" customHeight="1">
      <c r="A14860" s="26">
        <v>1118555353</v>
      </c>
      <c r="B14860" s="29" t="s">
        <v>17064</v>
      </c>
      <c r="C14860" s="29" t="s">
        <v>30232</v>
      </c>
      <c r="D14860" s="29" t="s">
        <v>43802</v>
      </c>
      <c r="E14860" s="29" t="s">
        <v>54309</v>
      </c>
      <c r="F14860" s="36" t="s">
        <v>54401</v>
      </c>
      <c r="G14860" s="39">
        <v>6234404</v>
      </c>
      <c r="H14860" s="42">
        <v>211</v>
      </c>
    </row>
    <row r="14861" spans="1:8" ht="15" customHeight="1">
      <c r="A14861" s="26">
        <v>1118556308</v>
      </c>
      <c r="B14861" s="29" t="s">
        <v>17065</v>
      </c>
      <c r="C14861" s="29" t="s">
        <v>17204</v>
      </c>
      <c r="D14861" s="29" t="s">
        <v>30349</v>
      </c>
      <c r="E14861" s="29" t="s">
        <v>43926</v>
      </c>
      <c r="F14861" s="36" t="s">
        <v>54401</v>
      </c>
      <c r="G14861" s="39">
        <v>401590.2</v>
      </c>
      <c r="H14861" s="42">
        <v>211</v>
      </c>
    </row>
    <row r="14862" spans="1:8" ht="15" customHeight="1">
      <c r="A14862" s="26">
        <v>1118556790</v>
      </c>
      <c r="B14862" s="29" t="s">
        <v>17066</v>
      </c>
      <c r="C14862" s="29" t="s">
        <v>30233</v>
      </c>
      <c r="D14862" s="29" t="s">
        <v>43803</v>
      </c>
      <c r="E14862" s="29" t="s">
        <v>54310</v>
      </c>
      <c r="F14862" s="36" t="s">
        <v>54401</v>
      </c>
      <c r="G14862" s="39">
        <v>811885.76</v>
      </c>
      <c r="H14862" s="42">
        <v>211</v>
      </c>
    </row>
    <row r="14863" spans="1:8" ht="15" customHeight="1">
      <c r="A14863" s="26">
        <v>1118558165</v>
      </c>
      <c r="B14863" s="29" t="s">
        <v>17067</v>
      </c>
      <c r="C14863" s="26" t="s">
        <v>30234</v>
      </c>
      <c r="D14863" s="26" t="s">
        <v>43804</v>
      </c>
      <c r="E14863" s="26" t="s">
        <v>54311</v>
      </c>
      <c r="F14863" s="37" t="s">
        <v>54401</v>
      </c>
      <c r="G14863" s="39">
        <v>64634.98</v>
      </c>
      <c r="H14863" s="42">
        <v>211</v>
      </c>
    </row>
    <row r="14864" spans="1:8" ht="15" customHeight="1">
      <c r="A14864" s="26">
        <v>1118558396</v>
      </c>
      <c r="B14864" s="29" t="s">
        <v>17068</v>
      </c>
      <c r="C14864" s="29" t="s">
        <v>30235</v>
      </c>
      <c r="D14864" s="29" t="s">
        <v>43805</v>
      </c>
      <c r="E14864" s="29" t="s">
        <v>53135</v>
      </c>
      <c r="F14864" s="36" t="s">
        <v>54401</v>
      </c>
      <c r="G14864" s="39">
        <v>915432.02</v>
      </c>
      <c r="H14864" s="42">
        <v>211</v>
      </c>
    </row>
    <row r="14865" spans="1:8" ht="15" customHeight="1">
      <c r="A14865" s="26">
        <v>1118558976</v>
      </c>
      <c r="B14865" s="29" t="s">
        <v>17069</v>
      </c>
      <c r="C14865" s="29" t="s">
        <v>30236</v>
      </c>
      <c r="D14865" s="29" t="s">
        <v>43806</v>
      </c>
      <c r="E14865" s="29" t="s">
        <v>54312</v>
      </c>
      <c r="F14865" s="36" t="s">
        <v>54401</v>
      </c>
      <c r="G14865" s="39">
        <v>388915.41</v>
      </c>
      <c r="H14865" s="42">
        <v>211</v>
      </c>
    </row>
    <row r="14866" spans="1:8" ht="15" customHeight="1">
      <c r="A14866" s="26">
        <v>1118559378</v>
      </c>
      <c r="B14866" s="29" t="s">
        <v>17070</v>
      </c>
      <c r="C14866" s="29" t="s">
        <v>30237</v>
      </c>
      <c r="D14866" s="29" t="s">
        <v>43807</v>
      </c>
      <c r="E14866" s="29" t="s">
        <v>44545</v>
      </c>
      <c r="F14866" s="36" t="s">
        <v>54401</v>
      </c>
      <c r="G14866" s="39">
        <v>562775.89</v>
      </c>
      <c r="H14866" s="42">
        <v>211</v>
      </c>
    </row>
    <row r="14867" spans="1:8" ht="15" customHeight="1">
      <c r="A14867" s="26">
        <v>1118560510</v>
      </c>
      <c r="B14867" s="29" t="s">
        <v>17071</v>
      </c>
      <c r="C14867" s="29" t="s">
        <v>30238</v>
      </c>
      <c r="D14867" s="29" t="s">
        <v>43808</v>
      </c>
      <c r="E14867" s="29" t="s">
        <v>731</v>
      </c>
      <c r="F14867" s="36" t="s">
        <v>54401</v>
      </c>
      <c r="G14867" s="39">
        <v>268669.03000000003</v>
      </c>
      <c r="H14867" s="42">
        <v>211</v>
      </c>
    </row>
    <row r="14868" spans="1:8" ht="15" customHeight="1">
      <c r="A14868" s="26">
        <v>1118561585</v>
      </c>
      <c r="B14868" s="29" t="s">
        <v>17072</v>
      </c>
      <c r="C14868" s="26" t="s">
        <v>30239</v>
      </c>
      <c r="D14868" s="26" t="s">
        <v>43809</v>
      </c>
      <c r="E14868" s="26" t="s">
        <v>52244</v>
      </c>
      <c r="F14868" s="37" t="s">
        <v>54401</v>
      </c>
      <c r="G14868" s="39">
        <v>1972981.71</v>
      </c>
      <c r="H14868" s="42">
        <v>211</v>
      </c>
    </row>
    <row r="14869" spans="1:8" ht="15" customHeight="1">
      <c r="A14869" s="26">
        <v>1118562018</v>
      </c>
      <c r="B14869" s="29" t="s">
        <v>17073</v>
      </c>
      <c r="C14869" s="29" t="s">
        <v>30240</v>
      </c>
      <c r="D14869" s="29" t="s">
        <v>43810</v>
      </c>
      <c r="E14869" s="29" t="s">
        <v>47529</v>
      </c>
      <c r="F14869" s="36" t="s">
        <v>54401</v>
      </c>
      <c r="G14869" s="39">
        <v>2953221.36</v>
      </c>
      <c r="H14869" s="42">
        <v>211</v>
      </c>
    </row>
    <row r="14870" spans="1:8" ht="15" customHeight="1">
      <c r="A14870" s="26">
        <v>1118563224</v>
      </c>
      <c r="B14870" s="29" t="s">
        <v>17074</v>
      </c>
      <c r="C14870" s="29" t="s">
        <v>30241</v>
      </c>
      <c r="D14870" s="29" t="s">
        <v>43811</v>
      </c>
      <c r="E14870" s="29" t="s">
        <v>54313</v>
      </c>
      <c r="F14870" s="36" t="s">
        <v>54401</v>
      </c>
      <c r="G14870" s="39">
        <v>256398.53</v>
      </c>
      <c r="H14870" s="42">
        <v>211</v>
      </c>
    </row>
    <row r="14871" spans="1:8" ht="15" customHeight="1">
      <c r="A14871" s="26">
        <v>1118563361</v>
      </c>
      <c r="B14871" s="29" t="s">
        <v>17075</v>
      </c>
      <c r="C14871" s="29" t="s">
        <v>30242</v>
      </c>
      <c r="D14871" s="29" t="s">
        <v>43812</v>
      </c>
      <c r="E14871" s="29" t="s">
        <v>54314</v>
      </c>
      <c r="F14871" s="36" t="s">
        <v>54401</v>
      </c>
      <c r="G14871" s="39">
        <v>346132.47999999998</v>
      </c>
      <c r="H14871" s="42">
        <v>211</v>
      </c>
    </row>
    <row r="14872" spans="1:8" ht="15" customHeight="1">
      <c r="A14872" s="26">
        <v>1118564933</v>
      </c>
      <c r="B14872" s="29" t="s">
        <v>17076</v>
      </c>
      <c r="C14872" s="29" t="s">
        <v>30243</v>
      </c>
      <c r="D14872" s="29" t="s">
        <v>43813</v>
      </c>
      <c r="E14872" s="29" t="s">
        <v>54315</v>
      </c>
      <c r="F14872" s="36" t="s">
        <v>54401</v>
      </c>
      <c r="G14872" s="39">
        <v>2141293.7000000002</v>
      </c>
      <c r="H14872" s="42">
        <v>211</v>
      </c>
    </row>
    <row r="14873" spans="1:8" ht="15" customHeight="1">
      <c r="A14873" s="26">
        <v>1118565910</v>
      </c>
      <c r="B14873" s="29" t="s">
        <v>17077</v>
      </c>
      <c r="C14873" s="26" t="s">
        <v>30244</v>
      </c>
      <c r="D14873" s="26" t="s">
        <v>43814</v>
      </c>
      <c r="E14873" s="26" t="s">
        <v>54316</v>
      </c>
      <c r="F14873" s="37" t="s">
        <v>54401</v>
      </c>
      <c r="G14873" s="39">
        <v>1444681.8</v>
      </c>
      <c r="H14873" s="42">
        <v>211</v>
      </c>
    </row>
    <row r="14874" spans="1:8" ht="15" customHeight="1">
      <c r="A14874" s="26">
        <v>1118566602</v>
      </c>
      <c r="B14874" s="29" t="s">
        <v>17078</v>
      </c>
      <c r="C14874" s="29" t="s">
        <v>30245</v>
      </c>
      <c r="D14874" s="29" t="s">
        <v>43815</v>
      </c>
      <c r="E14874" s="29" t="s">
        <v>54317</v>
      </c>
      <c r="F14874" s="36" t="s">
        <v>54401</v>
      </c>
      <c r="G14874" s="39">
        <v>3529983</v>
      </c>
      <c r="H14874" s="42">
        <v>211</v>
      </c>
    </row>
    <row r="14875" spans="1:8" ht="15" customHeight="1">
      <c r="A14875" s="26">
        <v>1118569849</v>
      </c>
      <c r="B14875" s="29" t="s">
        <v>17079</v>
      </c>
      <c r="C14875" s="29" t="s">
        <v>30246</v>
      </c>
      <c r="D14875" s="29" t="s">
        <v>43816</v>
      </c>
      <c r="E14875" s="29" t="s">
        <v>54318</v>
      </c>
      <c r="F14875" s="36" t="s">
        <v>54401</v>
      </c>
      <c r="G14875" s="39">
        <v>814284.13</v>
      </c>
      <c r="H14875" s="42">
        <v>211</v>
      </c>
    </row>
    <row r="14876" spans="1:8" ht="15" customHeight="1">
      <c r="A14876" s="26">
        <v>1118575797</v>
      </c>
      <c r="B14876" s="29" t="s">
        <v>17080</v>
      </c>
      <c r="C14876" s="29" t="s">
        <v>30247</v>
      </c>
      <c r="D14876" s="29" t="s">
        <v>43817</v>
      </c>
      <c r="E14876" s="29" t="s">
        <v>54319</v>
      </c>
      <c r="F14876" s="36" t="s">
        <v>54401</v>
      </c>
      <c r="G14876" s="39">
        <v>401946.18</v>
      </c>
      <c r="H14876" s="42">
        <v>211</v>
      </c>
    </row>
    <row r="14877" spans="1:8" ht="15" customHeight="1">
      <c r="A14877" s="26">
        <v>1118648824</v>
      </c>
      <c r="B14877" s="29" t="s">
        <v>17081</v>
      </c>
      <c r="C14877" s="29" t="s">
        <v>30248</v>
      </c>
      <c r="D14877" s="29" t="s">
        <v>43818</v>
      </c>
      <c r="E14877" s="29" t="s">
        <v>54320</v>
      </c>
      <c r="F14877" s="36" t="s">
        <v>54401</v>
      </c>
      <c r="G14877" s="39">
        <v>1922294.14</v>
      </c>
      <c r="H14877" s="42">
        <v>211</v>
      </c>
    </row>
    <row r="14878" spans="1:8" ht="15" customHeight="1">
      <c r="A14878" s="26">
        <v>1118704051</v>
      </c>
      <c r="B14878" s="29" t="s">
        <v>17082</v>
      </c>
      <c r="C14878" s="29" t="s">
        <v>30249</v>
      </c>
      <c r="D14878" s="29" t="s">
        <v>43819</v>
      </c>
      <c r="E14878" s="29" t="s">
        <v>54321</v>
      </c>
      <c r="F14878" s="36" t="s">
        <v>54401</v>
      </c>
      <c r="G14878" s="39">
        <v>5027896.28</v>
      </c>
      <c r="H14878" s="42">
        <v>211</v>
      </c>
    </row>
    <row r="14879" spans="1:8" ht="15" customHeight="1">
      <c r="A14879" s="26">
        <v>1118776451</v>
      </c>
      <c r="B14879" s="29" t="s">
        <v>17083</v>
      </c>
      <c r="C14879" s="29" t="s">
        <v>30250</v>
      </c>
      <c r="D14879" s="29" t="s">
        <v>43820</v>
      </c>
      <c r="E14879" s="29" t="s">
        <v>51141</v>
      </c>
      <c r="F14879" s="36" t="s">
        <v>54401</v>
      </c>
      <c r="G14879" s="39">
        <v>2130976</v>
      </c>
      <c r="H14879" s="42">
        <v>211</v>
      </c>
    </row>
    <row r="14880" spans="1:8" ht="15" customHeight="1">
      <c r="A14880" s="26">
        <v>1120376757</v>
      </c>
      <c r="B14880" s="29" t="s">
        <v>17084</v>
      </c>
      <c r="C14880" s="29" t="s">
        <v>30251</v>
      </c>
      <c r="D14880" s="29" t="s">
        <v>43821</v>
      </c>
      <c r="E14880" s="29" t="s">
        <v>54322</v>
      </c>
      <c r="F14880" s="36" t="s">
        <v>54401</v>
      </c>
      <c r="G14880" s="39">
        <v>397618.35</v>
      </c>
      <c r="H14880" s="42">
        <v>211</v>
      </c>
    </row>
    <row r="14881" spans="1:8" ht="15" customHeight="1">
      <c r="A14881" s="26">
        <v>1120582011</v>
      </c>
      <c r="B14881" s="29" t="s">
        <v>17085</v>
      </c>
      <c r="C14881" s="29" t="s">
        <v>30252</v>
      </c>
      <c r="D14881" s="29" t="s">
        <v>43822</v>
      </c>
      <c r="E14881" s="29" t="s">
        <v>54323</v>
      </c>
      <c r="F14881" s="36" t="s">
        <v>54401</v>
      </c>
      <c r="G14881" s="39">
        <v>1168767.31</v>
      </c>
      <c r="H14881" s="42">
        <v>211</v>
      </c>
    </row>
    <row r="14882" spans="1:8" ht="15" customHeight="1">
      <c r="A14882" s="26">
        <v>1120864871</v>
      </c>
      <c r="B14882" s="29" t="s">
        <v>17086</v>
      </c>
      <c r="C14882" s="29" t="s">
        <v>30253</v>
      </c>
      <c r="D14882" s="29" t="s">
        <v>43823</v>
      </c>
      <c r="E14882" s="29" t="s">
        <v>54324</v>
      </c>
      <c r="F14882" s="36" t="s">
        <v>54401</v>
      </c>
      <c r="G14882" s="39">
        <v>2975254.56</v>
      </c>
      <c r="H14882" s="42">
        <v>211</v>
      </c>
    </row>
    <row r="14883" spans="1:8" ht="15" customHeight="1">
      <c r="A14883" s="26">
        <v>1121214476</v>
      </c>
      <c r="B14883" s="29" t="s">
        <v>17087</v>
      </c>
      <c r="C14883" s="29" t="s">
        <v>30254</v>
      </c>
      <c r="D14883" s="29" t="s">
        <v>43824</v>
      </c>
      <c r="E14883" s="29" t="s">
        <v>54325</v>
      </c>
      <c r="F14883" s="36" t="s">
        <v>54401</v>
      </c>
      <c r="G14883" s="39">
        <v>730482.68</v>
      </c>
      <c r="H14883" s="42">
        <v>211</v>
      </c>
    </row>
    <row r="14884" spans="1:8" ht="15" customHeight="1">
      <c r="A14884" s="26">
        <v>1121822194</v>
      </c>
      <c r="B14884" s="29" t="s">
        <v>17088</v>
      </c>
      <c r="C14884" s="29" t="s">
        <v>30255</v>
      </c>
      <c r="D14884" s="29" t="s">
        <v>43825</v>
      </c>
      <c r="E14884" s="29" t="s">
        <v>54326</v>
      </c>
      <c r="F14884" s="36" t="s">
        <v>54401</v>
      </c>
      <c r="G14884" s="39">
        <v>1450840.58</v>
      </c>
      <c r="H14884" s="42">
        <v>211</v>
      </c>
    </row>
    <row r="14885" spans="1:8" ht="15" customHeight="1">
      <c r="A14885" s="26">
        <v>1121827648</v>
      </c>
      <c r="B14885" s="29" t="s">
        <v>17089</v>
      </c>
      <c r="C14885" s="29" t="s">
        <v>30256</v>
      </c>
      <c r="D14885" s="29" t="s">
        <v>43826</v>
      </c>
      <c r="E14885" s="29" t="s">
        <v>54327</v>
      </c>
      <c r="F14885" s="36" t="s">
        <v>54402</v>
      </c>
      <c r="G14885" s="39">
        <v>555983.99</v>
      </c>
      <c r="H14885" s="42">
        <v>211</v>
      </c>
    </row>
    <row r="14886" spans="1:8" ht="15" customHeight="1">
      <c r="A14886" s="26">
        <v>1121827686</v>
      </c>
      <c r="B14886" s="29" t="s">
        <v>17090</v>
      </c>
      <c r="C14886" s="29" t="s">
        <v>30257</v>
      </c>
      <c r="D14886" s="29" t="s">
        <v>43827</v>
      </c>
      <c r="E14886" s="29" t="s">
        <v>54328</v>
      </c>
      <c r="F14886" s="36" t="s">
        <v>54412</v>
      </c>
      <c r="G14886" s="39">
        <v>3348215.34</v>
      </c>
      <c r="H14886" s="42">
        <v>211</v>
      </c>
    </row>
    <row r="14887" spans="1:8" ht="15" customHeight="1">
      <c r="A14887" s="26">
        <v>1121828731</v>
      </c>
      <c r="B14887" s="29" t="s">
        <v>17091</v>
      </c>
      <c r="C14887" s="29" t="s">
        <v>17204</v>
      </c>
      <c r="D14887" s="29" t="s">
        <v>43828</v>
      </c>
      <c r="E14887" s="29" t="s">
        <v>54329</v>
      </c>
      <c r="F14887" s="36" t="s">
        <v>54401</v>
      </c>
      <c r="G14887" s="39">
        <v>201906.81</v>
      </c>
      <c r="H14887" s="42">
        <v>211</v>
      </c>
    </row>
    <row r="14888" spans="1:8" ht="15" customHeight="1">
      <c r="A14888" s="26">
        <v>1121834571</v>
      </c>
      <c r="B14888" s="29" t="s">
        <v>17092</v>
      </c>
      <c r="C14888" s="29" t="s">
        <v>30258</v>
      </c>
      <c r="D14888" s="29" t="s">
        <v>43829</v>
      </c>
      <c r="E14888" s="29" t="s">
        <v>43926</v>
      </c>
      <c r="F14888" s="36" t="s">
        <v>54401</v>
      </c>
      <c r="G14888" s="39">
        <v>2037106.84</v>
      </c>
      <c r="H14888" s="42">
        <v>211</v>
      </c>
    </row>
    <row r="14889" spans="1:8" ht="15" customHeight="1">
      <c r="A14889" s="26">
        <v>1121847922</v>
      </c>
      <c r="B14889" s="29" t="s">
        <v>17093</v>
      </c>
      <c r="C14889" s="29" t="s">
        <v>30259</v>
      </c>
      <c r="D14889" s="29" t="s">
        <v>43830</v>
      </c>
      <c r="E14889" s="29" t="s">
        <v>49593</v>
      </c>
      <c r="F14889" s="36" t="s">
        <v>54401</v>
      </c>
      <c r="G14889" s="39">
        <v>97664.76</v>
      </c>
      <c r="H14889" s="42">
        <v>211</v>
      </c>
    </row>
    <row r="14890" spans="1:8" ht="15" customHeight="1">
      <c r="A14890" s="26">
        <v>1121857610</v>
      </c>
      <c r="B14890" s="29" t="s">
        <v>17094</v>
      </c>
      <c r="C14890" s="29" t="s">
        <v>30260</v>
      </c>
      <c r="D14890" s="29" t="s">
        <v>43831</v>
      </c>
      <c r="E14890" s="29" t="s">
        <v>54330</v>
      </c>
      <c r="F14890" s="36" t="s">
        <v>54401</v>
      </c>
      <c r="G14890" s="39">
        <v>6958368</v>
      </c>
      <c r="H14890" s="42">
        <v>211</v>
      </c>
    </row>
    <row r="14891" spans="1:8" ht="15" customHeight="1">
      <c r="A14891" s="26">
        <v>1121860634</v>
      </c>
      <c r="B14891" s="29" t="s">
        <v>17095</v>
      </c>
      <c r="C14891" s="29" t="s">
        <v>30261</v>
      </c>
      <c r="D14891" s="29" t="s">
        <v>43832</v>
      </c>
      <c r="E14891" s="29" t="s">
        <v>54331</v>
      </c>
      <c r="F14891" s="36" t="s">
        <v>54401</v>
      </c>
      <c r="G14891" s="39">
        <v>562121.48</v>
      </c>
      <c r="H14891" s="42">
        <v>211</v>
      </c>
    </row>
    <row r="14892" spans="1:8" ht="15" customHeight="1">
      <c r="A14892" s="26">
        <v>1121869233</v>
      </c>
      <c r="B14892" s="29" t="s">
        <v>17096</v>
      </c>
      <c r="C14892" s="29" t="s">
        <v>22063</v>
      </c>
      <c r="D14892" s="29" t="s">
        <v>35298</v>
      </c>
      <c r="E14892" s="29" t="s">
        <v>48097</v>
      </c>
      <c r="F14892" s="36" t="s">
        <v>54401</v>
      </c>
      <c r="G14892" s="39">
        <v>596190.30000000005</v>
      </c>
      <c r="H14892" s="42">
        <v>211</v>
      </c>
    </row>
    <row r="14893" spans="1:8" ht="15" customHeight="1">
      <c r="A14893" s="26">
        <v>1121877934</v>
      </c>
      <c r="B14893" s="29" t="s">
        <v>17097</v>
      </c>
      <c r="C14893" s="29" t="s">
        <v>30262</v>
      </c>
      <c r="D14893" s="29" t="s">
        <v>43833</v>
      </c>
      <c r="E14893" s="29" t="s">
        <v>54332</v>
      </c>
      <c r="F14893" s="36" t="s">
        <v>54401</v>
      </c>
      <c r="G14893" s="39">
        <v>2095453.53</v>
      </c>
      <c r="H14893" s="42">
        <v>211</v>
      </c>
    </row>
    <row r="14894" spans="1:8" ht="15" customHeight="1">
      <c r="A14894" s="26">
        <v>1121880816</v>
      </c>
      <c r="B14894" s="29" t="s">
        <v>17098</v>
      </c>
      <c r="C14894" s="29" t="s">
        <v>30263</v>
      </c>
      <c r="D14894" s="29" t="s">
        <v>43834</v>
      </c>
      <c r="E14894" s="29" t="s">
        <v>43926</v>
      </c>
      <c r="F14894" s="36" t="s">
        <v>54401</v>
      </c>
      <c r="G14894" s="39">
        <v>403131.53</v>
      </c>
      <c r="H14894" s="42">
        <v>211</v>
      </c>
    </row>
    <row r="14895" spans="1:8" ht="15" customHeight="1">
      <c r="A14895" s="26">
        <v>1121909018</v>
      </c>
      <c r="B14895" s="29" t="s">
        <v>17099</v>
      </c>
      <c r="C14895" s="29" t="s">
        <v>30264</v>
      </c>
      <c r="D14895" s="29" t="s">
        <v>43835</v>
      </c>
      <c r="E14895" s="29" t="s">
        <v>54333</v>
      </c>
      <c r="F14895" s="36" t="s">
        <v>54401</v>
      </c>
      <c r="G14895" s="39">
        <v>283165.08</v>
      </c>
      <c r="H14895" s="42">
        <v>211</v>
      </c>
    </row>
    <row r="14896" spans="1:8" ht="15" customHeight="1">
      <c r="A14896" s="26">
        <v>1121956173</v>
      </c>
      <c r="B14896" s="29" t="s">
        <v>17100</v>
      </c>
      <c r="C14896" s="29" t="s">
        <v>30265</v>
      </c>
      <c r="D14896" s="29" t="s">
        <v>43836</v>
      </c>
      <c r="E14896" s="29" t="s">
        <v>54334</v>
      </c>
      <c r="F14896" s="36" t="s">
        <v>54401</v>
      </c>
      <c r="G14896" s="39">
        <v>277400.67</v>
      </c>
      <c r="H14896" s="42">
        <v>211</v>
      </c>
    </row>
    <row r="14897" spans="1:8" ht="15" customHeight="1">
      <c r="A14897" s="26">
        <v>1121957555</v>
      </c>
      <c r="B14897" s="29" t="s">
        <v>17101</v>
      </c>
      <c r="C14897" s="29" t="s">
        <v>30266</v>
      </c>
      <c r="D14897" s="29" t="s">
        <v>43837</v>
      </c>
      <c r="E14897" s="29" t="s">
        <v>54335</v>
      </c>
      <c r="F14897" s="36" t="s">
        <v>54407</v>
      </c>
      <c r="G14897" s="39">
        <v>284652.40000000002</v>
      </c>
      <c r="H14897" s="42">
        <v>211</v>
      </c>
    </row>
    <row r="14898" spans="1:8" ht="15" customHeight="1">
      <c r="A14898" s="26">
        <v>1121982671</v>
      </c>
      <c r="B14898" s="29" t="s">
        <v>17102</v>
      </c>
      <c r="C14898" s="29" t="s">
        <v>30267</v>
      </c>
      <c r="D14898" s="29" t="s">
        <v>43838</v>
      </c>
      <c r="E14898" s="29" t="s">
        <v>54336</v>
      </c>
      <c r="F14898" s="36" t="s">
        <v>54401</v>
      </c>
      <c r="G14898" s="39">
        <v>14674355</v>
      </c>
      <c r="H14898" s="42">
        <v>211</v>
      </c>
    </row>
    <row r="14899" spans="1:8" ht="15" customHeight="1">
      <c r="A14899" s="26">
        <v>1122136698</v>
      </c>
      <c r="B14899" s="29" t="s">
        <v>17103</v>
      </c>
      <c r="C14899" s="29" t="s">
        <v>30268</v>
      </c>
      <c r="D14899" s="29" t="s">
        <v>43839</v>
      </c>
      <c r="E14899" s="29" t="s">
        <v>54337</v>
      </c>
      <c r="F14899" s="36" t="s">
        <v>54401</v>
      </c>
      <c r="G14899" s="39">
        <v>600372.27</v>
      </c>
      <c r="H14899" s="42">
        <v>211</v>
      </c>
    </row>
    <row r="14900" spans="1:8" ht="15" customHeight="1">
      <c r="A14900" s="26">
        <v>1122342536</v>
      </c>
      <c r="B14900" s="29" t="s">
        <v>17104</v>
      </c>
      <c r="C14900" s="29" t="s">
        <v>30269</v>
      </c>
      <c r="D14900" s="29" t="s">
        <v>43840</v>
      </c>
      <c r="E14900" s="29" t="s">
        <v>43926</v>
      </c>
      <c r="F14900" s="36" t="s">
        <v>54401</v>
      </c>
      <c r="G14900" s="39">
        <v>91943.43</v>
      </c>
      <c r="H14900" s="42">
        <v>211</v>
      </c>
    </row>
    <row r="14901" spans="1:8" ht="15" customHeight="1">
      <c r="A14901" s="26">
        <v>1122676181</v>
      </c>
      <c r="B14901" s="29" t="s">
        <v>17105</v>
      </c>
      <c r="C14901" s="29" t="s">
        <v>30270</v>
      </c>
      <c r="D14901" s="29" t="s">
        <v>43841</v>
      </c>
      <c r="E14901" s="29" t="s">
        <v>44466</v>
      </c>
      <c r="F14901" s="36" t="s">
        <v>54401</v>
      </c>
      <c r="G14901" s="39">
        <v>525870.56999999995</v>
      </c>
      <c r="H14901" s="42">
        <v>211</v>
      </c>
    </row>
    <row r="14902" spans="1:8" ht="15" customHeight="1">
      <c r="A14902" s="26">
        <v>1123116123</v>
      </c>
      <c r="B14902" s="29" t="s">
        <v>17106</v>
      </c>
      <c r="C14902" s="29" t="s">
        <v>30271</v>
      </c>
      <c r="D14902" s="29" t="s">
        <v>43842</v>
      </c>
      <c r="E14902" s="29" t="s">
        <v>54338</v>
      </c>
      <c r="F14902" s="36" t="s">
        <v>54401</v>
      </c>
      <c r="G14902" s="39">
        <v>1097438.22</v>
      </c>
      <c r="H14902" s="42">
        <v>211</v>
      </c>
    </row>
    <row r="14903" spans="1:8" ht="15" customHeight="1">
      <c r="A14903" s="26">
        <v>1125229890</v>
      </c>
      <c r="B14903" s="29" t="s">
        <v>17107</v>
      </c>
      <c r="C14903" s="29" t="s">
        <v>30272</v>
      </c>
      <c r="D14903" s="29" t="s">
        <v>43843</v>
      </c>
      <c r="E14903" s="29" t="s">
        <v>43926</v>
      </c>
      <c r="F14903" s="36" t="s">
        <v>54401</v>
      </c>
      <c r="G14903" s="39">
        <v>67058.820000000007</v>
      </c>
      <c r="H14903" s="42">
        <v>211</v>
      </c>
    </row>
    <row r="14904" spans="1:8" ht="15" customHeight="1">
      <c r="A14904" s="26">
        <v>1125230094</v>
      </c>
      <c r="B14904" s="29" t="s">
        <v>17108</v>
      </c>
      <c r="C14904" s="29" t="s">
        <v>30273</v>
      </c>
      <c r="D14904" s="29" t="s">
        <v>43844</v>
      </c>
      <c r="E14904" s="29" t="s">
        <v>54339</v>
      </c>
      <c r="F14904" s="36" t="s">
        <v>54401</v>
      </c>
      <c r="G14904" s="39">
        <v>1086335.3400000001</v>
      </c>
      <c r="H14904" s="42">
        <v>211</v>
      </c>
    </row>
    <row r="14905" spans="1:8" ht="15" customHeight="1">
      <c r="A14905" s="26">
        <v>1125548963</v>
      </c>
      <c r="B14905" s="29" t="s">
        <v>17109</v>
      </c>
      <c r="C14905" s="29" t="s">
        <v>17204</v>
      </c>
      <c r="D14905" s="29" t="s">
        <v>43845</v>
      </c>
      <c r="E14905" s="29" t="s">
        <v>43926</v>
      </c>
      <c r="F14905" s="36" t="s">
        <v>54401</v>
      </c>
      <c r="G14905" s="39">
        <v>743245.22</v>
      </c>
      <c r="H14905" s="42">
        <v>211</v>
      </c>
    </row>
    <row r="14906" spans="1:8" ht="15" customHeight="1">
      <c r="A14906" s="26">
        <v>1126418832</v>
      </c>
      <c r="B14906" s="29" t="s">
        <v>17110</v>
      </c>
      <c r="C14906" s="29" t="s">
        <v>30274</v>
      </c>
      <c r="D14906" s="29" t="s">
        <v>43846</v>
      </c>
      <c r="E14906" s="29" t="s">
        <v>44327</v>
      </c>
      <c r="F14906" s="36" t="s">
        <v>54401</v>
      </c>
      <c r="G14906" s="39">
        <v>367862.14</v>
      </c>
      <c r="H14906" s="42">
        <v>211</v>
      </c>
    </row>
    <row r="14907" spans="1:8" ht="15" customHeight="1">
      <c r="A14907" s="26">
        <v>1126427054</v>
      </c>
      <c r="B14907" s="29" t="s">
        <v>17111</v>
      </c>
      <c r="C14907" s="29" t="s">
        <v>30275</v>
      </c>
      <c r="D14907" s="29" t="s">
        <v>43847</v>
      </c>
      <c r="E14907" s="29" t="s">
        <v>54340</v>
      </c>
      <c r="F14907" s="36" t="s">
        <v>54401</v>
      </c>
      <c r="G14907" s="39">
        <v>2899694</v>
      </c>
      <c r="H14907" s="42">
        <v>211</v>
      </c>
    </row>
    <row r="14908" spans="1:8" ht="15" customHeight="1">
      <c r="A14908" s="26">
        <v>1127075634</v>
      </c>
      <c r="B14908" s="29" t="s">
        <v>17112</v>
      </c>
      <c r="C14908" s="29" t="s">
        <v>30276</v>
      </c>
      <c r="D14908" s="29" t="s">
        <v>43848</v>
      </c>
      <c r="E14908" s="29" t="s">
        <v>54341</v>
      </c>
      <c r="F14908" s="36" t="s">
        <v>54401</v>
      </c>
      <c r="G14908" s="39">
        <v>2897678</v>
      </c>
      <c r="H14908" s="42">
        <v>211</v>
      </c>
    </row>
    <row r="14909" spans="1:8" ht="15" customHeight="1">
      <c r="A14909" s="26">
        <v>1127230025</v>
      </c>
      <c r="B14909" s="29" t="s">
        <v>17113</v>
      </c>
      <c r="C14909" s="29" t="s">
        <v>30277</v>
      </c>
      <c r="D14909" s="29" t="s">
        <v>43849</v>
      </c>
      <c r="E14909" s="29" t="s">
        <v>54342</v>
      </c>
      <c r="F14909" s="36" t="s">
        <v>54401</v>
      </c>
      <c r="G14909" s="39">
        <v>85201.94</v>
      </c>
      <c r="H14909" s="42">
        <v>211</v>
      </c>
    </row>
    <row r="14910" spans="1:8" ht="15" customHeight="1">
      <c r="A14910" s="26">
        <v>1127341385</v>
      </c>
      <c r="B14910" s="29" t="s">
        <v>17114</v>
      </c>
      <c r="C14910" s="29" t="s">
        <v>17204</v>
      </c>
      <c r="D14910" s="29" t="s">
        <v>30349</v>
      </c>
      <c r="E14910" s="29" t="s">
        <v>43926</v>
      </c>
      <c r="F14910" s="36" t="s">
        <v>54401</v>
      </c>
      <c r="G14910" s="39">
        <v>235401.96</v>
      </c>
      <c r="H14910" s="42">
        <v>211</v>
      </c>
    </row>
    <row r="14911" spans="1:8" ht="15" customHeight="1">
      <c r="A14911" s="26">
        <v>1127348078</v>
      </c>
      <c r="B14911" s="29" t="s">
        <v>17115</v>
      </c>
      <c r="C14911" s="29" t="s">
        <v>30278</v>
      </c>
      <c r="D14911" s="29" t="s">
        <v>43850</v>
      </c>
      <c r="E14911" s="29" t="s">
        <v>54343</v>
      </c>
      <c r="F14911" s="36" t="s">
        <v>54423</v>
      </c>
      <c r="G14911" s="39">
        <v>2614946.2999999998</v>
      </c>
      <c r="H14911" s="42">
        <v>211</v>
      </c>
    </row>
    <row r="14912" spans="1:8" ht="15" customHeight="1">
      <c r="A14912" s="26">
        <v>1127350887</v>
      </c>
      <c r="B14912" s="29" t="s">
        <v>17116</v>
      </c>
      <c r="C14912" s="29" t="s">
        <v>30279</v>
      </c>
      <c r="D14912" s="29" t="s">
        <v>43851</v>
      </c>
      <c r="E14912" s="29" t="s">
        <v>54344</v>
      </c>
      <c r="F14912" s="36" t="s">
        <v>54401</v>
      </c>
      <c r="G14912" s="39">
        <v>1110031.19</v>
      </c>
      <c r="H14912" s="42">
        <v>211</v>
      </c>
    </row>
    <row r="14913" spans="1:8" ht="15" customHeight="1">
      <c r="A14913" s="26">
        <v>1127610622</v>
      </c>
      <c r="B14913" s="29" t="s">
        <v>17117</v>
      </c>
      <c r="C14913" s="29" t="s">
        <v>30280</v>
      </c>
      <c r="D14913" s="29" t="s">
        <v>43852</v>
      </c>
      <c r="E14913" s="29" t="s">
        <v>54345</v>
      </c>
      <c r="F14913" s="36" t="s">
        <v>54401</v>
      </c>
      <c r="G14913" s="39">
        <v>3892616.82</v>
      </c>
      <c r="H14913" s="42">
        <v>211</v>
      </c>
    </row>
    <row r="14914" spans="1:8" ht="15" customHeight="1">
      <c r="A14914" s="26">
        <v>1127611248</v>
      </c>
      <c r="B14914" s="29" t="s">
        <v>17118</v>
      </c>
      <c r="C14914" s="29" t="s">
        <v>30281</v>
      </c>
      <c r="D14914" s="29" t="s">
        <v>43853</v>
      </c>
      <c r="E14914" s="29" t="s">
        <v>43926</v>
      </c>
      <c r="F14914" s="36" t="s">
        <v>54401</v>
      </c>
      <c r="G14914" s="39">
        <v>256649.45</v>
      </c>
      <c r="H14914" s="42">
        <v>211</v>
      </c>
    </row>
    <row r="14915" spans="1:8" ht="15" customHeight="1">
      <c r="A14915" s="26">
        <v>1127653108</v>
      </c>
      <c r="B14915" s="29" t="s">
        <v>17119</v>
      </c>
      <c r="C14915" s="29" t="s">
        <v>30282</v>
      </c>
      <c r="D14915" s="29" t="s">
        <v>43854</v>
      </c>
      <c r="E14915" s="29" t="s">
        <v>54346</v>
      </c>
      <c r="F14915" s="36" t="s">
        <v>54401</v>
      </c>
      <c r="G14915" s="39">
        <v>69628.820000000007</v>
      </c>
      <c r="H14915" s="42">
        <v>211</v>
      </c>
    </row>
    <row r="14916" spans="1:8" ht="15" customHeight="1">
      <c r="A14916" s="26">
        <v>1127670285</v>
      </c>
      <c r="B14916" s="29" t="s">
        <v>17120</v>
      </c>
      <c r="C14916" s="29" t="s">
        <v>30283</v>
      </c>
      <c r="D14916" s="29" t="s">
        <v>43855</v>
      </c>
      <c r="E14916" s="29" t="s">
        <v>54347</v>
      </c>
      <c r="F14916" s="36" t="s">
        <v>54401</v>
      </c>
      <c r="G14916" s="39">
        <v>2675190.31</v>
      </c>
      <c r="H14916" s="42">
        <v>211</v>
      </c>
    </row>
    <row r="14917" spans="1:8" ht="15" customHeight="1">
      <c r="A14917" s="26">
        <v>1127923089</v>
      </c>
      <c r="B14917" s="29" t="s">
        <v>17121</v>
      </c>
      <c r="C14917" s="29" t="s">
        <v>30284</v>
      </c>
      <c r="D14917" s="29" t="s">
        <v>43856</v>
      </c>
      <c r="E14917" s="29" t="s">
        <v>54348</v>
      </c>
      <c r="F14917" s="36" t="s">
        <v>54401</v>
      </c>
      <c r="G14917" s="39">
        <v>884083.31</v>
      </c>
      <c r="H14917" s="42">
        <v>211</v>
      </c>
    </row>
    <row r="14918" spans="1:8" ht="15" customHeight="1">
      <c r="A14918" s="26">
        <v>1127940567</v>
      </c>
      <c r="B14918" s="29" t="s">
        <v>17122</v>
      </c>
      <c r="C14918" s="29" t="s">
        <v>30285</v>
      </c>
      <c r="D14918" s="29" t="s">
        <v>43857</v>
      </c>
      <c r="E14918" s="29" t="s">
        <v>54349</v>
      </c>
      <c r="F14918" s="36" t="s">
        <v>54401</v>
      </c>
      <c r="G14918" s="39">
        <v>117181.04</v>
      </c>
      <c r="H14918" s="42">
        <v>211</v>
      </c>
    </row>
    <row r="14919" spans="1:8" ht="15" customHeight="1">
      <c r="A14919" s="26">
        <v>1127944723</v>
      </c>
      <c r="B14919" s="29" t="s">
        <v>17123</v>
      </c>
      <c r="C14919" s="29" t="s">
        <v>30286</v>
      </c>
      <c r="D14919" s="29" t="s">
        <v>43858</v>
      </c>
      <c r="E14919" s="29" t="s">
        <v>54350</v>
      </c>
      <c r="F14919" s="36" t="s">
        <v>54401</v>
      </c>
      <c r="G14919" s="39">
        <v>1168602</v>
      </c>
      <c r="H14919" s="42">
        <v>211</v>
      </c>
    </row>
    <row r="14920" spans="1:8" ht="15" customHeight="1">
      <c r="A14920" s="26">
        <v>1127955363</v>
      </c>
      <c r="B14920" s="29" t="s">
        <v>17124</v>
      </c>
      <c r="C14920" s="29" t="s">
        <v>30287</v>
      </c>
      <c r="D14920" s="29" t="s">
        <v>43859</v>
      </c>
      <c r="E14920" s="29" t="s">
        <v>46539</v>
      </c>
      <c r="F14920" s="36" t="s">
        <v>54401</v>
      </c>
      <c r="G14920" s="39">
        <v>191769.62</v>
      </c>
      <c r="H14920" s="42">
        <v>211</v>
      </c>
    </row>
    <row r="14921" spans="1:8" ht="15" customHeight="1">
      <c r="A14921" s="26">
        <v>1128420776</v>
      </c>
      <c r="B14921" s="29" t="s">
        <v>17125</v>
      </c>
      <c r="C14921" s="29" t="s">
        <v>30288</v>
      </c>
      <c r="D14921" s="29" t="s">
        <v>43860</v>
      </c>
      <c r="E14921" s="29" t="s">
        <v>47542</v>
      </c>
      <c r="F14921" s="36" t="s">
        <v>54401</v>
      </c>
      <c r="G14921" s="39">
        <v>1039405.41</v>
      </c>
      <c r="H14921" s="42">
        <v>211</v>
      </c>
    </row>
    <row r="14922" spans="1:8" ht="15" customHeight="1">
      <c r="A14922" s="26">
        <v>1128474679</v>
      </c>
      <c r="B14922" s="29" t="s">
        <v>17126</v>
      </c>
      <c r="C14922" s="26" t="s">
        <v>30289</v>
      </c>
      <c r="D14922" s="26" t="s">
        <v>43861</v>
      </c>
      <c r="E14922" s="26" t="s">
        <v>47515</v>
      </c>
      <c r="F14922" s="37" t="s">
        <v>54401</v>
      </c>
      <c r="G14922" s="39">
        <v>2637207.85</v>
      </c>
      <c r="H14922" s="42">
        <v>211</v>
      </c>
    </row>
    <row r="14923" spans="1:8" ht="15" customHeight="1">
      <c r="A14923" s="26">
        <v>1131110158</v>
      </c>
      <c r="B14923" s="29" t="s">
        <v>17127</v>
      </c>
      <c r="C14923" s="29" t="s">
        <v>30290</v>
      </c>
      <c r="D14923" s="29" t="s">
        <v>43862</v>
      </c>
      <c r="E14923" s="29" t="s">
        <v>54351</v>
      </c>
      <c r="F14923" s="36" t="s">
        <v>54401</v>
      </c>
      <c r="G14923" s="39">
        <v>2144721.96</v>
      </c>
      <c r="H14923" s="42">
        <v>211</v>
      </c>
    </row>
    <row r="14924" spans="1:8" ht="15" customHeight="1">
      <c r="A14924" s="26">
        <v>1136885833</v>
      </c>
      <c r="B14924" s="29" t="s">
        <v>17128</v>
      </c>
      <c r="C14924" s="29" t="s">
        <v>30291</v>
      </c>
      <c r="D14924" s="29" t="s">
        <v>43863</v>
      </c>
      <c r="E14924" s="29" t="s">
        <v>54352</v>
      </c>
      <c r="F14924" s="36" t="s">
        <v>54401</v>
      </c>
      <c r="G14924" s="39">
        <v>2224827.85</v>
      </c>
      <c r="H14924" s="42">
        <v>211</v>
      </c>
    </row>
    <row r="14925" spans="1:8" ht="15" customHeight="1">
      <c r="A14925" s="26">
        <v>1140821420</v>
      </c>
      <c r="B14925" s="29" t="s">
        <v>17129</v>
      </c>
      <c r="C14925" s="29" t="s">
        <v>30292</v>
      </c>
      <c r="D14925" s="29" t="s">
        <v>43864</v>
      </c>
      <c r="E14925" s="29" t="s">
        <v>54353</v>
      </c>
      <c r="F14925" s="36" t="s">
        <v>54401</v>
      </c>
      <c r="G14925" s="39">
        <v>730530.38</v>
      </c>
      <c r="H14925" s="42">
        <v>211</v>
      </c>
    </row>
    <row r="14926" spans="1:8" ht="15" customHeight="1">
      <c r="A14926" s="26">
        <v>1143129853</v>
      </c>
      <c r="B14926" s="29" t="s">
        <v>17130</v>
      </c>
      <c r="C14926" s="29" t="s">
        <v>30293</v>
      </c>
      <c r="D14926" s="29" t="s">
        <v>43865</v>
      </c>
      <c r="E14926" s="29" t="s">
        <v>50077</v>
      </c>
      <c r="F14926" s="36" t="s">
        <v>54401</v>
      </c>
      <c r="G14926" s="39">
        <v>677892.31</v>
      </c>
      <c r="H14926" s="42">
        <v>211</v>
      </c>
    </row>
    <row r="14927" spans="1:8" ht="15" customHeight="1">
      <c r="A14927" s="26">
        <v>1143167786</v>
      </c>
      <c r="B14927" s="29" t="s">
        <v>17131</v>
      </c>
      <c r="C14927" s="29" t="s">
        <v>30294</v>
      </c>
      <c r="D14927" s="29" t="s">
        <v>43866</v>
      </c>
      <c r="E14927" s="29" t="s">
        <v>54354</v>
      </c>
      <c r="F14927" s="36" t="s">
        <v>54401</v>
      </c>
      <c r="G14927" s="39">
        <v>236020.06</v>
      </c>
      <c r="H14927" s="42">
        <v>211</v>
      </c>
    </row>
    <row r="14928" spans="1:8" ht="15" customHeight="1">
      <c r="A14928" s="26">
        <v>1143460301</v>
      </c>
      <c r="B14928" s="29" t="s">
        <v>17132</v>
      </c>
      <c r="C14928" s="29" t="s">
        <v>30295</v>
      </c>
      <c r="D14928" s="29" t="s">
        <v>43867</v>
      </c>
      <c r="E14928" s="29" t="s">
        <v>54355</v>
      </c>
      <c r="F14928" s="36" t="s">
        <v>54401</v>
      </c>
      <c r="G14928" s="39">
        <v>4920066.51</v>
      </c>
      <c r="H14928" s="42">
        <v>211</v>
      </c>
    </row>
    <row r="14929" spans="1:8" ht="15" customHeight="1">
      <c r="A14929" s="26">
        <v>1144134487</v>
      </c>
      <c r="B14929" s="29" t="s">
        <v>17133</v>
      </c>
      <c r="C14929" s="29" t="s">
        <v>30296</v>
      </c>
      <c r="D14929" s="29" t="s">
        <v>43868</v>
      </c>
      <c r="E14929" s="29" t="s">
        <v>46825</v>
      </c>
      <c r="F14929" s="36" t="s">
        <v>54401</v>
      </c>
      <c r="G14929" s="39">
        <v>411858.93</v>
      </c>
      <c r="H14929" s="42">
        <v>211</v>
      </c>
    </row>
    <row r="14930" spans="1:8" ht="15" customHeight="1">
      <c r="A14930" s="26">
        <v>1149454639</v>
      </c>
      <c r="B14930" s="29" t="s">
        <v>17134</v>
      </c>
      <c r="C14930" s="29" t="s">
        <v>30297</v>
      </c>
      <c r="D14930" s="29" t="s">
        <v>43869</v>
      </c>
      <c r="E14930" s="29" t="s">
        <v>51020</v>
      </c>
      <c r="F14930" s="36" t="s">
        <v>54401</v>
      </c>
      <c r="G14930" s="39">
        <v>548221.89</v>
      </c>
      <c r="H14930" s="42">
        <v>211</v>
      </c>
    </row>
    <row r="14931" spans="1:8" ht="15" customHeight="1">
      <c r="A14931" s="26">
        <v>1150185254</v>
      </c>
      <c r="B14931" s="29" t="s">
        <v>17135</v>
      </c>
      <c r="C14931" s="29" t="s">
        <v>30298</v>
      </c>
      <c r="D14931" s="29" t="s">
        <v>43870</v>
      </c>
      <c r="E14931" s="29" t="s">
        <v>54356</v>
      </c>
      <c r="F14931" s="36" t="s">
        <v>54401</v>
      </c>
      <c r="G14931" s="39">
        <v>58476.959999999999</v>
      </c>
      <c r="H14931" s="42">
        <v>211</v>
      </c>
    </row>
    <row r="14932" spans="1:8" ht="15" customHeight="1">
      <c r="A14932" s="26">
        <v>1192718939</v>
      </c>
      <c r="B14932" s="29" t="s">
        <v>17136</v>
      </c>
      <c r="C14932" s="29" t="s">
        <v>30299</v>
      </c>
      <c r="D14932" s="29" t="s">
        <v>43871</v>
      </c>
      <c r="E14932" s="29" t="s">
        <v>54357</v>
      </c>
      <c r="F14932" s="36" t="s">
        <v>54401</v>
      </c>
      <c r="G14932" s="39">
        <v>2608281.5699999998</v>
      </c>
      <c r="H14932" s="42">
        <v>211</v>
      </c>
    </row>
    <row r="14933" spans="1:8" ht="15" customHeight="1">
      <c r="A14933" s="26">
        <v>1192719684</v>
      </c>
      <c r="B14933" s="29" t="s">
        <v>17137</v>
      </c>
      <c r="C14933" s="29" t="s">
        <v>30300</v>
      </c>
      <c r="D14933" s="29" t="s">
        <v>43872</v>
      </c>
      <c r="E14933" s="29" t="s">
        <v>54358</v>
      </c>
      <c r="F14933" s="36" t="s">
        <v>54401</v>
      </c>
      <c r="G14933" s="39">
        <v>2324831.5299999998</v>
      </c>
      <c r="H14933" s="42">
        <v>211</v>
      </c>
    </row>
    <row r="14934" spans="1:8" ht="15" customHeight="1">
      <c r="A14934" s="26">
        <v>1192730147</v>
      </c>
      <c r="B14934" s="29" t="s">
        <v>17138</v>
      </c>
      <c r="C14934" s="26" t="s">
        <v>30301</v>
      </c>
      <c r="D14934" s="26" t="s">
        <v>32295</v>
      </c>
      <c r="E14934" s="26" t="s">
        <v>43926</v>
      </c>
      <c r="F14934" s="37" t="s">
        <v>54401</v>
      </c>
      <c r="G14934" s="39">
        <v>239501.18</v>
      </c>
      <c r="H14934" s="42">
        <v>211</v>
      </c>
    </row>
    <row r="14935" spans="1:8" ht="15" customHeight="1">
      <c r="A14935" s="26">
        <v>1192738231</v>
      </c>
      <c r="B14935" s="29" t="s">
        <v>17139</v>
      </c>
      <c r="C14935" s="29" t="s">
        <v>30302</v>
      </c>
      <c r="D14935" s="29" t="s">
        <v>43873</v>
      </c>
      <c r="E14935" s="29" t="s">
        <v>43926</v>
      </c>
      <c r="F14935" s="36" t="s">
        <v>54401</v>
      </c>
      <c r="G14935" s="39">
        <v>33794.53</v>
      </c>
      <c r="H14935" s="42">
        <v>211</v>
      </c>
    </row>
    <row r="14936" spans="1:8" ht="15" customHeight="1">
      <c r="A14936" s="26">
        <v>1192749611</v>
      </c>
      <c r="B14936" s="30" t="s">
        <v>17140</v>
      </c>
      <c r="C14936" s="29" t="s">
        <v>30303</v>
      </c>
      <c r="D14936" s="29" t="s">
        <v>43874</v>
      </c>
      <c r="E14936" s="29" t="s">
        <v>54359</v>
      </c>
      <c r="F14936" s="36" t="s">
        <v>54401</v>
      </c>
      <c r="G14936" s="39">
        <v>655462.18000000005</v>
      </c>
      <c r="H14936" s="42">
        <v>211</v>
      </c>
    </row>
    <row r="14937" spans="1:8" ht="15" customHeight="1">
      <c r="A14937" s="26">
        <v>1192750679</v>
      </c>
      <c r="B14937" s="29" t="s">
        <v>17141</v>
      </c>
      <c r="C14937" s="29" t="s">
        <v>30304</v>
      </c>
      <c r="D14937" s="29" t="s">
        <v>43875</v>
      </c>
      <c r="E14937" s="29" t="s">
        <v>54360</v>
      </c>
      <c r="F14937" s="36" t="s">
        <v>54401</v>
      </c>
      <c r="G14937" s="39">
        <v>504417.61</v>
      </c>
      <c r="H14937" s="42">
        <v>211</v>
      </c>
    </row>
    <row r="14938" spans="1:8" ht="15" customHeight="1">
      <c r="A14938" s="26">
        <v>1192755706</v>
      </c>
      <c r="B14938" s="29" t="s">
        <v>17142</v>
      </c>
      <c r="C14938" s="29" t="s">
        <v>17204</v>
      </c>
      <c r="D14938" s="29" t="s">
        <v>30349</v>
      </c>
      <c r="E14938" s="29" t="s">
        <v>43926</v>
      </c>
      <c r="F14938" s="36" t="s">
        <v>54401</v>
      </c>
      <c r="G14938" s="39">
        <v>540048.97</v>
      </c>
      <c r="H14938" s="42">
        <v>211</v>
      </c>
    </row>
    <row r="14939" spans="1:8" ht="15" customHeight="1">
      <c r="A14939" s="26">
        <v>1192761105</v>
      </c>
      <c r="B14939" s="29" t="s">
        <v>17143</v>
      </c>
      <c r="C14939" s="29" t="s">
        <v>30305</v>
      </c>
      <c r="D14939" s="29" t="s">
        <v>43876</v>
      </c>
      <c r="E14939" s="29" t="s">
        <v>54361</v>
      </c>
      <c r="F14939" s="36" t="s">
        <v>54447</v>
      </c>
      <c r="G14939" s="39">
        <v>4744794.45</v>
      </c>
      <c r="H14939" s="42">
        <v>211</v>
      </c>
    </row>
    <row r="14940" spans="1:8" ht="15" customHeight="1">
      <c r="A14940" s="26">
        <v>1192784024</v>
      </c>
      <c r="B14940" s="29" t="s">
        <v>17144</v>
      </c>
      <c r="C14940" s="29" t="s">
        <v>30306</v>
      </c>
      <c r="D14940" s="29" t="s">
        <v>43877</v>
      </c>
      <c r="E14940" s="29" t="s">
        <v>46929</v>
      </c>
      <c r="F14940" s="36" t="s">
        <v>54401</v>
      </c>
      <c r="G14940" s="39">
        <v>535871.67000000004</v>
      </c>
      <c r="H14940" s="42">
        <v>211</v>
      </c>
    </row>
    <row r="14941" spans="1:8" ht="15" customHeight="1">
      <c r="A14941" s="26">
        <v>1192789154</v>
      </c>
      <c r="B14941" s="29" t="s">
        <v>17145</v>
      </c>
      <c r="C14941" s="29" t="s">
        <v>30307</v>
      </c>
      <c r="D14941" s="29" t="s">
        <v>43878</v>
      </c>
      <c r="E14941" s="29" t="s">
        <v>44963</v>
      </c>
      <c r="F14941" s="36" t="s">
        <v>54401</v>
      </c>
      <c r="G14941" s="39">
        <v>180560.48</v>
      </c>
      <c r="H14941" s="42">
        <v>211</v>
      </c>
    </row>
    <row r="14942" spans="1:8" ht="15" customHeight="1">
      <c r="A14942" s="26">
        <v>1192804847</v>
      </c>
      <c r="B14942" s="29" t="s">
        <v>17146</v>
      </c>
      <c r="C14942" s="29" t="s">
        <v>17204</v>
      </c>
      <c r="D14942" s="29" t="s">
        <v>30349</v>
      </c>
      <c r="E14942" s="29" t="s">
        <v>43926</v>
      </c>
      <c r="F14942" s="36" t="s">
        <v>54401</v>
      </c>
      <c r="G14942" s="39">
        <v>537671.44999999995</v>
      </c>
      <c r="H14942" s="42">
        <v>211</v>
      </c>
    </row>
    <row r="14943" spans="1:8" ht="15" customHeight="1">
      <c r="A14943" s="26">
        <v>1192910137</v>
      </c>
      <c r="B14943" s="29" t="s">
        <v>17147</v>
      </c>
      <c r="C14943" s="29" t="s">
        <v>17204</v>
      </c>
      <c r="D14943" s="29" t="s">
        <v>43879</v>
      </c>
      <c r="E14943" s="29" t="s">
        <v>43926</v>
      </c>
      <c r="F14943" s="36" t="s">
        <v>54401</v>
      </c>
      <c r="G14943" s="39">
        <v>25050.43</v>
      </c>
      <c r="H14943" s="42">
        <v>211</v>
      </c>
    </row>
    <row r="14944" spans="1:8" ht="15" customHeight="1">
      <c r="A14944" s="26">
        <v>1192924302</v>
      </c>
      <c r="B14944" s="29" t="s">
        <v>17148</v>
      </c>
      <c r="C14944" s="29" t="s">
        <v>30308</v>
      </c>
      <c r="D14944" s="29" t="s">
        <v>43880</v>
      </c>
      <c r="E14944" s="29" t="s">
        <v>54362</v>
      </c>
      <c r="F14944" s="36" t="s">
        <v>54401</v>
      </c>
      <c r="G14944" s="39">
        <v>297622.53000000003</v>
      </c>
      <c r="H14944" s="42">
        <v>211</v>
      </c>
    </row>
    <row r="14945" spans="1:8" ht="15" customHeight="1">
      <c r="A14945" s="26">
        <v>1192925028</v>
      </c>
      <c r="B14945" s="29" t="s">
        <v>17149</v>
      </c>
      <c r="C14945" s="29" t="s">
        <v>30309</v>
      </c>
      <c r="D14945" s="29" t="s">
        <v>43881</v>
      </c>
      <c r="E14945" s="29" t="s">
        <v>54363</v>
      </c>
      <c r="F14945" s="36" t="s">
        <v>54401</v>
      </c>
      <c r="G14945" s="39">
        <v>239748.2</v>
      </c>
      <c r="H14945" s="42">
        <v>211</v>
      </c>
    </row>
    <row r="14946" spans="1:8" ht="15" customHeight="1">
      <c r="A14946" s="26">
        <v>1193034608</v>
      </c>
      <c r="B14946" s="29" t="s">
        <v>17150</v>
      </c>
      <c r="C14946" s="29" t="s">
        <v>30310</v>
      </c>
      <c r="D14946" s="29" t="s">
        <v>43882</v>
      </c>
      <c r="E14946" s="29" t="s">
        <v>54364</v>
      </c>
      <c r="F14946" s="36" t="s">
        <v>54401</v>
      </c>
      <c r="G14946" s="39">
        <v>545395.07999999996</v>
      </c>
      <c r="H14946" s="42">
        <v>211</v>
      </c>
    </row>
    <row r="14947" spans="1:8" ht="15" customHeight="1">
      <c r="A14947" s="26">
        <v>1193035170</v>
      </c>
      <c r="B14947" s="29" t="s">
        <v>17151</v>
      </c>
      <c r="C14947" s="26" t="s">
        <v>30311</v>
      </c>
      <c r="D14947" s="26" t="s">
        <v>43883</v>
      </c>
      <c r="E14947" s="26" t="s">
        <v>54365</v>
      </c>
      <c r="F14947" s="37" t="s">
        <v>54401</v>
      </c>
      <c r="G14947" s="39">
        <v>299627.24</v>
      </c>
      <c r="H14947" s="42">
        <v>211</v>
      </c>
    </row>
    <row r="14948" spans="1:8" ht="15" customHeight="1">
      <c r="A14948" s="26">
        <v>1193040093</v>
      </c>
      <c r="B14948" s="29" t="s">
        <v>17152</v>
      </c>
      <c r="C14948" s="29" t="s">
        <v>17204</v>
      </c>
      <c r="D14948" s="29" t="s">
        <v>30349</v>
      </c>
      <c r="E14948" s="29" t="s">
        <v>43926</v>
      </c>
      <c r="F14948" s="36" t="s">
        <v>54401</v>
      </c>
      <c r="G14948" s="39">
        <v>435268.47</v>
      </c>
      <c r="H14948" s="42">
        <v>211</v>
      </c>
    </row>
    <row r="14949" spans="1:8" ht="15" customHeight="1">
      <c r="A14949" s="26">
        <v>1193067061</v>
      </c>
      <c r="B14949" s="29" t="s">
        <v>17153</v>
      </c>
      <c r="C14949" s="29" t="s">
        <v>25519</v>
      </c>
      <c r="D14949" s="29" t="s">
        <v>38943</v>
      </c>
      <c r="E14949" s="29" t="s">
        <v>43926</v>
      </c>
      <c r="F14949" s="36" t="s">
        <v>54401</v>
      </c>
      <c r="G14949" s="39">
        <v>140564.48000000001</v>
      </c>
      <c r="H14949" s="42">
        <v>211</v>
      </c>
    </row>
    <row r="14950" spans="1:8" ht="15" customHeight="1">
      <c r="A14950" s="26">
        <v>1193067380</v>
      </c>
      <c r="B14950" s="29" t="s">
        <v>17154</v>
      </c>
      <c r="C14950" s="29" t="s">
        <v>30312</v>
      </c>
      <c r="D14950" s="29" t="s">
        <v>43884</v>
      </c>
      <c r="E14950" s="29" t="s">
        <v>54366</v>
      </c>
      <c r="F14950" s="36" t="s">
        <v>54401</v>
      </c>
      <c r="G14950" s="39">
        <v>2554296.7799999998</v>
      </c>
      <c r="H14950" s="42">
        <v>211</v>
      </c>
    </row>
    <row r="14951" spans="1:8" ht="15" customHeight="1">
      <c r="A14951" s="26">
        <v>1193216788</v>
      </c>
      <c r="B14951" s="29" t="s">
        <v>17155</v>
      </c>
      <c r="C14951" s="29" t="s">
        <v>30313</v>
      </c>
      <c r="D14951" s="29" t="s">
        <v>43885</v>
      </c>
      <c r="E14951" s="29" t="s">
        <v>43926</v>
      </c>
      <c r="F14951" s="36" t="s">
        <v>54401</v>
      </c>
      <c r="G14951" s="39">
        <v>2845643.74</v>
      </c>
      <c r="H14951" s="42">
        <v>211</v>
      </c>
    </row>
    <row r="14952" spans="1:8" ht="15" customHeight="1">
      <c r="A14952" s="26">
        <v>1193219951</v>
      </c>
      <c r="B14952" s="29" t="s">
        <v>17156</v>
      </c>
      <c r="C14952" s="29" t="s">
        <v>30314</v>
      </c>
      <c r="D14952" s="29" t="s">
        <v>33136</v>
      </c>
      <c r="E14952" s="29" t="s">
        <v>43926</v>
      </c>
      <c r="F14952" s="36" t="s">
        <v>54401</v>
      </c>
      <c r="G14952" s="39">
        <v>605902.85</v>
      </c>
      <c r="H14952" s="42">
        <v>211</v>
      </c>
    </row>
    <row r="14953" spans="1:8" ht="15" customHeight="1">
      <c r="A14953" s="26">
        <v>1193239192</v>
      </c>
      <c r="B14953" s="29" t="s">
        <v>17157</v>
      </c>
      <c r="C14953" s="29" t="s">
        <v>30315</v>
      </c>
      <c r="D14953" s="29" t="s">
        <v>43886</v>
      </c>
      <c r="E14953" s="29" t="s">
        <v>46117</v>
      </c>
      <c r="F14953" s="36" t="s">
        <v>54401</v>
      </c>
      <c r="G14953" s="39">
        <v>215637.64</v>
      </c>
      <c r="H14953" s="42">
        <v>211</v>
      </c>
    </row>
    <row r="14954" spans="1:8" ht="15" customHeight="1">
      <c r="A14954" s="26">
        <v>1193388984</v>
      </c>
      <c r="B14954" s="29" t="s">
        <v>17158</v>
      </c>
      <c r="C14954" s="29" t="s">
        <v>30316</v>
      </c>
      <c r="D14954" s="29" t="s">
        <v>43887</v>
      </c>
      <c r="E14954" s="29" t="s">
        <v>54367</v>
      </c>
      <c r="F14954" s="36" t="s">
        <v>54401</v>
      </c>
      <c r="G14954" s="39">
        <v>4618916.6100000003</v>
      </c>
      <c r="H14954" s="42">
        <v>211</v>
      </c>
    </row>
    <row r="14955" spans="1:8" ht="15" customHeight="1">
      <c r="A14955" s="26">
        <v>1193470904</v>
      </c>
      <c r="B14955" s="29" t="s">
        <v>17159</v>
      </c>
      <c r="C14955" s="29" t="s">
        <v>30317</v>
      </c>
      <c r="D14955" s="29" t="s">
        <v>43888</v>
      </c>
      <c r="E14955" s="29" t="s">
        <v>54368</v>
      </c>
      <c r="F14955" s="36" t="s">
        <v>54432</v>
      </c>
      <c r="G14955" s="39">
        <v>4915556</v>
      </c>
      <c r="H14955" s="42">
        <v>211</v>
      </c>
    </row>
    <row r="14956" spans="1:8" ht="15" customHeight="1">
      <c r="A14956" s="26">
        <v>1193514443</v>
      </c>
      <c r="B14956" s="29" t="s">
        <v>17160</v>
      </c>
      <c r="C14956" s="29" t="s">
        <v>30318</v>
      </c>
      <c r="D14956" s="29" t="s">
        <v>43889</v>
      </c>
      <c r="E14956" s="29" t="s">
        <v>54369</v>
      </c>
      <c r="F14956" s="36" t="s">
        <v>54401</v>
      </c>
      <c r="G14956" s="39">
        <v>1301031.71</v>
      </c>
      <c r="H14956" s="42">
        <v>211</v>
      </c>
    </row>
    <row r="14957" spans="1:8" ht="15" customHeight="1">
      <c r="A14957" s="26">
        <v>1193515522</v>
      </c>
      <c r="B14957" s="29" t="s">
        <v>17161</v>
      </c>
      <c r="C14957" s="26" t="s">
        <v>30319</v>
      </c>
      <c r="D14957" s="26" t="s">
        <v>43890</v>
      </c>
      <c r="E14957" s="26" t="s">
        <v>43926</v>
      </c>
      <c r="F14957" s="37" t="s">
        <v>54401</v>
      </c>
      <c r="G14957" s="39">
        <v>259523.08</v>
      </c>
      <c r="H14957" s="42">
        <v>211</v>
      </c>
    </row>
    <row r="14958" spans="1:8" ht="15" customHeight="1">
      <c r="A14958" s="26">
        <v>1193525485</v>
      </c>
      <c r="B14958" s="29" t="s">
        <v>17162</v>
      </c>
      <c r="C14958" s="26" t="s">
        <v>30320</v>
      </c>
      <c r="D14958" s="26" t="s">
        <v>43891</v>
      </c>
      <c r="E14958" s="26" t="s">
        <v>43926</v>
      </c>
      <c r="F14958" s="37" t="s">
        <v>54401</v>
      </c>
      <c r="G14958" s="39">
        <v>20312.939999999999</v>
      </c>
      <c r="H14958" s="42">
        <v>211</v>
      </c>
    </row>
    <row r="14959" spans="1:8" ht="15" customHeight="1">
      <c r="A14959" s="26">
        <v>1214739333</v>
      </c>
      <c r="B14959" s="29" t="s">
        <v>17163</v>
      </c>
      <c r="C14959" s="29" t="s">
        <v>30321</v>
      </c>
      <c r="D14959" s="29" t="s">
        <v>43892</v>
      </c>
      <c r="E14959" s="29" t="s">
        <v>54370</v>
      </c>
      <c r="F14959" s="36" t="s">
        <v>54401</v>
      </c>
      <c r="G14959" s="39">
        <v>721690.66</v>
      </c>
      <c r="H14959" s="42">
        <v>211</v>
      </c>
    </row>
    <row r="14960" spans="1:8" ht="15" customHeight="1">
      <c r="A14960" s="26">
        <v>1222144913</v>
      </c>
      <c r="B14960" s="29" t="s">
        <v>17164</v>
      </c>
      <c r="C14960" s="26" t="s">
        <v>30322</v>
      </c>
      <c r="D14960" s="26" t="s">
        <v>43893</v>
      </c>
      <c r="E14960" s="26" t="s">
        <v>43926</v>
      </c>
      <c r="F14960" s="37" t="s">
        <v>54401</v>
      </c>
      <c r="G14960" s="39">
        <v>35166.97</v>
      </c>
      <c r="H14960" s="42">
        <v>211</v>
      </c>
    </row>
    <row r="14961" spans="1:8" ht="15" customHeight="1">
      <c r="A14961" s="26">
        <v>1232402304</v>
      </c>
      <c r="B14961" s="29" t="s">
        <v>17165</v>
      </c>
      <c r="C14961" s="29" t="s">
        <v>30323</v>
      </c>
      <c r="D14961" s="29" t="s">
        <v>43894</v>
      </c>
      <c r="E14961" s="29" t="s">
        <v>54371</v>
      </c>
      <c r="F14961" s="36" t="s">
        <v>54401</v>
      </c>
      <c r="G14961" s="39">
        <v>2513218.1800000002</v>
      </c>
      <c r="H14961" s="42">
        <v>211</v>
      </c>
    </row>
    <row r="14962" spans="1:8" ht="15" customHeight="1">
      <c r="A14962" s="26">
        <v>1233494832</v>
      </c>
      <c r="B14962" s="29" t="s">
        <v>17166</v>
      </c>
      <c r="C14962" s="29" t="s">
        <v>30324</v>
      </c>
      <c r="D14962" s="29" t="s">
        <v>43895</v>
      </c>
      <c r="E14962" s="29" t="s">
        <v>53670</v>
      </c>
      <c r="F14962" s="36" t="s">
        <v>54401</v>
      </c>
      <c r="G14962" s="39">
        <v>2751399.95</v>
      </c>
      <c r="H14962" s="42">
        <v>211</v>
      </c>
    </row>
    <row r="14963" spans="1:8" ht="15" customHeight="1">
      <c r="A14963" s="26">
        <v>1233497092</v>
      </c>
      <c r="B14963" s="29" t="s">
        <v>17167</v>
      </c>
      <c r="C14963" s="29" t="s">
        <v>30325</v>
      </c>
      <c r="D14963" s="29" t="s">
        <v>43896</v>
      </c>
      <c r="E14963" s="29" t="s">
        <v>45093</v>
      </c>
      <c r="F14963" s="36" t="s">
        <v>54406</v>
      </c>
      <c r="G14963" s="39">
        <v>129192.84</v>
      </c>
      <c r="H14963" s="42">
        <v>211</v>
      </c>
    </row>
    <row r="14964" spans="1:8" ht="15" customHeight="1">
      <c r="A14964" s="26">
        <v>1233511904</v>
      </c>
      <c r="B14964" s="29" t="s">
        <v>17168</v>
      </c>
      <c r="C14964" s="29" t="s">
        <v>30326</v>
      </c>
      <c r="D14964" s="29" t="s">
        <v>43897</v>
      </c>
      <c r="E14964" s="29" t="s">
        <v>54372</v>
      </c>
      <c r="F14964" s="36" t="s">
        <v>54401</v>
      </c>
      <c r="G14964" s="39">
        <v>34534.86</v>
      </c>
      <c r="H14964" s="42">
        <v>211</v>
      </c>
    </row>
    <row r="14965" spans="1:8" ht="15" customHeight="1">
      <c r="A14965" s="26">
        <v>1233693428</v>
      </c>
      <c r="B14965" s="29" t="s">
        <v>17169</v>
      </c>
      <c r="C14965" s="29" t="s">
        <v>30327</v>
      </c>
      <c r="D14965" s="29" t="s">
        <v>43898</v>
      </c>
      <c r="E14965" s="29" t="s">
        <v>54373</v>
      </c>
      <c r="F14965" s="36" t="s">
        <v>54401</v>
      </c>
      <c r="G14965" s="39">
        <v>391985.78</v>
      </c>
      <c r="H14965" s="42">
        <v>211</v>
      </c>
    </row>
    <row r="14966" spans="1:8" ht="15" customHeight="1">
      <c r="A14966" s="26">
        <v>1233694164</v>
      </c>
      <c r="B14966" s="29" t="s">
        <v>17170</v>
      </c>
      <c r="C14966" s="29" t="s">
        <v>30328</v>
      </c>
      <c r="D14966" s="29" t="s">
        <v>43899</v>
      </c>
      <c r="E14966" s="29" t="s">
        <v>54374</v>
      </c>
      <c r="F14966" s="36" t="s">
        <v>54401</v>
      </c>
      <c r="G14966" s="39">
        <v>134915.91</v>
      </c>
      <c r="H14966" s="42">
        <v>211</v>
      </c>
    </row>
    <row r="14967" spans="1:8" ht="15" customHeight="1">
      <c r="A14967" s="26">
        <v>2000019254</v>
      </c>
      <c r="B14967" s="29" t="s">
        <v>17171</v>
      </c>
      <c r="C14967" s="29" t="s">
        <v>30329</v>
      </c>
      <c r="D14967" s="29" t="s">
        <v>43900</v>
      </c>
      <c r="E14967" s="29" t="s">
        <v>54375</v>
      </c>
      <c r="F14967" s="36" t="s">
        <v>54402</v>
      </c>
      <c r="G14967" s="39">
        <v>197938.39</v>
      </c>
      <c r="H14967" s="42">
        <v>211</v>
      </c>
    </row>
    <row r="14968" spans="1:8" ht="15" customHeight="1">
      <c r="A14968" s="26">
        <v>3192139171</v>
      </c>
      <c r="B14968" s="29" t="s">
        <v>17172</v>
      </c>
      <c r="C14968" s="29" t="s">
        <v>30330</v>
      </c>
      <c r="D14968" s="29" t="s">
        <v>43901</v>
      </c>
      <c r="E14968" s="29" t="s">
        <v>54376</v>
      </c>
      <c r="F14968" s="36" t="s">
        <v>54401</v>
      </c>
      <c r="G14968" s="39">
        <v>71404.52</v>
      </c>
      <c r="H14968" s="42">
        <v>211</v>
      </c>
    </row>
    <row r="14969" spans="1:8" ht="15" customHeight="1">
      <c r="A14969" s="26">
        <v>4666789100</v>
      </c>
      <c r="B14969" s="29" t="s">
        <v>17173</v>
      </c>
      <c r="C14969" s="29" t="s">
        <v>21857</v>
      </c>
      <c r="D14969" s="29" t="s">
        <v>43902</v>
      </c>
      <c r="E14969" s="29" t="s">
        <v>54377</v>
      </c>
      <c r="F14969" s="36" t="s">
        <v>54401</v>
      </c>
      <c r="G14969" s="39">
        <v>240588.56</v>
      </c>
      <c r="H14969" s="42">
        <v>211</v>
      </c>
    </row>
    <row r="14970" spans="1:8" ht="15" customHeight="1">
      <c r="A14970" s="26">
        <v>7000034251</v>
      </c>
      <c r="B14970" s="29" t="s">
        <v>13123</v>
      </c>
      <c r="C14970" s="29" t="s">
        <v>26815</v>
      </c>
      <c r="D14970" s="29" t="s">
        <v>40283</v>
      </c>
      <c r="E14970" s="29" t="s">
        <v>54378</v>
      </c>
      <c r="F14970" s="36" t="s">
        <v>54401</v>
      </c>
      <c r="G14970" s="39">
        <v>127285.99</v>
      </c>
      <c r="H14970" s="42">
        <v>211</v>
      </c>
    </row>
    <row r="14971" spans="1:8" ht="15" customHeight="1">
      <c r="A14971" s="26">
        <v>8260013077</v>
      </c>
      <c r="B14971" s="30" t="s">
        <v>17174</v>
      </c>
      <c r="C14971" s="26" t="s">
        <v>25155</v>
      </c>
      <c r="D14971" s="26" t="s">
        <v>43903</v>
      </c>
      <c r="E14971" s="26" t="s">
        <v>54379</v>
      </c>
      <c r="F14971" s="37" t="s">
        <v>54401</v>
      </c>
      <c r="G14971" s="39">
        <v>126222.77</v>
      </c>
      <c r="H14971" s="42">
        <v>211</v>
      </c>
    </row>
    <row r="14972" spans="1:8" ht="15" customHeight="1">
      <c r="A14972" s="26">
        <v>8260017220</v>
      </c>
      <c r="B14972" s="30" t="s">
        <v>17175</v>
      </c>
      <c r="C14972" s="29" t="s">
        <v>30331</v>
      </c>
      <c r="D14972" s="29" t="s">
        <v>43904</v>
      </c>
      <c r="E14972" s="29" t="s">
        <v>54380</v>
      </c>
      <c r="F14972" s="36" t="s">
        <v>54401</v>
      </c>
      <c r="G14972" s="39">
        <v>154932.75</v>
      </c>
      <c r="H14972" s="42">
        <v>211</v>
      </c>
    </row>
    <row r="14973" spans="1:8" ht="15" customHeight="1">
      <c r="A14973" s="26">
        <v>8600290021</v>
      </c>
      <c r="B14973" s="30" t="s">
        <v>17176</v>
      </c>
      <c r="C14973" s="29" t="s">
        <v>30332</v>
      </c>
      <c r="D14973" s="29" t="s">
        <v>43905</v>
      </c>
      <c r="E14973" s="29" t="s">
        <v>54381</v>
      </c>
      <c r="F14973" s="36" t="s">
        <v>54401</v>
      </c>
      <c r="G14973" s="39">
        <v>256529.66</v>
      </c>
      <c r="H14973" s="42">
        <v>211</v>
      </c>
    </row>
    <row r="14974" spans="1:8" ht="15" customHeight="1">
      <c r="A14974" s="26">
        <v>8918550256</v>
      </c>
      <c r="B14974" s="30" t="s">
        <v>17177</v>
      </c>
      <c r="C14974" s="26" t="s">
        <v>24853</v>
      </c>
      <c r="D14974" s="26" t="s">
        <v>43906</v>
      </c>
      <c r="E14974" s="26" t="s">
        <v>54382</v>
      </c>
      <c r="F14974" s="37" t="s">
        <v>54401</v>
      </c>
      <c r="G14974" s="39">
        <v>103523.81</v>
      </c>
      <c r="H14974" s="42">
        <v>211</v>
      </c>
    </row>
    <row r="14975" spans="1:8" ht="15" customHeight="1">
      <c r="A14975" s="26">
        <v>8923006787</v>
      </c>
      <c r="B14975" s="30" t="s">
        <v>17178</v>
      </c>
      <c r="C14975" s="29" t="s">
        <v>30333</v>
      </c>
      <c r="D14975" s="29" t="s">
        <v>38186</v>
      </c>
      <c r="E14975" s="29" t="s">
        <v>54383</v>
      </c>
      <c r="F14975" s="36" t="s">
        <v>54401</v>
      </c>
      <c r="G14975" s="39">
        <v>641134.93000000005</v>
      </c>
      <c r="H14975" s="42">
        <v>211</v>
      </c>
    </row>
    <row r="14976" spans="1:8" ht="15" customHeight="1">
      <c r="A14976" s="26">
        <v>9001872297</v>
      </c>
      <c r="B14976" s="30" t="s">
        <v>17179</v>
      </c>
      <c r="C14976" s="29" t="s">
        <v>17204</v>
      </c>
      <c r="D14976" s="29" t="s">
        <v>43907</v>
      </c>
      <c r="E14976" s="29" t="s">
        <v>43926</v>
      </c>
      <c r="F14976" s="36" t="s">
        <v>54401</v>
      </c>
      <c r="G14976" s="39">
        <v>551353.1</v>
      </c>
      <c r="H14976" s="42">
        <v>211</v>
      </c>
    </row>
    <row r="14977" spans="1:8" ht="15" customHeight="1">
      <c r="A14977" s="26">
        <v>9002269482</v>
      </c>
      <c r="B14977" s="30" t="s">
        <v>17180</v>
      </c>
      <c r="C14977" s="26" t="s">
        <v>30334</v>
      </c>
      <c r="D14977" s="26" t="s">
        <v>43908</v>
      </c>
      <c r="E14977" s="26" t="s">
        <v>54384</v>
      </c>
      <c r="F14977" s="37" t="s">
        <v>54412</v>
      </c>
      <c r="G14977" s="39">
        <v>136854.9</v>
      </c>
      <c r="H14977" s="42">
        <v>211</v>
      </c>
    </row>
    <row r="14978" spans="1:8" ht="15" customHeight="1">
      <c r="A14978" s="26">
        <v>9003068922</v>
      </c>
      <c r="B14978" s="30" t="s">
        <v>17181</v>
      </c>
      <c r="C14978" s="29" t="s">
        <v>30335</v>
      </c>
      <c r="D14978" s="29" t="s">
        <v>38263</v>
      </c>
      <c r="E14978" s="29" t="s">
        <v>54385</v>
      </c>
      <c r="F14978" s="36" t="s">
        <v>54401</v>
      </c>
      <c r="G14978" s="39">
        <v>200551.87</v>
      </c>
      <c r="H14978" s="42">
        <v>211</v>
      </c>
    </row>
    <row r="14979" spans="1:8" ht="15" customHeight="1">
      <c r="A14979" s="26">
        <v>9004218891</v>
      </c>
      <c r="B14979" s="30" t="s">
        <v>17182</v>
      </c>
      <c r="C14979" s="29" t="s">
        <v>30336</v>
      </c>
      <c r="D14979" s="29" t="s">
        <v>43909</v>
      </c>
      <c r="E14979" s="29" t="s">
        <v>52662</v>
      </c>
      <c r="F14979" s="36" t="s">
        <v>54401</v>
      </c>
      <c r="G14979" s="39">
        <v>2695611.28</v>
      </c>
      <c r="H14979" s="42">
        <v>211</v>
      </c>
    </row>
    <row r="14980" spans="1:8" ht="15" customHeight="1">
      <c r="A14980" s="26">
        <v>9004918890</v>
      </c>
      <c r="B14980" s="30" t="s">
        <v>17183</v>
      </c>
      <c r="C14980" s="29" t="s">
        <v>30337</v>
      </c>
      <c r="D14980" s="29" t="s">
        <v>43910</v>
      </c>
      <c r="E14980" s="29" t="s">
        <v>54386</v>
      </c>
      <c r="F14980" s="36" t="s">
        <v>54401</v>
      </c>
      <c r="G14980" s="39">
        <v>147682.62</v>
      </c>
      <c r="H14980" s="42">
        <v>211</v>
      </c>
    </row>
    <row r="14981" spans="1:8" ht="15" customHeight="1">
      <c r="A14981" s="26">
        <v>9008124270</v>
      </c>
      <c r="B14981" s="30" t="s">
        <v>17184</v>
      </c>
      <c r="C14981" s="29" t="s">
        <v>25073</v>
      </c>
      <c r="D14981" s="29" t="s">
        <v>43911</v>
      </c>
      <c r="E14981" s="29" t="s">
        <v>43926</v>
      </c>
      <c r="F14981" s="36" t="s">
        <v>54413</v>
      </c>
      <c r="G14981" s="39">
        <v>285157.43</v>
      </c>
      <c r="H14981" s="42">
        <v>211</v>
      </c>
    </row>
    <row r="14982" spans="1:8" ht="15" customHeight="1">
      <c r="A14982" s="26">
        <v>9010813199</v>
      </c>
      <c r="B14982" s="30" t="s">
        <v>17185</v>
      </c>
      <c r="C14982" s="26" t="s">
        <v>25132</v>
      </c>
      <c r="D14982" s="26" t="s">
        <v>38488</v>
      </c>
      <c r="E14982" s="26" t="s">
        <v>54387</v>
      </c>
      <c r="F14982" s="37" t="s">
        <v>54401</v>
      </c>
      <c r="G14982" s="39">
        <v>24442.35</v>
      </c>
      <c r="H14982" s="42">
        <v>211</v>
      </c>
    </row>
    <row r="14983" spans="1:8" ht="15" customHeight="1">
      <c r="A14983" s="26">
        <v>9013796280</v>
      </c>
      <c r="B14983" s="30" t="s">
        <v>17186</v>
      </c>
      <c r="C14983" s="29" t="s">
        <v>25241</v>
      </c>
      <c r="D14983" s="29" t="s">
        <v>38612</v>
      </c>
      <c r="E14983" s="29" t="s">
        <v>54388</v>
      </c>
      <c r="F14983" s="36" t="s">
        <v>54401</v>
      </c>
      <c r="G14983" s="39">
        <v>10392752.16</v>
      </c>
      <c r="H14983" s="42">
        <v>211</v>
      </c>
    </row>
    <row r="14984" spans="1:8" ht="15" customHeight="1">
      <c r="A14984" s="26">
        <v>9015204295</v>
      </c>
      <c r="B14984" s="30" t="s">
        <v>17187</v>
      </c>
      <c r="C14984" s="29" t="s">
        <v>30338</v>
      </c>
      <c r="D14984" s="29" t="s">
        <v>43912</v>
      </c>
      <c r="E14984" s="29" t="s">
        <v>54389</v>
      </c>
      <c r="F14984" s="36" t="s">
        <v>54401</v>
      </c>
      <c r="G14984" s="39">
        <v>576666</v>
      </c>
      <c r="H14984" s="42">
        <v>211</v>
      </c>
    </row>
    <row r="14985" spans="1:8" ht="15" customHeight="1">
      <c r="A14985" s="26">
        <v>9017273240</v>
      </c>
      <c r="B14985" s="30" t="s">
        <v>17188</v>
      </c>
      <c r="C14985" s="29" t="s">
        <v>30339</v>
      </c>
      <c r="D14985" s="29" t="s">
        <v>43913</v>
      </c>
      <c r="E14985" s="29" t="s">
        <v>54390</v>
      </c>
      <c r="F14985" s="36" t="s">
        <v>54401</v>
      </c>
      <c r="G14985" s="39">
        <v>168823.54</v>
      </c>
      <c r="H14985" s="42">
        <v>211</v>
      </c>
    </row>
    <row r="14986" spans="1:8" ht="15" customHeight="1">
      <c r="A14986" s="26">
        <v>9018438896</v>
      </c>
      <c r="B14986" s="30" t="s">
        <v>17189</v>
      </c>
      <c r="C14986" s="26" t="s">
        <v>25399</v>
      </c>
      <c r="D14986" s="26" t="s">
        <v>38804</v>
      </c>
      <c r="E14986" s="26" t="s">
        <v>43926</v>
      </c>
      <c r="F14986" s="37" t="s">
        <v>54401</v>
      </c>
      <c r="G14986" s="39">
        <v>33862.94</v>
      </c>
      <c r="H14986" s="42">
        <v>211</v>
      </c>
    </row>
    <row r="14987" spans="1:8" ht="15" customHeight="1">
      <c r="A14987" s="26">
        <v>9019054758</v>
      </c>
      <c r="B14987" s="30" t="s">
        <v>17190</v>
      </c>
      <c r="C14987" s="29" t="s">
        <v>17204</v>
      </c>
      <c r="D14987" s="29" t="s">
        <v>43914</v>
      </c>
      <c r="E14987" s="29" t="s">
        <v>43926</v>
      </c>
      <c r="F14987" s="36" t="s">
        <v>54401</v>
      </c>
      <c r="G14987" s="39">
        <v>218208.21</v>
      </c>
      <c r="H14987" s="42">
        <v>211</v>
      </c>
    </row>
    <row r="14988" spans="1:8" ht="15" customHeight="1">
      <c r="A14988" s="26">
        <v>9019077531</v>
      </c>
      <c r="B14988" s="30" t="s">
        <v>17191</v>
      </c>
      <c r="C14988" s="26" t="s">
        <v>23051</v>
      </c>
      <c r="D14988" s="26" t="s">
        <v>36325</v>
      </c>
      <c r="E14988" s="26" t="s">
        <v>54391</v>
      </c>
      <c r="F14988" s="37" t="s">
        <v>54401</v>
      </c>
      <c r="G14988" s="39">
        <v>37277.31</v>
      </c>
      <c r="H14988" s="42">
        <v>211</v>
      </c>
    </row>
    <row r="14989" spans="1:8" ht="15" customHeight="1">
      <c r="A14989" s="26">
        <v>9019228594</v>
      </c>
      <c r="B14989" s="30" t="s">
        <v>17192</v>
      </c>
      <c r="C14989" s="26" t="s">
        <v>22471</v>
      </c>
      <c r="D14989" s="26" t="s">
        <v>43915</v>
      </c>
      <c r="E14989" s="26" t="s">
        <v>43926</v>
      </c>
      <c r="F14989" s="37" t="s">
        <v>54401</v>
      </c>
      <c r="G14989" s="39">
        <v>79597.77</v>
      </c>
      <c r="H14989" s="42">
        <v>211</v>
      </c>
    </row>
    <row r="14990" spans="1:8" ht="15" customHeight="1">
      <c r="A14990" s="26">
        <v>9019232591</v>
      </c>
      <c r="B14990" s="30" t="s">
        <v>11491</v>
      </c>
      <c r="C14990" s="29" t="s">
        <v>30340</v>
      </c>
      <c r="D14990" s="29" t="s">
        <v>38854</v>
      </c>
      <c r="E14990" s="29" t="s">
        <v>54392</v>
      </c>
      <c r="F14990" s="36" t="s">
        <v>54401</v>
      </c>
      <c r="G14990" s="39">
        <v>159585.42000000001</v>
      </c>
      <c r="H14990" s="42">
        <v>211</v>
      </c>
    </row>
    <row r="14991" spans="1:8" ht="15" customHeight="1">
      <c r="A14991" s="26">
        <v>9019289971</v>
      </c>
      <c r="B14991" s="30" t="s">
        <v>17193</v>
      </c>
      <c r="C14991" s="29" t="s">
        <v>25439</v>
      </c>
      <c r="D14991" s="29" t="s">
        <v>43916</v>
      </c>
      <c r="E14991" s="29" t="s">
        <v>54393</v>
      </c>
      <c r="F14991" s="36" t="s">
        <v>54401</v>
      </c>
      <c r="G14991" s="39">
        <v>63252.1</v>
      </c>
      <c r="H14991" s="42">
        <v>211</v>
      </c>
    </row>
    <row r="14992" spans="1:8" ht="15" customHeight="1">
      <c r="A14992" s="26">
        <v>9019420562</v>
      </c>
      <c r="B14992" s="30" t="s">
        <v>17194</v>
      </c>
      <c r="C14992" s="29" t="s">
        <v>17204</v>
      </c>
      <c r="D14992" s="29" t="s">
        <v>43917</v>
      </c>
      <c r="E14992" s="29" t="s">
        <v>43926</v>
      </c>
      <c r="F14992" s="36" t="s">
        <v>54401</v>
      </c>
      <c r="G14992" s="39">
        <v>837048.82</v>
      </c>
      <c r="H14992" s="42">
        <v>211</v>
      </c>
    </row>
    <row r="14993" spans="1:8" ht="15" customHeight="1">
      <c r="A14993" s="26">
        <v>10022461037</v>
      </c>
      <c r="B14993" s="29" t="s">
        <v>17195</v>
      </c>
      <c r="C14993" s="29" t="s">
        <v>27725</v>
      </c>
      <c r="D14993" s="29" t="s">
        <v>41215</v>
      </c>
      <c r="E14993" s="29" t="s">
        <v>52610</v>
      </c>
      <c r="F14993" s="36" t="s">
        <v>54401</v>
      </c>
      <c r="G14993" s="39">
        <v>145168.25</v>
      </c>
      <c r="H14993" s="42">
        <v>211</v>
      </c>
    </row>
    <row r="14994" spans="1:8" ht="15" customHeight="1">
      <c r="A14994" s="26">
        <v>10024612771</v>
      </c>
      <c r="B14994" s="29" t="s">
        <v>11730</v>
      </c>
      <c r="C14994" s="29" t="s">
        <v>25632</v>
      </c>
      <c r="D14994" s="29" t="s">
        <v>39065</v>
      </c>
      <c r="E14994" s="29" t="s">
        <v>54394</v>
      </c>
      <c r="F14994" s="36" t="s">
        <v>54401</v>
      </c>
      <c r="G14994" s="39">
        <v>1036239.76</v>
      </c>
      <c r="H14994" s="42">
        <v>211</v>
      </c>
    </row>
    <row r="14995" spans="1:8" ht="15" customHeight="1">
      <c r="A14995" s="26">
        <v>10522384235</v>
      </c>
      <c r="B14995" s="29" t="s">
        <v>17196</v>
      </c>
      <c r="C14995" s="29" t="s">
        <v>30341</v>
      </c>
      <c r="D14995" s="29" t="s">
        <v>43918</v>
      </c>
      <c r="E14995" s="29" t="s">
        <v>54395</v>
      </c>
      <c r="F14995" s="36" t="s">
        <v>54401</v>
      </c>
      <c r="G14995" s="39">
        <v>293915.96999999997</v>
      </c>
      <c r="H14995" s="42">
        <v>211</v>
      </c>
    </row>
    <row r="14996" spans="1:8" ht="15" customHeight="1">
      <c r="A14996" s="26">
        <v>10522409455</v>
      </c>
      <c r="B14996" s="29" t="s">
        <v>17197</v>
      </c>
      <c r="C14996" s="29" t="s">
        <v>28575</v>
      </c>
      <c r="D14996" s="29" t="s">
        <v>43919</v>
      </c>
      <c r="E14996" s="29" t="s">
        <v>54396</v>
      </c>
      <c r="F14996" s="36" t="s">
        <v>54401</v>
      </c>
      <c r="G14996" s="39">
        <v>285673.26</v>
      </c>
      <c r="H14996" s="42">
        <v>211</v>
      </c>
    </row>
    <row r="14997" spans="1:8" ht="15" customHeight="1">
      <c r="A14997" s="26">
        <v>10522415700</v>
      </c>
      <c r="B14997" s="29" t="s">
        <v>15503</v>
      </c>
      <c r="C14997" s="26" t="s">
        <v>17204</v>
      </c>
      <c r="D14997" s="26" t="s">
        <v>42409</v>
      </c>
      <c r="E14997" s="26" t="s">
        <v>43926</v>
      </c>
      <c r="F14997" s="37" t="s">
        <v>54401</v>
      </c>
      <c r="G14997" s="39">
        <v>331110.69</v>
      </c>
      <c r="H14997" s="42">
        <v>211</v>
      </c>
    </row>
    <row r="14998" spans="1:8" ht="15" customHeight="1">
      <c r="A14998" s="26">
        <v>10523804068</v>
      </c>
      <c r="B14998" s="29" t="s">
        <v>17198</v>
      </c>
      <c r="C14998" s="29" t="s">
        <v>30063</v>
      </c>
      <c r="D14998" s="29" t="s">
        <v>43920</v>
      </c>
      <c r="E14998" s="29" t="s">
        <v>54397</v>
      </c>
      <c r="F14998" s="36" t="s">
        <v>54401</v>
      </c>
      <c r="G14998" s="39">
        <v>111921.17</v>
      </c>
      <c r="H14998" s="42">
        <v>211</v>
      </c>
    </row>
    <row r="14999" spans="1:8" ht="15" customHeight="1">
      <c r="A14999" s="26">
        <v>10524144650</v>
      </c>
      <c r="B14999" s="29" t="s">
        <v>15445</v>
      </c>
      <c r="C14999" s="29" t="s">
        <v>28845</v>
      </c>
      <c r="D14999" s="29" t="s">
        <v>43921</v>
      </c>
      <c r="E14999" s="29" t="s">
        <v>54398</v>
      </c>
      <c r="F14999" s="36" t="s">
        <v>54401</v>
      </c>
      <c r="G14999" s="39">
        <v>512962.56</v>
      </c>
      <c r="H14999" s="42">
        <v>211</v>
      </c>
    </row>
    <row r="15000" spans="1:8" ht="15" customHeight="1">
      <c r="A15000" s="26">
        <v>10524144823</v>
      </c>
      <c r="B15000" s="29" t="s">
        <v>15459</v>
      </c>
      <c r="C15000" s="29" t="s">
        <v>28858</v>
      </c>
      <c r="D15000" s="29" t="s">
        <v>42374</v>
      </c>
      <c r="E15000" s="29" t="s">
        <v>43926</v>
      </c>
      <c r="F15000" s="36" t="s">
        <v>54401</v>
      </c>
      <c r="G15000" s="39">
        <v>562622.37</v>
      </c>
      <c r="H15000" s="42">
        <v>211</v>
      </c>
    </row>
    <row r="15001" spans="1:8" ht="15" customHeight="1">
      <c r="A15001" s="26">
        <v>10524405129</v>
      </c>
      <c r="B15001" s="29" t="s">
        <v>17199</v>
      </c>
      <c r="C15001" s="26" t="s">
        <v>30342</v>
      </c>
      <c r="D15001" s="26" t="s">
        <v>43922</v>
      </c>
      <c r="E15001" s="26" t="s">
        <v>43926</v>
      </c>
      <c r="F15001" s="37" t="s">
        <v>54401</v>
      </c>
      <c r="G15001" s="39">
        <v>106156.88</v>
      </c>
      <c r="H15001" s="42">
        <v>211</v>
      </c>
    </row>
    <row r="15002" spans="1:8" ht="15" customHeight="1">
      <c r="A15002" s="26">
        <v>10536655112</v>
      </c>
      <c r="B15002" s="29" t="s">
        <v>17200</v>
      </c>
      <c r="C15002" s="29" t="s">
        <v>17204</v>
      </c>
      <c r="D15002" s="29" t="s">
        <v>43923</v>
      </c>
      <c r="E15002" s="29" t="s">
        <v>43926</v>
      </c>
      <c r="F15002" s="36" t="s">
        <v>54401</v>
      </c>
      <c r="G15002" s="39">
        <v>129351.15</v>
      </c>
      <c r="H15002" s="42">
        <v>211</v>
      </c>
    </row>
    <row r="15003" spans="1:8" ht="15" customHeight="1">
      <c r="A15003" s="26">
        <v>222222222222</v>
      </c>
      <c r="B15003" s="26" t="s">
        <v>17201</v>
      </c>
      <c r="C15003" s="32">
        <v>3102157733</v>
      </c>
      <c r="D15003" s="35" t="s">
        <v>34058</v>
      </c>
      <c r="E15003" s="26" t="s">
        <v>54399</v>
      </c>
      <c r="F15003" s="38">
        <v>759</v>
      </c>
      <c r="G15003" s="41">
        <v>59080476242</v>
      </c>
      <c r="H15003" s="26">
        <v>4729</v>
      </c>
    </row>
    <row r="15004" spans="1:8" ht="15" customHeight="1">
      <c r="A15004" s="26">
        <v>222222222222</v>
      </c>
      <c r="B15004" s="26" t="s">
        <v>17201</v>
      </c>
      <c r="C15004" s="32">
        <v>3102157733</v>
      </c>
      <c r="D15004" s="35" t="s">
        <v>34058</v>
      </c>
      <c r="E15004" s="26" t="s">
        <v>54400</v>
      </c>
      <c r="F15004" s="38">
        <v>759</v>
      </c>
      <c r="G15004" s="41">
        <v>47981241125</v>
      </c>
      <c r="H15004" s="26">
        <v>211</v>
      </c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conditionalFormatting sqref="A7:A7295">
    <cfRule type="duplicateValues" dxfId="7" priority="3"/>
  </conditionalFormatting>
  <conditionalFormatting sqref="A13755:A15003">
    <cfRule type="duplicateValues" dxfId="5" priority="2"/>
  </conditionalFormatting>
  <conditionalFormatting sqref="A7296:A13754">
    <cfRule type="duplicateValues" dxfId="3" priority="4"/>
  </conditionalFormatting>
  <conditionalFormatting sqref="A15004">
    <cfRule type="duplicateValues" dxfId="1" priority="1"/>
  </conditionalFormatting>
  <dataValidations count="7">
    <dataValidation type="custom" allowBlank="1" showInputMessage="1" showErrorMessage="1" errorTitle="Correo No Válido" error="Por favor diligencie correctamente el correo." sqref="D7:D1048576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>
      <formula1>43831</formula1>
      <formula2>47848</formula2>
    </dataValidation>
  </dataValidations>
  <hyperlinks>
    <hyperlink ref="D15004" r:id="rId1"/>
    <hyperlink ref="D15003" r:id="rId2"/>
  </hyperlinks>
  <pageMargins left="0.7" right="0.7" top="0.75" bottom="0.75" header="0.3" footer="0.3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42" workbookViewId="0">
      <selection sqref="A1:XFD1048576"/>
    </sheetView>
  </sheetViews>
  <sheetFormatPr baseColWidth="10" defaultColWidth="14.5" defaultRowHeight="14.25"/>
  <cols>
    <col min="1" max="1" width="14.5" style="10"/>
    <col min="2" max="2" width="211" bestFit="1" customWidth="1"/>
    <col min="3" max="26" width="10.625" customWidth="1"/>
  </cols>
  <sheetData>
    <row r="1" spans="1:2" ht="15">
      <c r="A1" s="6" t="s">
        <v>7</v>
      </c>
      <c r="B1" s="7" t="s">
        <v>8</v>
      </c>
    </row>
    <row r="2" spans="1:2">
      <c r="A2" s="8">
        <v>101</v>
      </c>
      <c r="B2" s="9" t="s">
        <v>9</v>
      </c>
    </row>
    <row r="3" spans="1:2">
      <c r="A3" s="8">
        <v>102</v>
      </c>
      <c r="B3" s="9" t="s">
        <v>10</v>
      </c>
    </row>
    <row r="4" spans="1:2">
      <c r="A4" s="8">
        <v>103</v>
      </c>
      <c r="B4" s="9" t="s">
        <v>11</v>
      </c>
    </row>
    <row r="5" spans="1:2">
      <c r="A5" s="8">
        <v>104</v>
      </c>
      <c r="B5" s="9" t="s">
        <v>12</v>
      </c>
    </row>
    <row r="6" spans="1:2">
      <c r="A6" s="8">
        <v>105</v>
      </c>
      <c r="B6" s="9" t="s">
        <v>13</v>
      </c>
    </row>
    <row r="7" spans="1:2">
      <c r="A7" s="8">
        <v>106</v>
      </c>
      <c r="B7" s="9" t="s">
        <v>14</v>
      </c>
    </row>
    <row r="8" spans="1:2">
      <c r="A8" s="8">
        <v>107</v>
      </c>
      <c r="B8" s="9" t="s">
        <v>15</v>
      </c>
    </row>
    <row r="9" spans="1:2">
      <c r="A9" s="8">
        <v>108</v>
      </c>
      <c r="B9" s="9" t="s">
        <v>16</v>
      </c>
    </row>
    <row r="10" spans="1:2">
      <c r="A10" s="8">
        <v>109</v>
      </c>
      <c r="B10" s="9" t="s">
        <v>17</v>
      </c>
    </row>
    <row r="11" spans="1:2">
      <c r="A11" s="8">
        <v>110</v>
      </c>
      <c r="B11" s="9" t="s">
        <v>18</v>
      </c>
    </row>
    <row r="12" spans="1:2">
      <c r="A12" s="8">
        <v>111</v>
      </c>
      <c r="B12" s="9" t="s">
        <v>19</v>
      </c>
    </row>
    <row r="13" spans="1:2">
      <c r="A13" s="8">
        <v>112</v>
      </c>
      <c r="B13" s="9" t="s">
        <v>20</v>
      </c>
    </row>
    <row r="14" spans="1:2">
      <c r="A14" s="8">
        <v>113</v>
      </c>
      <c r="B14" s="9" t="s">
        <v>21</v>
      </c>
    </row>
    <row r="15" spans="1:2">
      <c r="A15" s="8">
        <v>114</v>
      </c>
      <c r="B15" s="9" t="s">
        <v>22</v>
      </c>
    </row>
    <row r="16" spans="1:2">
      <c r="A16" s="8">
        <v>201</v>
      </c>
      <c r="B16" s="9" t="s">
        <v>23</v>
      </c>
    </row>
    <row r="17" spans="1:2">
      <c r="A17" s="8">
        <v>202</v>
      </c>
      <c r="B17" s="9" t="s">
        <v>24</v>
      </c>
    </row>
    <row r="18" spans="1:2">
      <c r="A18" s="8">
        <v>203</v>
      </c>
      <c r="B18" s="9" t="s">
        <v>25</v>
      </c>
    </row>
    <row r="19" spans="1:2">
      <c r="A19" s="8">
        <v>204</v>
      </c>
      <c r="B19" s="9" t="s">
        <v>26</v>
      </c>
    </row>
    <row r="20" spans="1:2">
      <c r="A20" s="8">
        <v>205</v>
      </c>
      <c r="B20" s="9" t="s">
        <v>27</v>
      </c>
    </row>
    <row r="21" spans="1:2" ht="15.75" customHeight="1">
      <c r="A21" s="8">
        <v>206</v>
      </c>
      <c r="B21" s="9" t="s">
        <v>28</v>
      </c>
    </row>
    <row r="22" spans="1:2" ht="15.75" customHeight="1">
      <c r="A22" s="8">
        <v>207</v>
      </c>
      <c r="B22" s="9" t="s">
        <v>29</v>
      </c>
    </row>
    <row r="23" spans="1:2" ht="15.75" customHeight="1">
      <c r="A23" s="8">
        <v>208</v>
      </c>
      <c r="B23" s="9" t="s">
        <v>30</v>
      </c>
    </row>
    <row r="24" spans="1:2" ht="15.75" customHeight="1">
      <c r="A24" s="8">
        <v>209</v>
      </c>
      <c r="B24" s="9" t="s">
        <v>31</v>
      </c>
    </row>
    <row r="25" spans="1:2" ht="15.75" customHeight="1">
      <c r="A25" s="8">
        <v>210</v>
      </c>
      <c r="B25" s="9" t="s">
        <v>32</v>
      </c>
    </row>
    <row r="26" spans="1:2" ht="15.75" customHeight="1">
      <c r="A26" s="8">
        <v>211</v>
      </c>
      <c r="B26" s="9" t="s">
        <v>33</v>
      </c>
    </row>
    <row r="27" spans="1:2" ht="15.75" customHeight="1">
      <c r="A27" s="8">
        <v>212</v>
      </c>
      <c r="B27" s="9" t="s">
        <v>34</v>
      </c>
    </row>
    <row r="28" spans="1:2" ht="15.75" customHeight="1">
      <c r="A28" s="8">
        <v>213</v>
      </c>
      <c r="B28" s="9" t="s">
        <v>35</v>
      </c>
    </row>
    <row r="29" spans="1:2" ht="15.75" customHeight="1">
      <c r="A29" s="8">
        <v>214</v>
      </c>
      <c r="B29" s="9" t="s">
        <v>36</v>
      </c>
    </row>
    <row r="30" spans="1:2" ht="15.75" customHeight="1">
      <c r="A30" s="8">
        <v>215</v>
      </c>
      <c r="B30" s="9" t="s">
        <v>37</v>
      </c>
    </row>
    <row r="31" spans="1:2" ht="15.75" customHeight="1">
      <c r="A31" s="8">
        <v>216</v>
      </c>
      <c r="B31" s="9" t="s">
        <v>38</v>
      </c>
    </row>
    <row r="32" spans="1:2" ht="15.75" customHeight="1">
      <c r="A32" s="8">
        <v>217</v>
      </c>
      <c r="B32" s="9" t="s">
        <v>39</v>
      </c>
    </row>
    <row r="33" spans="1:2" ht="15.75" customHeight="1">
      <c r="A33" s="8">
        <v>219</v>
      </c>
      <c r="B33" s="9" t="s">
        <v>40</v>
      </c>
    </row>
    <row r="34" spans="1:2" ht="15.75" customHeight="1">
      <c r="A34" s="8">
        <v>301</v>
      </c>
      <c r="B34" s="9" t="s">
        <v>41</v>
      </c>
    </row>
    <row r="35" spans="1:2" ht="15.75" customHeight="1">
      <c r="A35" s="8">
        <v>302</v>
      </c>
      <c r="B35" s="9" t="s">
        <v>42</v>
      </c>
    </row>
    <row r="36" spans="1:2" ht="15.75" customHeight="1">
      <c r="A36" s="8">
        <v>303</v>
      </c>
      <c r="B36" s="9" t="s">
        <v>43</v>
      </c>
    </row>
    <row r="37" spans="1:2" ht="15.75" customHeight="1">
      <c r="A37" s="8">
        <v>304</v>
      </c>
      <c r="B37" s="9" t="s">
        <v>44</v>
      </c>
    </row>
    <row r="38" spans="1:2" ht="15.75" customHeight="1">
      <c r="A38" s="8">
        <v>305</v>
      </c>
      <c r="B38" s="9" t="s">
        <v>45</v>
      </c>
    </row>
    <row r="39" spans="1:2" ht="15.75" customHeight="1">
      <c r="A39" s="8">
        <v>306</v>
      </c>
      <c r="B39" s="9" t="s">
        <v>46</v>
      </c>
    </row>
    <row r="40" spans="1:2" ht="15.75" customHeight="1">
      <c r="A40" s="8">
        <v>307</v>
      </c>
      <c r="B40" s="9" t="s">
        <v>47</v>
      </c>
    </row>
    <row r="41" spans="1:2" ht="15.75" customHeight="1">
      <c r="A41" s="8">
        <v>308</v>
      </c>
      <c r="B41" s="9" t="s">
        <v>48</v>
      </c>
    </row>
    <row r="42" spans="1:2" ht="15.75" customHeight="1">
      <c r="A42" s="8">
        <v>309</v>
      </c>
      <c r="B42" s="9" t="s">
        <v>49</v>
      </c>
    </row>
    <row r="43" spans="1:2" ht="15.75" customHeight="1">
      <c r="A43" s="8">
        <v>310</v>
      </c>
      <c r="B43" s="9" t="s">
        <v>50</v>
      </c>
    </row>
    <row r="44" spans="1:2" ht="15.75" customHeight="1">
      <c r="A44" s="8">
        <v>311</v>
      </c>
      <c r="B44" s="9" t="s">
        <v>51</v>
      </c>
    </row>
    <row r="45" spans="1:2" ht="15.75" customHeight="1">
      <c r="A45" s="8">
        <v>312</v>
      </c>
      <c r="B45" s="9" t="s">
        <v>52</v>
      </c>
    </row>
    <row r="46" spans="1:2" ht="15.75" customHeight="1">
      <c r="A46" s="8">
        <v>313</v>
      </c>
      <c r="B46" s="9" t="s">
        <v>53</v>
      </c>
    </row>
    <row r="47" spans="1:2" ht="15.75" customHeight="1">
      <c r="A47" s="8">
        <v>314</v>
      </c>
      <c r="B47" s="9" t="s">
        <v>54</v>
      </c>
    </row>
    <row r="48" spans="1:2" ht="15.75" customHeight="1">
      <c r="A48" s="8">
        <v>315</v>
      </c>
      <c r="B48" s="9" t="s">
        <v>55</v>
      </c>
    </row>
    <row r="49" spans="1:2" ht="15.75" customHeight="1">
      <c r="A49" s="8">
        <v>316</v>
      </c>
      <c r="B49" s="9" t="s">
        <v>56</v>
      </c>
    </row>
    <row r="50" spans="1:2" ht="15.75" customHeight="1">
      <c r="A50" s="8">
        <v>317</v>
      </c>
      <c r="B50" s="9" t="s">
        <v>57</v>
      </c>
    </row>
    <row r="51" spans="1:2" ht="15.75" customHeight="1">
      <c r="A51" s="8">
        <v>318</v>
      </c>
      <c r="B51" s="9" t="s">
        <v>58</v>
      </c>
    </row>
    <row r="52" spans="1:2" ht="15.75" customHeight="1">
      <c r="A52" s="8">
        <v>319</v>
      </c>
      <c r="B52" s="9" t="s">
        <v>59</v>
      </c>
    </row>
    <row r="53" spans="1:2" ht="15.75" customHeight="1">
      <c r="A53" s="8">
        <v>320</v>
      </c>
      <c r="B53" s="9" t="s">
        <v>60</v>
      </c>
    </row>
    <row r="54" spans="1:2" ht="15.75" customHeight="1">
      <c r="A54" s="8">
        <v>321</v>
      </c>
      <c r="B54" s="9" t="s">
        <v>61</v>
      </c>
    </row>
    <row r="55" spans="1:2" ht="15.75" customHeight="1">
      <c r="A55" s="8">
        <v>322</v>
      </c>
      <c r="B55" s="9" t="s">
        <v>62</v>
      </c>
    </row>
    <row r="56" spans="1:2" ht="15.75" customHeight="1">
      <c r="A56" s="8">
        <v>323</v>
      </c>
      <c r="B56" s="9" t="s">
        <v>63</v>
      </c>
    </row>
    <row r="57" spans="1:2" ht="15.75" customHeight="1">
      <c r="A57" s="8">
        <v>324</v>
      </c>
      <c r="B57" s="9" t="s">
        <v>64</v>
      </c>
    </row>
    <row r="58" spans="1:2" ht="15.75" customHeight="1">
      <c r="A58" s="8">
        <v>325</v>
      </c>
      <c r="B58" s="9" t="s">
        <v>65</v>
      </c>
    </row>
    <row r="59" spans="1:2" ht="15.75" customHeight="1">
      <c r="A59" s="8">
        <v>326</v>
      </c>
      <c r="B59" s="9" t="s">
        <v>66</v>
      </c>
    </row>
    <row r="60" spans="1:2" ht="15.75" customHeight="1">
      <c r="A60" s="8">
        <v>327</v>
      </c>
      <c r="B60" s="9" t="s">
        <v>67</v>
      </c>
    </row>
    <row r="61" spans="1:2" ht="15.75" customHeight="1">
      <c r="A61" s="8">
        <v>328</v>
      </c>
      <c r="B61" s="9" t="s">
        <v>68</v>
      </c>
    </row>
    <row r="62" spans="1:2" ht="15.75" customHeight="1">
      <c r="A62" s="8">
        <v>329</v>
      </c>
      <c r="B62" s="9" t="s">
        <v>69</v>
      </c>
    </row>
    <row r="63" spans="1:2" ht="15.75" customHeight="1">
      <c r="A63" s="8">
        <v>330</v>
      </c>
      <c r="B63" s="9" t="s">
        <v>70</v>
      </c>
    </row>
    <row r="64" spans="1:2" ht="15.75" customHeight="1">
      <c r="A64" s="8">
        <v>331</v>
      </c>
      <c r="B64" s="9" t="s">
        <v>71</v>
      </c>
    </row>
    <row r="65" spans="1:2" ht="15.75" customHeight="1">
      <c r="A65" s="8">
        <v>332</v>
      </c>
      <c r="B65" s="9" t="s">
        <v>72</v>
      </c>
    </row>
    <row r="66" spans="1:2" ht="15.75" customHeight="1">
      <c r="A66" s="8">
        <v>333</v>
      </c>
      <c r="B66" s="9" t="s">
        <v>73</v>
      </c>
    </row>
    <row r="67" spans="1:2" ht="15.75" customHeight="1">
      <c r="A67" s="8">
        <v>334</v>
      </c>
      <c r="B67" s="9" t="s">
        <v>74</v>
      </c>
    </row>
    <row r="68" spans="1:2" ht="15.75" customHeight="1">
      <c r="A68" s="8">
        <v>401</v>
      </c>
      <c r="B68" s="9" t="s">
        <v>75</v>
      </c>
    </row>
    <row r="69" spans="1:2" ht="15.75" customHeight="1">
      <c r="A69" s="8">
        <v>402</v>
      </c>
      <c r="B69" s="9" t="s">
        <v>76</v>
      </c>
    </row>
    <row r="70" spans="1:2" ht="15.75" customHeight="1">
      <c r="A70" s="8">
        <v>601</v>
      </c>
      <c r="B70" s="9" t="s">
        <v>77</v>
      </c>
    </row>
    <row r="71" spans="1:2" ht="15.75" customHeight="1">
      <c r="A71" s="8">
        <v>901</v>
      </c>
      <c r="B71" s="9" t="s">
        <v>78</v>
      </c>
    </row>
    <row r="72" spans="1:2" ht="15.75" customHeight="1">
      <c r="A72" s="8">
        <v>902</v>
      </c>
      <c r="B72" s="9" t="s">
        <v>79</v>
      </c>
    </row>
    <row r="73" spans="1:2" ht="15.75" customHeight="1">
      <c r="A73" s="8">
        <v>903</v>
      </c>
      <c r="B73" s="9" t="s">
        <v>80</v>
      </c>
    </row>
    <row r="74" spans="1:2" ht="15.75" customHeight="1">
      <c r="A74" s="8">
        <v>904</v>
      </c>
      <c r="B74" s="9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6" workbookViewId="0">
      <selection sqref="A1:XFD1048576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1" t="s">
        <v>82</v>
      </c>
      <c r="B1" s="11" t="s">
        <v>83</v>
      </c>
    </row>
    <row r="2" spans="1:2" ht="15">
      <c r="A2" s="12" t="s">
        <v>84</v>
      </c>
      <c r="B2" s="12" t="s">
        <v>85</v>
      </c>
    </row>
    <row r="3" spans="1:2" ht="15">
      <c r="A3" s="12" t="s">
        <v>86</v>
      </c>
      <c r="B3" s="12" t="s">
        <v>87</v>
      </c>
    </row>
    <row r="4" spans="1:2" ht="15">
      <c r="A4" s="12" t="s">
        <v>88</v>
      </c>
      <c r="B4" s="12" t="s">
        <v>89</v>
      </c>
    </row>
    <row r="5" spans="1:2" ht="15">
      <c r="A5" s="12" t="s">
        <v>90</v>
      </c>
      <c r="B5" s="12" t="s">
        <v>91</v>
      </c>
    </row>
    <row r="6" spans="1:2" ht="15">
      <c r="A6" s="12" t="s">
        <v>92</v>
      </c>
      <c r="B6" s="12" t="s">
        <v>93</v>
      </c>
    </row>
    <row r="7" spans="1:2" ht="15">
      <c r="A7" s="12" t="s">
        <v>94</v>
      </c>
      <c r="B7" s="12" t="s">
        <v>95</v>
      </c>
    </row>
    <row r="8" spans="1:2" ht="15">
      <c r="A8" s="12" t="s">
        <v>96</v>
      </c>
      <c r="B8" s="12" t="s">
        <v>97</v>
      </c>
    </row>
    <row r="9" spans="1:2" ht="15">
      <c r="A9" s="12" t="s">
        <v>98</v>
      </c>
      <c r="B9" s="12" t="s">
        <v>99</v>
      </c>
    </row>
    <row r="10" spans="1:2" ht="15">
      <c r="A10" s="12" t="s">
        <v>100</v>
      </c>
      <c r="B10" s="12" t="s">
        <v>101</v>
      </c>
    </row>
    <row r="11" spans="1:2" ht="15">
      <c r="A11" s="12" t="s">
        <v>102</v>
      </c>
      <c r="B11" s="12" t="s">
        <v>103</v>
      </c>
    </row>
    <row r="12" spans="1:2" ht="15">
      <c r="A12" s="12" t="s">
        <v>104</v>
      </c>
      <c r="B12" s="12" t="s">
        <v>105</v>
      </c>
    </row>
    <row r="13" spans="1:2" ht="15">
      <c r="A13" s="12" t="s">
        <v>106</v>
      </c>
      <c r="B13" s="12" t="s">
        <v>107</v>
      </c>
    </row>
    <row r="14" spans="1:2" ht="15">
      <c r="A14" s="12" t="s">
        <v>108</v>
      </c>
      <c r="B14" s="12" t="s">
        <v>109</v>
      </c>
    </row>
    <row r="15" spans="1:2" ht="15">
      <c r="A15" s="12" t="s">
        <v>110</v>
      </c>
      <c r="B15" s="12" t="s">
        <v>111</v>
      </c>
    </row>
    <row r="16" spans="1:2" ht="15">
      <c r="A16" s="12" t="s">
        <v>112</v>
      </c>
      <c r="B16" s="12" t="s">
        <v>113</v>
      </c>
    </row>
    <row r="17" spans="1:2" ht="15">
      <c r="A17" s="12" t="s">
        <v>114</v>
      </c>
      <c r="B17" s="12" t="s">
        <v>115</v>
      </c>
    </row>
    <row r="18" spans="1:2" ht="15">
      <c r="A18" s="12" t="s">
        <v>116</v>
      </c>
      <c r="B18" s="12" t="s">
        <v>117</v>
      </c>
    </row>
    <row r="19" spans="1:2" ht="15">
      <c r="A19" s="12" t="s">
        <v>118</v>
      </c>
      <c r="B19" s="12" t="s">
        <v>119</v>
      </c>
    </row>
    <row r="20" spans="1:2" ht="15">
      <c r="A20" s="12" t="s">
        <v>120</v>
      </c>
      <c r="B20" s="12" t="s">
        <v>121</v>
      </c>
    </row>
    <row r="21" spans="1:2" ht="15.75" customHeight="1">
      <c r="A21" s="12" t="s">
        <v>122</v>
      </c>
      <c r="B21" s="12" t="s">
        <v>123</v>
      </c>
    </row>
    <row r="22" spans="1:2" ht="15.75" customHeight="1">
      <c r="A22" s="12" t="s">
        <v>124</v>
      </c>
      <c r="B22" s="12" t="s">
        <v>125</v>
      </c>
    </row>
    <row r="23" spans="1:2" ht="15.75" customHeight="1">
      <c r="A23" s="12" t="s">
        <v>126</v>
      </c>
      <c r="B23" s="12" t="s">
        <v>127</v>
      </c>
    </row>
    <row r="24" spans="1:2" ht="15.75" customHeight="1">
      <c r="A24" s="12" t="s">
        <v>128</v>
      </c>
      <c r="B24" s="12" t="s">
        <v>129</v>
      </c>
    </row>
    <row r="25" spans="1:2" ht="15.75" customHeight="1">
      <c r="A25" s="12" t="s">
        <v>130</v>
      </c>
      <c r="B25" s="12" t="s">
        <v>131</v>
      </c>
    </row>
    <row r="26" spans="1:2" ht="15.75" customHeight="1">
      <c r="A26" s="12" t="s">
        <v>132</v>
      </c>
      <c r="B26" s="12" t="s">
        <v>133</v>
      </c>
    </row>
    <row r="27" spans="1:2" ht="15.75" customHeight="1">
      <c r="A27" s="12" t="s">
        <v>134</v>
      </c>
      <c r="B27" s="12" t="s">
        <v>135</v>
      </c>
    </row>
    <row r="28" spans="1:2" ht="15.75" customHeight="1">
      <c r="A28" s="12" t="s">
        <v>136</v>
      </c>
      <c r="B28" s="12" t="s">
        <v>137</v>
      </c>
    </row>
    <row r="29" spans="1:2" ht="15.75" customHeight="1">
      <c r="A29" s="12" t="s">
        <v>138</v>
      </c>
      <c r="B29" s="12" t="s">
        <v>139</v>
      </c>
    </row>
    <row r="30" spans="1:2" ht="15.75" customHeight="1">
      <c r="A30" s="12" t="s">
        <v>140</v>
      </c>
      <c r="B30" s="12" t="s">
        <v>141</v>
      </c>
    </row>
    <row r="31" spans="1:2" ht="15.75" customHeight="1">
      <c r="A31" s="12" t="s">
        <v>142</v>
      </c>
      <c r="B31" s="12" t="s">
        <v>143</v>
      </c>
    </row>
    <row r="32" spans="1:2" ht="15.75" customHeight="1">
      <c r="A32" s="12" t="s">
        <v>144</v>
      </c>
      <c r="B32" s="12" t="s">
        <v>145</v>
      </c>
    </row>
    <row r="33" spans="1:2" ht="15.75" customHeight="1">
      <c r="A33" s="12" t="s">
        <v>146</v>
      </c>
      <c r="B33" s="12" t="s">
        <v>147</v>
      </c>
    </row>
    <row r="34" spans="1:2" ht="15.75" customHeight="1">
      <c r="A34" s="12" t="s">
        <v>148</v>
      </c>
      <c r="B34" s="12" t="s">
        <v>149</v>
      </c>
    </row>
    <row r="35" spans="1:2" ht="15.75" customHeight="1">
      <c r="A35" s="12" t="s">
        <v>150</v>
      </c>
      <c r="B35" s="12" t="s">
        <v>151</v>
      </c>
    </row>
    <row r="36" spans="1:2" ht="15.75" customHeight="1">
      <c r="A36" s="12" t="s">
        <v>152</v>
      </c>
      <c r="B36" s="12" t="s">
        <v>153</v>
      </c>
    </row>
    <row r="37" spans="1:2" ht="15.75" customHeight="1">
      <c r="A37" s="12" t="s">
        <v>154</v>
      </c>
      <c r="B37" s="12" t="s">
        <v>155</v>
      </c>
    </row>
    <row r="38" spans="1:2" ht="15.75" customHeight="1">
      <c r="A38" s="12" t="s">
        <v>156</v>
      </c>
      <c r="B38" s="12" t="s">
        <v>157</v>
      </c>
    </row>
    <row r="39" spans="1:2" ht="15.75" customHeight="1">
      <c r="A39" s="12" t="s">
        <v>158</v>
      </c>
      <c r="B39" s="12" t="s">
        <v>159</v>
      </c>
    </row>
    <row r="40" spans="1:2" ht="15.75" customHeight="1">
      <c r="A40" s="12" t="s">
        <v>160</v>
      </c>
      <c r="B40" s="12" t="s">
        <v>161</v>
      </c>
    </row>
    <row r="41" spans="1:2" ht="15.75" customHeight="1">
      <c r="A41" s="12" t="s">
        <v>162</v>
      </c>
      <c r="B41" s="12" t="s">
        <v>163</v>
      </c>
    </row>
    <row r="42" spans="1:2" ht="15.75" customHeight="1">
      <c r="A42" s="12" t="s">
        <v>164</v>
      </c>
      <c r="B42" s="12" t="s">
        <v>165</v>
      </c>
    </row>
    <row r="43" spans="1:2" ht="15.75" customHeight="1">
      <c r="A43" s="12" t="s">
        <v>166</v>
      </c>
      <c r="B43" s="12" t="s">
        <v>167</v>
      </c>
    </row>
    <row r="44" spans="1:2" ht="15.75" customHeight="1">
      <c r="A44" s="12" t="s">
        <v>168</v>
      </c>
      <c r="B44" s="12" t="s">
        <v>169</v>
      </c>
    </row>
    <row r="45" spans="1:2" ht="15.75" customHeight="1">
      <c r="A45" s="12" t="s">
        <v>170</v>
      </c>
      <c r="B45" s="12" t="s">
        <v>171</v>
      </c>
    </row>
    <row r="46" spans="1:2" ht="15.75" customHeight="1">
      <c r="A46" s="12" t="s">
        <v>172</v>
      </c>
      <c r="B46" s="12" t="s">
        <v>173</v>
      </c>
    </row>
    <row r="47" spans="1:2" ht="15.75" customHeight="1">
      <c r="A47" s="12" t="s">
        <v>174</v>
      </c>
      <c r="B47" s="12" t="s">
        <v>175</v>
      </c>
    </row>
    <row r="48" spans="1:2" ht="15.75" customHeight="1">
      <c r="A48" s="12" t="s">
        <v>176</v>
      </c>
      <c r="B48" s="12" t="s">
        <v>177</v>
      </c>
    </row>
    <row r="49" spans="1:2" ht="15.75" customHeight="1">
      <c r="A49" s="12" t="s">
        <v>178</v>
      </c>
      <c r="B49" s="12" t="s">
        <v>179</v>
      </c>
    </row>
    <row r="50" spans="1:2" ht="15.75" customHeight="1">
      <c r="A50" s="12" t="s">
        <v>180</v>
      </c>
      <c r="B50" s="12" t="s">
        <v>181</v>
      </c>
    </row>
    <row r="51" spans="1:2" ht="15.75" customHeight="1">
      <c r="A51" s="12" t="s">
        <v>182</v>
      </c>
      <c r="B51" s="12" t="s">
        <v>183</v>
      </c>
    </row>
    <row r="52" spans="1:2" ht="15.75" customHeight="1">
      <c r="A52" s="12" t="s">
        <v>184</v>
      </c>
      <c r="B52" s="12" t="s">
        <v>185</v>
      </c>
    </row>
    <row r="53" spans="1:2" ht="15.75" customHeight="1">
      <c r="A53" s="12" t="s">
        <v>186</v>
      </c>
      <c r="B53" s="12" t="s">
        <v>187</v>
      </c>
    </row>
    <row r="54" spans="1:2" ht="15.75" customHeight="1">
      <c r="A54" s="12" t="s">
        <v>188</v>
      </c>
      <c r="B54" s="12" t="s">
        <v>189</v>
      </c>
    </row>
    <row r="55" spans="1:2" ht="15.75" customHeight="1">
      <c r="A55" s="12" t="s">
        <v>190</v>
      </c>
      <c r="B55" s="12" t="s">
        <v>191</v>
      </c>
    </row>
    <row r="56" spans="1:2" ht="15.75" customHeight="1">
      <c r="A56" s="12" t="s">
        <v>192</v>
      </c>
      <c r="B56" s="12" t="s">
        <v>193</v>
      </c>
    </row>
    <row r="57" spans="1:2" ht="15.75" customHeight="1">
      <c r="A57" s="12" t="s">
        <v>194</v>
      </c>
      <c r="B57" s="12" t="s">
        <v>195</v>
      </c>
    </row>
    <row r="58" spans="1:2" ht="15.75" customHeight="1">
      <c r="A58" s="12" t="s">
        <v>196</v>
      </c>
      <c r="B58" s="12" t="s">
        <v>197</v>
      </c>
    </row>
    <row r="59" spans="1:2" ht="15.75" customHeight="1">
      <c r="A59" s="12" t="s">
        <v>198</v>
      </c>
      <c r="B59" s="12" t="s">
        <v>199</v>
      </c>
    </row>
    <row r="60" spans="1:2" ht="15.75" customHeight="1">
      <c r="A60" s="12" t="s">
        <v>200</v>
      </c>
      <c r="B60" s="12" t="s">
        <v>201</v>
      </c>
    </row>
    <row r="61" spans="1:2" ht="15.75" customHeight="1">
      <c r="A61" s="12" t="s">
        <v>202</v>
      </c>
      <c r="B61" s="12" t="s">
        <v>203</v>
      </c>
    </row>
    <row r="62" spans="1:2" ht="15.75" customHeight="1">
      <c r="A62" s="12" t="s">
        <v>204</v>
      </c>
      <c r="B62" s="12" t="s">
        <v>205</v>
      </c>
    </row>
    <row r="63" spans="1:2" ht="15.75" customHeight="1">
      <c r="A63" s="12" t="s">
        <v>206</v>
      </c>
      <c r="B63" s="12" t="s">
        <v>207</v>
      </c>
    </row>
    <row r="64" spans="1:2" ht="15.75" customHeight="1">
      <c r="A64" s="12" t="s">
        <v>208</v>
      </c>
      <c r="B64" s="12" t="s">
        <v>209</v>
      </c>
    </row>
    <row r="65" spans="1:2" ht="15.75" customHeight="1">
      <c r="A65" s="12" t="s">
        <v>210</v>
      </c>
      <c r="B65" s="12" t="s">
        <v>211</v>
      </c>
    </row>
    <row r="66" spans="1:2" ht="15.75" customHeight="1">
      <c r="A66" s="12" t="s">
        <v>212</v>
      </c>
      <c r="B66" s="12" t="s">
        <v>213</v>
      </c>
    </row>
    <row r="67" spans="1:2" ht="15.75" customHeight="1">
      <c r="A67" s="12" t="s">
        <v>214</v>
      </c>
      <c r="B67" s="12" t="s">
        <v>215</v>
      </c>
    </row>
    <row r="68" spans="1:2" ht="15.75" customHeight="1">
      <c r="A68" s="12" t="s">
        <v>216</v>
      </c>
      <c r="B68" s="12" t="s">
        <v>217</v>
      </c>
    </row>
    <row r="69" spans="1:2" ht="15.75" customHeight="1">
      <c r="A69" s="12" t="s">
        <v>218</v>
      </c>
      <c r="B69" s="12" t="s">
        <v>219</v>
      </c>
    </row>
    <row r="70" spans="1:2" ht="15.75" customHeight="1">
      <c r="A70" s="12" t="s">
        <v>220</v>
      </c>
      <c r="B70" s="12" t="s">
        <v>221</v>
      </c>
    </row>
    <row r="71" spans="1:2" ht="15.75" customHeight="1">
      <c r="A71" s="12" t="s">
        <v>222</v>
      </c>
      <c r="B71" s="12" t="s">
        <v>223</v>
      </c>
    </row>
    <row r="72" spans="1:2" ht="15.75" customHeight="1">
      <c r="A72" s="12" t="s">
        <v>224</v>
      </c>
      <c r="B72" s="12" t="s">
        <v>225</v>
      </c>
    </row>
    <row r="73" spans="1:2" ht="15.75" customHeight="1">
      <c r="A73" s="12" t="s">
        <v>226</v>
      </c>
      <c r="B73" s="12" t="s">
        <v>227</v>
      </c>
    </row>
    <row r="74" spans="1:2" ht="15.75" customHeight="1">
      <c r="A74" s="12" t="s">
        <v>228</v>
      </c>
      <c r="B74" s="12" t="s">
        <v>229</v>
      </c>
    </row>
    <row r="75" spans="1:2" ht="15.75" customHeight="1">
      <c r="A75" s="12" t="s">
        <v>230</v>
      </c>
      <c r="B75" s="12" t="s">
        <v>231</v>
      </c>
    </row>
    <row r="76" spans="1:2" ht="15.75" customHeight="1">
      <c r="A76" s="12" t="s">
        <v>232</v>
      </c>
      <c r="B76" s="12" t="s">
        <v>233</v>
      </c>
    </row>
    <row r="77" spans="1:2" ht="15.75" customHeight="1">
      <c r="A77" s="12" t="s">
        <v>234</v>
      </c>
      <c r="B77" s="12" t="s">
        <v>235</v>
      </c>
    </row>
    <row r="78" spans="1:2" ht="15.75" customHeight="1">
      <c r="A78" s="12" t="s">
        <v>236</v>
      </c>
      <c r="B78" s="12" t="s">
        <v>237</v>
      </c>
    </row>
    <row r="79" spans="1:2" ht="15.75" customHeight="1">
      <c r="A79" s="12" t="s">
        <v>238</v>
      </c>
      <c r="B79" s="12" t="s">
        <v>239</v>
      </c>
    </row>
    <row r="80" spans="1:2" ht="15.75" customHeight="1">
      <c r="A80" s="12" t="s">
        <v>240</v>
      </c>
      <c r="B80" s="12" t="s">
        <v>241</v>
      </c>
    </row>
    <row r="81" spans="1:2" ht="15.75" customHeight="1">
      <c r="A81" s="12" t="s">
        <v>242</v>
      </c>
      <c r="B81" s="12" t="s">
        <v>243</v>
      </c>
    </row>
    <row r="82" spans="1:2" ht="15.75" customHeight="1">
      <c r="A82" s="12" t="s">
        <v>244</v>
      </c>
      <c r="B82" s="12" t="s">
        <v>245</v>
      </c>
    </row>
    <row r="83" spans="1:2" ht="15.75" customHeight="1">
      <c r="A83" s="12" t="s">
        <v>246</v>
      </c>
      <c r="B83" s="12" t="s">
        <v>247</v>
      </c>
    </row>
    <row r="84" spans="1:2" ht="15.75" customHeight="1">
      <c r="A84" s="12" t="s">
        <v>248</v>
      </c>
      <c r="B84" s="12" t="s">
        <v>249</v>
      </c>
    </row>
    <row r="85" spans="1:2" ht="15.75" customHeight="1">
      <c r="A85" s="12" t="s">
        <v>250</v>
      </c>
      <c r="B85" s="12" t="s">
        <v>251</v>
      </c>
    </row>
    <row r="86" spans="1:2" ht="15.75" customHeight="1">
      <c r="A86" s="12" t="s">
        <v>252</v>
      </c>
      <c r="B86" s="12" t="s">
        <v>253</v>
      </c>
    </row>
    <row r="87" spans="1:2" ht="15.75" customHeight="1">
      <c r="A87" s="12" t="s">
        <v>254</v>
      </c>
      <c r="B87" s="12" t="s">
        <v>255</v>
      </c>
    </row>
    <row r="88" spans="1:2" ht="15.75" customHeight="1">
      <c r="A88" s="12" t="s">
        <v>256</v>
      </c>
      <c r="B88" s="12" t="s">
        <v>257</v>
      </c>
    </row>
    <row r="89" spans="1:2" ht="15.75" customHeight="1">
      <c r="A89" s="12" t="s">
        <v>258</v>
      </c>
      <c r="B89" s="12" t="s">
        <v>259</v>
      </c>
    </row>
    <row r="90" spans="1:2" ht="15.75" customHeight="1">
      <c r="A90" s="12" t="s">
        <v>260</v>
      </c>
      <c r="B90" s="12" t="s">
        <v>261</v>
      </c>
    </row>
    <row r="91" spans="1:2" ht="15.75" customHeight="1">
      <c r="A91" s="12" t="s">
        <v>262</v>
      </c>
      <c r="B91" s="12" t="s">
        <v>263</v>
      </c>
    </row>
    <row r="92" spans="1:2" ht="15.75" customHeight="1">
      <c r="A92" s="12" t="s">
        <v>264</v>
      </c>
      <c r="B92" s="12" t="s">
        <v>265</v>
      </c>
    </row>
    <row r="93" spans="1:2" ht="15.75" customHeight="1">
      <c r="A93" s="12" t="s">
        <v>266</v>
      </c>
      <c r="B93" s="12" t="s">
        <v>267</v>
      </c>
    </row>
    <row r="94" spans="1:2" ht="15.75" customHeight="1">
      <c r="A94" s="12" t="s">
        <v>268</v>
      </c>
      <c r="B94" s="12" t="s">
        <v>269</v>
      </c>
    </row>
    <row r="95" spans="1:2" ht="15.75" customHeight="1">
      <c r="A95" s="12" t="s">
        <v>270</v>
      </c>
      <c r="B95" s="12" t="s">
        <v>271</v>
      </c>
    </row>
    <row r="96" spans="1:2" ht="15.75" customHeight="1">
      <c r="A96" s="12" t="s">
        <v>272</v>
      </c>
      <c r="B96" s="12" t="s">
        <v>273</v>
      </c>
    </row>
    <row r="97" spans="1:2" ht="15.75" customHeight="1">
      <c r="A97" s="12" t="s">
        <v>274</v>
      </c>
      <c r="B97" s="12" t="s">
        <v>275</v>
      </c>
    </row>
    <row r="98" spans="1:2" ht="15.75" customHeight="1">
      <c r="A98" s="12" t="s">
        <v>276</v>
      </c>
      <c r="B98" s="12" t="s">
        <v>277</v>
      </c>
    </row>
    <row r="99" spans="1:2" ht="15.75" customHeight="1">
      <c r="A99" s="12" t="s">
        <v>278</v>
      </c>
      <c r="B99" s="12" t="s">
        <v>279</v>
      </c>
    </row>
    <row r="100" spans="1:2" ht="15.75" customHeight="1">
      <c r="A100" s="12" t="s">
        <v>280</v>
      </c>
      <c r="B100" s="12" t="s">
        <v>281</v>
      </c>
    </row>
    <row r="101" spans="1:2" ht="15.75" customHeight="1">
      <c r="A101" s="12" t="s">
        <v>282</v>
      </c>
      <c r="B101" s="12" t="s">
        <v>283</v>
      </c>
    </row>
    <row r="102" spans="1:2" ht="15.75" customHeight="1">
      <c r="A102" s="12" t="s">
        <v>284</v>
      </c>
      <c r="B102" s="12" t="s">
        <v>285</v>
      </c>
    </row>
    <row r="103" spans="1:2" ht="15.75" customHeight="1">
      <c r="A103" s="12" t="s">
        <v>286</v>
      </c>
      <c r="B103" s="12" t="s">
        <v>287</v>
      </c>
    </row>
    <row r="104" spans="1:2" ht="15.75" customHeight="1">
      <c r="A104" s="12" t="s">
        <v>288</v>
      </c>
      <c r="B104" s="12" t="s">
        <v>289</v>
      </c>
    </row>
    <row r="105" spans="1:2" ht="15.75" customHeight="1">
      <c r="A105" s="12" t="s">
        <v>290</v>
      </c>
      <c r="B105" s="12" t="s">
        <v>291</v>
      </c>
    </row>
    <row r="106" spans="1:2" ht="15.75" customHeight="1">
      <c r="A106" s="12" t="s">
        <v>292</v>
      </c>
      <c r="B106" s="12" t="s">
        <v>293</v>
      </c>
    </row>
    <row r="107" spans="1:2" ht="15.75" customHeight="1">
      <c r="A107" s="12" t="s">
        <v>294</v>
      </c>
      <c r="B107" s="12" t="s">
        <v>295</v>
      </c>
    </row>
    <row r="108" spans="1:2" ht="15.75" customHeight="1">
      <c r="A108" s="12" t="s">
        <v>296</v>
      </c>
      <c r="B108" s="12" t="s">
        <v>297</v>
      </c>
    </row>
    <row r="109" spans="1:2" ht="15.75" customHeight="1">
      <c r="A109" s="12" t="s">
        <v>298</v>
      </c>
      <c r="B109" s="12" t="s">
        <v>299</v>
      </c>
    </row>
    <row r="110" spans="1:2" ht="15.75" customHeight="1">
      <c r="A110" s="12" t="s">
        <v>300</v>
      </c>
      <c r="B110" s="12" t="s">
        <v>301</v>
      </c>
    </row>
    <row r="111" spans="1:2" ht="15.75" customHeight="1">
      <c r="A111" s="12" t="s">
        <v>302</v>
      </c>
      <c r="B111" s="12" t="s">
        <v>303</v>
      </c>
    </row>
    <row r="112" spans="1:2" ht="15.75" customHeight="1">
      <c r="A112" s="12" t="s">
        <v>304</v>
      </c>
      <c r="B112" s="12" t="s">
        <v>305</v>
      </c>
    </row>
    <row r="113" spans="1:2" ht="15.75" customHeight="1">
      <c r="A113" s="12" t="s">
        <v>306</v>
      </c>
      <c r="B113" s="12" t="s">
        <v>307</v>
      </c>
    </row>
    <row r="114" spans="1:2" ht="15.75" customHeight="1">
      <c r="A114" s="12" t="s">
        <v>308</v>
      </c>
      <c r="B114" s="12" t="s">
        <v>309</v>
      </c>
    </row>
    <row r="115" spans="1:2" ht="15.75" customHeight="1">
      <c r="A115" s="12" t="s">
        <v>310</v>
      </c>
      <c r="B115" s="12" t="s">
        <v>311</v>
      </c>
    </row>
    <row r="116" spans="1:2" ht="15.75" customHeight="1">
      <c r="A116" s="12" t="s">
        <v>312</v>
      </c>
      <c r="B116" s="12" t="s">
        <v>313</v>
      </c>
    </row>
    <row r="117" spans="1:2" ht="15.75" customHeight="1">
      <c r="A117" s="12" t="s">
        <v>314</v>
      </c>
      <c r="B117" s="12" t="s">
        <v>315</v>
      </c>
    </row>
    <row r="118" spans="1:2" ht="15.75" customHeight="1">
      <c r="A118" s="12" t="s">
        <v>316</v>
      </c>
      <c r="B118" s="12" t="s">
        <v>317</v>
      </c>
    </row>
    <row r="119" spans="1:2" ht="15.75" customHeight="1">
      <c r="A119" s="12" t="s">
        <v>318</v>
      </c>
      <c r="B119" s="12" t="s">
        <v>319</v>
      </c>
    </row>
    <row r="120" spans="1:2" ht="15.75" customHeight="1">
      <c r="A120" s="12" t="s">
        <v>320</v>
      </c>
      <c r="B120" s="12" t="s">
        <v>321</v>
      </c>
    </row>
    <row r="121" spans="1:2" ht="15.75" customHeight="1">
      <c r="A121" s="12" t="s">
        <v>322</v>
      </c>
      <c r="B121" s="12" t="s">
        <v>323</v>
      </c>
    </row>
    <row r="122" spans="1:2" ht="15.75" customHeight="1">
      <c r="A122" s="12" t="s">
        <v>324</v>
      </c>
      <c r="B122" s="12" t="s">
        <v>325</v>
      </c>
    </row>
    <row r="123" spans="1:2" ht="15.75" customHeight="1">
      <c r="A123" s="12" t="s">
        <v>326</v>
      </c>
      <c r="B123" s="12" t="s">
        <v>327</v>
      </c>
    </row>
    <row r="124" spans="1:2" ht="15.75" customHeight="1">
      <c r="A124" s="12" t="s">
        <v>328</v>
      </c>
      <c r="B124" s="12" t="s">
        <v>329</v>
      </c>
    </row>
    <row r="125" spans="1:2" ht="15.75" customHeight="1">
      <c r="A125" s="12" t="s">
        <v>330</v>
      </c>
      <c r="B125" s="12" t="s">
        <v>331</v>
      </c>
    </row>
    <row r="126" spans="1:2" ht="15.75" customHeight="1">
      <c r="A126" s="12" t="s">
        <v>332</v>
      </c>
      <c r="B126" s="12" t="s">
        <v>333</v>
      </c>
    </row>
    <row r="127" spans="1:2" ht="15.75" customHeight="1">
      <c r="A127" s="12" t="s">
        <v>334</v>
      </c>
      <c r="B127" s="12" t="s">
        <v>335</v>
      </c>
    </row>
    <row r="128" spans="1:2" ht="15.75" customHeight="1">
      <c r="A128" s="12" t="s">
        <v>336</v>
      </c>
      <c r="B128" s="12" t="s">
        <v>337</v>
      </c>
    </row>
    <row r="129" spans="1:2" ht="15.75" customHeight="1">
      <c r="A129" s="12" t="s">
        <v>338</v>
      </c>
      <c r="B129" s="12" t="s">
        <v>339</v>
      </c>
    </row>
    <row r="130" spans="1:2" ht="15.75" customHeight="1">
      <c r="A130" s="12" t="s">
        <v>340</v>
      </c>
      <c r="B130" s="12" t="s">
        <v>341</v>
      </c>
    </row>
    <row r="131" spans="1:2" ht="15.75" customHeight="1">
      <c r="A131" s="12" t="s">
        <v>342</v>
      </c>
      <c r="B131" s="12" t="s">
        <v>343</v>
      </c>
    </row>
    <row r="132" spans="1:2" ht="15.75" customHeight="1">
      <c r="A132" s="12" t="s">
        <v>344</v>
      </c>
      <c r="B132" s="12" t="s">
        <v>345</v>
      </c>
    </row>
    <row r="133" spans="1:2" ht="15.75" customHeight="1">
      <c r="A133" s="12" t="s">
        <v>346</v>
      </c>
      <c r="B133" s="12" t="s">
        <v>347</v>
      </c>
    </row>
    <row r="134" spans="1:2" ht="15.75" customHeight="1">
      <c r="A134" s="12" t="s">
        <v>348</v>
      </c>
      <c r="B134" s="12" t="s">
        <v>349</v>
      </c>
    </row>
    <row r="135" spans="1:2" ht="15.75" customHeight="1">
      <c r="A135" s="12" t="s">
        <v>350</v>
      </c>
      <c r="B135" s="12" t="s">
        <v>351</v>
      </c>
    </row>
    <row r="136" spans="1:2" ht="15.75" customHeight="1">
      <c r="A136" s="12" t="s">
        <v>352</v>
      </c>
      <c r="B136" s="12" t="s">
        <v>353</v>
      </c>
    </row>
    <row r="137" spans="1:2" ht="15.75" customHeight="1">
      <c r="A137" s="12" t="s">
        <v>354</v>
      </c>
      <c r="B137" s="12" t="s">
        <v>355</v>
      </c>
    </row>
    <row r="138" spans="1:2" ht="15.75" customHeight="1">
      <c r="A138" s="12" t="s">
        <v>356</v>
      </c>
      <c r="B138" s="12" t="s">
        <v>357</v>
      </c>
    </row>
    <row r="139" spans="1:2" ht="15.75" customHeight="1">
      <c r="A139" s="12" t="s">
        <v>358</v>
      </c>
      <c r="B139" s="12" t="s">
        <v>359</v>
      </c>
    </row>
    <row r="140" spans="1:2" ht="15.75" customHeight="1">
      <c r="A140" s="12" t="s">
        <v>360</v>
      </c>
      <c r="B140" s="12" t="s">
        <v>361</v>
      </c>
    </row>
    <row r="141" spans="1:2" ht="15.75" customHeight="1">
      <c r="A141" s="12" t="s">
        <v>362</v>
      </c>
      <c r="B141" s="12" t="s">
        <v>363</v>
      </c>
    </row>
    <row r="142" spans="1:2" ht="15.75" customHeight="1">
      <c r="A142" s="12" t="s">
        <v>364</v>
      </c>
      <c r="B142" s="12" t="s">
        <v>365</v>
      </c>
    </row>
    <row r="143" spans="1:2" ht="15.75" customHeight="1">
      <c r="A143" s="12" t="s">
        <v>366</v>
      </c>
      <c r="B143" s="12" t="s">
        <v>367</v>
      </c>
    </row>
    <row r="144" spans="1:2" ht="15.75" customHeight="1">
      <c r="A144" s="12" t="s">
        <v>368</v>
      </c>
      <c r="B144" s="12" t="s">
        <v>369</v>
      </c>
    </row>
    <row r="145" spans="1:2" ht="15.75" customHeight="1">
      <c r="A145" s="12" t="s">
        <v>370</v>
      </c>
      <c r="B145" s="12" t="s">
        <v>371</v>
      </c>
    </row>
    <row r="146" spans="1:2" ht="15.75" customHeight="1">
      <c r="A146" s="12" t="s">
        <v>372</v>
      </c>
      <c r="B146" s="12" t="s">
        <v>373</v>
      </c>
    </row>
    <row r="147" spans="1:2" ht="15.75" customHeight="1">
      <c r="A147" s="12" t="s">
        <v>374</v>
      </c>
      <c r="B147" s="12" t="s">
        <v>375</v>
      </c>
    </row>
    <row r="148" spans="1:2" ht="15.75" customHeight="1">
      <c r="A148" s="12" t="s">
        <v>376</v>
      </c>
      <c r="B148" s="12" t="s">
        <v>377</v>
      </c>
    </row>
    <row r="149" spans="1:2" ht="15.75" customHeight="1">
      <c r="A149" s="12" t="s">
        <v>378</v>
      </c>
      <c r="B149" s="12" t="s">
        <v>379</v>
      </c>
    </row>
    <row r="150" spans="1:2" ht="15.75" customHeight="1">
      <c r="A150" s="12" t="s">
        <v>380</v>
      </c>
      <c r="B150" s="12" t="s">
        <v>381</v>
      </c>
    </row>
    <row r="151" spans="1:2" ht="15.75" customHeight="1">
      <c r="A151" s="12" t="s">
        <v>382</v>
      </c>
      <c r="B151" s="12" t="s">
        <v>383</v>
      </c>
    </row>
    <row r="152" spans="1:2" ht="15.75" customHeight="1">
      <c r="A152" s="12" t="s">
        <v>384</v>
      </c>
      <c r="B152" s="12" t="s">
        <v>385</v>
      </c>
    </row>
    <row r="153" spans="1:2" ht="15.75" customHeight="1">
      <c r="A153" s="12" t="s">
        <v>386</v>
      </c>
      <c r="B153" s="12" t="s">
        <v>387</v>
      </c>
    </row>
    <row r="154" spans="1:2" ht="15.75" customHeight="1">
      <c r="A154" s="12" t="s">
        <v>388</v>
      </c>
      <c r="B154" s="12" t="s">
        <v>389</v>
      </c>
    </row>
    <row r="155" spans="1:2" ht="15.75" customHeight="1">
      <c r="A155" s="12" t="s">
        <v>390</v>
      </c>
      <c r="B155" s="12" t="s">
        <v>391</v>
      </c>
    </row>
    <row r="156" spans="1:2" ht="15.75" customHeight="1">
      <c r="A156" s="12" t="s">
        <v>392</v>
      </c>
      <c r="B156" s="12" t="s">
        <v>393</v>
      </c>
    </row>
    <row r="157" spans="1:2" ht="15.75" customHeight="1">
      <c r="A157" s="12" t="s">
        <v>394</v>
      </c>
      <c r="B157" s="12" t="s">
        <v>395</v>
      </c>
    </row>
    <row r="158" spans="1:2" ht="15.75" customHeight="1">
      <c r="A158" s="12" t="s">
        <v>396</v>
      </c>
      <c r="B158" s="12" t="s">
        <v>397</v>
      </c>
    </row>
    <row r="159" spans="1:2" ht="15.75" customHeight="1">
      <c r="A159" s="12" t="s">
        <v>398</v>
      </c>
      <c r="B159" s="12" t="s">
        <v>399</v>
      </c>
    </row>
    <row r="160" spans="1:2" ht="15.75" customHeight="1">
      <c r="A160" s="12" t="s">
        <v>400</v>
      </c>
      <c r="B160" s="12" t="s">
        <v>401</v>
      </c>
    </row>
    <row r="161" spans="1:2" ht="15.75" customHeight="1">
      <c r="A161" s="12" t="s">
        <v>402</v>
      </c>
      <c r="B161" s="12" t="s">
        <v>403</v>
      </c>
    </row>
    <row r="162" spans="1:2" ht="15.75" customHeight="1">
      <c r="A162" s="12" t="s">
        <v>404</v>
      </c>
      <c r="B162" s="12" t="s">
        <v>405</v>
      </c>
    </row>
    <row r="163" spans="1:2" ht="15.75" customHeight="1">
      <c r="A163" s="12" t="s">
        <v>406</v>
      </c>
      <c r="B163" s="12" t="s">
        <v>407</v>
      </c>
    </row>
    <row r="164" spans="1:2" ht="15.75" customHeight="1">
      <c r="A164" s="12" t="s">
        <v>408</v>
      </c>
      <c r="B164" s="12" t="s">
        <v>211</v>
      </c>
    </row>
    <row r="165" spans="1:2" ht="15.75" customHeight="1">
      <c r="A165" s="12" t="s">
        <v>409</v>
      </c>
      <c r="B165" s="12" t="s">
        <v>410</v>
      </c>
    </row>
    <row r="166" spans="1:2" ht="15.75" customHeight="1">
      <c r="A166" s="12" t="s">
        <v>411</v>
      </c>
      <c r="B166" s="12" t="s">
        <v>412</v>
      </c>
    </row>
    <row r="167" spans="1:2" ht="15.75" customHeight="1">
      <c r="A167" s="12" t="s">
        <v>413</v>
      </c>
      <c r="B167" s="12" t="s">
        <v>414</v>
      </c>
    </row>
    <row r="168" spans="1:2" ht="15.75" customHeight="1">
      <c r="A168" s="12" t="s">
        <v>415</v>
      </c>
      <c r="B168" s="12" t="s">
        <v>416</v>
      </c>
    </row>
    <row r="169" spans="1:2" ht="15.75" customHeight="1">
      <c r="A169" s="12" t="s">
        <v>417</v>
      </c>
      <c r="B169" s="12" t="s">
        <v>418</v>
      </c>
    </row>
    <row r="170" spans="1:2" ht="15.75" customHeight="1">
      <c r="A170" s="12" t="s">
        <v>419</v>
      </c>
      <c r="B170" s="12" t="s">
        <v>420</v>
      </c>
    </row>
    <row r="171" spans="1:2" ht="15.75" customHeight="1">
      <c r="A171" s="12" t="s">
        <v>421</v>
      </c>
      <c r="B171" s="12" t="s">
        <v>422</v>
      </c>
    </row>
    <row r="172" spans="1:2" ht="15.75" customHeight="1">
      <c r="A172" s="12" t="s">
        <v>423</v>
      </c>
      <c r="B172" s="12" t="s">
        <v>424</v>
      </c>
    </row>
    <row r="173" spans="1:2" ht="15.75" customHeight="1">
      <c r="A173" s="12" t="s">
        <v>425</v>
      </c>
      <c r="B173" s="12" t="s">
        <v>426</v>
      </c>
    </row>
    <row r="174" spans="1:2" ht="15.75" customHeight="1">
      <c r="A174" s="12" t="s">
        <v>427</v>
      </c>
      <c r="B174" s="12" t="s">
        <v>428</v>
      </c>
    </row>
    <row r="175" spans="1:2" ht="15.75" customHeight="1">
      <c r="A175" s="12" t="s">
        <v>429</v>
      </c>
      <c r="B175" s="12" t="s">
        <v>430</v>
      </c>
    </row>
    <row r="176" spans="1:2" ht="15.75" customHeight="1">
      <c r="A176" s="12" t="s">
        <v>431</v>
      </c>
      <c r="B176" s="12" t="s">
        <v>432</v>
      </c>
    </row>
    <row r="177" spans="1:2" ht="15.75" customHeight="1">
      <c r="A177" s="12" t="s">
        <v>433</v>
      </c>
      <c r="B177" s="12" t="s">
        <v>434</v>
      </c>
    </row>
    <row r="178" spans="1:2" ht="15.75" customHeight="1">
      <c r="A178" s="12" t="s">
        <v>435</v>
      </c>
      <c r="B178" s="12" t="s">
        <v>436</v>
      </c>
    </row>
    <row r="179" spans="1:2" ht="15.75" customHeight="1">
      <c r="A179" s="12" t="s">
        <v>437</v>
      </c>
      <c r="B179" s="12" t="s">
        <v>438</v>
      </c>
    </row>
    <row r="180" spans="1:2" ht="15.75" customHeight="1">
      <c r="A180" s="12" t="s">
        <v>439</v>
      </c>
      <c r="B180" s="12" t="s">
        <v>440</v>
      </c>
    </row>
    <row r="181" spans="1:2" ht="15.75" customHeight="1">
      <c r="A181" s="12" t="s">
        <v>441</v>
      </c>
      <c r="B181" s="12" t="s">
        <v>442</v>
      </c>
    </row>
    <row r="182" spans="1:2" ht="15.75" customHeight="1">
      <c r="A182" s="12" t="s">
        <v>443</v>
      </c>
      <c r="B182" s="12" t="s">
        <v>444</v>
      </c>
    </row>
    <row r="183" spans="1:2" ht="15.75" customHeight="1">
      <c r="A183" s="12" t="s">
        <v>445</v>
      </c>
      <c r="B183" s="12" t="s">
        <v>446</v>
      </c>
    </row>
    <row r="184" spans="1:2" ht="15.75" customHeight="1">
      <c r="A184" s="12" t="s">
        <v>447</v>
      </c>
      <c r="B184" s="12" t="s">
        <v>448</v>
      </c>
    </row>
    <row r="185" spans="1:2" ht="15.75" customHeight="1">
      <c r="A185" s="12" t="s">
        <v>449</v>
      </c>
      <c r="B185" s="12" t="s">
        <v>450</v>
      </c>
    </row>
    <row r="186" spans="1:2" ht="15.75" customHeight="1">
      <c r="A186" s="12" t="s">
        <v>451</v>
      </c>
      <c r="B186" s="12" t="s">
        <v>452</v>
      </c>
    </row>
    <row r="187" spans="1:2" ht="15.75" customHeight="1">
      <c r="A187" s="12" t="s">
        <v>453</v>
      </c>
      <c r="B187" s="12" t="s">
        <v>454</v>
      </c>
    </row>
    <row r="188" spans="1:2" ht="15.75" customHeight="1">
      <c r="A188" s="12" t="s">
        <v>455</v>
      </c>
      <c r="B188" s="12" t="s">
        <v>456</v>
      </c>
    </row>
    <row r="189" spans="1:2" ht="15.75" customHeight="1">
      <c r="A189" s="12" t="s">
        <v>457</v>
      </c>
      <c r="B189" s="12" t="s">
        <v>458</v>
      </c>
    </row>
    <row r="190" spans="1:2" ht="15.75" customHeight="1">
      <c r="A190" s="12" t="s">
        <v>459</v>
      </c>
      <c r="B190" s="12" t="s">
        <v>460</v>
      </c>
    </row>
    <row r="191" spans="1:2" ht="15.75" customHeight="1">
      <c r="A191" s="12" t="s">
        <v>461</v>
      </c>
      <c r="B191" s="12" t="s">
        <v>462</v>
      </c>
    </row>
    <row r="192" spans="1:2" ht="15.75" customHeight="1">
      <c r="A192" s="12" t="s">
        <v>463</v>
      </c>
      <c r="B192" s="12" t="s">
        <v>464</v>
      </c>
    </row>
    <row r="193" spans="1:2" ht="15.75" customHeight="1">
      <c r="A193" s="12" t="s">
        <v>465</v>
      </c>
      <c r="B193" s="12" t="s">
        <v>466</v>
      </c>
    </row>
    <row r="194" spans="1:2" ht="15.75" customHeight="1">
      <c r="A194" s="12" t="s">
        <v>467</v>
      </c>
      <c r="B194" s="12" t="s">
        <v>468</v>
      </c>
    </row>
    <row r="195" spans="1:2" ht="15.75" customHeight="1">
      <c r="A195" s="12" t="s">
        <v>469</v>
      </c>
      <c r="B195" s="12" t="s">
        <v>470</v>
      </c>
    </row>
    <row r="196" spans="1:2" ht="15.75" customHeight="1">
      <c r="A196" s="12" t="s">
        <v>471</v>
      </c>
      <c r="B196" s="12" t="s">
        <v>472</v>
      </c>
    </row>
    <row r="197" spans="1:2" ht="15.75" customHeight="1">
      <c r="A197" s="12" t="s">
        <v>473</v>
      </c>
      <c r="B197" s="12" t="s">
        <v>474</v>
      </c>
    </row>
    <row r="198" spans="1:2" ht="15.75" customHeight="1">
      <c r="A198" s="12" t="s">
        <v>475</v>
      </c>
      <c r="B198" s="12" t="s">
        <v>476</v>
      </c>
    </row>
    <row r="199" spans="1:2" ht="15.75" customHeight="1">
      <c r="A199" s="12" t="s">
        <v>477</v>
      </c>
      <c r="B199" s="12" t="s">
        <v>478</v>
      </c>
    </row>
    <row r="200" spans="1:2" ht="15.75" customHeight="1">
      <c r="A200" s="12" t="s">
        <v>479</v>
      </c>
      <c r="B200" s="12" t="s">
        <v>480</v>
      </c>
    </row>
    <row r="201" spans="1:2" ht="15.75" customHeight="1">
      <c r="A201" s="12" t="s">
        <v>481</v>
      </c>
      <c r="B201" s="12" t="s">
        <v>482</v>
      </c>
    </row>
    <row r="202" spans="1:2" ht="15.75" customHeight="1">
      <c r="A202" s="12" t="s">
        <v>483</v>
      </c>
      <c r="B202" s="12" t="s">
        <v>484</v>
      </c>
    </row>
    <row r="203" spans="1:2" ht="15.75" customHeight="1">
      <c r="A203" s="12" t="s">
        <v>485</v>
      </c>
      <c r="B203" s="12" t="s">
        <v>486</v>
      </c>
    </row>
    <row r="204" spans="1:2" ht="15.75" customHeight="1">
      <c r="A204" s="12" t="s">
        <v>487</v>
      </c>
      <c r="B204" s="12" t="s">
        <v>488</v>
      </c>
    </row>
    <row r="205" spans="1:2" ht="15.75" customHeight="1">
      <c r="A205" s="12" t="s">
        <v>489</v>
      </c>
      <c r="B205" s="12" t="s">
        <v>490</v>
      </c>
    </row>
    <row r="206" spans="1:2" ht="15.75" customHeight="1">
      <c r="A206" s="12" t="s">
        <v>491</v>
      </c>
      <c r="B206" s="12" t="s">
        <v>492</v>
      </c>
    </row>
    <row r="207" spans="1:2" ht="15.75" customHeight="1">
      <c r="A207" s="12" t="s">
        <v>493</v>
      </c>
      <c r="B207" s="12" t="s">
        <v>494</v>
      </c>
    </row>
    <row r="208" spans="1:2" ht="15.75" customHeight="1">
      <c r="A208" s="12" t="s">
        <v>495</v>
      </c>
      <c r="B208" s="12" t="s">
        <v>496</v>
      </c>
    </row>
    <row r="209" spans="1:2" ht="15.75" customHeight="1">
      <c r="A209" s="12" t="s">
        <v>497</v>
      </c>
      <c r="B209" s="12" t="s">
        <v>498</v>
      </c>
    </row>
    <row r="210" spans="1:2" ht="15.75" customHeight="1">
      <c r="A210" s="12" t="s">
        <v>499</v>
      </c>
      <c r="B210" s="12" t="s">
        <v>500</v>
      </c>
    </row>
    <row r="211" spans="1:2" ht="15.75" customHeight="1">
      <c r="A211" s="12" t="s">
        <v>501</v>
      </c>
      <c r="B211" s="12" t="s">
        <v>502</v>
      </c>
    </row>
    <row r="212" spans="1:2" ht="15.75" customHeight="1">
      <c r="A212" s="12" t="s">
        <v>503</v>
      </c>
      <c r="B212" s="12" t="s">
        <v>504</v>
      </c>
    </row>
    <row r="213" spans="1:2" ht="15.75" customHeight="1">
      <c r="A213" s="12" t="s">
        <v>505</v>
      </c>
      <c r="B213" s="12" t="s">
        <v>506</v>
      </c>
    </row>
    <row r="214" spans="1:2" ht="15.75" customHeight="1">
      <c r="A214" s="12" t="s">
        <v>507</v>
      </c>
      <c r="B214" s="12" t="s">
        <v>508</v>
      </c>
    </row>
    <row r="215" spans="1:2" ht="15.75" customHeight="1">
      <c r="A215" s="12" t="s">
        <v>509</v>
      </c>
      <c r="B215" s="12" t="s">
        <v>510</v>
      </c>
    </row>
    <row r="216" spans="1:2" ht="15.75" customHeight="1">
      <c r="A216" s="12" t="s">
        <v>511</v>
      </c>
      <c r="B216" s="12" t="s">
        <v>512</v>
      </c>
    </row>
    <row r="217" spans="1:2" ht="15.75" customHeight="1">
      <c r="A217" s="12" t="s">
        <v>513</v>
      </c>
      <c r="B217" s="12" t="s">
        <v>514</v>
      </c>
    </row>
    <row r="218" spans="1:2" ht="15.75" customHeight="1">
      <c r="A218" s="12" t="s">
        <v>515</v>
      </c>
      <c r="B218" s="12" t="s">
        <v>516</v>
      </c>
    </row>
    <row r="219" spans="1:2" ht="15.75" customHeight="1">
      <c r="A219" s="12" t="s">
        <v>517</v>
      </c>
      <c r="B219" s="12" t="s">
        <v>518</v>
      </c>
    </row>
    <row r="220" spans="1:2" ht="15.75" customHeight="1">
      <c r="A220" s="12" t="s">
        <v>519</v>
      </c>
      <c r="B220" s="12" t="s">
        <v>520</v>
      </c>
    </row>
    <row r="221" spans="1:2" ht="15.75" customHeight="1">
      <c r="A221" s="12" t="s">
        <v>521</v>
      </c>
      <c r="B221" s="12" t="s">
        <v>522</v>
      </c>
    </row>
    <row r="222" spans="1:2" ht="15.75" customHeight="1">
      <c r="A222" s="12" t="s">
        <v>523</v>
      </c>
      <c r="B222" s="12" t="s">
        <v>524</v>
      </c>
    </row>
    <row r="223" spans="1:2" ht="15.75" customHeight="1">
      <c r="A223" s="12" t="s">
        <v>525</v>
      </c>
      <c r="B223" s="12" t="s">
        <v>526</v>
      </c>
    </row>
    <row r="224" spans="1:2" ht="15.75" customHeight="1">
      <c r="A224" s="12" t="s">
        <v>527</v>
      </c>
      <c r="B224" s="12" t="s">
        <v>528</v>
      </c>
    </row>
    <row r="225" spans="1:2" ht="15.75" customHeight="1">
      <c r="A225" s="12" t="s">
        <v>529</v>
      </c>
      <c r="B225" s="12" t="s">
        <v>530</v>
      </c>
    </row>
    <row r="226" spans="1:2" ht="15.75" customHeight="1">
      <c r="A226" s="12" t="s">
        <v>531</v>
      </c>
      <c r="B226" s="12" t="s">
        <v>532</v>
      </c>
    </row>
    <row r="227" spans="1:2" ht="15.75" customHeight="1">
      <c r="A227" s="12" t="s">
        <v>533</v>
      </c>
      <c r="B227" s="12" t="s">
        <v>534</v>
      </c>
    </row>
    <row r="228" spans="1:2" ht="15.75" customHeight="1">
      <c r="A228" s="12" t="s">
        <v>535</v>
      </c>
      <c r="B228" s="12" t="s">
        <v>536</v>
      </c>
    </row>
    <row r="229" spans="1:2" ht="15.75" customHeight="1">
      <c r="A229" s="12" t="s">
        <v>537</v>
      </c>
      <c r="B229" s="12" t="s">
        <v>538</v>
      </c>
    </row>
    <row r="230" spans="1:2" ht="15.75" customHeight="1">
      <c r="A230" s="12" t="s">
        <v>539</v>
      </c>
      <c r="B230" s="12" t="s">
        <v>540</v>
      </c>
    </row>
    <row r="231" spans="1:2" ht="15.75" customHeight="1">
      <c r="A231" s="12" t="s">
        <v>541</v>
      </c>
      <c r="B231" s="12" t="s">
        <v>542</v>
      </c>
    </row>
    <row r="232" spans="1:2" ht="15.75" customHeight="1">
      <c r="A232" s="12" t="s">
        <v>543</v>
      </c>
      <c r="B232" s="12" t="s">
        <v>544</v>
      </c>
    </row>
    <row r="233" spans="1:2" ht="15.75" customHeight="1">
      <c r="A233" s="12" t="s">
        <v>545</v>
      </c>
      <c r="B233" s="12" t="s">
        <v>546</v>
      </c>
    </row>
    <row r="234" spans="1:2" ht="15.75" customHeight="1">
      <c r="A234" s="12" t="s">
        <v>547</v>
      </c>
      <c r="B234" s="12" t="s">
        <v>548</v>
      </c>
    </row>
    <row r="235" spans="1:2" ht="15.75" customHeight="1">
      <c r="A235" s="12" t="s">
        <v>549</v>
      </c>
      <c r="B235" s="12" t="s">
        <v>550</v>
      </c>
    </row>
    <row r="236" spans="1:2" ht="15.75" customHeight="1">
      <c r="A236" s="12" t="s">
        <v>551</v>
      </c>
      <c r="B236" s="12" t="s">
        <v>552</v>
      </c>
    </row>
    <row r="237" spans="1:2" ht="15.75" customHeight="1">
      <c r="A237" s="12" t="s">
        <v>553</v>
      </c>
      <c r="B237" s="12" t="s">
        <v>554</v>
      </c>
    </row>
    <row r="238" spans="1:2" ht="15.75" customHeight="1">
      <c r="A238" s="12" t="s">
        <v>555</v>
      </c>
      <c r="B238" s="12" t="s">
        <v>556</v>
      </c>
    </row>
    <row r="239" spans="1:2" ht="15.75" customHeight="1">
      <c r="A239" s="12" t="s">
        <v>557</v>
      </c>
      <c r="B239" s="12" t="s">
        <v>558</v>
      </c>
    </row>
    <row r="240" spans="1:2" ht="15.75" customHeight="1">
      <c r="A240" s="12" t="s">
        <v>559</v>
      </c>
      <c r="B240" s="12" t="s">
        <v>560</v>
      </c>
    </row>
    <row r="241" spans="1:2" ht="15.75" customHeight="1">
      <c r="A241" s="12" t="s">
        <v>561</v>
      </c>
      <c r="B241" s="12" t="s">
        <v>562</v>
      </c>
    </row>
    <row r="242" spans="1:2" ht="15.75" customHeight="1">
      <c r="A242" s="12" t="s">
        <v>563</v>
      </c>
      <c r="B242" s="12" t="s">
        <v>564</v>
      </c>
    </row>
    <row r="243" spans="1:2" ht="15.75" customHeight="1">
      <c r="A243" s="12" t="s">
        <v>565</v>
      </c>
      <c r="B243" s="12" t="s">
        <v>566</v>
      </c>
    </row>
    <row r="244" spans="1:2" ht="15.75" customHeight="1">
      <c r="A244" s="12" t="s">
        <v>567</v>
      </c>
      <c r="B244" s="12" t="s">
        <v>568</v>
      </c>
    </row>
    <row r="245" spans="1:2" ht="15.75" customHeight="1">
      <c r="A245" s="12" t="s">
        <v>569</v>
      </c>
      <c r="B245" s="12" t="s">
        <v>570</v>
      </c>
    </row>
    <row r="246" spans="1:2" ht="15.75" customHeight="1">
      <c r="A246" s="12" t="s">
        <v>571</v>
      </c>
      <c r="B246" s="12" t="s">
        <v>572</v>
      </c>
    </row>
    <row r="247" spans="1:2" ht="15.75" customHeight="1">
      <c r="A247" s="12" t="s">
        <v>573</v>
      </c>
      <c r="B247" s="12" t="s">
        <v>574</v>
      </c>
    </row>
    <row r="248" spans="1:2" ht="15.75" customHeight="1">
      <c r="A248" s="12" t="s">
        <v>575</v>
      </c>
      <c r="B248" s="12" t="s">
        <v>576</v>
      </c>
    </row>
    <row r="249" spans="1:2" ht="15.75" customHeight="1">
      <c r="A249" s="12" t="s">
        <v>577</v>
      </c>
      <c r="B249" s="12" t="s">
        <v>578</v>
      </c>
    </row>
    <row r="250" spans="1:2" ht="15.75" customHeight="1">
      <c r="A250" s="12" t="s">
        <v>579</v>
      </c>
      <c r="B250" s="12" t="s">
        <v>580</v>
      </c>
    </row>
    <row r="251" spans="1:2" ht="15.75" customHeight="1">
      <c r="A251" s="12" t="s">
        <v>581</v>
      </c>
      <c r="B251" s="12" t="s">
        <v>582</v>
      </c>
    </row>
    <row r="252" spans="1:2" ht="15.75" customHeight="1">
      <c r="A252" s="12" t="s">
        <v>583</v>
      </c>
      <c r="B252" s="12" t="s">
        <v>584</v>
      </c>
    </row>
    <row r="253" spans="1:2" ht="15.75" customHeight="1">
      <c r="A253" s="12" t="s">
        <v>585</v>
      </c>
      <c r="B253" s="12" t="s">
        <v>586</v>
      </c>
    </row>
    <row r="254" spans="1:2" ht="15.75" customHeight="1">
      <c r="A254" s="12" t="s">
        <v>587</v>
      </c>
      <c r="B254" s="12" t="s">
        <v>588</v>
      </c>
    </row>
    <row r="255" spans="1:2" ht="15.75" customHeight="1">
      <c r="A255" s="12" t="s">
        <v>589</v>
      </c>
      <c r="B255" s="12" t="s">
        <v>590</v>
      </c>
    </row>
    <row r="256" spans="1:2" ht="15.75" customHeight="1">
      <c r="A256" s="12" t="s">
        <v>591</v>
      </c>
      <c r="B256" s="12" t="s">
        <v>592</v>
      </c>
    </row>
    <row r="257" spans="1:2" ht="15.75" customHeight="1">
      <c r="A257" s="12" t="s">
        <v>593</v>
      </c>
      <c r="B257" s="12" t="s">
        <v>594</v>
      </c>
    </row>
    <row r="258" spans="1:2" ht="15.75" customHeight="1">
      <c r="A258" s="12" t="s">
        <v>595</v>
      </c>
      <c r="B258" s="12" t="s">
        <v>596</v>
      </c>
    </row>
    <row r="259" spans="1:2" ht="15.75" customHeight="1">
      <c r="A259" s="12" t="s">
        <v>597</v>
      </c>
      <c r="B259" s="12" t="s">
        <v>598</v>
      </c>
    </row>
    <row r="260" spans="1:2" ht="15.75" customHeight="1">
      <c r="A260" s="12" t="s">
        <v>599</v>
      </c>
      <c r="B260" s="12" t="s">
        <v>600</v>
      </c>
    </row>
    <row r="261" spans="1:2" ht="15.75" customHeight="1">
      <c r="A261" s="12" t="s">
        <v>601</v>
      </c>
      <c r="B261" s="12" t="s">
        <v>602</v>
      </c>
    </row>
    <row r="262" spans="1:2" ht="15.75" customHeight="1">
      <c r="A262" s="12" t="s">
        <v>603</v>
      </c>
      <c r="B262" s="12" t="s">
        <v>604</v>
      </c>
    </row>
    <row r="263" spans="1:2" ht="15.75" customHeight="1">
      <c r="A263" s="12" t="s">
        <v>605</v>
      </c>
      <c r="B263" s="12" t="s">
        <v>606</v>
      </c>
    </row>
    <row r="264" spans="1:2" ht="15.75" customHeight="1">
      <c r="A264" s="12" t="s">
        <v>607</v>
      </c>
      <c r="B264" s="12" t="s">
        <v>608</v>
      </c>
    </row>
    <row r="265" spans="1:2" ht="15.75" customHeight="1">
      <c r="A265" s="12" t="s">
        <v>609</v>
      </c>
      <c r="B265" s="12" t="s">
        <v>610</v>
      </c>
    </row>
    <row r="266" spans="1:2" ht="15.75" customHeight="1">
      <c r="A266" s="12" t="s">
        <v>611</v>
      </c>
      <c r="B266" s="12" t="s">
        <v>612</v>
      </c>
    </row>
    <row r="267" spans="1:2" ht="15.75" customHeight="1">
      <c r="A267" s="12" t="s">
        <v>613</v>
      </c>
      <c r="B267" s="12" t="s">
        <v>614</v>
      </c>
    </row>
    <row r="268" spans="1:2" ht="15.75" customHeight="1">
      <c r="A268" s="12" t="s">
        <v>615</v>
      </c>
      <c r="B268" s="12" t="s">
        <v>616</v>
      </c>
    </row>
    <row r="269" spans="1:2" ht="15.75" customHeight="1">
      <c r="A269" s="12" t="s">
        <v>617</v>
      </c>
      <c r="B269" s="12" t="s">
        <v>618</v>
      </c>
    </row>
    <row r="270" spans="1:2" ht="15.75" customHeight="1">
      <c r="A270" s="12" t="s">
        <v>619</v>
      </c>
      <c r="B270" s="12" t="s">
        <v>620</v>
      </c>
    </row>
    <row r="271" spans="1:2" ht="15.75" customHeight="1">
      <c r="A271" s="12" t="s">
        <v>621</v>
      </c>
      <c r="B271" s="12" t="s">
        <v>622</v>
      </c>
    </row>
    <row r="272" spans="1:2" ht="15.75" customHeight="1">
      <c r="A272" s="12" t="s">
        <v>623</v>
      </c>
      <c r="B272" s="12" t="s">
        <v>624</v>
      </c>
    </row>
    <row r="273" spans="1:2" ht="15.75" customHeight="1">
      <c r="A273" s="12" t="s">
        <v>625</v>
      </c>
      <c r="B273" s="12" t="s">
        <v>155</v>
      </c>
    </row>
    <row r="274" spans="1:2" ht="15.75" customHeight="1">
      <c r="A274" s="12" t="s">
        <v>626</v>
      </c>
      <c r="B274" s="12" t="s">
        <v>627</v>
      </c>
    </row>
    <row r="275" spans="1:2" ht="15.75" customHeight="1">
      <c r="A275" s="12" t="s">
        <v>628</v>
      </c>
      <c r="B275" s="12" t="s">
        <v>341</v>
      </c>
    </row>
    <row r="276" spans="1:2" ht="15.75" customHeight="1">
      <c r="A276" s="12" t="s">
        <v>629</v>
      </c>
      <c r="B276" s="12" t="s">
        <v>630</v>
      </c>
    </row>
    <row r="277" spans="1:2" ht="15.75" customHeight="1">
      <c r="A277" s="12" t="s">
        <v>631</v>
      </c>
      <c r="B277" s="12" t="s">
        <v>632</v>
      </c>
    </row>
    <row r="278" spans="1:2" ht="15.75" customHeight="1">
      <c r="A278" s="12" t="s">
        <v>633</v>
      </c>
      <c r="B278" s="12" t="s">
        <v>91</v>
      </c>
    </row>
    <row r="279" spans="1:2" ht="15.75" customHeight="1">
      <c r="A279" s="12" t="s">
        <v>634</v>
      </c>
      <c r="B279" s="12" t="s">
        <v>635</v>
      </c>
    </row>
    <row r="280" spans="1:2" ht="15.75" customHeight="1">
      <c r="A280" s="12" t="s">
        <v>636</v>
      </c>
      <c r="B280" s="12" t="s">
        <v>637</v>
      </c>
    </row>
    <row r="281" spans="1:2" ht="15.75" customHeight="1">
      <c r="A281" s="12" t="s">
        <v>638</v>
      </c>
      <c r="B281" s="12" t="s">
        <v>639</v>
      </c>
    </row>
    <row r="282" spans="1:2" ht="15.75" customHeight="1">
      <c r="A282" s="12" t="s">
        <v>640</v>
      </c>
      <c r="B282" s="12" t="s">
        <v>641</v>
      </c>
    </row>
    <row r="283" spans="1:2" ht="15.75" customHeight="1">
      <c r="A283" s="12" t="s">
        <v>642</v>
      </c>
      <c r="B283" s="12" t="s">
        <v>643</v>
      </c>
    </row>
    <row r="284" spans="1:2" ht="15.75" customHeight="1">
      <c r="A284" s="12" t="s">
        <v>644</v>
      </c>
      <c r="B284" s="12" t="s">
        <v>645</v>
      </c>
    </row>
    <row r="285" spans="1:2" ht="15.75" customHeight="1">
      <c r="A285" s="12" t="s">
        <v>646</v>
      </c>
      <c r="B285" s="12" t="s">
        <v>647</v>
      </c>
    </row>
    <row r="286" spans="1:2" ht="15.75" customHeight="1">
      <c r="A286" s="12" t="s">
        <v>648</v>
      </c>
      <c r="B286" s="12" t="s">
        <v>649</v>
      </c>
    </row>
    <row r="287" spans="1:2" ht="15.75" customHeight="1">
      <c r="A287" s="12" t="s">
        <v>650</v>
      </c>
      <c r="B287" s="12" t="s">
        <v>651</v>
      </c>
    </row>
    <row r="288" spans="1:2" ht="15.75" customHeight="1">
      <c r="A288" s="12" t="s">
        <v>652</v>
      </c>
      <c r="B288" s="12" t="s">
        <v>653</v>
      </c>
    </row>
    <row r="289" spans="1:2" ht="15.75" customHeight="1">
      <c r="A289" s="12" t="s">
        <v>654</v>
      </c>
      <c r="B289" s="12" t="s">
        <v>655</v>
      </c>
    </row>
    <row r="290" spans="1:2" ht="15.75" customHeight="1">
      <c r="A290" s="12" t="s">
        <v>656</v>
      </c>
      <c r="B290" s="12" t="s">
        <v>657</v>
      </c>
    </row>
    <row r="291" spans="1:2" ht="15.75" customHeight="1">
      <c r="A291" s="12" t="s">
        <v>658</v>
      </c>
      <c r="B291" s="12" t="s">
        <v>659</v>
      </c>
    </row>
    <row r="292" spans="1:2" ht="15.75" customHeight="1">
      <c r="A292" s="12" t="s">
        <v>660</v>
      </c>
      <c r="B292" s="12" t="s">
        <v>661</v>
      </c>
    </row>
    <row r="293" spans="1:2" ht="15.75" customHeight="1">
      <c r="A293" s="12" t="s">
        <v>662</v>
      </c>
      <c r="B293" s="12" t="s">
        <v>663</v>
      </c>
    </row>
    <row r="294" spans="1:2" ht="15.75" customHeight="1">
      <c r="A294" s="12" t="s">
        <v>664</v>
      </c>
      <c r="B294" s="12" t="s">
        <v>665</v>
      </c>
    </row>
    <row r="295" spans="1:2" ht="15.75" customHeight="1">
      <c r="A295" s="12" t="s">
        <v>666</v>
      </c>
      <c r="B295" s="12" t="s">
        <v>667</v>
      </c>
    </row>
    <row r="296" spans="1:2" ht="15.75" customHeight="1">
      <c r="A296" s="12" t="s">
        <v>668</v>
      </c>
      <c r="B296" s="12" t="s">
        <v>669</v>
      </c>
    </row>
    <row r="297" spans="1:2" ht="15.75" customHeight="1">
      <c r="A297" s="12" t="s">
        <v>670</v>
      </c>
      <c r="B297" s="12" t="s">
        <v>671</v>
      </c>
    </row>
    <row r="298" spans="1:2" ht="15.75" customHeight="1">
      <c r="A298" s="12" t="s">
        <v>672</v>
      </c>
      <c r="B298" s="12" t="s">
        <v>673</v>
      </c>
    </row>
    <row r="299" spans="1:2" ht="15.75" customHeight="1">
      <c r="A299" s="12" t="s">
        <v>674</v>
      </c>
      <c r="B299" s="12" t="s">
        <v>675</v>
      </c>
    </row>
    <row r="300" spans="1:2" ht="15.75" customHeight="1">
      <c r="A300" s="12" t="s">
        <v>676</v>
      </c>
      <c r="B300" s="12" t="s">
        <v>677</v>
      </c>
    </row>
    <row r="301" spans="1:2" ht="15.75" customHeight="1">
      <c r="A301" s="12" t="s">
        <v>678</v>
      </c>
      <c r="B301" s="12" t="s">
        <v>679</v>
      </c>
    </row>
    <row r="302" spans="1:2" ht="15.75" customHeight="1">
      <c r="A302" s="12" t="s">
        <v>680</v>
      </c>
      <c r="B302" s="12" t="s">
        <v>681</v>
      </c>
    </row>
    <row r="303" spans="1:2" ht="15.75" customHeight="1">
      <c r="A303" s="12" t="s">
        <v>682</v>
      </c>
      <c r="B303" s="12" t="s">
        <v>683</v>
      </c>
    </row>
    <row r="304" spans="1:2" ht="15.75" customHeight="1">
      <c r="A304" s="12" t="s">
        <v>684</v>
      </c>
      <c r="B304" s="12" t="s">
        <v>685</v>
      </c>
    </row>
    <row r="305" spans="1:2" ht="15.75" customHeight="1">
      <c r="A305" s="12" t="s">
        <v>686</v>
      </c>
      <c r="B305" s="12" t="s">
        <v>687</v>
      </c>
    </row>
    <row r="306" spans="1:2" ht="15.75" customHeight="1">
      <c r="A306" s="12" t="s">
        <v>688</v>
      </c>
      <c r="B306" s="12" t="s">
        <v>689</v>
      </c>
    </row>
    <row r="307" spans="1:2" ht="15.75" customHeight="1">
      <c r="A307" s="12" t="s">
        <v>690</v>
      </c>
      <c r="B307" s="12" t="s">
        <v>691</v>
      </c>
    </row>
    <row r="308" spans="1:2" ht="15.75" customHeight="1">
      <c r="A308" s="12" t="s">
        <v>692</v>
      </c>
      <c r="B308" s="12" t="s">
        <v>693</v>
      </c>
    </row>
    <row r="309" spans="1:2" ht="15.75" customHeight="1">
      <c r="A309" s="12" t="s">
        <v>694</v>
      </c>
      <c r="B309" s="12" t="s">
        <v>695</v>
      </c>
    </row>
    <row r="310" spans="1:2" ht="15.75" customHeight="1">
      <c r="A310" s="12" t="s">
        <v>696</v>
      </c>
      <c r="B310" s="12" t="s">
        <v>697</v>
      </c>
    </row>
    <row r="311" spans="1:2" ht="15.75" customHeight="1">
      <c r="A311" s="12" t="s">
        <v>698</v>
      </c>
      <c r="B311" s="12" t="s">
        <v>699</v>
      </c>
    </row>
    <row r="312" spans="1:2" ht="15.75" customHeight="1">
      <c r="A312" s="12" t="s">
        <v>700</v>
      </c>
      <c r="B312" s="12" t="s">
        <v>701</v>
      </c>
    </row>
    <row r="313" spans="1:2" ht="15.75" customHeight="1">
      <c r="A313" s="12" t="s">
        <v>702</v>
      </c>
      <c r="B313" s="12" t="s">
        <v>703</v>
      </c>
    </row>
    <row r="314" spans="1:2" ht="15.75" customHeight="1">
      <c r="A314" s="12" t="s">
        <v>704</v>
      </c>
      <c r="B314" s="12" t="s">
        <v>705</v>
      </c>
    </row>
    <row r="315" spans="1:2" ht="15.75" customHeight="1">
      <c r="A315" s="12" t="s">
        <v>706</v>
      </c>
      <c r="B315" s="12" t="s">
        <v>707</v>
      </c>
    </row>
    <row r="316" spans="1:2" ht="15.75" customHeight="1">
      <c r="A316" s="12" t="s">
        <v>708</v>
      </c>
      <c r="B316" s="12" t="s">
        <v>709</v>
      </c>
    </row>
    <row r="317" spans="1:2" ht="15.75" customHeight="1">
      <c r="A317" s="12" t="s">
        <v>710</v>
      </c>
      <c r="B317" s="12" t="s">
        <v>711</v>
      </c>
    </row>
    <row r="318" spans="1:2" ht="15.75" customHeight="1">
      <c r="A318" s="12" t="s">
        <v>712</v>
      </c>
      <c r="B318" s="12" t="s">
        <v>713</v>
      </c>
    </row>
    <row r="319" spans="1:2" ht="15.75" customHeight="1">
      <c r="A319" s="12" t="s">
        <v>714</v>
      </c>
      <c r="B319" s="12" t="s">
        <v>715</v>
      </c>
    </row>
    <row r="320" spans="1:2" ht="15.75" customHeight="1">
      <c r="A320" s="12" t="s">
        <v>716</v>
      </c>
      <c r="B320" s="12" t="s">
        <v>717</v>
      </c>
    </row>
    <row r="321" spans="1:2" ht="15.75" customHeight="1">
      <c r="A321" s="12" t="s">
        <v>718</v>
      </c>
      <c r="B321" s="12" t="s">
        <v>719</v>
      </c>
    </row>
    <row r="322" spans="1:2" ht="15.75" customHeight="1">
      <c r="A322" s="12" t="s">
        <v>720</v>
      </c>
      <c r="B322" s="12" t="s">
        <v>721</v>
      </c>
    </row>
    <row r="323" spans="1:2" ht="15.75" customHeight="1">
      <c r="A323" s="12" t="s">
        <v>722</v>
      </c>
      <c r="B323" s="12" t="s">
        <v>723</v>
      </c>
    </row>
    <row r="324" spans="1:2" ht="15.75" customHeight="1">
      <c r="A324" s="12" t="s">
        <v>724</v>
      </c>
      <c r="B324" s="12" t="s">
        <v>725</v>
      </c>
    </row>
    <row r="325" spans="1:2" ht="15.75" customHeight="1">
      <c r="A325" s="12" t="s">
        <v>726</v>
      </c>
      <c r="B325" s="12" t="s">
        <v>727</v>
      </c>
    </row>
    <row r="326" spans="1:2" ht="15.75" customHeight="1">
      <c r="A326" s="12" t="s">
        <v>728</v>
      </c>
      <c r="B326" s="12" t="s">
        <v>729</v>
      </c>
    </row>
    <row r="327" spans="1:2" ht="15.75" customHeight="1">
      <c r="A327" s="12" t="s">
        <v>730</v>
      </c>
      <c r="B327" s="12" t="s">
        <v>731</v>
      </c>
    </row>
    <row r="328" spans="1:2" ht="15.75" customHeight="1">
      <c r="A328" s="12" t="s">
        <v>732</v>
      </c>
      <c r="B328" s="12" t="s">
        <v>733</v>
      </c>
    </row>
    <row r="329" spans="1:2" ht="15.75" customHeight="1">
      <c r="A329" s="12" t="s">
        <v>734</v>
      </c>
      <c r="B329" s="12" t="s">
        <v>735</v>
      </c>
    </row>
    <row r="330" spans="1:2" ht="15.75" customHeight="1">
      <c r="A330" s="12" t="s">
        <v>736</v>
      </c>
      <c r="B330" s="12" t="s">
        <v>737</v>
      </c>
    </row>
    <row r="331" spans="1:2" ht="15.75" customHeight="1">
      <c r="A331" s="12" t="s">
        <v>738</v>
      </c>
      <c r="B331" s="12" t="s">
        <v>739</v>
      </c>
    </row>
    <row r="332" spans="1:2" ht="15.75" customHeight="1">
      <c r="A332" s="12" t="s">
        <v>740</v>
      </c>
      <c r="B332" s="12" t="s">
        <v>741</v>
      </c>
    </row>
    <row r="333" spans="1:2" ht="15.75" customHeight="1">
      <c r="A333" s="12" t="s">
        <v>742</v>
      </c>
      <c r="B333" s="12" t="s">
        <v>743</v>
      </c>
    </row>
    <row r="334" spans="1:2" ht="15.75" customHeight="1">
      <c r="A334" s="12" t="s">
        <v>744</v>
      </c>
      <c r="B334" s="12" t="s">
        <v>291</v>
      </c>
    </row>
    <row r="335" spans="1:2" ht="15.75" customHeight="1">
      <c r="A335" s="12" t="s">
        <v>745</v>
      </c>
      <c r="B335" s="12" t="s">
        <v>746</v>
      </c>
    </row>
    <row r="336" spans="1:2" ht="15.75" customHeight="1">
      <c r="A336" s="12" t="s">
        <v>747</v>
      </c>
      <c r="B336" s="12" t="s">
        <v>748</v>
      </c>
    </row>
    <row r="337" spans="1:2" ht="15.75" customHeight="1">
      <c r="A337" s="12" t="s">
        <v>749</v>
      </c>
      <c r="B337" s="12" t="s">
        <v>750</v>
      </c>
    </row>
    <row r="338" spans="1:2" ht="15.75" customHeight="1">
      <c r="A338" s="12" t="s">
        <v>751</v>
      </c>
      <c r="B338" s="12" t="s">
        <v>752</v>
      </c>
    </row>
    <row r="339" spans="1:2" ht="15.75" customHeight="1">
      <c r="A339" s="12" t="s">
        <v>753</v>
      </c>
      <c r="B339" s="12" t="s">
        <v>754</v>
      </c>
    </row>
    <row r="340" spans="1:2" ht="15.75" customHeight="1">
      <c r="A340" s="12" t="s">
        <v>755</v>
      </c>
      <c r="B340" s="12" t="s">
        <v>756</v>
      </c>
    </row>
    <row r="341" spans="1:2" ht="15.75" customHeight="1">
      <c r="A341" s="12" t="s">
        <v>757</v>
      </c>
      <c r="B341" s="12" t="s">
        <v>758</v>
      </c>
    </row>
    <row r="342" spans="1:2" ht="15.75" customHeight="1">
      <c r="A342" s="12" t="s">
        <v>759</v>
      </c>
      <c r="B342" s="12" t="s">
        <v>760</v>
      </c>
    </row>
    <row r="343" spans="1:2" ht="15.75" customHeight="1">
      <c r="A343" s="12" t="s">
        <v>761</v>
      </c>
      <c r="B343" s="12" t="s">
        <v>762</v>
      </c>
    </row>
    <row r="344" spans="1:2" ht="15.75" customHeight="1">
      <c r="A344" s="12" t="s">
        <v>763</v>
      </c>
      <c r="B344" s="12" t="s">
        <v>764</v>
      </c>
    </row>
    <row r="345" spans="1:2" ht="15.75" customHeight="1">
      <c r="A345" s="12" t="s">
        <v>765</v>
      </c>
      <c r="B345" s="12" t="s">
        <v>766</v>
      </c>
    </row>
    <row r="346" spans="1:2" ht="15.75" customHeight="1">
      <c r="A346" s="12" t="s">
        <v>767</v>
      </c>
      <c r="B346" s="12" t="s">
        <v>768</v>
      </c>
    </row>
    <row r="347" spans="1:2" ht="15.75" customHeight="1">
      <c r="A347" s="12" t="s">
        <v>769</v>
      </c>
      <c r="B347" s="12" t="s">
        <v>770</v>
      </c>
    </row>
    <row r="348" spans="1:2" ht="15.75" customHeight="1">
      <c r="A348" s="12" t="s">
        <v>771</v>
      </c>
      <c r="B348" s="12" t="s">
        <v>772</v>
      </c>
    </row>
    <row r="349" spans="1:2" ht="15.75" customHeight="1">
      <c r="A349" s="12" t="s">
        <v>773</v>
      </c>
      <c r="B349" s="12" t="s">
        <v>774</v>
      </c>
    </row>
    <row r="350" spans="1:2" ht="15.75" customHeight="1">
      <c r="A350" s="12" t="s">
        <v>775</v>
      </c>
      <c r="B350" s="12" t="s">
        <v>776</v>
      </c>
    </row>
    <row r="351" spans="1:2" ht="15.75" customHeight="1">
      <c r="A351" s="12" t="s">
        <v>777</v>
      </c>
      <c r="B351" s="12" t="s">
        <v>778</v>
      </c>
    </row>
    <row r="352" spans="1:2" ht="15.75" customHeight="1">
      <c r="A352" s="12" t="s">
        <v>779</v>
      </c>
      <c r="B352" s="12" t="s">
        <v>780</v>
      </c>
    </row>
    <row r="353" spans="1:2" ht="15.75" customHeight="1">
      <c r="A353" s="12" t="s">
        <v>781</v>
      </c>
      <c r="B353" s="12" t="s">
        <v>782</v>
      </c>
    </row>
    <row r="354" spans="1:2" ht="15.75" customHeight="1">
      <c r="A354" s="12" t="s">
        <v>783</v>
      </c>
      <c r="B354" s="12" t="s">
        <v>784</v>
      </c>
    </row>
    <row r="355" spans="1:2" ht="15.75" customHeight="1">
      <c r="A355" s="12" t="s">
        <v>785</v>
      </c>
      <c r="B355" s="12" t="s">
        <v>786</v>
      </c>
    </row>
    <row r="356" spans="1:2" ht="15.75" customHeight="1">
      <c r="A356" s="12" t="s">
        <v>787</v>
      </c>
      <c r="B356" s="12" t="s">
        <v>788</v>
      </c>
    </row>
    <row r="357" spans="1:2" ht="15.75" customHeight="1">
      <c r="A357" s="12" t="s">
        <v>789</v>
      </c>
      <c r="B357" s="12" t="s">
        <v>790</v>
      </c>
    </row>
    <row r="358" spans="1:2" ht="15.75" customHeight="1">
      <c r="A358" s="12" t="s">
        <v>791</v>
      </c>
      <c r="B358" s="12" t="s">
        <v>792</v>
      </c>
    </row>
    <row r="359" spans="1:2" ht="15.75" customHeight="1">
      <c r="A359" s="12" t="s">
        <v>793</v>
      </c>
      <c r="B359" s="12" t="s">
        <v>794</v>
      </c>
    </row>
    <row r="360" spans="1:2" ht="15.75" customHeight="1">
      <c r="A360" s="12" t="s">
        <v>795</v>
      </c>
      <c r="B360" s="12" t="s">
        <v>796</v>
      </c>
    </row>
    <row r="361" spans="1:2" ht="15.75" customHeight="1">
      <c r="A361" s="12" t="s">
        <v>797</v>
      </c>
      <c r="B361" s="12" t="s">
        <v>798</v>
      </c>
    </row>
    <row r="362" spans="1:2" ht="15.75" customHeight="1">
      <c r="A362" s="12" t="s">
        <v>799</v>
      </c>
      <c r="B362" s="12" t="s">
        <v>800</v>
      </c>
    </row>
    <row r="363" spans="1:2" ht="15.75" customHeight="1">
      <c r="A363" s="12" t="s">
        <v>801</v>
      </c>
      <c r="B363" s="12" t="s">
        <v>802</v>
      </c>
    </row>
    <row r="364" spans="1:2" ht="15.75" customHeight="1">
      <c r="A364" s="12" t="s">
        <v>803</v>
      </c>
      <c r="B364" s="12" t="s">
        <v>804</v>
      </c>
    </row>
    <row r="365" spans="1:2" ht="15.75" customHeight="1">
      <c r="A365" s="12" t="s">
        <v>805</v>
      </c>
      <c r="B365" s="12" t="s">
        <v>806</v>
      </c>
    </row>
    <row r="366" spans="1:2" ht="15.75" customHeight="1">
      <c r="A366" s="12" t="s">
        <v>807</v>
      </c>
      <c r="B366" s="12" t="s">
        <v>808</v>
      </c>
    </row>
    <row r="367" spans="1:2" ht="15.75" customHeight="1">
      <c r="A367" s="12" t="s">
        <v>809</v>
      </c>
      <c r="B367" s="12" t="s">
        <v>810</v>
      </c>
    </row>
    <row r="368" spans="1:2" ht="15.75" customHeight="1">
      <c r="A368" s="12" t="s">
        <v>811</v>
      </c>
      <c r="B368" s="12" t="s">
        <v>812</v>
      </c>
    </row>
    <row r="369" spans="1:2" ht="15.75" customHeight="1">
      <c r="A369" s="12" t="s">
        <v>813</v>
      </c>
      <c r="B369" s="12" t="s">
        <v>814</v>
      </c>
    </row>
    <row r="370" spans="1:2" ht="15.75" customHeight="1">
      <c r="A370" s="12" t="s">
        <v>815</v>
      </c>
      <c r="B370" s="12" t="s">
        <v>816</v>
      </c>
    </row>
    <row r="371" spans="1:2" ht="15.75" customHeight="1">
      <c r="A371" s="12" t="s">
        <v>817</v>
      </c>
      <c r="B371" s="12" t="s">
        <v>818</v>
      </c>
    </row>
    <row r="372" spans="1:2" ht="15.75" customHeight="1">
      <c r="A372" s="12" t="s">
        <v>819</v>
      </c>
      <c r="B372" s="12" t="s">
        <v>820</v>
      </c>
    </row>
    <row r="373" spans="1:2" ht="15.75" customHeight="1">
      <c r="A373" s="12" t="s">
        <v>821</v>
      </c>
      <c r="B373" s="12" t="s">
        <v>822</v>
      </c>
    </row>
    <row r="374" spans="1:2" ht="15.75" customHeight="1">
      <c r="A374" s="12" t="s">
        <v>823</v>
      </c>
      <c r="B374" s="12" t="s">
        <v>824</v>
      </c>
    </row>
    <row r="375" spans="1:2" ht="15.75" customHeight="1">
      <c r="A375" s="12" t="s">
        <v>825</v>
      </c>
      <c r="B375" s="12" t="s">
        <v>826</v>
      </c>
    </row>
    <row r="376" spans="1:2" ht="15.75" customHeight="1">
      <c r="A376" s="12" t="s">
        <v>827</v>
      </c>
      <c r="B376" s="12" t="s">
        <v>828</v>
      </c>
    </row>
    <row r="377" spans="1:2" ht="15.75" customHeight="1">
      <c r="A377" s="12" t="s">
        <v>829</v>
      </c>
      <c r="B377" s="12" t="s">
        <v>830</v>
      </c>
    </row>
    <row r="378" spans="1:2" ht="15.75" customHeight="1">
      <c r="A378" s="12" t="s">
        <v>831</v>
      </c>
      <c r="B378" s="12" t="s">
        <v>832</v>
      </c>
    </row>
    <row r="379" spans="1:2" ht="15.75" customHeight="1">
      <c r="A379" s="12" t="s">
        <v>833</v>
      </c>
      <c r="B379" s="12" t="s">
        <v>834</v>
      </c>
    </row>
    <row r="380" spans="1:2" ht="15.75" customHeight="1">
      <c r="A380" s="12" t="s">
        <v>835</v>
      </c>
      <c r="B380" s="12" t="s">
        <v>836</v>
      </c>
    </row>
    <row r="381" spans="1:2" ht="15.75" customHeight="1">
      <c r="A381" s="12" t="s">
        <v>837</v>
      </c>
      <c r="B381" s="12" t="s">
        <v>311</v>
      </c>
    </row>
    <row r="382" spans="1:2" ht="15.75" customHeight="1">
      <c r="A382" s="12" t="s">
        <v>838</v>
      </c>
      <c r="B382" s="12" t="s">
        <v>839</v>
      </c>
    </row>
    <row r="383" spans="1:2" ht="15.75" customHeight="1">
      <c r="A383" s="12" t="s">
        <v>840</v>
      </c>
      <c r="B383" s="12" t="s">
        <v>841</v>
      </c>
    </row>
    <row r="384" spans="1:2" ht="15.75" customHeight="1">
      <c r="A384" s="12" t="s">
        <v>842</v>
      </c>
      <c r="B384" s="12" t="s">
        <v>843</v>
      </c>
    </row>
    <row r="385" spans="1:2" ht="15.75" customHeight="1">
      <c r="A385" s="12" t="s">
        <v>844</v>
      </c>
      <c r="B385" s="12" t="s">
        <v>845</v>
      </c>
    </row>
    <row r="386" spans="1:2" ht="15.75" customHeight="1">
      <c r="A386" s="12" t="s">
        <v>846</v>
      </c>
      <c r="B386" s="12" t="s">
        <v>847</v>
      </c>
    </row>
    <row r="387" spans="1:2" ht="15.75" customHeight="1">
      <c r="A387" s="12" t="s">
        <v>848</v>
      </c>
      <c r="B387" s="12" t="s">
        <v>849</v>
      </c>
    </row>
    <row r="388" spans="1:2" ht="15.75" customHeight="1">
      <c r="A388" s="12" t="s">
        <v>850</v>
      </c>
      <c r="B388" s="12" t="s">
        <v>851</v>
      </c>
    </row>
    <row r="389" spans="1:2" ht="15.75" customHeight="1">
      <c r="A389" s="12" t="s">
        <v>852</v>
      </c>
      <c r="B389" s="12" t="s">
        <v>853</v>
      </c>
    </row>
    <row r="390" spans="1:2" ht="15.75" customHeight="1">
      <c r="A390" s="12" t="s">
        <v>854</v>
      </c>
      <c r="B390" s="12" t="s">
        <v>855</v>
      </c>
    </row>
    <row r="391" spans="1:2" ht="15.75" customHeight="1">
      <c r="A391" s="12" t="s">
        <v>856</v>
      </c>
      <c r="B391" s="12" t="s">
        <v>857</v>
      </c>
    </row>
    <row r="392" spans="1:2" ht="15.75" customHeight="1">
      <c r="A392" s="12" t="s">
        <v>858</v>
      </c>
      <c r="B392" s="12" t="s">
        <v>859</v>
      </c>
    </row>
    <row r="393" spans="1:2" ht="15.75" customHeight="1">
      <c r="A393" s="12" t="s">
        <v>860</v>
      </c>
      <c r="B393" s="12" t="s">
        <v>211</v>
      </c>
    </row>
    <row r="394" spans="1:2" ht="15.75" customHeight="1">
      <c r="A394" s="12" t="s">
        <v>861</v>
      </c>
      <c r="B394" s="12" t="s">
        <v>862</v>
      </c>
    </row>
    <row r="395" spans="1:2" ht="15.75" customHeight="1">
      <c r="A395" s="12" t="s">
        <v>863</v>
      </c>
      <c r="B395" s="12" t="s">
        <v>864</v>
      </c>
    </row>
    <row r="396" spans="1:2" ht="15.75" customHeight="1">
      <c r="A396" s="12" t="s">
        <v>865</v>
      </c>
      <c r="B396" s="12" t="s">
        <v>866</v>
      </c>
    </row>
    <row r="397" spans="1:2" ht="15.75" customHeight="1">
      <c r="A397" s="12" t="s">
        <v>867</v>
      </c>
      <c r="B397" s="12" t="s">
        <v>868</v>
      </c>
    </row>
    <row r="398" spans="1:2" ht="15.75" customHeight="1">
      <c r="A398" s="12" t="s">
        <v>869</v>
      </c>
      <c r="B398" s="12" t="s">
        <v>870</v>
      </c>
    </row>
    <row r="399" spans="1:2" ht="15.75" customHeight="1">
      <c r="A399" s="12" t="s">
        <v>871</v>
      </c>
      <c r="B399" s="12" t="s">
        <v>460</v>
      </c>
    </row>
    <row r="400" spans="1:2" ht="15.75" customHeight="1">
      <c r="A400" s="12" t="s">
        <v>872</v>
      </c>
      <c r="B400" s="12" t="s">
        <v>873</v>
      </c>
    </row>
    <row r="401" spans="1:2" ht="15.75" customHeight="1">
      <c r="A401" s="12" t="s">
        <v>874</v>
      </c>
      <c r="B401" s="12" t="s">
        <v>875</v>
      </c>
    </row>
    <row r="402" spans="1:2" ht="15.75" customHeight="1">
      <c r="A402" s="12" t="s">
        <v>876</v>
      </c>
      <c r="B402" s="12" t="s">
        <v>877</v>
      </c>
    </row>
    <row r="403" spans="1:2" ht="15.75" customHeight="1">
      <c r="A403" s="12" t="s">
        <v>878</v>
      </c>
      <c r="B403" s="12" t="s">
        <v>879</v>
      </c>
    </row>
    <row r="404" spans="1:2" ht="15.75" customHeight="1">
      <c r="A404" s="12" t="s">
        <v>880</v>
      </c>
      <c r="B404" s="12" t="s">
        <v>478</v>
      </c>
    </row>
    <row r="405" spans="1:2" ht="15.75" customHeight="1">
      <c r="A405" s="12" t="s">
        <v>881</v>
      </c>
      <c r="B405" s="12" t="s">
        <v>882</v>
      </c>
    </row>
    <row r="406" spans="1:2" ht="15.75" customHeight="1">
      <c r="A406" s="12" t="s">
        <v>883</v>
      </c>
      <c r="B406" s="12" t="s">
        <v>884</v>
      </c>
    </row>
    <row r="407" spans="1:2" ht="15.75" customHeight="1">
      <c r="A407" s="12" t="s">
        <v>885</v>
      </c>
      <c r="B407" s="12" t="s">
        <v>886</v>
      </c>
    </row>
    <row r="408" spans="1:2" ht="15.75" customHeight="1">
      <c r="A408" s="12" t="s">
        <v>887</v>
      </c>
      <c r="B408" s="12" t="s">
        <v>888</v>
      </c>
    </row>
    <row r="409" spans="1:2" ht="15.75" customHeight="1">
      <c r="A409" s="12" t="s">
        <v>889</v>
      </c>
      <c r="B409" s="12" t="s">
        <v>890</v>
      </c>
    </row>
    <row r="410" spans="1:2" ht="15.75" customHeight="1">
      <c r="A410" s="12" t="s">
        <v>891</v>
      </c>
      <c r="B410" s="12" t="s">
        <v>892</v>
      </c>
    </row>
    <row r="411" spans="1:2" ht="15.75" customHeight="1">
      <c r="A411" s="12" t="s">
        <v>893</v>
      </c>
      <c r="B411" s="12" t="s">
        <v>894</v>
      </c>
    </row>
    <row r="412" spans="1:2" ht="15.75" customHeight="1">
      <c r="A412" s="12" t="s">
        <v>895</v>
      </c>
      <c r="B412" s="12" t="s">
        <v>896</v>
      </c>
    </row>
    <row r="413" spans="1:2" ht="15.75" customHeight="1">
      <c r="A413" s="12" t="s">
        <v>897</v>
      </c>
      <c r="B413" s="12" t="s">
        <v>898</v>
      </c>
    </row>
    <row r="414" spans="1:2" ht="15.75" customHeight="1">
      <c r="A414" s="12" t="s">
        <v>899</v>
      </c>
      <c r="B414" s="12" t="s">
        <v>900</v>
      </c>
    </row>
    <row r="415" spans="1:2" ht="15.75" customHeight="1">
      <c r="A415" s="12" t="s">
        <v>901</v>
      </c>
      <c r="B415" s="12" t="s">
        <v>902</v>
      </c>
    </row>
    <row r="416" spans="1:2" ht="15.75" customHeight="1">
      <c r="A416" s="12" t="s">
        <v>903</v>
      </c>
      <c r="B416" s="12" t="s">
        <v>904</v>
      </c>
    </row>
    <row r="417" spans="1:2" ht="15.75" customHeight="1">
      <c r="A417" s="12" t="s">
        <v>905</v>
      </c>
      <c r="B417" s="12" t="s">
        <v>906</v>
      </c>
    </row>
    <row r="418" spans="1:2" ht="15.75" customHeight="1">
      <c r="A418" s="12" t="s">
        <v>907</v>
      </c>
      <c r="B418" s="12" t="s">
        <v>908</v>
      </c>
    </row>
    <row r="419" spans="1:2" ht="15.75" customHeight="1">
      <c r="A419" s="12" t="s">
        <v>909</v>
      </c>
      <c r="B419" s="12" t="s">
        <v>910</v>
      </c>
    </row>
    <row r="420" spans="1:2" ht="15.75" customHeight="1">
      <c r="A420" s="12" t="s">
        <v>911</v>
      </c>
      <c r="B420" s="12" t="s">
        <v>912</v>
      </c>
    </row>
    <row r="421" spans="1:2" ht="15.75" customHeight="1">
      <c r="A421" s="12" t="s">
        <v>913</v>
      </c>
      <c r="B421" s="12" t="s">
        <v>914</v>
      </c>
    </row>
    <row r="422" spans="1:2" ht="15.75" customHeight="1">
      <c r="A422" s="12" t="s">
        <v>915</v>
      </c>
      <c r="B422" s="12" t="s">
        <v>916</v>
      </c>
    </row>
    <row r="423" spans="1:2" ht="15.75" customHeight="1">
      <c r="A423" s="12" t="s">
        <v>917</v>
      </c>
      <c r="B423" s="12" t="s">
        <v>918</v>
      </c>
    </row>
    <row r="424" spans="1:2" ht="15.75" customHeight="1">
      <c r="A424" s="12" t="s">
        <v>919</v>
      </c>
      <c r="B424" s="12" t="s">
        <v>920</v>
      </c>
    </row>
    <row r="425" spans="1:2" ht="15.75" customHeight="1">
      <c r="A425" s="12" t="s">
        <v>921</v>
      </c>
      <c r="B425" s="12" t="s">
        <v>922</v>
      </c>
    </row>
    <row r="426" spans="1:2" ht="15.75" customHeight="1">
      <c r="A426" s="12" t="s">
        <v>923</v>
      </c>
      <c r="B426" s="12" t="s">
        <v>924</v>
      </c>
    </row>
    <row r="427" spans="1:2" ht="15.75" customHeight="1">
      <c r="A427" s="12" t="s">
        <v>925</v>
      </c>
      <c r="B427" s="12" t="s">
        <v>926</v>
      </c>
    </row>
    <row r="428" spans="1:2" ht="15.75" customHeight="1">
      <c r="A428" s="12" t="s">
        <v>927</v>
      </c>
      <c r="B428" s="12" t="s">
        <v>928</v>
      </c>
    </row>
    <row r="429" spans="1:2" ht="15.75" customHeight="1">
      <c r="A429" s="12" t="s">
        <v>929</v>
      </c>
      <c r="B429" s="12" t="s">
        <v>930</v>
      </c>
    </row>
    <row r="430" spans="1:2" ht="15.75" customHeight="1">
      <c r="A430" s="12" t="s">
        <v>931</v>
      </c>
      <c r="B430" s="12" t="s">
        <v>932</v>
      </c>
    </row>
    <row r="431" spans="1:2" ht="15.75" customHeight="1">
      <c r="A431" s="12" t="s">
        <v>933</v>
      </c>
      <c r="B431" s="12" t="s">
        <v>225</v>
      </c>
    </row>
    <row r="432" spans="1:2" ht="15.75" customHeight="1">
      <c r="A432" s="12" t="s">
        <v>934</v>
      </c>
      <c r="B432" s="12" t="s">
        <v>935</v>
      </c>
    </row>
    <row r="433" spans="1:2" ht="15.75" customHeight="1">
      <c r="A433" s="12" t="s">
        <v>936</v>
      </c>
      <c r="B433" s="12" t="s">
        <v>937</v>
      </c>
    </row>
    <row r="434" spans="1:2" ht="15.75" customHeight="1">
      <c r="A434" s="12" t="s">
        <v>938</v>
      </c>
      <c r="B434" s="12" t="s">
        <v>820</v>
      </c>
    </row>
    <row r="435" spans="1:2" ht="15.75" customHeight="1">
      <c r="A435" s="12" t="s">
        <v>939</v>
      </c>
      <c r="B435" s="12" t="s">
        <v>940</v>
      </c>
    </row>
    <row r="436" spans="1:2" ht="15.75" customHeight="1">
      <c r="A436" s="12" t="s">
        <v>941</v>
      </c>
      <c r="B436" s="12" t="s">
        <v>942</v>
      </c>
    </row>
    <row r="437" spans="1:2" ht="15.75" customHeight="1">
      <c r="A437" s="12" t="s">
        <v>943</v>
      </c>
      <c r="B437" s="12" t="s">
        <v>944</v>
      </c>
    </row>
    <row r="438" spans="1:2" ht="15.75" customHeight="1">
      <c r="A438" s="12" t="s">
        <v>945</v>
      </c>
      <c r="B438" s="12" t="s">
        <v>946</v>
      </c>
    </row>
    <row r="439" spans="1:2" ht="15.75" customHeight="1">
      <c r="A439" s="12" t="s">
        <v>947</v>
      </c>
      <c r="B439" s="12" t="s">
        <v>948</v>
      </c>
    </row>
    <row r="440" spans="1:2" ht="15.75" customHeight="1">
      <c r="A440" s="12" t="s">
        <v>949</v>
      </c>
      <c r="B440" s="12" t="s">
        <v>950</v>
      </c>
    </row>
    <row r="441" spans="1:2" ht="15.75" customHeight="1">
      <c r="A441" s="12" t="s">
        <v>951</v>
      </c>
      <c r="B441" s="12" t="s">
        <v>952</v>
      </c>
    </row>
    <row r="442" spans="1:2" ht="15.75" customHeight="1">
      <c r="A442" s="12" t="s">
        <v>953</v>
      </c>
      <c r="B442" s="12" t="s">
        <v>954</v>
      </c>
    </row>
    <row r="443" spans="1:2" ht="15.75" customHeight="1">
      <c r="A443" s="12" t="s">
        <v>955</v>
      </c>
      <c r="B443" s="12" t="s">
        <v>956</v>
      </c>
    </row>
    <row r="444" spans="1:2" ht="15.75" customHeight="1">
      <c r="A444" s="12" t="s">
        <v>957</v>
      </c>
      <c r="B444" s="12" t="s">
        <v>958</v>
      </c>
    </row>
    <row r="445" spans="1:2" ht="15.75" customHeight="1">
      <c r="A445" s="12" t="s">
        <v>959</v>
      </c>
      <c r="B445" s="12" t="s">
        <v>960</v>
      </c>
    </row>
    <row r="446" spans="1:2" ht="15.75" customHeight="1">
      <c r="A446" s="12" t="s">
        <v>961</v>
      </c>
      <c r="B446" s="12" t="s">
        <v>962</v>
      </c>
    </row>
    <row r="447" spans="1:2" ht="15.75" customHeight="1">
      <c r="A447" s="12" t="s">
        <v>963</v>
      </c>
      <c r="B447" s="12" t="s">
        <v>964</v>
      </c>
    </row>
    <row r="448" spans="1:2" ht="15.75" customHeight="1">
      <c r="A448" s="12" t="s">
        <v>965</v>
      </c>
      <c r="B448" s="12" t="s">
        <v>966</v>
      </c>
    </row>
    <row r="449" spans="1:2" ht="15.75" customHeight="1">
      <c r="A449" s="12" t="s">
        <v>967</v>
      </c>
      <c r="B449" s="12" t="s">
        <v>968</v>
      </c>
    </row>
    <row r="450" spans="1:2" ht="15.75" customHeight="1">
      <c r="A450" s="12" t="s">
        <v>969</v>
      </c>
      <c r="B450" s="12" t="s">
        <v>970</v>
      </c>
    </row>
    <row r="451" spans="1:2" ht="15.75" customHeight="1">
      <c r="A451" s="12" t="s">
        <v>971</v>
      </c>
      <c r="B451" s="12" t="s">
        <v>972</v>
      </c>
    </row>
    <row r="452" spans="1:2" ht="15.75" customHeight="1">
      <c r="A452" s="12" t="s">
        <v>973</v>
      </c>
      <c r="B452" s="12" t="s">
        <v>974</v>
      </c>
    </row>
    <row r="453" spans="1:2" ht="15.75" customHeight="1">
      <c r="A453" s="12" t="s">
        <v>975</v>
      </c>
      <c r="B453" s="12" t="s">
        <v>976</v>
      </c>
    </row>
    <row r="454" spans="1:2" ht="15.75" customHeight="1">
      <c r="A454" s="12" t="s">
        <v>977</v>
      </c>
      <c r="B454" s="12" t="s">
        <v>978</v>
      </c>
    </row>
    <row r="455" spans="1:2" ht="15.75" customHeight="1">
      <c r="A455" s="12" t="s">
        <v>979</v>
      </c>
      <c r="B455" s="12" t="s">
        <v>980</v>
      </c>
    </row>
    <row r="456" spans="1:2" ht="15.75" customHeight="1">
      <c r="A456" s="12" t="s">
        <v>981</v>
      </c>
      <c r="B456" s="12" t="s">
        <v>982</v>
      </c>
    </row>
    <row r="457" spans="1:2" ht="15.75" customHeight="1">
      <c r="A457" s="12" t="s">
        <v>983</v>
      </c>
      <c r="B457" s="12" t="s">
        <v>984</v>
      </c>
    </row>
    <row r="458" spans="1:2" ht="15.75" customHeight="1">
      <c r="A458" s="12" t="s">
        <v>985</v>
      </c>
      <c r="B458" s="12" t="s">
        <v>986</v>
      </c>
    </row>
    <row r="459" spans="1:2" ht="15.75" customHeight="1">
      <c r="A459" s="12" t="s">
        <v>987</v>
      </c>
      <c r="B459" s="12" t="s">
        <v>988</v>
      </c>
    </row>
    <row r="460" spans="1:2" ht="15.75" customHeight="1">
      <c r="A460" s="12" t="s">
        <v>989</v>
      </c>
      <c r="B460" s="12" t="s">
        <v>990</v>
      </c>
    </row>
    <row r="461" spans="1:2" ht="15.75" customHeight="1">
      <c r="A461" s="12" t="s">
        <v>991</v>
      </c>
      <c r="B461" s="12" t="s">
        <v>992</v>
      </c>
    </row>
    <row r="462" spans="1:2" ht="15.75" customHeight="1">
      <c r="A462" s="12" t="s">
        <v>993</v>
      </c>
      <c r="B462" s="12" t="s">
        <v>994</v>
      </c>
    </row>
    <row r="463" spans="1:2" ht="15.75" customHeight="1">
      <c r="A463" s="12" t="s">
        <v>995</v>
      </c>
      <c r="B463" s="12" t="s">
        <v>996</v>
      </c>
    </row>
    <row r="464" spans="1:2" ht="15.75" customHeight="1">
      <c r="A464" s="12" t="s">
        <v>997</v>
      </c>
      <c r="B464" s="12" t="s">
        <v>998</v>
      </c>
    </row>
    <row r="465" spans="1:2" ht="15.75" customHeight="1">
      <c r="A465" s="12" t="s">
        <v>999</v>
      </c>
      <c r="B465" s="12" t="s">
        <v>1000</v>
      </c>
    </row>
    <row r="466" spans="1:2" ht="15.75" customHeight="1">
      <c r="A466" s="12" t="s">
        <v>1001</v>
      </c>
      <c r="B466" s="12" t="s">
        <v>1002</v>
      </c>
    </row>
    <row r="467" spans="1:2" ht="15.75" customHeight="1">
      <c r="A467" s="12" t="s">
        <v>1003</v>
      </c>
      <c r="B467" s="12" t="s">
        <v>1004</v>
      </c>
    </row>
    <row r="468" spans="1:2" ht="15.75" customHeight="1">
      <c r="A468" s="12" t="s">
        <v>1005</v>
      </c>
      <c r="B468" s="12" t="s">
        <v>1006</v>
      </c>
    </row>
    <row r="469" spans="1:2" ht="15.75" customHeight="1">
      <c r="A469" s="12" t="s">
        <v>1007</v>
      </c>
      <c r="B469" s="12" t="s">
        <v>1008</v>
      </c>
    </row>
    <row r="470" spans="1:2" ht="15.75" customHeight="1">
      <c r="A470" s="12" t="s">
        <v>1009</v>
      </c>
      <c r="B470" s="12" t="s">
        <v>1010</v>
      </c>
    </row>
    <row r="471" spans="1:2" ht="15.75" customHeight="1">
      <c r="A471" s="12" t="s">
        <v>1011</v>
      </c>
      <c r="B471" s="12" t="s">
        <v>1012</v>
      </c>
    </row>
    <row r="472" spans="1:2" ht="15.75" customHeight="1">
      <c r="A472" s="12" t="s">
        <v>1013</v>
      </c>
      <c r="B472" s="12" t="s">
        <v>1014</v>
      </c>
    </row>
    <row r="473" spans="1:2" ht="15.75" customHeight="1">
      <c r="A473" s="12" t="s">
        <v>1015</v>
      </c>
      <c r="B473" s="12" t="s">
        <v>1016</v>
      </c>
    </row>
    <row r="474" spans="1:2" ht="15.75" customHeight="1">
      <c r="A474" s="12" t="s">
        <v>1017</v>
      </c>
      <c r="B474" s="12" t="s">
        <v>1018</v>
      </c>
    </row>
    <row r="475" spans="1:2" ht="15.75" customHeight="1">
      <c r="A475" s="12" t="s">
        <v>1019</v>
      </c>
      <c r="B475" s="12" t="s">
        <v>1020</v>
      </c>
    </row>
    <row r="476" spans="1:2" ht="15.75" customHeight="1">
      <c r="A476" s="12" t="s">
        <v>1021</v>
      </c>
      <c r="B476" s="12" t="s">
        <v>1022</v>
      </c>
    </row>
    <row r="477" spans="1:2" ht="15.75" customHeight="1">
      <c r="A477" s="12" t="s">
        <v>1023</v>
      </c>
      <c r="B477" s="12" t="s">
        <v>1024</v>
      </c>
    </row>
    <row r="478" spans="1:2" ht="15.75" customHeight="1">
      <c r="A478" s="12" t="s">
        <v>1025</v>
      </c>
      <c r="B478" s="12" t="s">
        <v>760</v>
      </c>
    </row>
    <row r="479" spans="1:2" ht="15.75" customHeight="1">
      <c r="A479" s="12" t="s">
        <v>1026</v>
      </c>
      <c r="B479" s="12" t="s">
        <v>1027</v>
      </c>
    </row>
    <row r="480" spans="1:2" ht="15.75" customHeight="1">
      <c r="A480" s="12" t="s">
        <v>1028</v>
      </c>
      <c r="B480" s="12" t="s">
        <v>1029</v>
      </c>
    </row>
    <row r="481" spans="1:2" ht="15.75" customHeight="1">
      <c r="A481" s="12" t="s">
        <v>1030</v>
      </c>
      <c r="B481" s="12" t="s">
        <v>1031</v>
      </c>
    </row>
    <row r="482" spans="1:2" ht="15.75" customHeight="1">
      <c r="A482" s="12" t="s">
        <v>1032</v>
      </c>
      <c r="B482" s="12" t="s">
        <v>1033</v>
      </c>
    </row>
    <row r="483" spans="1:2" ht="15.75" customHeight="1">
      <c r="A483" s="12" t="s">
        <v>1034</v>
      </c>
      <c r="B483" s="12" t="s">
        <v>1035</v>
      </c>
    </row>
    <row r="484" spans="1:2" ht="15.75" customHeight="1">
      <c r="A484" s="12" t="s">
        <v>1036</v>
      </c>
      <c r="B484" s="12" t="s">
        <v>1037</v>
      </c>
    </row>
    <row r="485" spans="1:2" ht="15.75" customHeight="1">
      <c r="A485" s="12" t="s">
        <v>1038</v>
      </c>
      <c r="B485" s="12" t="s">
        <v>1039</v>
      </c>
    </row>
    <row r="486" spans="1:2" ht="15.75" customHeight="1">
      <c r="A486" s="12" t="s">
        <v>1040</v>
      </c>
      <c r="B486" s="12" t="s">
        <v>1041</v>
      </c>
    </row>
    <row r="487" spans="1:2" ht="15.75" customHeight="1">
      <c r="A487" s="12" t="s">
        <v>1042</v>
      </c>
      <c r="B487" s="12" t="s">
        <v>1043</v>
      </c>
    </row>
    <row r="488" spans="1:2" ht="15.75" customHeight="1">
      <c r="A488" s="12" t="s">
        <v>1044</v>
      </c>
      <c r="B488" s="12" t="s">
        <v>1045</v>
      </c>
    </row>
    <row r="489" spans="1:2" ht="15.75" customHeight="1">
      <c r="A489" s="12" t="s">
        <v>1046</v>
      </c>
      <c r="B489" s="12" t="s">
        <v>1047</v>
      </c>
    </row>
    <row r="490" spans="1:2" ht="15.75" customHeight="1">
      <c r="A490" s="12" t="s">
        <v>1048</v>
      </c>
      <c r="B490" s="12" t="s">
        <v>1049</v>
      </c>
    </row>
    <row r="491" spans="1:2" ht="15.75" customHeight="1">
      <c r="A491" s="12" t="s">
        <v>1050</v>
      </c>
      <c r="B491" s="12" t="s">
        <v>1051</v>
      </c>
    </row>
    <row r="492" spans="1:2" ht="15.75" customHeight="1">
      <c r="A492" s="12" t="s">
        <v>1052</v>
      </c>
      <c r="B492" s="12" t="s">
        <v>1053</v>
      </c>
    </row>
    <row r="493" spans="1:2" ht="15.75" customHeight="1">
      <c r="A493" s="12" t="s">
        <v>1054</v>
      </c>
      <c r="B493" s="12" t="s">
        <v>1055</v>
      </c>
    </row>
    <row r="494" spans="1:2" ht="15.75" customHeight="1">
      <c r="A494" s="12" t="s">
        <v>1056</v>
      </c>
      <c r="B494" s="12" t="s">
        <v>1057</v>
      </c>
    </row>
    <row r="495" spans="1:2" ht="15.75" customHeight="1">
      <c r="A495" s="12" t="s">
        <v>1058</v>
      </c>
      <c r="B495" s="12" t="s">
        <v>1059</v>
      </c>
    </row>
    <row r="496" spans="1:2" ht="15.75" customHeight="1">
      <c r="A496" s="12" t="s">
        <v>1060</v>
      </c>
      <c r="B496" s="12" t="s">
        <v>1061</v>
      </c>
    </row>
    <row r="497" spans="1:2" ht="15.75" customHeight="1">
      <c r="A497" s="12" t="s">
        <v>1062</v>
      </c>
      <c r="B497" s="12" t="s">
        <v>1063</v>
      </c>
    </row>
    <row r="498" spans="1:2" ht="15.75" customHeight="1">
      <c r="A498" s="12" t="s">
        <v>1064</v>
      </c>
      <c r="B498" s="12" t="s">
        <v>1065</v>
      </c>
    </row>
    <row r="499" spans="1:2" ht="15.75" customHeight="1">
      <c r="A499" s="12" t="s">
        <v>1066</v>
      </c>
      <c r="B499" s="12" t="s">
        <v>1067</v>
      </c>
    </row>
    <row r="500" spans="1:2" ht="15.75" customHeight="1">
      <c r="A500" s="12" t="s">
        <v>1068</v>
      </c>
      <c r="B500" s="12" t="s">
        <v>1069</v>
      </c>
    </row>
    <row r="501" spans="1:2" ht="15.75" customHeight="1">
      <c r="A501" s="12" t="s">
        <v>1070</v>
      </c>
      <c r="B501" s="12" t="s">
        <v>1071</v>
      </c>
    </row>
    <row r="502" spans="1:2" ht="15.75" customHeight="1">
      <c r="A502" s="12" t="s">
        <v>1072</v>
      </c>
      <c r="B502" s="12" t="s">
        <v>1073</v>
      </c>
    </row>
    <row r="503" spans="1:2" ht="15.75" customHeight="1">
      <c r="A503" s="12" t="s">
        <v>1074</v>
      </c>
      <c r="B503" s="12" t="s">
        <v>1075</v>
      </c>
    </row>
    <row r="504" spans="1:2" ht="15.75" customHeight="1">
      <c r="A504" s="12" t="s">
        <v>1076</v>
      </c>
      <c r="B504" s="12" t="s">
        <v>1077</v>
      </c>
    </row>
    <row r="505" spans="1:2" ht="15.75" customHeight="1">
      <c r="A505" s="12" t="s">
        <v>1078</v>
      </c>
      <c r="B505" s="12" t="s">
        <v>1079</v>
      </c>
    </row>
    <row r="506" spans="1:2" ht="15.75" customHeight="1">
      <c r="A506" s="12" t="s">
        <v>1080</v>
      </c>
      <c r="B506" s="12" t="s">
        <v>1081</v>
      </c>
    </row>
    <row r="507" spans="1:2" ht="15.75" customHeight="1">
      <c r="A507" s="12" t="s">
        <v>1082</v>
      </c>
      <c r="B507" s="12" t="s">
        <v>1083</v>
      </c>
    </row>
    <row r="508" spans="1:2" ht="15.75" customHeight="1">
      <c r="A508" s="12" t="s">
        <v>1084</v>
      </c>
      <c r="B508" s="12" t="s">
        <v>1085</v>
      </c>
    </row>
    <row r="509" spans="1:2" ht="15.75" customHeight="1">
      <c r="A509" s="12" t="s">
        <v>1086</v>
      </c>
      <c r="B509" s="12" t="s">
        <v>1087</v>
      </c>
    </row>
    <row r="510" spans="1:2" ht="15.75" customHeight="1">
      <c r="A510" s="12" t="s">
        <v>1088</v>
      </c>
      <c r="B510" s="12" t="s">
        <v>1089</v>
      </c>
    </row>
    <row r="511" spans="1:2" ht="15.75" customHeight="1">
      <c r="A511" s="12" t="s">
        <v>1090</v>
      </c>
      <c r="B511" s="12" t="s">
        <v>1091</v>
      </c>
    </row>
    <row r="512" spans="1:2" ht="15.75" customHeight="1">
      <c r="A512" s="12" t="s">
        <v>1092</v>
      </c>
      <c r="B512" s="12" t="s">
        <v>1093</v>
      </c>
    </row>
    <row r="513" spans="1:2" ht="15.75" customHeight="1">
      <c r="A513" s="12" t="s">
        <v>1094</v>
      </c>
      <c r="B513" s="12" t="s">
        <v>1095</v>
      </c>
    </row>
    <row r="514" spans="1:2" ht="15.75" customHeight="1">
      <c r="A514" s="12" t="s">
        <v>1096</v>
      </c>
      <c r="B514" s="12" t="s">
        <v>1097</v>
      </c>
    </row>
    <row r="515" spans="1:2" ht="15.75" customHeight="1">
      <c r="A515" s="12" t="s">
        <v>1098</v>
      </c>
      <c r="B515" s="12" t="s">
        <v>1099</v>
      </c>
    </row>
    <row r="516" spans="1:2" ht="15.75" customHeight="1">
      <c r="A516" s="12" t="s">
        <v>1100</v>
      </c>
      <c r="B516" s="12" t="s">
        <v>627</v>
      </c>
    </row>
    <row r="517" spans="1:2" ht="15.75" customHeight="1">
      <c r="A517" s="12" t="s">
        <v>1101</v>
      </c>
      <c r="B517" s="12" t="s">
        <v>1102</v>
      </c>
    </row>
    <row r="518" spans="1:2" ht="15.75" customHeight="1">
      <c r="A518" s="12" t="s">
        <v>1103</v>
      </c>
      <c r="B518" s="12" t="s">
        <v>1104</v>
      </c>
    </row>
    <row r="519" spans="1:2" ht="15.75" customHeight="1">
      <c r="A519" s="12" t="s">
        <v>1105</v>
      </c>
      <c r="B519" s="12" t="s">
        <v>1106</v>
      </c>
    </row>
    <row r="520" spans="1:2" ht="15.75" customHeight="1">
      <c r="A520" s="12" t="s">
        <v>1107</v>
      </c>
      <c r="B520" s="12" t="s">
        <v>1108</v>
      </c>
    </row>
    <row r="521" spans="1:2" ht="15.75" customHeight="1">
      <c r="A521" s="12" t="s">
        <v>1109</v>
      </c>
      <c r="B521" s="12" t="s">
        <v>1110</v>
      </c>
    </row>
    <row r="522" spans="1:2" ht="15.75" customHeight="1">
      <c r="A522" s="12" t="s">
        <v>1111</v>
      </c>
      <c r="B522" s="12" t="s">
        <v>1112</v>
      </c>
    </row>
    <row r="523" spans="1:2" ht="15.75" customHeight="1">
      <c r="A523" s="12" t="s">
        <v>1113</v>
      </c>
      <c r="B523" s="12" t="s">
        <v>1114</v>
      </c>
    </row>
    <row r="524" spans="1:2" ht="15.75" customHeight="1">
      <c r="A524" s="12" t="s">
        <v>1115</v>
      </c>
      <c r="B524" s="12" t="s">
        <v>253</v>
      </c>
    </row>
    <row r="525" spans="1:2" ht="15.75" customHeight="1">
      <c r="A525" s="12" t="s">
        <v>1116</v>
      </c>
      <c r="B525" s="12" t="s">
        <v>1117</v>
      </c>
    </row>
    <row r="526" spans="1:2" ht="15.75" customHeight="1">
      <c r="A526" s="12" t="s">
        <v>1118</v>
      </c>
      <c r="B526" s="12" t="s">
        <v>1119</v>
      </c>
    </row>
    <row r="527" spans="1:2" ht="15.75" customHeight="1">
      <c r="A527" s="12" t="s">
        <v>1120</v>
      </c>
      <c r="B527" s="12" t="s">
        <v>1121</v>
      </c>
    </row>
    <row r="528" spans="1:2" ht="15.75" customHeight="1">
      <c r="A528" s="12" t="s">
        <v>1122</v>
      </c>
      <c r="B528" s="12" t="s">
        <v>1123</v>
      </c>
    </row>
    <row r="529" spans="1:2" ht="15.75" customHeight="1">
      <c r="A529" s="12" t="s">
        <v>1124</v>
      </c>
      <c r="B529" s="12" t="s">
        <v>1125</v>
      </c>
    </row>
    <row r="530" spans="1:2" ht="15.75" customHeight="1">
      <c r="A530" s="12" t="s">
        <v>1126</v>
      </c>
      <c r="B530" s="12" t="s">
        <v>1127</v>
      </c>
    </row>
    <row r="531" spans="1:2" ht="15.75" customHeight="1">
      <c r="A531" s="12" t="s">
        <v>1128</v>
      </c>
      <c r="B531" s="12" t="s">
        <v>1129</v>
      </c>
    </row>
    <row r="532" spans="1:2" ht="15.75" customHeight="1">
      <c r="A532" s="12" t="s">
        <v>1130</v>
      </c>
      <c r="B532" s="12" t="s">
        <v>1131</v>
      </c>
    </row>
    <row r="533" spans="1:2" ht="15.75" customHeight="1">
      <c r="A533" s="12" t="s">
        <v>1132</v>
      </c>
      <c r="B533" s="12" t="s">
        <v>1133</v>
      </c>
    </row>
    <row r="534" spans="1:2" ht="15.75" customHeight="1">
      <c r="A534" s="12" t="s">
        <v>1134</v>
      </c>
      <c r="B534" s="12" t="s">
        <v>1135</v>
      </c>
    </row>
    <row r="535" spans="1:2" ht="15.75" customHeight="1">
      <c r="A535" s="12" t="s">
        <v>1136</v>
      </c>
      <c r="B535" s="12" t="s">
        <v>1137</v>
      </c>
    </row>
    <row r="536" spans="1:2" ht="15.75" customHeight="1">
      <c r="A536" s="12" t="s">
        <v>1138</v>
      </c>
      <c r="B536" s="12" t="s">
        <v>1139</v>
      </c>
    </row>
    <row r="537" spans="1:2" ht="15.75" customHeight="1">
      <c r="A537" s="12" t="s">
        <v>1140</v>
      </c>
      <c r="B537" s="12" t="s">
        <v>245</v>
      </c>
    </row>
    <row r="538" spans="1:2" ht="15.75" customHeight="1">
      <c r="A538" s="12" t="s">
        <v>1141</v>
      </c>
      <c r="B538" s="12" t="s">
        <v>1142</v>
      </c>
    </row>
    <row r="539" spans="1:2" ht="15.75" customHeight="1">
      <c r="A539" s="12" t="s">
        <v>1143</v>
      </c>
      <c r="B539" s="12" t="s">
        <v>1144</v>
      </c>
    </row>
    <row r="540" spans="1:2" ht="15.75" customHeight="1">
      <c r="A540" s="12" t="s">
        <v>1145</v>
      </c>
      <c r="B540" s="12" t="s">
        <v>1146</v>
      </c>
    </row>
    <row r="541" spans="1:2" ht="15.75" customHeight="1">
      <c r="A541" s="12" t="s">
        <v>1147</v>
      </c>
      <c r="B541" s="12" t="s">
        <v>1148</v>
      </c>
    </row>
    <row r="542" spans="1:2" ht="15.75" customHeight="1">
      <c r="A542" s="12" t="s">
        <v>1149</v>
      </c>
      <c r="B542" s="12" t="s">
        <v>1150</v>
      </c>
    </row>
    <row r="543" spans="1:2" ht="15.75" customHeight="1">
      <c r="A543" s="12" t="s">
        <v>1151</v>
      </c>
      <c r="B543" s="12" t="s">
        <v>1152</v>
      </c>
    </row>
    <row r="544" spans="1:2" ht="15.75" customHeight="1">
      <c r="A544" s="12" t="s">
        <v>1153</v>
      </c>
      <c r="B544" s="12" t="s">
        <v>1154</v>
      </c>
    </row>
    <row r="545" spans="1:2" ht="15.75" customHeight="1">
      <c r="A545" s="12" t="s">
        <v>1155</v>
      </c>
      <c r="B545" s="12" t="s">
        <v>1156</v>
      </c>
    </row>
    <row r="546" spans="1:2" ht="15.75" customHeight="1">
      <c r="A546" s="12" t="s">
        <v>1157</v>
      </c>
      <c r="B546" s="12" t="s">
        <v>940</v>
      </c>
    </row>
    <row r="547" spans="1:2" ht="15.75" customHeight="1">
      <c r="A547" s="12" t="s">
        <v>1158</v>
      </c>
      <c r="B547" s="12" t="s">
        <v>1159</v>
      </c>
    </row>
    <row r="548" spans="1:2" ht="15.75" customHeight="1">
      <c r="A548" s="12" t="s">
        <v>1160</v>
      </c>
      <c r="B548" s="12" t="s">
        <v>1161</v>
      </c>
    </row>
    <row r="549" spans="1:2" ht="15.75" customHeight="1">
      <c r="A549" s="12" t="s">
        <v>1162</v>
      </c>
      <c r="B549" s="12" t="s">
        <v>1163</v>
      </c>
    </row>
    <row r="550" spans="1:2" ht="15.75" customHeight="1">
      <c r="A550" s="12" t="s">
        <v>1164</v>
      </c>
      <c r="B550" s="12" t="s">
        <v>255</v>
      </c>
    </row>
    <row r="551" spans="1:2" ht="15.75" customHeight="1">
      <c r="A551" s="12" t="s">
        <v>1165</v>
      </c>
      <c r="B551" s="12" t="s">
        <v>1166</v>
      </c>
    </row>
    <row r="552" spans="1:2" ht="15.75" customHeight="1">
      <c r="A552" s="12" t="s">
        <v>1167</v>
      </c>
      <c r="B552" s="12" t="s">
        <v>1168</v>
      </c>
    </row>
    <row r="553" spans="1:2" ht="15.75" customHeight="1">
      <c r="A553" s="12" t="s">
        <v>1169</v>
      </c>
      <c r="B553" s="12" t="s">
        <v>1170</v>
      </c>
    </row>
    <row r="554" spans="1:2" ht="15.75" customHeight="1">
      <c r="A554" s="12" t="s">
        <v>1171</v>
      </c>
      <c r="B554" s="12" t="s">
        <v>1172</v>
      </c>
    </row>
    <row r="555" spans="1:2" ht="15.75" customHeight="1">
      <c r="A555" s="12" t="s">
        <v>1173</v>
      </c>
      <c r="B555" s="12" t="s">
        <v>1174</v>
      </c>
    </row>
    <row r="556" spans="1:2" ht="15.75" customHeight="1">
      <c r="A556" s="12" t="s">
        <v>1175</v>
      </c>
      <c r="B556" s="12" t="s">
        <v>1176</v>
      </c>
    </row>
    <row r="557" spans="1:2" ht="15.75" customHeight="1">
      <c r="A557" s="12" t="s">
        <v>1177</v>
      </c>
      <c r="B557" s="12" t="s">
        <v>1178</v>
      </c>
    </row>
    <row r="558" spans="1:2" ht="15.75" customHeight="1">
      <c r="A558" s="12" t="s">
        <v>1179</v>
      </c>
      <c r="B558" s="12" t="s">
        <v>1180</v>
      </c>
    </row>
    <row r="559" spans="1:2" ht="15.75" customHeight="1">
      <c r="A559" s="12" t="s">
        <v>1181</v>
      </c>
      <c r="B559" s="12" t="s">
        <v>1182</v>
      </c>
    </row>
    <row r="560" spans="1:2" ht="15.75" customHeight="1">
      <c r="A560" s="12" t="s">
        <v>1183</v>
      </c>
      <c r="B560" s="12" t="s">
        <v>1184</v>
      </c>
    </row>
    <row r="561" spans="1:2" ht="15.75" customHeight="1">
      <c r="A561" s="12" t="s">
        <v>1185</v>
      </c>
      <c r="B561" s="12" t="s">
        <v>1186</v>
      </c>
    </row>
    <row r="562" spans="1:2" ht="15.75" customHeight="1">
      <c r="A562" s="12" t="s">
        <v>1187</v>
      </c>
      <c r="B562" s="12" t="s">
        <v>1188</v>
      </c>
    </row>
    <row r="563" spans="1:2" ht="15.75" customHeight="1">
      <c r="A563" s="12" t="s">
        <v>1189</v>
      </c>
      <c r="B563" s="12" t="s">
        <v>1190</v>
      </c>
    </row>
    <row r="564" spans="1:2" ht="15.75" customHeight="1">
      <c r="A564" s="12" t="s">
        <v>1191</v>
      </c>
      <c r="B564" s="12" t="s">
        <v>1192</v>
      </c>
    </row>
    <row r="565" spans="1:2" ht="15.75" customHeight="1">
      <c r="A565" s="12" t="s">
        <v>1193</v>
      </c>
      <c r="B565" s="12" t="s">
        <v>1194</v>
      </c>
    </row>
    <row r="566" spans="1:2" ht="15.75" customHeight="1">
      <c r="A566" s="12" t="s">
        <v>1195</v>
      </c>
      <c r="B566" s="12" t="s">
        <v>1196</v>
      </c>
    </row>
    <row r="567" spans="1:2" ht="15.75" customHeight="1">
      <c r="A567" s="12" t="s">
        <v>1197</v>
      </c>
      <c r="B567" s="12" t="s">
        <v>1198</v>
      </c>
    </row>
    <row r="568" spans="1:2" ht="15.75" customHeight="1">
      <c r="A568" s="12" t="s">
        <v>1199</v>
      </c>
      <c r="B568" s="12" t="s">
        <v>1200</v>
      </c>
    </row>
    <row r="569" spans="1:2" ht="15.75" customHeight="1">
      <c r="A569" s="12" t="s">
        <v>1201</v>
      </c>
      <c r="B569" s="12" t="s">
        <v>1202</v>
      </c>
    </row>
    <row r="570" spans="1:2" ht="15.75" customHeight="1">
      <c r="A570" s="12" t="s">
        <v>1203</v>
      </c>
      <c r="B570" s="12" t="s">
        <v>1204</v>
      </c>
    </row>
    <row r="571" spans="1:2" ht="15.75" customHeight="1">
      <c r="A571" s="12" t="s">
        <v>1205</v>
      </c>
      <c r="B571" s="12" t="s">
        <v>1206</v>
      </c>
    </row>
    <row r="572" spans="1:2" ht="15.75" customHeight="1">
      <c r="A572" s="12" t="s">
        <v>1207</v>
      </c>
      <c r="B572" s="12" t="s">
        <v>1208</v>
      </c>
    </row>
    <row r="573" spans="1:2" ht="15.75" customHeight="1">
      <c r="A573" s="12" t="s">
        <v>1209</v>
      </c>
      <c r="B573" s="12" t="s">
        <v>1210</v>
      </c>
    </row>
    <row r="574" spans="1:2" ht="15.75" customHeight="1">
      <c r="A574" s="12" t="s">
        <v>1211</v>
      </c>
      <c r="B574" s="12" t="s">
        <v>1212</v>
      </c>
    </row>
    <row r="575" spans="1:2" ht="15.75" customHeight="1">
      <c r="A575" s="12" t="s">
        <v>1213</v>
      </c>
      <c r="B575" s="12" t="s">
        <v>1214</v>
      </c>
    </row>
    <row r="576" spans="1:2" ht="15.75" customHeight="1">
      <c r="A576" s="12" t="s">
        <v>1215</v>
      </c>
      <c r="B576" s="12" t="s">
        <v>1216</v>
      </c>
    </row>
    <row r="577" spans="1:2" ht="15.75" customHeight="1">
      <c r="A577" s="12" t="s">
        <v>1217</v>
      </c>
      <c r="B577" s="12" t="s">
        <v>1218</v>
      </c>
    </row>
    <row r="578" spans="1:2" ht="15.75" customHeight="1">
      <c r="A578" s="12" t="s">
        <v>1219</v>
      </c>
      <c r="B578" s="12" t="s">
        <v>1220</v>
      </c>
    </row>
    <row r="579" spans="1:2" ht="15.75" customHeight="1">
      <c r="A579" s="12" t="s">
        <v>1221</v>
      </c>
      <c r="B579" s="12" t="s">
        <v>1222</v>
      </c>
    </row>
    <row r="580" spans="1:2" ht="15.75" customHeight="1">
      <c r="A580" s="12" t="s">
        <v>1223</v>
      </c>
      <c r="B580" s="12" t="s">
        <v>1224</v>
      </c>
    </row>
    <row r="581" spans="1:2" ht="15.75" customHeight="1">
      <c r="A581" s="12" t="s">
        <v>1225</v>
      </c>
      <c r="B581" s="12" t="s">
        <v>1226</v>
      </c>
    </row>
    <row r="582" spans="1:2" ht="15.75" customHeight="1">
      <c r="A582" s="12" t="s">
        <v>1227</v>
      </c>
      <c r="B582" s="12" t="s">
        <v>1228</v>
      </c>
    </row>
    <row r="583" spans="1:2" ht="15.75" customHeight="1">
      <c r="A583" s="12" t="s">
        <v>1229</v>
      </c>
      <c r="B583" s="12" t="s">
        <v>1230</v>
      </c>
    </row>
    <row r="584" spans="1:2" ht="15.75" customHeight="1">
      <c r="A584" s="12" t="s">
        <v>1231</v>
      </c>
      <c r="B584" s="12" t="s">
        <v>1232</v>
      </c>
    </row>
    <row r="585" spans="1:2" ht="15.75" customHeight="1">
      <c r="A585" s="12" t="s">
        <v>1233</v>
      </c>
      <c r="B585" s="12" t="s">
        <v>1234</v>
      </c>
    </row>
    <row r="586" spans="1:2" ht="15.75" customHeight="1">
      <c r="A586" s="12" t="s">
        <v>1235</v>
      </c>
      <c r="B586" s="12" t="s">
        <v>1236</v>
      </c>
    </row>
    <row r="587" spans="1:2" ht="15.75" customHeight="1">
      <c r="A587" s="12" t="s">
        <v>1237</v>
      </c>
      <c r="B587" s="12" t="s">
        <v>1238</v>
      </c>
    </row>
    <row r="588" spans="1:2" ht="15.75" customHeight="1">
      <c r="A588" s="12" t="s">
        <v>1239</v>
      </c>
      <c r="B588" s="12" t="s">
        <v>1240</v>
      </c>
    </row>
    <row r="589" spans="1:2" ht="15.75" customHeight="1">
      <c r="A589" s="12" t="s">
        <v>1241</v>
      </c>
      <c r="B589" s="12" t="s">
        <v>1242</v>
      </c>
    </row>
    <row r="590" spans="1:2" ht="15.75" customHeight="1">
      <c r="A590" s="12" t="s">
        <v>1243</v>
      </c>
      <c r="B590" s="12" t="s">
        <v>1244</v>
      </c>
    </row>
    <row r="591" spans="1:2" ht="15.75" customHeight="1">
      <c r="A591" s="12" t="s">
        <v>1245</v>
      </c>
      <c r="B591" s="12" t="s">
        <v>1246</v>
      </c>
    </row>
    <row r="592" spans="1:2" ht="15.75" customHeight="1">
      <c r="A592" s="12" t="s">
        <v>1247</v>
      </c>
      <c r="B592" s="12" t="s">
        <v>1248</v>
      </c>
    </row>
    <row r="593" spans="1:2" ht="15.75" customHeight="1">
      <c r="A593" s="12" t="s">
        <v>1249</v>
      </c>
      <c r="B593" s="12" t="s">
        <v>1250</v>
      </c>
    </row>
    <row r="594" spans="1:2" ht="15.75" customHeight="1">
      <c r="A594" s="12" t="s">
        <v>1251</v>
      </c>
      <c r="B594" s="12" t="s">
        <v>1252</v>
      </c>
    </row>
    <row r="595" spans="1:2" ht="15.75" customHeight="1">
      <c r="A595" s="12" t="s">
        <v>1253</v>
      </c>
      <c r="B595" s="12" t="s">
        <v>1254</v>
      </c>
    </row>
    <row r="596" spans="1:2" ht="15.75" customHeight="1">
      <c r="A596" s="12" t="s">
        <v>1255</v>
      </c>
      <c r="B596" s="12" t="s">
        <v>1256</v>
      </c>
    </row>
    <row r="597" spans="1:2" ht="15.75" customHeight="1">
      <c r="A597" s="12" t="s">
        <v>1257</v>
      </c>
      <c r="B597" s="12" t="s">
        <v>1258</v>
      </c>
    </row>
    <row r="598" spans="1:2" ht="15.75" customHeight="1">
      <c r="A598" s="12" t="s">
        <v>1259</v>
      </c>
      <c r="B598" s="12" t="s">
        <v>1260</v>
      </c>
    </row>
    <row r="599" spans="1:2" ht="15.75" customHeight="1">
      <c r="A599" s="12" t="s">
        <v>1261</v>
      </c>
      <c r="B599" s="12" t="s">
        <v>1262</v>
      </c>
    </row>
    <row r="600" spans="1:2" ht="15.75" customHeight="1">
      <c r="A600" s="12" t="s">
        <v>1263</v>
      </c>
      <c r="B600" s="12" t="s">
        <v>1264</v>
      </c>
    </row>
    <row r="601" spans="1:2" ht="15.75" customHeight="1">
      <c r="A601" s="12" t="s">
        <v>1265</v>
      </c>
      <c r="B601" s="12" t="s">
        <v>1266</v>
      </c>
    </row>
    <row r="602" spans="1:2" ht="15.75" customHeight="1">
      <c r="A602" s="12" t="s">
        <v>1267</v>
      </c>
      <c r="B602" s="12" t="s">
        <v>1268</v>
      </c>
    </row>
    <row r="603" spans="1:2" ht="15.75" customHeight="1">
      <c r="A603" s="12" t="s">
        <v>1269</v>
      </c>
      <c r="B603" s="12" t="s">
        <v>1270</v>
      </c>
    </row>
    <row r="604" spans="1:2" ht="15.75" customHeight="1">
      <c r="A604" s="12" t="s">
        <v>1271</v>
      </c>
      <c r="B604" s="12" t="s">
        <v>1272</v>
      </c>
    </row>
    <row r="605" spans="1:2" ht="15.75" customHeight="1">
      <c r="A605" s="12" t="s">
        <v>1273</v>
      </c>
      <c r="B605" s="12" t="s">
        <v>1274</v>
      </c>
    </row>
    <row r="606" spans="1:2" ht="15.75" customHeight="1">
      <c r="A606" s="12" t="s">
        <v>1275</v>
      </c>
      <c r="B606" s="12" t="s">
        <v>1276</v>
      </c>
    </row>
    <row r="607" spans="1:2" ht="15.75" customHeight="1">
      <c r="A607" s="12" t="s">
        <v>1277</v>
      </c>
      <c r="B607" s="12" t="s">
        <v>1278</v>
      </c>
    </row>
    <row r="608" spans="1:2" ht="15.75" customHeight="1">
      <c r="A608" s="12" t="s">
        <v>1279</v>
      </c>
      <c r="B608" s="12" t="s">
        <v>1280</v>
      </c>
    </row>
    <row r="609" spans="1:2" ht="15.75" customHeight="1">
      <c r="A609" s="12" t="s">
        <v>1281</v>
      </c>
      <c r="B609" s="12" t="s">
        <v>1282</v>
      </c>
    </row>
    <row r="610" spans="1:2" ht="15.75" customHeight="1">
      <c r="A610" s="12" t="s">
        <v>1283</v>
      </c>
      <c r="B610" s="12" t="s">
        <v>1284</v>
      </c>
    </row>
    <row r="611" spans="1:2" ht="15.75" customHeight="1">
      <c r="A611" s="12" t="s">
        <v>1285</v>
      </c>
      <c r="B611" s="12" t="s">
        <v>1286</v>
      </c>
    </row>
    <row r="612" spans="1:2" ht="15.75" customHeight="1">
      <c r="A612" s="12" t="s">
        <v>1287</v>
      </c>
      <c r="B612" s="12" t="s">
        <v>1288</v>
      </c>
    </row>
    <row r="613" spans="1:2" ht="15.75" customHeight="1">
      <c r="A613" s="12" t="s">
        <v>1289</v>
      </c>
      <c r="B613" s="12" t="s">
        <v>1290</v>
      </c>
    </row>
    <row r="614" spans="1:2" ht="15.75" customHeight="1">
      <c r="A614" s="12" t="s">
        <v>1291</v>
      </c>
      <c r="B614" s="12" t="s">
        <v>1292</v>
      </c>
    </row>
    <row r="615" spans="1:2" ht="15.75" customHeight="1">
      <c r="A615" s="12" t="s">
        <v>1293</v>
      </c>
      <c r="B615" s="12" t="s">
        <v>233</v>
      </c>
    </row>
    <row r="616" spans="1:2" ht="15.75" customHeight="1">
      <c r="A616" s="12" t="s">
        <v>1294</v>
      </c>
      <c r="B616" s="12" t="s">
        <v>1295</v>
      </c>
    </row>
    <row r="617" spans="1:2" ht="15.75" customHeight="1">
      <c r="A617" s="12" t="s">
        <v>1296</v>
      </c>
      <c r="B617" s="12" t="s">
        <v>1297</v>
      </c>
    </row>
    <row r="618" spans="1:2" ht="15.75" customHeight="1">
      <c r="A618" s="12" t="s">
        <v>1298</v>
      </c>
      <c r="B618" s="12" t="s">
        <v>1299</v>
      </c>
    </row>
    <row r="619" spans="1:2" ht="15.75" customHeight="1">
      <c r="A619" s="12" t="s">
        <v>1300</v>
      </c>
      <c r="B619" s="12" t="s">
        <v>1301</v>
      </c>
    </row>
    <row r="620" spans="1:2" ht="15.75" customHeight="1">
      <c r="A620" s="12" t="s">
        <v>1302</v>
      </c>
      <c r="B620" s="12" t="s">
        <v>1303</v>
      </c>
    </row>
    <row r="621" spans="1:2" ht="15.75" customHeight="1">
      <c r="A621" s="12" t="s">
        <v>1304</v>
      </c>
      <c r="B621" s="12" t="s">
        <v>313</v>
      </c>
    </row>
    <row r="622" spans="1:2" ht="15.75" customHeight="1">
      <c r="A622" s="12" t="s">
        <v>1305</v>
      </c>
      <c r="B622" s="12" t="s">
        <v>1306</v>
      </c>
    </row>
    <row r="623" spans="1:2" ht="15.75" customHeight="1">
      <c r="A623" s="12" t="s">
        <v>1307</v>
      </c>
      <c r="B623" s="12" t="s">
        <v>1308</v>
      </c>
    </row>
    <row r="624" spans="1:2" ht="15.75" customHeight="1">
      <c r="A624" s="12" t="s">
        <v>1309</v>
      </c>
      <c r="B624" s="12" t="s">
        <v>1310</v>
      </c>
    </row>
    <row r="625" spans="1:2" ht="15.75" customHeight="1">
      <c r="A625" s="12" t="s">
        <v>1311</v>
      </c>
      <c r="B625" s="12" t="s">
        <v>1312</v>
      </c>
    </row>
    <row r="626" spans="1:2" ht="15.75" customHeight="1">
      <c r="A626" s="12" t="s">
        <v>1313</v>
      </c>
      <c r="B626" s="12" t="s">
        <v>1314</v>
      </c>
    </row>
    <row r="627" spans="1:2" ht="15.75" customHeight="1">
      <c r="A627" s="12" t="s">
        <v>1315</v>
      </c>
      <c r="B627" s="12" t="s">
        <v>1316</v>
      </c>
    </row>
    <row r="628" spans="1:2" ht="15.75" customHeight="1">
      <c r="A628" s="12" t="s">
        <v>1317</v>
      </c>
      <c r="B628" s="12" t="s">
        <v>1318</v>
      </c>
    </row>
    <row r="629" spans="1:2" ht="15.75" customHeight="1">
      <c r="A629" s="12" t="s">
        <v>1319</v>
      </c>
      <c r="B629" s="12" t="s">
        <v>1320</v>
      </c>
    </row>
    <row r="630" spans="1:2" ht="15.75" customHeight="1">
      <c r="A630" s="12" t="s">
        <v>1321</v>
      </c>
      <c r="B630" s="12" t="s">
        <v>1322</v>
      </c>
    </row>
    <row r="631" spans="1:2" ht="15.75" customHeight="1">
      <c r="A631" s="12" t="s">
        <v>1323</v>
      </c>
      <c r="B631" s="12" t="s">
        <v>1324</v>
      </c>
    </row>
    <row r="632" spans="1:2" ht="15.75" customHeight="1">
      <c r="A632" s="12" t="s">
        <v>1325</v>
      </c>
      <c r="B632" s="12" t="s">
        <v>1326</v>
      </c>
    </row>
    <row r="633" spans="1:2" ht="15.75" customHeight="1">
      <c r="A633" s="12" t="s">
        <v>1327</v>
      </c>
      <c r="B633" s="12" t="s">
        <v>1328</v>
      </c>
    </row>
    <row r="634" spans="1:2" ht="15.75" customHeight="1">
      <c r="A634" s="12" t="s">
        <v>1329</v>
      </c>
      <c r="B634" s="12" t="s">
        <v>1330</v>
      </c>
    </row>
    <row r="635" spans="1:2" ht="15.75" customHeight="1">
      <c r="A635" s="12" t="s">
        <v>1331</v>
      </c>
      <c r="B635" s="12" t="s">
        <v>1332</v>
      </c>
    </row>
    <row r="636" spans="1:2" ht="15.75" customHeight="1">
      <c r="A636" s="12" t="s">
        <v>1333</v>
      </c>
      <c r="B636" s="12" t="s">
        <v>1334</v>
      </c>
    </row>
    <row r="637" spans="1:2" ht="15.75" customHeight="1">
      <c r="A637" s="12" t="s">
        <v>1335</v>
      </c>
      <c r="B637" s="12" t="s">
        <v>1336</v>
      </c>
    </row>
    <row r="638" spans="1:2" ht="15.75" customHeight="1">
      <c r="A638" s="12" t="s">
        <v>1337</v>
      </c>
      <c r="B638" s="12" t="s">
        <v>1338</v>
      </c>
    </row>
    <row r="639" spans="1:2" ht="15.75" customHeight="1">
      <c r="A639" s="12" t="s">
        <v>1339</v>
      </c>
      <c r="B639" s="12" t="s">
        <v>1340</v>
      </c>
    </row>
    <row r="640" spans="1:2" ht="15.75" customHeight="1">
      <c r="A640" s="12" t="s">
        <v>1341</v>
      </c>
      <c r="B640" s="12" t="s">
        <v>1342</v>
      </c>
    </row>
    <row r="641" spans="1:2" ht="15.75" customHeight="1">
      <c r="A641" s="12" t="s">
        <v>1343</v>
      </c>
      <c r="B641" s="12" t="s">
        <v>1344</v>
      </c>
    </row>
    <row r="642" spans="1:2" ht="15.75" customHeight="1">
      <c r="A642" s="12" t="s">
        <v>1345</v>
      </c>
      <c r="B642" s="12" t="s">
        <v>1346</v>
      </c>
    </row>
    <row r="643" spans="1:2" ht="15.75" customHeight="1">
      <c r="A643" s="12" t="s">
        <v>1347</v>
      </c>
      <c r="B643" s="12" t="s">
        <v>1348</v>
      </c>
    </row>
    <row r="644" spans="1:2" ht="15.75" customHeight="1">
      <c r="A644" s="12" t="s">
        <v>1349</v>
      </c>
      <c r="B644" s="12" t="s">
        <v>1350</v>
      </c>
    </row>
    <row r="645" spans="1:2" ht="15.75" customHeight="1">
      <c r="A645" s="12" t="s">
        <v>1351</v>
      </c>
      <c r="B645" s="12" t="s">
        <v>1352</v>
      </c>
    </row>
    <row r="646" spans="1:2" ht="15.75" customHeight="1">
      <c r="A646" s="12" t="s">
        <v>1353</v>
      </c>
      <c r="B646" s="12" t="s">
        <v>1354</v>
      </c>
    </row>
    <row r="647" spans="1:2" ht="15.75" customHeight="1">
      <c r="A647" s="12" t="s">
        <v>1355</v>
      </c>
      <c r="B647" s="12" t="s">
        <v>1356</v>
      </c>
    </row>
    <row r="648" spans="1:2" ht="15.75" customHeight="1">
      <c r="A648" s="12" t="s">
        <v>1357</v>
      </c>
      <c r="B648" s="12" t="s">
        <v>1358</v>
      </c>
    </row>
    <row r="649" spans="1:2" ht="15.75" customHeight="1">
      <c r="A649" s="12" t="s">
        <v>1359</v>
      </c>
      <c r="B649" s="12" t="s">
        <v>381</v>
      </c>
    </row>
    <row r="650" spans="1:2" ht="15.75" customHeight="1">
      <c r="A650" s="12" t="s">
        <v>1360</v>
      </c>
      <c r="B650" s="12" t="s">
        <v>1361</v>
      </c>
    </row>
    <row r="651" spans="1:2" ht="15.75" customHeight="1">
      <c r="A651" s="12" t="s">
        <v>1362</v>
      </c>
      <c r="B651" s="12" t="s">
        <v>438</v>
      </c>
    </row>
    <row r="652" spans="1:2" ht="15.75" customHeight="1">
      <c r="A652" s="12" t="s">
        <v>1363</v>
      </c>
      <c r="B652" s="12" t="s">
        <v>1364</v>
      </c>
    </row>
    <row r="653" spans="1:2" ht="15.75" customHeight="1">
      <c r="A653" s="12" t="s">
        <v>1365</v>
      </c>
      <c r="B653" s="12" t="s">
        <v>568</v>
      </c>
    </row>
    <row r="654" spans="1:2" ht="15.75" customHeight="1">
      <c r="A654" s="12" t="s">
        <v>1366</v>
      </c>
      <c r="B654" s="12" t="s">
        <v>1367</v>
      </c>
    </row>
    <row r="655" spans="1:2" ht="15.75" customHeight="1">
      <c r="A655" s="12" t="s">
        <v>1368</v>
      </c>
      <c r="B655" s="12" t="s">
        <v>1369</v>
      </c>
    </row>
    <row r="656" spans="1:2" ht="15.75" customHeight="1">
      <c r="A656" s="12" t="s">
        <v>1370</v>
      </c>
      <c r="B656" s="12" t="s">
        <v>1371</v>
      </c>
    </row>
    <row r="657" spans="1:2" ht="15.75" customHeight="1">
      <c r="A657" s="12" t="s">
        <v>1372</v>
      </c>
      <c r="B657" s="12" t="s">
        <v>1373</v>
      </c>
    </row>
    <row r="658" spans="1:2" ht="15.75" customHeight="1">
      <c r="A658" s="12" t="s">
        <v>1374</v>
      </c>
      <c r="B658" s="12" t="s">
        <v>1375</v>
      </c>
    </row>
    <row r="659" spans="1:2" ht="15.75" customHeight="1">
      <c r="A659" s="12" t="s">
        <v>1376</v>
      </c>
      <c r="B659" s="12" t="s">
        <v>167</v>
      </c>
    </row>
    <row r="660" spans="1:2" ht="15.75" customHeight="1">
      <c r="A660" s="12" t="s">
        <v>1377</v>
      </c>
      <c r="B660" s="12" t="s">
        <v>1378</v>
      </c>
    </row>
    <row r="661" spans="1:2" ht="15.75" customHeight="1">
      <c r="A661" s="12" t="s">
        <v>1379</v>
      </c>
      <c r="B661" s="12" t="s">
        <v>1380</v>
      </c>
    </row>
    <row r="662" spans="1:2" ht="15.75" customHeight="1">
      <c r="A662" s="12" t="s">
        <v>1381</v>
      </c>
      <c r="B662" s="12" t="s">
        <v>1382</v>
      </c>
    </row>
    <row r="663" spans="1:2" ht="15.75" customHeight="1">
      <c r="A663" s="12" t="s">
        <v>1383</v>
      </c>
      <c r="B663" s="12" t="s">
        <v>1384</v>
      </c>
    </row>
    <row r="664" spans="1:2" ht="15.75" customHeight="1">
      <c r="A664" s="12" t="s">
        <v>1385</v>
      </c>
      <c r="B664" s="12" t="s">
        <v>1386</v>
      </c>
    </row>
    <row r="665" spans="1:2" ht="15.75" customHeight="1">
      <c r="A665" s="12" t="s">
        <v>1387</v>
      </c>
      <c r="B665" s="12" t="s">
        <v>1388</v>
      </c>
    </row>
    <row r="666" spans="1:2" ht="15.75" customHeight="1">
      <c r="A666" s="12" t="s">
        <v>1389</v>
      </c>
      <c r="B666" s="12" t="s">
        <v>1390</v>
      </c>
    </row>
    <row r="667" spans="1:2" ht="15.75" customHeight="1">
      <c r="A667" s="12" t="s">
        <v>1391</v>
      </c>
      <c r="B667" s="12" t="s">
        <v>1392</v>
      </c>
    </row>
    <row r="668" spans="1:2" ht="15.75" customHeight="1">
      <c r="A668" s="12" t="s">
        <v>1393</v>
      </c>
      <c r="B668" s="12" t="s">
        <v>1394</v>
      </c>
    </row>
    <row r="669" spans="1:2" ht="15.75" customHeight="1">
      <c r="A669" s="12" t="s">
        <v>1395</v>
      </c>
      <c r="B669" s="12" t="s">
        <v>1396</v>
      </c>
    </row>
    <row r="670" spans="1:2" ht="15.75" customHeight="1">
      <c r="A670" s="12" t="s">
        <v>1397</v>
      </c>
      <c r="B670" s="12" t="s">
        <v>1398</v>
      </c>
    </row>
    <row r="671" spans="1:2" ht="15.75" customHeight="1">
      <c r="A671" s="12" t="s">
        <v>1399</v>
      </c>
      <c r="B671" s="12" t="s">
        <v>1400</v>
      </c>
    </row>
    <row r="672" spans="1:2" ht="15.75" customHeight="1">
      <c r="A672" s="12" t="s">
        <v>1401</v>
      </c>
      <c r="B672" s="12" t="s">
        <v>1402</v>
      </c>
    </row>
    <row r="673" spans="1:2" ht="15.75" customHeight="1">
      <c r="A673" s="12" t="s">
        <v>1403</v>
      </c>
      <c r="B673" s="12" t="s">
        <v>606</v>
      </c>
    </row>
    <row r="674" spans="1:2" ht="15.75" customHeight="1">
      <c r="A674" s="12" t="s">
        <v>1404</v>
      </c>
      <c r="B674" s="12" t="s">
        <v>1405</v>
      </c>
    </row>
    <row r="675" spans="1:2" ht="15.75" customHeight="1">
      <c r="A675" s="12" t="s">
        <v>1406</v>
      </c>
      <c r="B675" s="12" t="s">
        <v>1407</v>
      </c>
    </row>
    <row r="676" spans="1:2" ht="15.75" customHeight="1">
      <c r="A676" s="12" t="s">
        <v>1408</v>
      </c>
      <c r="B676" s="12" t="s">
        <v>1409</v>
      </c>
    </row>
    <row r="677" spans="1:2" ht="15.75" customHeight="1">
      <c r="A677" s="12" t="s">
        <v>1410</v>
      </c>
      <c r="B677" s="12" t="s">
        <v>1411</v>
      </c>
    </row>
    <row r="678" spans="1:2" ht="15.75" customHeight="1">
      <c r="A678" s="12" t="s">
        <v>1412</v>
      </c>
      <c r="B678" s="12" t="s">
        <v>1413</v>
      </c>
    </row>
    <row r="679" spans="1:2" ht="15.75" customHeight="1">
      <c r="A679" s="12" t="s">
        <v>1414</v>
      </c>
      <c r="B679" s="12" t="s">
        <v>1415</v>
      </c>
    </row>
    <row r="680" spans="1:2" ht="15.75" customHeight="1">
      <c r="A680" s="12" t="s">
        <v>1416</v>
      </c>
      <c r="B680" s="12" t="s">
        <v>1417</v>
      </c>
    </row>
    <row r="681" spans="1:2" ht="15.75" customHeight="1">
      <c r="A681" s="12" t="s">
        <v>1418</v>
      </c>
      <c r="B681" s="12" t="s">
        <v>1419</v>
      </c>
    </row>
    <row r="682" spans="1:2" ht="15.75" customHeight="1">
      <c r="A682" s="12" t="s">
        <v>1420</v>
      </c>
      <c r="B682" s="12" t="s">
        <v>1421</v>
      </c>
    </row>
    <row r="683" spans="1:2" ht="15.75" customHeight="1">
      <c r="A683" s="12" t="s">
        <v>1422</v>
      </c>
      <c r="B683" s="12" t="s">
        <v>1423</v>
      </c>
    </row>
    <row r="684" spans="1:2" ht="15.75" customHeight="1">
      <c r="A684" s="12" t="s">
        <v>1424</v>
      </c>
      <c r="B684" s="12" t="s">
        <v>1425</v>
      </c>
    </row>
    <row r="685" spans="1:2" ht="15.75" customHeight="1">
      <c r="A685" s="12" t="s">
        <v>1426</v>
      </c>
      <c r="B685" s="12" t="s">
        <v>1427</v>
      </c>
    </row>
    <row r="686" spans="1:2" ht="15.75" customHeight="1">
      <c r="A686" s="12" t="s">
        <v>1428</v>
      </c>
      <c r="B686" s="12" t="s">
        <v>1429</v>
      </c>
    </row>
    <row r="687" spans="1:2" ht="15.75" customHeight="1">
      <c r="A687" s="12" t="s">
        <v>1430</v>
      </c>
      <c r="B687" s="12" t="s">
        <v>788</v>
      </c>
    </row>
    <row r="688" spans="1:2" ht="15.75" customHeight="1">
      <c r="A688" s="12" t="s">
        <v>1431</v>
      </c>
      <c r="B688" s="12" t="s">
        <v>1432</v>
      </c>
    </row>
    <row r="689" spans="1:2" ht="15.75" customHeight="1">
      <c r="A689" s="12" t="s">
        <v>1433</v>
      </c>
      <c r="B689" s="12" t="s">
        <v>1434</v>
      </c>
    </row>
    <row r="690" spans="1:2" ht="15.75" customHeight="1">
      <c r="A690" s="12" t="s">
        <v>1435</v>
      </c>
      <c r="B690" s="12" t="s">
        <v>1436</v>
      </c>
    </row>
    <row r="691" spans="1:2" ht="15.75" customHeight="1">
      <c r="A691" s="12" t="s">
        <v>1437</v>
      </c>
      <c r="B691" s="12" t="s">
        <v>1438</v>
      </c>
    </row>
    <row r="692" spans="1:2" ht="15.75" customHeight="1">
      <c r="A692" s="12" t="s">
        <v>1439</v>
      </c>
      <c r="B692" s="12" t="s">
        <v>808</v>
      </c>
    </row>
    <row r="693" spans="1:2" ht="15.75" customHeight="1">
      <c r="A693" s="12" t="s">
        <v>1440</v>
      </c>
      <c r="B693" s="12" t="s">
        <v>1441</v>
      </c>
    </row>
    <row r="694" spans="1:2" ht="15.75" customHeight="1">
      <c r="A694" s="12" t="s">
        <v>1442</v>
      </c>
      <c r="B694" s="12" t="s">
        <v>1443</v>
      </c>
    </row>
    <row r="695" spans="1:2" ht="15.75" customHeight="1">
      <c r="A695" s="12" t="s">
        <v>1444</v>
      </c>
      <c r="B695" s="12" t="s">
        <v>980</v>
      </c>
    </row>
    <row r="696" spans="1:2" ht="15.75" customHeight="1">
      <c r="A696" s="12" t="s">
        <v>1445</v>
      </c>
      <c r="B696" s="12" t="s">
        <v>1446</v>
      </c>
    </row>
    <row r="697" spans="1:2" ht="15.75" customHeight="1">
      <c r="A697" s="12" t="s">
        <v>1447</v>
      </c>
      <c r="B697" s="12" t="s">
        <v>1448</v>
      </c>
    </row>
    <row r="698" spans="1:2" ht="15.75" customHeight="1">
      <c r="A698" s="12" t="s">
        <v>1449</v>
      </c>
      <c r="B698" s="12" t="s">
        <v>1450</v>
      </c>
    </row>
    <row r="699" spans="1:2" ht="15.75" customHeight="1">
      <c r="A699" s="12" t="s">
        <v>1451</v>
      </c>
      <c r="B699" s="12" t="s">
        <v>1452</v>
      </c>
    </row>
    <row r="700" spans="1:2" ht="15.75" customHeight="1">
      <c r="A700" s="12" t="s">
        <v>1453</v>
      </c>
      <c r="B700" s="12" t="s">
        <v>1454</v>
      </c>
    </row>
    <row r="701" spans="1:2" ht="15.75" customHeight="1">
      <c r="A701" s="12" t="s">
        <v>1455</v>
      </c>
      <c r="B701" s="12" t="s">
        <v>1456</v>
      </c>
    </row>
    <row r="702" spans="1:2" ht="15.75" customHeight="1">
      <c r="A702" s="12" t="s">
        <v>1457</v>
      </c>
      <c r="B702" s="12" t="s">
        <v>1458</v>
      </c>
    </row>
    <row r="703" spans="1:2" ht="15.75" customHeight="1">
      <c r="A703" s="12" t="s">
        <v>1459</v>
      </c>
      <c r="B703" s="12" t="s">
        <v>1460</v>
      </c>
    </row>
    <row r="704" spans="1:2" ht="15.75" customHeight="1">
      <c r="A704" s="12" t="s">
        <v>1461</v>
      </c>
      <c r="B704" s="12" t="s">
        <v>1462</v>
      </c>
    </row>
    <row r="705" spans="1:2" ht="15.75" customHeight="1">
      <c r="A705" s="12" t="s">
        <v>1463</v>
      </c>
      <c r="B705" s="12" t="s">
        <v>1464</v>
      </c>
    </row>
    <row r="706" spans="1:2" ht="15.75" customHeight="1">
      <c r="A706" s="12" t="s">
        <v>1465</v>
      </c>
      <c r="B706" s="12" t="s">
        <v>460</v>
      </c>
    </row>
    <row r="707" spans="1:2" ht="15.75" customHeight="1">
      <c r="A707" s="12" t="s">
        <v>1466</v>
      </c>
      <c r="B707" s="12" t="s">
        <v>1467</v>
      </c>
    </row>
    <row r="708" spans="1:2" ht="15.75" customHeight="1">
      <c r="A708" s="12" t="s">
        <v>1468</v>
      </c>
      <c r="B708" s="12" t="s">
        <v>1469</v>
      </c>
    </row>
    <row r="709" spans="1:2" ht="15.75" customHeight="1">
      <c r="A709" s="12" t="s">
        <v>1470</v>
      </c>
      <c r="B709" s="12" t="s">
        <v>1471</v>
      </c>
    </row>
    <row r="710" spans="1:2" ht="15.75" customHeight="1">
      <c r="A710" s="12" t="s">
        <v>1472</v>
      </c>
      <c r="B710" s="12" t="s">
        <v>1473</v>
      </c>
    </row>
    <row r="711" spans="1:2" ht="15.75" customHeight="1">
      <c r="A711" s="12" t="s">
        <v>1474</v>
      </c>
      <c r="B711" s="12" t="s">
        <v>1475</v>
      </c>
    </row>
    <row r="712" spans="1:2" ht="15.75" customHeight="1">
      <c r="A712" s="12" t="s">
        <v>1476</v>
      </c>
      <c r="B712" s="12" t="s">
        <v>1477</v>
      </c>
    </row>
    <row r="713" spans="1:2" ht="15.75" customHeight="1">
      <c r="A713" s="12" t="s">
        <v>1478</v>
      </c>
      <c r="B713" s="12" t="s">
        <v>1479</v>
      </c>
    </row>
    <row r="714" spans="1:2" ht="15.75" customHeight="1">
      <c r="A714" s="12" t="s">
        <v>1480</v>
      </c>
      <c r="B714" s="12" t="s">
        <v>1481</v>
      </c>
    </row>
    <row r="715" spans="1:2" ht="15.75" customHeight="1">
      <c r="A715" s="12" t="s">
        <v>1482</v>
      </c>
      <c r="B715" s="12" t="s">
        <v>1483</v>
      </c>
    </row>
    <row r="716" spans="1:2" ht="15.75" customHeight="1">
      <c r="A716" s="12" t="s">
        <v>1484</v>
      </c>
      <c r="B716" s="12" t="s">
        <v>1485</v>
      </c>
    </row>
    <row r="717" spans="1:2" ht="15.75" customHeight="1">
      <c r="A717" s="12" t="s">
        <v>1486</v>
      </c>
      <c r="B717" s="12" t="s">
        <v>1487</v>
      </c>
    </row>
    <row r="718" spans="1:2" ht="15.75" customHeight="1">
      <c r="A718" s="12" t="s">
        <v>1488</v>
      </c>
      <c r="B718" s="12" t="s">
        <v>1489</v>
      </c>
    </row>
    <row r="719" spans="1:2" ht="15.75" customHeight="1">
      <c r="A719" s="12" t="s">
        <v>1490</v>
      </c>
      <c r="B719" s="12" t="s">
        <v>1491</v>
      </c>
    </row>
    <row r="720" spans="1:2" ht="15.75" customHeight="1">
      <c r="A720" s="12" t="s">
        <v>1492</v>
      </c>
      <c r="B720" s="12" t="s">
        <v>1493</v>
      </c>
    </row>
    <row r="721" spans="1:2" ht="15.75" customHeight="1">
      <c r="A721" s="12" t="s">
        <v>1494</v>
      </c>
      <c r="B721" s="12" t="s">
        <v>283</v>
      </c>
    </row>
    <row r="722" spans="1:2" ht="15.75" customHeight="1">
      <c r="A722" s="12" t="s">
        <v>1495</v>
      </c>
      <c r="B722" s="12" t="s">
        <v>1496</v>
      </c>
    </row>
    <row r="723" spans="1:2" ht="15.75" customHeight="1">
      <c r="A723" s="12" t="s">
        <v>1497</v>
      </c>
      <c r="B723" s="12" t="s">
        <v>1498</v>
      </c>
    </row>
    <row r="724" spans="1:2" ht="15.75" customHeight="1">
      <c r="A724" s="12" t="s">
        <v>1499</v>
      </c>
      <c r="B724" s="12" t="s">
        <v>1500</v>
      </c>
    </row>
    <row r="725" spans="1:2" ht="15.75" customHeight="1">
      <c r="A725" s="12" t="s">
        <v>1501</v>
      </c>
      <c r="B725" s="12" t="s">
        <v>1502</v>
      </c>
    </row>
    <row r="726" spans="1:2" ht="15.75" customHeight="1">
      <c r="A726" s="12" t="s">
        <v>1503</v>
      </c>
      <c r="B726" s="12" t="s">
        <v>798</v>
      </c>
    </row>
    <row r="727" spans="1:2" ht="15.75" customHeight="1">
      <c r="A727" s="12" t="s">
        <v>1504</v>
      </c>
      <c r="B727" s="12" t="s">
        <v>1505</v>
      </c>
    </row>
    <row r="728" spans="1:2" ht="15.75" customHeight="1">
      <c r="A728" s="12" t="s">
        <v>1506</v>
      </c>
      <c r="B728" s="12" t="s">
        <v>1507</v>
      </c>
    </row>
    <row r="729" spans="1:2" ht="15.75" customHeight="1">
      <c r="A729" s="12" t="s">
        <v>1508</v>
      </c>
      <c r="B729" s="12" t="s">
        <v>1509</v>
      </c>
    </row>
    <row r="730" spans="1:2" ht="15.75" customHeight="1">
      <c r="A730" s="12" t="s">
        <v>1510</v>
      </c>
      <c r="B730" s="12" t="s">
        <v>1511</v>
      </c>
    </row>
    <row r="731" spans="1:2" ht="15.75" customHeight="1">
      <c r="A731" s="12" t="s">
        <v>1512</v>
      </c>
      <c r="B731" s="12" t="s">
        <v>1513</v>
      </c>
    </row>
    <row r="732" spans="1:2" ht="15.75" customHeight="1">
      <c r="A732" s="12" t="s">
        <v>1514</v>
      </c>
      <c r="B732" s="12" t="s">
        <v>1515</v>
      </c>
    </row>
    <row r="733" spans="1:2" ht="15.75" customHeight="1">
      <c r="A733" s="12" t="s">
        <v>1516</v>
      </c>
      <c r="B733" s="12" t="s">
        <v>1517</v>
      </c>
    </row>
    <row r="734" spans="1:2" ht="15.75" customHeight="1">
      <c r="A734" s="12" t="s">
        <v>1518</v>
      </c>
      <c r="B734" s="12" t="s">
        <v>1519</v>
      </c>
    </row>
    <row r="735" spans="1:2" ht="15.75" customHeight="1">
      <c r="A735" s="12" t="s">
        <v>1520</v>
      </c>
      <c r="B735" s="12" t="s">
        <v>1521</v>
      </c>
    </row>
    <row r="736" spans="1:2" ht="15.75" customHeight="1">
      <c r="A736" s="12" t="s">
        <v>1522</v>
      </c>
      <c r="B736" s="12" t="s">
        <v>1523</v>
      </c>
    </row>
    <row r="737" spans="1:2" ht="15.75" customHeight="1">
      <c r="A737" s="12" t="s">
        <v>1524</v>
      </c>
      <c r="B737" s="12" t="s">
        <v>1525</v>
      </c>
    </row>
    <row r="738" spans="1:2" ht="15.75" customHeight="1">
      <c r="A738" s="12" t="s">
        <v>1526</v>
      </c>
      <c r="B738" s="12" t="s">
        <v>1527</v>
      </c>
    </row>
    <row r="739" spans="1:2" ht="15.75" customHeight="1">
      <c r="A739" s="12" t="s">
        <v>1528</v>
      </c>
      <c r="B739" s="12" t="s">
        <v>1529</v>
      </c>
    </row>
    <row r="740" spans="1:2" ht="15.75" customHeight="1">
      <c r="A740" s="12" t="s">
        <v>1530</v>
      </c>
      <c r="B740" s="12" t="s">
        <v>233</v>
      </c>
    </row>
    <row r="741" spans="1:2" ht="15.75" customHeight="1">
      <c r="A741" s="12" t="s">
        <v>1531</v>
      </c>
      <c r="B741" s="12" t="s">
        <v>1532</v>
      </c>
    </row>
    <row r="742" spans="1:2" ht="15.75" customHeight="1">
      <c r="A742" s="12" t="s">
        <v>1533</v>
      </c>
      <c r="B742" s="12" t="s">
        <v>1534</v>
      </c>
    </row>
    <row r="743" spans="1:2" ht="15.75" customHeight="1">
      <c r="A743" s="12" t="s">
        <v>1535</v>
      </c>
      <c r="B743" s="12" t="s">
        <v>1536</v>
      </c>
    </row>
    <row r="744" spans="1:2" ht="15.75" customHeight="1">
      <c r="A744" s="12" t="s">
        <v>1537</v>
      </c>
      <c r="B744" s="12" t="s">
        <v>1354</v>
      </c>
    </row>
    <row r="745" spans="1:2" ht="15.75" customHeight="1">
      <c r="A745" s="12" t="s">
        <v>1538</v>
      </c>
      <c r="B745" s="12" t="s">
        <v>1539</v>
      </c>
    </row>
    <row r="746" spans="1:2" ht="15.75" customHeight="1">
      <c r="A746" s="12" t="s">
        <v>1540</v>
      </c>
      <c r="B746" s="12" t="s">
        <v>1541</v>
      </c>
    </row>
    <row r="747" spans="1:2" ht="15.75" customHeight="1">
      <c r="A747" s="12" t="s">
        <v>1542</v>
      </c>
      <c r="B747" s="12" t="s">
        <v>1543</v>
      </c>
    </row>
    <row r="748" spans="1:2" ht="15.75" customHeight="1">
      <c r="A748" s="12" t="s">
        <v>1544</v>
      </c>
      <c r="B748" s="12" t="s">
        <v>828</v>
      </c>
    </row>
    <row r="749" spans="1:2" ht="15.75" customHeight="1">
      <c r="A749" s="12" t="s">
        <v>1545</v>
      </c>
      <c r="B749" s="12" t="s">
        <v>1546</v>
      </c>
    </row>
    <row r="750" spans="1:2" ht="15.75" customHeight="1">
      <c r="A750" s="12" t="s">
        <v>1547</v>
      </c>
      <c r="B750" s="12" t="s">
        <v>1548</v>
      </c>
    </row>
    <row r="751" spans="1:2" ht="15.75" customHeight="1">
      <c r="A751" s="12" t="s">
        <v>1549</v>
      </c>
      <c r="B751" s="12" t="s">
        <v>1550</v>
      </c>
    </row>
    <row r="752" spans="1:2" ht="15.75" customHeight="1">
      <c r="A752" s="12" t="s">
        <v>1551</v>
      </c>
      <c r="B752" s="12" t="s">
        <v>1552</v>
      </c>
    </row>
    <row r="753" spans="1:2" ht="15.75" customHeight="1">
      <c r="A753" s="12" t="s">
        <v>1553</v>
      </c>
      <c r="B753" s="12" t="s">
        <v>1554</v>
      </c>
    </row>
    <row r="754" spans="1:2" ht="15.75" customHeight="1">
      <c r="A754" s="12" t="s">
        <v>1555</v>
      </c>
      <c r="B754" s="12" t="s">
        <v>1556</v>
      </c>
    </row>
    <row r="755" spans="1:2" ht="15.75" customHeight="1">
      <c r="A755" s="12" t="s">
        <v>1557</v>
      </c>
      <c r="B755" s="12" t="s">
        <v>1558</v>
      </c>
    </row>
    <row r="756" spans="1:2" ht="15.75" customHeight="1">
      <c r="A756" s="12" t="s">
        <v>1559</v>
      </c>
      <c r="B756" s="12" t="s">
        <v>1560</v>
      </c>
    </row>
    <row r="757" spans="1:2" ht="15.75" customHeight="1">
      <c r="A757" s="12" t="s">
        <v>1561</v>
      </c>
      <c r="B757" s="12" t="s">
        <v>1513</v>
      </c>
    </row>
    <row r="758" spans="1:2" ht="15.75" customHeight="1">
      <c r="A758" s="12" t="s">
        <v>1562</v>
      </c>
      <c r="B758" s="12" t="s">
        <v>1563</v>
      </c>
    </row>
    <row r="759" spans="1:2" ht="15.75" customHeight="1">
      <c r="A759" s="12" t="s">
        <v>1564</v>
      </c>
      <c r="B759" s="12" t="s">
        <v>1565</v>
      </c>
    </row>
    <row r="760" spans="1:2" ht="15.75" customHeight="1">
      <c r="A760" s="12" t="s">
        <v>1566</v>
      </c>
      <c r="B760" s="12" t="s">
        <v>1567</v>
      </c>
    </row>
    <row r="761" spans="1:2" ht="15.75" customHeight="1">
      <c r="A761" s="12" t="s">
        <v>1568</v>
      </c>
      <c r="B761" s="12" t="s">
        <v>1569</v>
      </c>
    </row>
    <row r="762" spans="1:2" ht="15.75" customHeight="1">
      <c r="A762" s="12" t="s">
        <v>1570</v>
      </c>
      <c r="B762" s="12" t="s">
        <v>1002</v>
      </c>
    </row>
    <row r="763" spans="1:2" ht="15.75" customHeight="1">
      <c r="A763" s="12" t="s">
        <v>1571</v>
      </c>
      <c r="B763" s="12" t="s">
        <v>1572</v>
      </c>
    </row>
    <row r="764" spans="1:2" ht="15.75" customHeight="1">
      <c r="A764" s="12" t="s">
        <v>1573</v>
      </c>
      <c r="B764" s="12" t="s">
        <v>1574</v>
      </c>
    </row>
    <row r="765" spans="1:2" ht="15.75" customHeight="1">
      <c r="A765" s="12" t="s">
        <v>1575</v>
      </c>
      <c r="B765" s="12" t="s">
        <v>1576</v>
      </c>
    </row>
    <row r="766" spans="1:2" ht="15.75" customHeight="1">
      <c r="A766" s="12" t="s">
        <v>1577</v>
      </c>
      <c r="B766" s="12" t="s">
        <v>1578</v>
      </c>
    </row>
    <row r="767" spans="1:2" ht="15.75" customHeight="1">
      <c r="A767" s="12" t="s">
        <v>1579</v>
      </c>
      <c r="B767" s="12" t="s">
        <v>1580</v>
      </c>
    </row>
    <row r="768" spans="1:2" ht="15.75" customHeight="1">
      <c r="A768" s="12" t="s">
        <v>1581</v>
      </c>
      <c r="B768" s="12" t="s">
        <v>1582</v>
      </c>
    </row>
    <row r="769" spans="1:2" ht="15.75" customHeight="1">
      <c r="A769" s="12" t="s">
        <v>1583</v>
      </c>
      <c r="B769" s="12" t="s">
        <v>877</v>
      </c>
    </row>
    <row r="770" spans="1:2" ht="15.75" customHeight="1">
      <c r="A770" s="12" t="s">
        <v>1584</v>
      </c>
      <c r="B770" s="12" t="s">
        <v>1585</v>
      </c>
    </row>
    <row r="771" spans="1:2" ht="15.75" customHeight="1">
      <c r="A771" s="12" t="s">
        <v>1586</v>
      </c>
      <c r="B771" s="12" t="s">
        <v>245</v>
      </c>
    </row>
    <row r="772" spans="1:2" ht="15.75" customHeight="1">
      <c r="A772" s="12" t="s">
        <v>1587</v>
      </c>
      <c r="B772" s="12" t="s">
        <v>1588</v>
      </c>
    </row>
    <row r="773" spans="1:2" ht="15.75" customHeight="1">
      <c r="A773" s="12" t="s">
        <v>1589</v>
      </c>
      <c r="B773" s="12" t="s">
        <v>1590</v>
      </c>
    </row>
    <row r="774" spans="1:2" ht="15.75" customHeight="1">
      <c r="A774" s="12" t="s">
        <v>1591</v>
      </c>
      <c r="B774" s="12" t="s">
        <v>1592</v>
      </c>
    </row>
    <row r="775" spans="1:2" ht="15.75" customHeight="1">
      <c r="A775" s="12" t="s">
        <v>1593</v>
      </c>
      <c r="B775" s="12" t="s">
        <v>1594</v>
      </c>
    </row>
    <row r="776" spans="1:2" ht="15.75" customHeight="1">
      <c r="A776" s="12" t="s">
        <v>1595</v>
      </c>
      <c r="B776" s="12" t="s">
        <v>1596</v>
      </c>
    </row>
    <row r="777" spans="1:2" ht="15.75" customHeight="1">
      <c r="A777" s="12" t="s">
        <v>1597</v>
      </c>
      <c r="B777" s="12" t="s">
        <v>1598</v>
      </c>
    </row>
    <row r="778" spans="1:2" ht="15.75" customHeight="1">
      <c r="A778" s="12" t="s">
        <v>1599</v>
      </c>
      <c r="B778" s="12" t="s">
        <v>1600</v>
      </c>
    </row>
    <row r="779" spans="1:2" ht="15.75" customHeight="1">
      <c r="A779" s="12" t="s">
        <v>1601</v>
      </c>
      <c r="B779" s="12" t="s">
        <v>1602</v>
      </c>
    </row>
    <row r="780" spans="1:2" ht="15.75" customHeight="1">
      <c r="A780" s="12" t="s">
        <v>1603</v>
      </c>
      <c r="B780" s="12" t="s">
        <v>1604</v>
      </c>
    </row>
    <row r="781" spans="1:2" ht="15.75" customHeight="1">
      <c r="A781" s="12" t="s">
        <v>1605</v>
      </c>
      <c r="B781" s="12" t="s">
        <v>1606</v>
      </c>
    </row>
    <row r="782" spans="1:2" ht="15.75" customHeight="1">
      <c r="A782" s="12" t="s">
        <v>1607</v>
      </c>
      <c r="B782" s="12" t="s">
        <v>1608</v>
      </c>
    </row>
    <row r="783" spans="1:2" ht="15.75" customHeight="1">
      <c r="A783" s="12" t="s">
        <v>1609</v>
      </c>
      <c r="B783" s="12" t="s">
        <v>1610</v>
      </c>
    </row>
    <row r="784" spans="1:2" ht="15.75" customHeight="1">
      <c r="A784" s="12" t="s">
        <v>1611</v>
      </c>
      <c r="B784" s="12" t="s">
        <v>1144</v>
      </c>
    </row>
    <row r="785" spans="1:2" ht="15.75" customHeight="1">
      <c r="A785" s="12" t="s">
        <v>1612</v>
      </c>
      <c r="B785" s="12" t="s">
        <v>1613</v>
      </c>
    </row>
    <row r="786" spans="1:2" ht="15.75" customHeight="1">
      <c r="A786" s="12" t="s">
        <v>1614</v>
      </c>
      <c r="B786" s="12" t="s">
        <v>1615</v>
      </c>
    </row>
    <row r="787" spans="1:2" ht="15.75" customHeight="1">
      <c r="A787" s="12" t="s">
        <v>1616</v>
      </c>
      <c r="B787" s="12" t="s">
        <v>1617</v>
      </c>
    </row>
    <row r="788" spans="1:2" ht="15.75" customHeight="1">
      <c r="A788" s="12" t="s">
        <v>1618</v>
      </c>
      <c r="B788" s="12" t="s">
        <v>1619</v>
      </c>
    </row>
    <row r="789" spans="1:2" ht="15.75" customHeight="1">
      <c r="A789" s="12" t="s">
        <v>1620</v>
      </c>
      <c r="B789" s="12" t="s">
        <v>1621</v>
      </c>
    </row>
    <row r="790" spans="1:2" ht="15.75" customHeight="1">
      <c r="A790" s="12" t="s">
        <v>1622</v>
      </c>
      <c r="B790" s="12" t="s">
        <v>1623</v>
      </c>
    </row>
    <row r="791" spans="1:2" ht="15.75" customHeight="1">
      <c r="A791" s="12" t="s">
        <v>1624</v>
      </c>
      <c r="B791" s="12" t="s">
        <v>1625</v>
      </c>
    </row>
    <row r="792" spans="1:2" ht="15.75" customHeight="1">
      <c r="A792" s="12" t="s">
        <v>1626</v>
      </c>
      <c r="B792" s="12" t="s">
        <v>1627</v>
      </c>
    </row>
    <row r="793" spans="1:2" ht="15.75" customHeight="1">
      <c r="A793" s="12" t="s">
        <v>1628</v>
      </c>
      <c r="B793" s="12" t="s">
        <v>1629</v>
      </c>
    </row>
    <row r="794" spans="1:2" ht="15.75" customHeight="1">
      <c r="A794" s="12" t="s">
        <v>1630</v>
      </c>
      <c r="B794" s="12" t="s">
        <v>1276</v>
      </c>
    </row>
    <row r="795" spans="1:2" ht="15.75" customHeight="1">
      <c r="A795" s="12" t="s">
        <v>1631</v>
      </c>
      <c r="B795" s="12" t="s">
        <v>1632</v>
      </c>
    </row>
    <row r="796" spans="1:2" ht="15.75" customHeight="1">
      <c r="A796" s="12" t="s">
        <v>1633</v>
      </c>
      <c r="B796" s="12" t="s">
        <v>1634</v>
      </c>
    </row>
    <row r="797" spans="1:2" ht="15.75" customHeight="1">
      <c r="A797" s="12" t="s">
        <v>1635</v>
      </c>
      <c r="B797" s="12" t="s">
        <v>301</v>
      </c>
    </row>
    <row r="798" spans="1:2" ht="15.75" customHeight="1">
      <c r="A798" s="12" t="s">
        <v>1636</v>
      </c>
      <c r="B798" s="12" t="s">
        <v>1637</v>
      </c>
    </row>
    <row r="799" spans="1:2" ht="15.75" customHeight="1">
      <c r="A799" s="12" t="s">
        <v>1638</v>
      </c>
      <c r="B799" s="12" t="s">
        <v>1639</v>
      </c>
    </row>
    <row r="800" spans="1:2" ht="15.75" customHeight="1">
      <c r="A800" s="12" t="s">
        <v>1640</v>
      </c>
      <c r="B800" s="12" t="s">
        <v>1641</v>
      </c>
    </row>
    <row r="801" spans="1:2" ht="15.75" customHeight="1">
      <c r="A801" s="12" t="s">
        <v>1642</v>
      </c>
      <c r="B801" s="12" t="s">
        <v>1643</v>
      </c>
    </row>
    <row r="802" spans="1:2" ht="15.75" customHeight="1">
      <c r="A802" s="12" t="s">
        <v>1644</v>
      </c>
      <c r="B802" s="12" t="s">
        <v>1645</v>
      </c>
    </row>
    <row r="803" spans="1:2" ht="15.75" customHeight="1">
      <c r="A803" s="12" t="s">
        <v>1646</v>
      </c>
      <c r="B803" s="12" t="s">
        <v>1647</v>
      </c>
    </row>
    <row r="804" spans="1:2" ht="15.75" customHeight="1">
      <c r="A804" s="12" t="s">
        <v>1648</v>
      </c>
      <c r="B804" s="12" t="s">
        <v>1649</v>
      </c>
    </row>
    <row r="805" spans="1:2" ht="15.75" customHeight="1">
      <c r="A805" s="12" t="s">
        <v>1650</v>
      </c>
      <c r="B805" s="12" t="s">
        <v>1651</v>
      </c>
    </row>
    <row r="806" spans="1:2" ht="15.75" customHeight="1">
      <c r="A806" s="12" t="s">
        <v>1652</v>
      </c>
      <c r="B806" s="12" t="s">
        <v>1653</v>
      </c>
    </row>
    <row r="807" spans="1:2" ht="15.75" customHeight="1">
      <c r="A807" s="12" t="s">
        <v>1654</v>
      </c>
      <c r="B807" s="12" t="s">
        <v>1655</v>
      </c>
    </row>
    <row r="808" spans="1:2" ht="15.75" customHeight="1">
      <c r="A808" s="12" t="s">
        <v>1656</v>
      </c>
      <c r="B808" s="12" t="s">
        <v>1657</v>
      </c>
    </row>
    <row r="809" spans="1:2" ht="15.75" customHeight="1">
      <c r="A809" s="12" t="s">
        <v>1658</v>
      </c>
      <c r="B809" s="12" t="s">
        <v>1659</v>
      </c>
    </row>
    <row r="810" spans="1:2" ht="15.75" customHeight="1">
      <c r="A810" s="12" t="s">
        <v>1660</v>
      </c>
      <c r="B810" s="12" t="s">
        <v>1661</v>
      </c>
    </row>
    <row r="811" spans="1:2" ht="15.75" customHeight="1">
      <c r="A811" s="12" t="s">
        <v>1662</v>
      </c>
      <c r="B811" s="12" t="s">
        <v>1299</v>
      </c>
    </row>
    <row r="812" spans="1:2" ht="15.75" customHeight="1">
      <c r="A812" s="12" t="s">
        <v>1663</v>
      </c>
      <c r="B812" s="12" t="s">
        <v>1664</v>
      </c>
    </row>
    <row r="813" spans="1:2" ht="15.75" customHeight="1">
      <c r="A813" s="12" t="s">
        <v>1665</v>
      </c>
      <c r="B813" s="12" t="s">
        <v>480</v>
      </c>
    </row>
    <row r="814" spans="1:2" ht="15.75" customHeight="1">
      <c r="A814" s="12" t="s">
        <v>1666</v>
      </c>
      <c r="B814" s="12" t="s">
        <v>1667</v>
      </c>
    </row>
    <row r="815" spans="1:2" ht="15.75" customHeight="1">
      <c r="A815" s="12" t="s">
        <v>1668</v>
      </c>
      <c r="B815" s="12" t="s">
        <v>1669</v>
      </c>
    </row>
    <row r="816" spans="1:2" ht="15.75" customHeight="1">
      <c r="A816" s="12" t="s">
        <v>1670</v>
      </c>
      <c r="B816" s="12" t="s">
        <v>1671</v>
      </c>
    </row>
    <row r="817" spans="1:2" ht="15.75" customHeight="1">
      <c r="A817" s="12" t="s">
        <v>1672</v>
      </c>
      <c r="B817" s="12" t="s">
        <v>1673</v>
      </c>
    </row>
    <row r="818" spans="1:2" ht="15.75" customHeight="1">
      <c r="A818" s="12" t="s">
        <v>1674</v>
      </c>
      <c r="B818" s="12" t="s">
        <v>500</v>
      </c>
    </row>
    <row r="819" spans="1:2" ht="15.75" customHeight="1">
      <c r="A819" s="12" t="s">
        <v>1675</v>
      </c>
      <c r="B819" s="12" t="s">
        <v>1676</v>
      </c>
    </row>
    <row r="820" spans="1:2" ht="15.75" customHeight="1">
      <c r="A820" s="12" t="s">
        <v>1677</v>
      </c>
      <c r="B820" s="12" t="s">
        <v>1678</v>
      </c>
    </row>
    <row r="821" spans="1:2" ht="15.75" customHeight="1">
      <c r="A821" s="12" t="s">
        <v>1679</v>
      </c>
      <c r="B821" s="12" t="s">
        <v>1680</v>
      </c>
    </row>
    <row r="822" spans="1:2" ht="15.75" customHeight="1">
      <c r="A822" s="12" t="s">
        <v>1681</v>
      </c>
      <c r="B822" s="12" t="s">
        <v>1682</v>
      </c>
    </row>
    <row r="823" spans="1:2" ht="15.75" customHeight="1">
      <c r="A823" s="12" t="s">
        <v>1683</v>
      </c>
      <c r="B823" s="12" t="s">
        <v>1684</v>
      </c>
    </row>
    <row r="824" spans="1:2" ht="15.75" customHeight="1">
      <c r="A824" s="12" t="s">
        <v>1685</v>
      </c>
      <c r="B824" s="12" t="s">
        <v>1686</v>
      </c>
    </row>
    <row r="825" spans="1:2" ht="15.75" customHeight="1">
      <c r="A825" s="12" t="s">
        <v>1687</v>
      </c>
      <c r="B825" s="12" t="s">
        <v>1688</v>
      </c>
    </row>
    <row r="826" spans="1:2" ht="15.75" customHeight="1">
      <c r="A826" s="12" t="s">
        <v>1689</v>
      </c>
      <c r="B826" s="12" t="s">
        <v>1690</v>
      </c>
    </row>
    <row r="827" spans="1:2" ht="15.75" customHeight="1">
      <c r="A827" s="12" t="s">
        <v>1691</v>
      </c>
      <c r="B827" s="12" t="s">
        <v>1692</v>
      </c>
    </row>
    <row r="828" spans="1:2" ht="15.75" customHeight="1">
      <c r="A828" s="12" t="s">
        <v>1693</v>
      </c>
      <c r="B828" s="12" t="s">
        <v>1694</v>
      </c>
    </row>
    <row r="829" spans="1:2" ht="15.75" customHeight="1">
      <c r="A829" s="12" t="s">
        <v>1695</v>
      </c>
      <c r="B829" s="12" t="s">
        <v>1696</v>
      </c>
    </row>
    <row r="830" spans="1:2" ht="15.75" customHeight="1">
      <c r="A830" s="12" t="s">
        <v>1697</v>
      </c>
      <c r="B830" s="12" t="s">
        <v>1698</v>
      </c>
    </row>
    <row r="831" spans="1:2" ht="15.75" customHeight="1">
      <c r="A831" s="12" t="s">
        <v>1699</v>
      </c>
      <c r="B831" s="12" t="s">
        <v>1700</v>
      </c>
    </row>
    <row r="832" spans="1:2" ht="15.75" customHeight="1">
      <c r="A832" s="12" t="s">
        <v>1701</v>
      </c>
      <c r="B832" s="12" t="s">
        <v>1702</v>
      </c>
    </row>
    <row r="833" spans="1:2" ht="15.75" customHeight="1">
      <c r="A833" s="12" t="s">
        <v>1703</v>
      </c>
      <c r="B833" s="12" t="s">
        <v>1704</v>
      </c>
    </row>
    <row r="834" spans="1:2" ht="15.75" customHeight="1">
      <c r="A834" s="12" t="s">
        <v>1705</v>
      </c>
      <c r="B834" s="12" t="s">
        <v>1706</v>
      </c>
    </row>
    <row r="835" spans="1:2" ht="15.75" customHeight="1">
      <c r="A835" s="12" t="s">
        <v>1707</v>
      </c>
      <c r="B835" s="12" t="s">
        <v>1708</v>
      </c>
    </row>
    <row r="836" spans="1:2" ht="15.75" customHeight="1">
      <c r="A836" s="12" t="s">
        <v>1709</v>
      </c>
      <c r="B836" s="12" t="s">
        <v>1710</v>
      </c>
    </row>
    <row r="837" spans="1:2" ht="15.75" customHeight="1">
      <c r="A837" s="12" t="s">
        <v>1711</v>
      </c>
      <c r="B837" s="12" t="s">
        <v>1712</v>
      </c>
    </row>
    <row r="838" spans="1:2" ht="15.75" customHeight="1">
      <c r="A838" s="12" t="s">
        <v>1713</v>
      </c>
      <c r="B838" s="12" t="s">
        <v>1714</v>
      </c>
    </row>
    <row r="839" spans="1:2" ht="15.75" customHeight="1">
      <c r="A839" s="12" t="s">
        <v>1715</v>
      </c>
      <c r="B839" s="12" t="s">
        <v>1716</v>
      </c>
    </row>
    <row r="840" spans="1:2" ht="15.75" customHeight="1">
      <c r="A840" s="12" t="s">
        <v>1717</v>
      </c>
      <c r="B840" s="12" t="s">
        <v>1718</v>
      </c>
    </row>
    <row r="841" spans="1:2" ht="15.75" customHeight="1">
      <c r="A841" s="12" t="s">
        <v>1719</v>
      </c>
      <c r="B841" s="12" t="s">
        <v>1720</v>
      </c>
    </row>
    <row r="842" spans="1:2" ht="15.75" customHeight="1">
      <c r="A842" s="12" t="s">
        <v>1721</v>
      </c>
      <c r="B842" s="12" t="s">
        <v>1722</v>
      </c>
    </row>
    <row r="843" spans="1:2" ht="15.75" customHeight="1">
      <c r="A843" s="12" t="s">
        <v>1723</v>
      </c>
      <c r="B843" s="12" t="s">
        <v>1724</v>
      </c>
    </row>
    <row r="844" spans="1:2" ht="15.75" customHeight="1">
      <c r="A844" s="12" t="s">
        <v>1725</v>
      </c>
      <c r="B844" s="12" t="s">
        <v>1726</v>
      </c>
    </row>
    <row r="845" spans="1:2" ht="15.75" customHeight="1">
      <c r="A845" s="12" t="s">
        <v>1727</v>
      </c>
      <c r="B845" s="12" t="s">
        <v>1728</v>
      </c>
    </row>
    <row r="846" spans="1:2" ht="15.75" customHeight="1">
      <c r="A846" s="12" t="s">
        <v>1729</v>
      </c>
      <c r="B846" s="12" t="s">
        <v>1730</v>
      </c>
    </row>
    <row r="847" spans="1:2" ht="15.75" customHeight="1">
      <c r="A847" s="12" t="s">
        <v>1731</v>
      </c>
      <c r="B847" s="12" t="s">
        <v>1732</v>
      </c>
    </row>
    <row r="848" spans="1:2" ht="15.75" customHeight="1">
      <c r="A848" s="12" t="s">
        <v>1733</v>
      </c>
      <c r="B848" s="12" t="s">
        <v>1734</v>
      </c>
    </row>
    <row r="849" spans="1:2" ht="15.75" customHeight="1">
      <c r="A849" s="12" t="s">
        <v>1735</v>
      </c>
      <c r="B849" s="12" t="s">
        <v>1736</v>
      </c>
    </row>
    <row r="850" spans="1:2" ht="15.75" customHeight="1">
      <c r="A850" s="12" t="s">
        <v>1737</v>
      </c>
      <c r="B850" s="12" t="s">
        <v>1738</v>
      </c>
    </row>
    <row r="851" spans="1:2" ht="15.75" customHeight="1">
      <c r="A851" s="12" t="s">
        <v>1739</v>
      </c>
      <c r="B851" s="12" t="s">
        <v>1740</v>
      </c>
    </row>
    <row r="852" spans="1:2" ht="15.75" customHeight="1">
      <c r="A852" s="12" t="s">
        <v>1741</v>
      </c>
      <c r="B852" s="12" t="s">
        <v>1742</v>
      </c>
    </row>
    <row r="853" spans="1:2" ht="15.75" customHeight="1">
      <c r="A853" s="12" t="s">
        <v>1743</v>
      </c>
      <c r="B853" s="12" t="s">
        <v>1744</v>
      </c>
    </row>
    <row r="854" spans="1:2" ht="15.75" customHeight="1">
      <c r="A854" s="12" t="s">
        <v>1745</v>
      </c>
      <c r="B854" s="12" t="s">
        <v>103</v>
      </c>
    </row>
    <row r="855" spans="1:2" ht="15.75" customHeight="1">
      <c r="A855" s="12" t="s">
        <v>1746</v>
      </c>
      <c r="B855" s="12" t="s">
        <v>1238</v>
      </c>
    </row>
    <row r="856" spans="1:2" ht="15.75" customHeight="1">
      <c r="A856" s="12" t="s">
        <v>1747</v>
      </c>
      <c r="B856" s="12" t="s">
        <v>1748</v>
      </c>
    </row>
    <row r="857" spans="1:2" ht="15.75" customHeight="1">
      <c r="A857" s="12" t="s">
        <v>1749</v>
      </c>
      <c r="B857" s="12" t="s">
        <v>1750</v>
      </c>
    </row>
    <row r="858" spans="1:2" ht="15.75" customHeight="1">
      <c r="A858" s="12" t="s">
        <v>1751</v>
      </c>
      <c r="B858" s="12" t="s">
        <v>1752</v>
      </c>
    </row>
    <row r="859" spans="1:2" ht="15.75" customHeight="1">
      <c r="A859" s="12" t="s">
        <v>1753</v>
      </c>
      <c r="B859" s="12" t="s">
        <v>1754</v>
      </c>
    </row>
    <row r="860" spans="1:2" ht="15.75" customHeight="1">
      <c r="A860" s="12" t="s">
        <v>1755</v>
      </c>
      <c r="B860" s="12" t="s">
        <v>1756</v>
      </c>
    </row>
    <row r="861" spans="1:2" ht="15.75" customHeight="1">
      <c r="A861" s="12" t="s">
        <v>1757</v>
      </c>
      <c r="B861" s="12" t="s">
        <v>1758</v>
      </c>
    </row>
    <row r="862" spans="1:2" ht="15.75" customHeight="1">
      <c r="A862" s="12" t="s">
        <v>1759</v>
      </c>
      <c r="B862" s="12" t="s">
        <v>1760</v>
      </c>
    </row>
    <row r="863" spans="1:2" ht="15.75" customHeight="1">
      <c r="A863" s="12" t="s">
        <v>1761</v>
      </c>
      <c r="B863" s="12" t="s">
        <v>1762</v>
      </c>
    </row>
    <row r="864" spans="1:2" ht="15.75" customHeight="1">
      <c r="A864" s="12" t="s">
        <v>1763</v>
      </c>
      <c r="B864" s="12" t="s">
        <v>1764</v>
      </c>
    </row>
    <row r="865" spans="1:2" ht="15.75" customHeight="1">
      <c r="A865" s="12" t="s">
        <v>1765</v>
      </c>
      <c r="B865" s="12" t="s">
        <v>1766</v>
      </c>
    </row>
    <row r="866" spans="1:2" ht="15.75" customHeight="1">
      <c r="A866" s="12" t="s">
        <v>1767</v>
      </c>
      <c r="B866" s="12" t="s">
        <v>1768</v>
      </c>
    </row>
    <row r="867" spans="1:2" ht="15.75" customHeight="1">
      <c r="A867" s="12" t="s">
        <v>1769</v>
      </c>
      <c r="B867" s="12" t="s">
        <v>1770</v>
      </c>
    </row>
    <row r="868" spans="1:2" ht="15.75" customHeight="1">
      <c r="A868" s="12" t="s">
        <v>1771</v>
      </c>
      <c r="B868" s="12" t="s">
        <v>1772</v>
      </c>
    </row>
    <row r="869" spans="1:2" ht="15.75" customHeight="1">
      <c r="A869" s="12" t="s">
        <v>1773</v>
      </c>
      <c r="B869" s="12" t="s">
        <v>179</v>
      </c>
    </row>
    <row r="870" spans="1:2" ht="15.75" customHeight="1">
      <c r="A870" s="12" t="s">
        <v>1774</v>
      </c>
      <c r="B870" s="12" t="s">
        <v>1775</v>
      </c>
    </row>
    <row r="871" spans="1:2" ht="15.75" customHeight="1">
      <c r="A871" s="12" t="s">
        <v>1776</v>
      </c>
      <c r="B871" s="12" t="s">
        <v>1777</v>
      </c>
    </row>
    <row r="872" spans="1:2" ht="15.75" customHeight="1">
      <c r="A872" s="12" t="s">
        <v>1778</v>
      </c>
      <c r="B872" s="12" t="s">
        <v>1779</v>
      </c>
    </row>
    <row r="873" spans="1:2" ht="15.75" customHeight="1">
      <c r="A873" s="12" t="s">
        <v>1780</v>
      </c>
      <c r="B873" s="12" t="s">
        <v>1781</v>
      </c>
    </row>
    <row r="874" spans="1:2" ht="15.75" customHeight="1">
      <c r="A874" s="12" t="s">
        <v>1782</v>
      </c>
      <c r="B874" s="12" t="s">
        <v>1783</v>
      </c>
    </row>
    <row r="875" spans="1:2" ht="15.75" customHeight="1">
      <c r="A875" s="12" t="s">
        <v>1784</v>
      </c>
      <c r="B875" s="12" t="s">
        <v>1785</v>
      </c>
    </row>
    <row r="876" spans="1:2" ht="15.75" customHeight="1">
      <c r="A876" s="12" t="s">
        <v>1786</v>
      </c>
      <c r="B876" s="12" t="s">
        <v>1787</v>
      </c>
    </row>
    <row r="877" spans="1:2" ht="15.75" customHeight="1">
      <c r="A877" s="12" t="s">
        <v>1788</v>
      </c>
      <c r="B877" s="12" t="s">
        <v>255</v>
      </c>
    </row>
    <row r="878" spans="1:2" ht="15.75" customHeight="1">
      <c r="A878" s="12" t="s">
        <v>1789</v>
      </c>
      <c r="B878" s="12" t="s">
        <v>1790</v>
      </c>
    </row>
    <row r="879" spans="1:2" ht="15.75" customHeight="1">
      <c r="A879" s="12" t="s">
        <v>1791</v>
      </c>
      <c r="B879" s="12" t="s">
        <v>1708</v>
      </c>
    </row>
    <row r="880" spans="1:2" ht="15.75" customHeight="1">
      <c r="A880" s="12" t="s">
        <v>1792</v>
      </c>
      <c r="B880" s="12" t="s">
        <v>1793</v>
      </c>
    </row>
    <row r="881" spans="1:2" ht="15.75" customHeight="1">
      <c r="A881" s="12" t="s">
        <v>1794</v>
      </c>
      <c r="B881" s="12" t="s">
        <v>1795</v>
      </c>
    </row>
    <row r="882" spans="1:2" ht="15.75" customHeight="1">
      <c r="A882" s="12" t="s">
        <v>1796</v>
      </c>
      <c r="B882" s="12" t="s">
        <v>1797</v>
      </c>
    </row>
    <row r="883" spans="1:2" ht="15.75" customHeight="1">
      <c r="A883" s="12" t="s">
        <v>1798</v>
      </c>
      <c r="B883" s="12" t="s">
        <v>189</v>
      </c>
    </row>
    <row r="884" spans="1:2" ht="15.75" customHeight="1">
      <c r="A884" s="12" t="s">
        <v>1799</v>
      </c>
      <c r="B884" s="12" t="s">
        <v>627</v>
      </c>
    </row>
    <row r="885" spans="1:2" ht="15.75" customHeight="1">
      <c r="A885" s="12" t="s">
        <v>1800</v>
      </c>
      <c r="B885" s="12" t="s">
        <v>1801</v>
      </c>
    </row>
    <row r="886" spans="1:2" ht="15.75" customHeight="1">
      <c r="A886" s="12" t="s">
        <v>1802</v>
      </c>
      <c r="B886" s="12" t="s">
        <v>1803</v>
      </c>
    </row>
    <row r="887" spans="1:2" ht="15.75" customHeight="1">
      <c r="A887" s="12" t="s">
        <v>1804</v>
      </c>
      <c r="B887" s="12" t="s">
        <v>1805</v>
      </c>
    </row>
    <row r="888" spans="1:2" ht="15.75" customHeight="1">
      <c r="A888" s="12" t="s">
        <v>1806</v>
      </c>
      <c r="B888" s="12" t="s">
        <v>1807</v>
      </c>
    </row>
    <row r="889" spans="1:2" ht="15.75" customHeight="1">
      <c r="A889" s="12" t="s">
        <v>1808</v>
      </c>
      <c r="B889" s="12" t="s">
        <v>1809</v>
      </c>
    </row>
    <row r="890" spans="1:2" ht="15.75" customHeight="1">
      <c r="A890" s="12" t="s">
        <v>1810</v>
      </c>
      <c r="B890" s="12" t="s">
        <v>1811</v>
      </c>
    </row>
    <row r="891" spans="1:2" ht="15.75" customHeight="1">
      <c r="A891" s="12" t="s">
        <v>1812</v>
      </c>
      <c r="B891" s="12" t="s">
        <v>1813</v>
      </c>
    </row>
    <row r="892" spans="1:2" ht="15.75" customHeight="1">
      <c r="A892" s="12" t="s">
        <v>1814</v>
      </c>
      <c r="B892" s="12" t="s">
        <v>1815</v>
      </c>
    </row>
    <row r="893" spans="1:2" ht="15.75" customHeight="1">
      <c r="A893" s="12" t="s">
        <v>1816</v>
      </c>
      <c r="B893" s="12" t="s">
        <v>1817</v>
      </c>
    </row>
    <row r="894" spans="1:2" ht="15.75" customHeight="1">
      <c r="A894" s="12" t="s">
        <v>1818</v>
      </c>
      <c r="B894" s="12" t="s">
        <v>1819</v>
      </c>
    </row>
    <row r="895" spans="1:2" ht="15.75" customHeight="1">
      <c r="A895" s="12" t="s">
        <v>1820</v>
      </c>
      <c r="B895" s="12" t="s">
        <v>1821</v>
      </c>
    </row>
    <row r="896" spans="1:2" ht="15.75" customHeight="1">
      <c r="A896" s="12" t="s">
        <v>1822</v>
      </c>
      <c r="B896" s="12" t="s">
        <v>1823</v>
      </c>
    </row>
    <row r="897" spans="1:2" ht="15.75" customHeight="1">
      <c r="A897" s="12" t="s">
        <v>1824</v>
      </c>
      <c r="B897" s="12" t="s">
        <v>1825</v>
      </c>
    </row>
    <row r="898" spans="1:2" ht="15.75" customHeight="1">
      <c r="A898" s="12" t="s">
        <v>1826</v>
      </c>
      <c r="B898" s="12" t="s">
        <v>1827</v>
      </c>
    </row>
    <row r="899" spans="1:2" ht="15.75" customHeight="1">
      <c r="A899" s="12" t="s">
        <v>1828</v>
      </c>
      <c r="B899" s="12" t="s">
        <v>1829</v>
      </c>
    </row>
    <row r="900" spans="1:2" ht="15.75" customHeight="1">
      <c r="A900" s="12" t="s">
        <v>1830</v>
      </c>
      <c r="B900" s="12" t="s">
        <v>1831</v>
      </c>
    </row>
    <row r="901" spans="1:2" ht="15.75" customHeight="1">
      <c r="A901" s="12" t="s">
        <v>1832</v>
      </c>
      <c r="B901" s="12" t="s">
        <v>935</v>
      </c>
    </row>
    <row r="902" spans="1:2" ht="15.75" customHeight="1">
      <c r="A902" s="12" t="s">
        <v>1833</v>
      </c>
      <c r="B902" s="12" t="s">
        <v>1834</v>
      </c>
    </row>
    <row r="903" spans="1:2" ht="15.75" customHeight="1">
      <c r="A903" s="12" t="s">
        <v>1835</v>
      </c>
      <c r="B903" s="12" t="s">
        <v>1836</v>
      </c>
    </row>
    <row r="904" spans="1:2" ht="15.75" customHeight="1">
      <c r="A904" s="12" t="s">
        <v>1837</v>
      </c>
      <c r="B904" s="12" t="s">
        <v>1838</v>
      </c>
    </row>
    <row r="905" spans="1:2" ht="15.75" customHeight="1">
      <c r="A905" s="12" t="s">
        <v>1839</v>
      </c>
      <c r="B905" s="12" t="s">
        <v>1840</v>
      </c>
    </row>
    <row r="906" spans="1:2" ht="15.75" customHeight="1">
      <c r="A906" s="12" t="s">
        <v>1841</v>
      </c>
      <c r="B906" s="12" t="s">
        <v>263</v>
      </c>
    </row>
    <row r="907" spans="1:2" ht="15.75" customHeight="1">
      <c r="A907" s="12" t="s">
        <v>1842</v>
      </c>
      <c r="B907" s="12" t="s">
        <v>1843</v>
      </c>
    </row>
    <row r="908" spans="1:2" ht="15.75" customHeight="1">
      <c r="A908" s="12" t="s">
        <v>1844</v>
      </c>
      <c r="B908" s="12" t="s">
        <v>1845</v>
      </c>
    </row>
    <row r="909" spans="1:2" ht="15.75" customHeight="1">
      <c r="A909" s="12" t="s">
        <v>1846</v>
      </c>
      <c r="B909" s="12" t="s">
        <v>1847</v>
      </c>
    </row>
    <row r="910" spans="1:2" ht="15.75" customHeight="1">
      <c r="A910" s="12" t="s">
        <v>1848</v>
      </c>
      <c r="B910" s="12" t="s">
        <v>1849</v>
      </c>
    </row>
    <row r="911" spans="1:2" ht="15.75" customHeight="1">
      <c r="A911" s="12" t="s">
        <v>1850</v>
      </c>
      <c r="B911" s="12" t="s">
        <v>1851</v>
      </c>
    </row>
    <row r="912" spans="1:2" ht="15.75" customHeight="1">
      <c r="A912" s="12" t="s">
        <v>1852</v>
      </c>
      <c r="B912" s="12" t="s">
        <v>1853</v>
      </c>
    </row>
    <row r="913" spans="1:2" ht="15.75" customHeight="1">
      <c r="A913" s="12" t="s">
        <v>1854</v>
      </c>
      <c r="B913" s="12" t="s">
        <v>1855</v>
      </c>
    </row>
    <row r="914" spans="1:2" ht="15.75" customHeight="1">
      <c r="A914" s="12" t="s">
        <v>1856</v>
      </c>
      <c r="B914" s="12" t="s">
        <v>1857</v>
      </c>
    </row>
    <row r="915" spans="1:2" ht="15.75" customHeight="1">
      <c r="A915" s="12" t="s">
        <v>1858</v>
      </c>
      <c r="B915" s="12" t="s">
        <v>167</v>
      </c>
    </row>
    <row r="916" spans="1:2" ht="15.75" customHeight="1">
      <c r="A916" s="12" t="s">
        <v>1859</v>
      </c>
      <c r="B916" s="12" t="s">
        <v>1860</v>
      </c>
    </row>
    <row r="917" spans="1:2" ht="15.75" customHeight="1">
      <c r="A917" s="12" t="s">
        <v>1861</v>
      </c>
      <c r="B917" s="12" t="s">
        <v>1862</v>
      </c>
    </row>
    <row r="918" spans="1:2" ht="15.75" customHeight="1">
      <c r="A918" s="12" t="s">
        <v>1863</v>
      </c>
      <c r="B918" s="12" t="s">
        <v>1864</v>
      </c>
    </row>
    <row r="919" spans="1:2" ht="15.75" customHeight="1">
      <c r="A919" s="12" t="s">
        <v>1865</v>
      </c>
      <c r="B919" s="12" t="s">
        <v>1866</v>
      </c>
    </row>
    <row r="920" spans="1:2" ht="15.75" customHeight="1">
      <c r="A920" s="12" t="s">
        <v>1867</v>
      </c>
      <c r="B920" s="12" t="s">
        <v>1868</v>
      </c>
    </row>
    <row r="921" spans="1:2" ht="15.75" customHeight="1">
      <c r="A921" s="12" t="s">
        <v>1869</v>
      </c>
      <c r="B921" s="12" t="s">
        <v>1870</v>
      </c>
    </row>
    <row r="922" spans="1:2" ht="15.75" customHeight="1">
      <c r="A922" s="12" t="s">
        <v>1871</v>
      </c>
      <c r="B922" s="12" t="s">
        <v>1872</v>
      </c>
    </row>
    <row r="923" spans="1:2" ht="15.75" customHeight="1">
      <c r="A923" s="12" t="s">
        <v>1873</v>
      </c>
      <c r="B923" s="12" t="s">
        <v>1874</v>
      </c>
    </row>
    <row r="924" spans="1:2" ht="15.75" customHeight="1">
      <c r="A924" s="12" t="s">
        <v>1875</v>
      </c>
      <c r="B924" s="12" t="s">
        <v>1876</v>
      </c>
    </row>
    <row r="925" spans="1:2" ht="15.75" customHeight="1">
      <c r="A925" s="12" t="s">
        <v>1877</v>
      </c>
      <c r="B925" s="12" t="s">
        <v>1878</v>
      </c>
    </row>
    <row r="926" spans="1:2" ht="15.75" customHeight="1">
      <c r="A926" s="12" t="s">
        <v>1879</v>
      </c>
      <c r="B926" s="12" t="s">
        <v>1880</v>
      </c>
    </row>
    <row r="927" spans="1:2" ht="15.75" customHeight="1">
      <c r="A927" s="12" t="s">
        <v>1881</v>
      </c>
      <c r="B927" s="12" t="s">
        <v>1882</v>
      </c>
    </row>
    <row r="928" spans="1:2" ht="15.75" customHeight="1">
      <c r="A928" s="12" t="s">
        <v>1883</v>
      </c>
      <c r="B928" s="12" t="s">
        <v>1884</v>
      </c>
    </row>
    <row r="929" spans="1:2" ht="15.75" customHeight="1">
      <c r="A929" s="12" t="s">
        <v>1885</v>
      </c>
      <c r="B929" s="12" t="s">
        <v>231</v>
      </c>
    </row>
    <row r="930" spans="1:2" ht="15.75" customHeight="1">
      <c r="A930" s="12" t="s">
        <v>1886</v>
      </c>
      <c r="B930" s="12" t="s">
        <v>1887</v>
      </c>
    </row>
    <row r="931" spans="1:2" ht="15.75" customHeight="1">
      <c r="A931" s="12" t="s">
        <v>1888</v>
      </c>
      <c r="B931" s="12" t="s">
        <v>1889</v>
      </c>
    </row>
    <row r="932" spans="1:2" ht="15.75" customHeight="1">
      <c r="A932" s="12" t="s">
        <v>1890</v>
      </c>
      <c r="B932" s="12" t="s">
        <v>1891</v>
      </c>
    </row>
    <row r="933" spans="1:2" ht="15.75" customHeight="1">
      <c r="A933" s="12" t="s">
        <v>1892</v>
      </c>
      <c r="B933" s="12" t="s">
        <v>1893</v>
      </c>
    </row>
    <row r="934" spans="1:2" ht="15.75" customHeight="1">
      <c r="A934" s="12" t="s">
        <v>1894</v>
      </c>
      <c r="B934" s="12" t="s">
        <v>1895</v>
      </c>
    </row>
    <row r="935" spans="1:2" ht="15.75" customHeight="1">
      <c r="A935" s="12" t="s">
        <v>1896</v>
      </c>
      <c r="B935" s="12" t="s">
        <v>171</v>
      </c>
    </row>
    <row r="936" spans="1:2" ht="15.75" customHeight="1">
      <c r="A936" s="12" t="s">
        <v>1897</v>
      </c>
      <c r="B936" s="12" t="s">
        <v>1898</v>
      </c>
    </row>
    <row r="937" spans="1:2" ht="15.75" customHeight="1">
      <c r="A937" s="12" t="s">
        <v>1899</v>
      </c>
      <c r="B937" s="12" t="s">
        <v>1790</v>
      </c>
    </row>
    <row r="938" spans="1:2" ht="15.75" customHeight="1">
      <c r="A938" s="12" t="s">
        <v>1900</v>
      </c>
      <c r="B938" s="12" t="s">
        <v>1901</v>
      </c>
    </row>
    <row r="939" spans="1:2" ht="15.75" customHeight="1">
      <c r="A939" s="12" t="s">
        <v>1902</v>
      </c>
      <c r="B939" s="12" t="s">
        <v>1903</v>
      </c>
    </row>
    <row r="940" spans="1:2" ht="15.75" customHeight="1">
      <c r="A940" s="12" t="s">
        <v>1904</v>
      </c>
      <c r="B940" s="12" t="s">
        <v>1290</v>
      </c>
    </row>
    <row r="941" spans="1:2" ht="15.75" customHeight="1">
      <c r="A941" s="12" t="s">
        <v>1905</v>
      </c>
      <c r="B941" s="12" t="s">
        <v>1906</v>
      </c>
    </row>
    <row r="942" spans="1:2" ht="15.75" customHeight="1">
      <c r="A942" s="12" t="s">
        <v>1907</v>
      </c>
      <c r="B942" s="12" t="s">
        <v>1908</v>
      </c>
    </row>
    <row r="943" spans="1:2" ht="15.75" customHeight="1">
      <c r="A943" s="12" t="s">
        <v>1909</v>
      </c>
      <c r="B943" s="12" t="s">
        <v>1910</v>
      </c>
    </row>
    <row r="944" spans="1:2" ht="15.75" customHeight="1">
      <c r="A944" s="12" t="s">
        <v>1911</v>
      </c>
      <c r="B944" s="12" t="s">
        <v>1912</v>
      </c>
    </row>
    <row r="945" spans="1:2" ht="15.75" customHeight="1">
      <c r="A945" s="12" t="s">
        <v>1913</v>
      </c>
      <c r="B945" s="12" t="s">
        <v>1914</v>
      </c>
    </row>
    <row r="946" spans="1:2" ht="15.75" customHeight="1">
      <c r="A946" s="12" t="s">
        <v>1915</v>
      </c>
      <c r="B946" s="12" t="s">
        <v>1916</v>
      </c>
    </row>
    <row r="947" spans="1:2" ht="15.75" customHeight="1">
      <c r="A947" s="12" t="s">
        <v>1917</v>
      </c>
      <c r="B947" s="12" t="s">
        <v>1918</v>
      </c>
    </row>
    <row r="948" spans="1:2" ht="15.75" customHeight="1">
      <c r="A948" s="12" t="s">
        <v>1919</v>
      </c>
      <c r="B948" s="12" t="s">
        <v>1920</v>
      </c>
    </row>
    <row r="949" spans="1:2" ht="15.75" customHeight="1">
      <c r="A949" s="12" t="s">
        <v>1921</v>
      </c>
      <c r="B949" s="12" t="s">
        <v>1922</v>
      </c>
    </row>
    <row r="950" spans="1:2" ht="15.75" customHeight="1">
      <c r="A950" s="12" t="s">
        <v>1923</v>
      </c>
      <c r="B950" s="12" t="s">
        <v>1924</v>
      </c>
    </row>
    <row r="951" spans="1:2" ht="15.75" customHeight="1">
      <c r="A951" s="12" t="s">
        <v>1925</v>
      </c>
      <c r="B951" s="12" t="s">
        <v>1926</v>
      </c>
    </row>
    <row r="952" spans="1:2" ht="15.75" customHeight="1">
      <c r="A952" s="12" t="s">
        <v>1927</v>
      </c>
      <c r="B952" s="12" t="s">
        <v>1928</v>
      </c>
    </row>
    <row r="953" spans="1:2" ht="15.75" customHeight="1">
      <c r="A953" s="12" t="s">
        <v>1929</v>
      </c>
      <c r="B953" s="12" t="s">
        <v>1930</v>
      </c>
    </row>
    <row r="954" spans="1:2" ht="15.75" customHeight="1">
      <c r="A954" s="12" t="s">
        <v>1931</v>
      </c>
      <c r="B954" s="12" t="s">
        <v>460</v>
      </c>
    </row>
    <row r="955" spans="1:2" ht="15.75" customHeight="1">
      <c r="A955" s="12" t="s">
        <v>1932</v>
      </c>
      <c r="B955" s="12" t="s">
        <v>1933</v>
      </c>
    </row>
    <row r="956" spans="1:2" ht="15.75" customHeight="1">
      <c r="A956" s="12" t="s">
        <v>1934</v>
      </c>
      <c r="B956" s="12" t="s">
        <v>275</v>
      </c>
    </row>
    <row r="957" spans="1:2" ht="15.75" customHeight="1">
      <c r="A957" s="12" t="s">
        <v>1935</v>
      </c>
      <c r="B957" s="12" t="s">
        <v>1936</v>
      </c>
    </row>
    <row r="958" spans="1:2" ht="15.75" customHeight="1">
      <c r="A958" s="12" t="s">
        <v>1937</v>
      </c>
      <c r="B958" s="12" t="s">
        <v>1938</v>
      </c>
    </row>
    <row r="959" spans="1:2" ht="15.75" customHeight="1">
      <c r="A959" s="12" t="s">
        <v>1939</v>
      </c>
      <c r="B959" s="12" t="s">
        <v>1940</v>
      </c>
    </row>
    <row r="960" spans="1:2" ht="15.75" customHeight="1">
      <c r="A960" s="12" t="s">
        <v>1941</v>
      </c>
      <c r="B960" s="12" t="s">
        <v>1942</v>
      </c>
    </row>
    <row r="961" spans="1:2" ht="15.75" customHeight="1">
      <c r="A961" s="12" t="s">
        <v>1943</v>
      </c>
      <c r="B961" s="12" t="s">
        <v>1944</v>
      </c>
    </row>
    <row r="962" spans="1:2" ht="15.75" customHeight="1">
      <c r="A962" s="12" t="s">
        <v>1945</v>
      </c>
      <c r="B962" s="12" t="s">
        <v>1946</v>
      </c>
    </row>
    <row r="963" spans="1:2" ht="15.75" customHeight="1">
      <c r="A963" s="12" t="s">
        <v>1947</v>
      </c>
      <c r="B963" s="12" t="s">
        <v>1948</v>
      </c>
    </row>
    <row r="964" spans="1:2" ht="15.75" customHeight="1">
      <c r="A964" s="12" t="s">
        <v>1949</v>
      </c>
      <c r="B964" s="12" t="s">
        <v>1950</v>
      </c>
    </row>
    <row r="965" spans="1:2" ht="15.75" customHeight="1">
      <c r="A965" s="12" t="s">
        <v>1951</v>
      </c>
      <c r="B965" s="12" t="s">
        <v>1952</v>
      </c>
    </row>
    <row r="966" spans="1:2" ht="15.75" customHeight="1">
      <c r="A966" s="12" t="s">
        <v>1953</v>
      </c>
      <c r="B966" s="12" t="s">
        <v>1954</v>
      </c>
    </row>
    <row r="967" spans="1:2" ht="15.75" customHeight="1">
      <c r="A967" s="12" t="s">
        <v>1955</v>
      </c>
      <c r="B967" s="12" t="s">
        <v>1956</v>
      </c>
    </row>
    <row r="968" spans="1:2" ht="15.75" customHeight="1">
      <c r="A968" s="12" t="s">
        <v>1957</v>
      </c>
      <c r="B968" s="12" t="s">
        <v>1958</v>
      </c>
    </row>
    <row r="969" spans="1:2" ht="15.75" customHeight="1">
      <c r="A969" s="12" t="s">
        <v>1959</v>
      </c>
      <c r="B969" s="12" t="s">
        <v>1960</v>
      </c>
    </row>
    <row r="970" spans="1:2" ht="15.75" customHeight="1">
      <c r="A970" s="12" t="s">
        <v>1961</v>
      </c>
      <c r="B970" s="12" t="s">
        <v>1962</v>
      </c>
    </row>
    <row r="971" spans="1:2" ht="15.75" customHeight="1">
      <c r="A971" s="12" t="s">
        <v>1963</v>
      </c>
      <c r="B971" s="12" t="s">
        <v>1964</v>
      </c>
    </row>
    <row r="972" spans="1:2" ht="15.75" customHeight="1">
      <c r="A972" s="12" t="s">
        <v>1965</v>
      </c>
      <c r="B972" s="12" t="s">
        <v>251</v>
      </c>
    </row>
    <row r="973" spans="1:2" ht="15.75" customHeight="1">
      <c r="A973" s="12" t="s">
        <v>1966</v>
      </c>
      <c r="B973" s="12" t="s">
        <v>1967</v>
      </c>
    </row>
    <row r="974" spans="1:2" ht="15.75" customHeight="1">
      <c r="A974" s="12" t="s">
        <v>1968</v>
      </c>
      <c r="B974" s="12" t="s">
        <v>1969</v>
      </c>
    </row>
    <row r="975" spans="1:2" ht="15.75" customHeight="1">
      <c r="A975" s="12" t="s">
        <v>1970</v>
      </c>
      <c r="B975" s="12" t="s">
        <v>1971</v>
      </c>
    </row>
    <row r="976" spans="1:2" ht="15.75" customHeight="1">
      <c r="A976" s="12" t="s">
        <v>1972</v>
      </c>
      <c r="B976" s="12" t="s">
        <v>1973</v>
      </c>
    </row>
    <row r="977" spans="1:2" ht="15.75" customHeight="1">
      <c r="A977" s="12" t="s">
        <v>1974</v>
      </c>
      <c r="B977" s="12" t="s">
        <v>1975</v>
      </c>
    </row>
    <row r="978" spans="1:2" ht="15.75" customHeight="1">
      <c r="A978" s="12" t="s">
        <v>1976</v>
      </c>
      <c r="B978" s="12" t="s">
        <v>808</v>
      </c>
    </row>
    <row r="979" spans="1:2" ht="15.75" customHeight="1">
      <c r="A979" s="12" t="s">
        <v>1977</v>
      </c>
      <c r="B979" s="12" t="s">
        <v>337</v>
      </c>
    </row>
    <row r="980" spans="1:2" ht="15.75" customHeight="1">
      <c r="A980" s="12" t="s">
        <v>1978</v>
      </c>
      <c r="B980" s="12" t="s">
        <v>937</v>
      </c>
    </row>
    <row r="981" spans="1:2" ht="15.75" customHeight="1">
      <c r="A981" s="12" t="s">
        <v>1979</v>
      </c>
      <c r="B981" s="12" t="s">
        <v>1980</v>
      </c>
    </row>
    <row r="982" spans="1:2" ht="15.75" customHeight="1">
      <c r="A982" s="12" t="s">
        <v>1981</v>
      </c>
      <c r="B982" s="12" t="s">
        <v>1982</v>
      </c>
    </row>
    <row r="983" spans="1:2" ht="15.75" customHeight="1">
      <c r="A983" s="12" t="s">
        <v>1983</v>
      </c>
      <c r="B983" s="12" t="s">
        <v>1230</v>
      </c>
    </row>
    <row r="984" spans="1:2" ht="15.75" customHeight="1">
      <c r="A984" s="12" t="s">
        <v>1984</v>
      </c>
      <c r="B984" s="12" t="s">
        <v>1985</v>
      </c>
    </row>
    <row r="985" spans="1:2" ht="15.75" customHeight="1">
      <c r="A985" s="12" t="s">
        <v>1986</v>
      </c>
      <c r="B985" s="12" t="s">
        <v>1987</v>
      </c>
    </row>
    <row r="986" spans="1:2" ht="15.75" customHeight="1">
      <c r="A986" s="12" t="s">
        <v>1988</v>
      </c>
      <c r="B986" s="12" t="s">
        <v>1989</v>
      </c>
    </row>
    <row r="987" spans="1:2" ht="15.75" customHeight="1">
      <c r="A987" s="12" t="s">
        <v>1990</v>
      </c>
      <c r="B987" s="12" t="s">
        <v>1991</v>
      </c>
    </row>
    <row r="988" spans="1:2" ht="15.75" customHeight="1">
      <c r="A988" s="12" t="s">
        <v>1992</v>
      </c>
      <c r="B988" s="12" t="s">
        <v>1993</v>
      </c>
    </row>
    <row r="989" spans="1:2" ht="15.75" customHeight="1">
      <c r="A989" s="12" t="s">
        <v>1994</v>
      </c>
      <c r="B989" s="12" t="s">
        <v>978</v>
      </c>
    </row>
    <row r="990" spans="1:2" ht="15.75" customHeight="1">
      <c r="A990" s="12" t="s">
        <v>1995</v>
      </c>
      <c r="B990" s="12" t="s">
        <v>1996</v>
      </c>
    </row>
    <row r="991" spans="1:2" ht="15.75" customHeight="1">
      <c r="A991" s="12" t="s">
        <v>1997</v>
      </c>
      <c r="B991" s="12" t="s">
        <v>1998</v>
      </c>
    </row>
    <row r="992" spans="1:2" ht="15.75" customHeight="1">
      <c r="A992" s="12" t="s">
        <v>1999</v>
      </c>
      <c r="B992" s="12" t="s">
        <v>2000</v>
      </c>
    </row>
    <row r="993" spans="1:2" ht="15.75" customHeight="1">
      <c r="A993" s="12" t="s">
        <v>2001</v>
      </c>
      <c r="B993" s="12" t="s">
        <v>2002</v>
      </c>
    </row>
    <row r="994" spans="1:2" ht="15.75" customHeight="1">
      <c r="A994" s="12" t="s">
        <v>2003</v>
      </c>
      <c r="B994" s="12" t="s">
        <v>952</v>
      </c>
    </row>
    <row r="995" spans="1:2" ht="15.75" customHeight="1">
      <c r="A995" s="12" t="s">
        <v>2004</v>
      </c>
      <c r="B995" s="12" t="s">
        <v>2005</v>
      </c>
    </row>
    <row r="996" spans="1:2" ht="15.75" customHeight="1">
      <c r="A996" s="12" t="s">
        <v>2006</v>
      </c>
      <c r="B996" s="12" t="s">
        <v>2007</v>
      </c>
    </row>
    <row r="997" spans="1:2" ht="15.75" customHeight="1">
      <c r="A997" s="12" t="s">
        <v>2008</v>
      </c>
      <c r="B997" s="12" t="s">
        <v>2009</v>
      </c>
    </row>
    <row r="998" spans="1:2" ht="15.75" customHeight="1">
      <c r="A998" s="12" t="s">
        <v>2010</v>
      </c>
      <c r="B998" s="12" t="s">
        <v>952</v>
      </c>
    </row>
    <row r="999" spans="1:2" ht="15.75" customHeight="1">
      <c r="A999" s="12" t="s">
        <v>2011</v>
      </c>
      <c r="B999" s="12" t="s">
        <v>2012</v>
      </c>
    </row>
    <row r="1000" spans="1:2" ht="15.75" customHeight="1">
      <c r="A1000" s="12" t="s">
        <v>2013</v>
      </c>
      <c r="B1000" s="12" t="s">
        <v>2014</v>
      </c>
    </row>
    <row r="1001" spans="1:2" ht="15.75" customHeight="1">
      <c r="A1001" s="12" t="s">
        <v>2015</v>
      </c>
      <c r="B1001" s="12" t="s">
        <v>2016</v>
      </c>
    </row>
    <row r="1002" spans="1:2" ht="15.75" customHeight="1">
      <c r="A1002" s="12" t="s">
        <v>2017</v>
      </c>
      <c r="B1002" s="12" t="s">
        <v>2018</v>
      </c>
    </row>
    <row r="1003" spans="1:2" ht="15.75" customHeight="1">
      <c r="A1003" s="12" t="s">
        <v>2019</v>
      </c>
      <c r="B1003" s="12" t="s">
        <v>2020</v>
      </c>
    </row>
    <row r="1004" spans="1:2" ht="15.75" customHeight="1">
      <c r="A1004" s="12" t="s">
        <v>2021</v>
      </c>
      <c r="B1004" s="12" t="s">
        <v>2022</v>
      </c>
    </row>
    <row r="1005" spans="1:2" ht="15.75" customHeight="1">
      <c r="A1005" s="12" t="s">
        <v>2023</v>
      </c>
      <c r="B1005" s="12" t="s">
        <v>2024</v>
      </c>
    </row>
    <row r="1006" spans="1:2" ht="15.75" customHeight="1">
      <c r="A1006" s="12" t="s">
        <v>2025</v>
      </c>
      <c r="B1006" s="12" t="s">
        <v>2026</v>
      </c>
    </row>
    <row r="1007" spans="1:2" ht="15.75" customHeight="1">
      <c r="A1007" s="12" t="s">
        <v>2027</v>
      </c>
      <c r="B1007" s="12" t="s">
        <v>2028</v>
      </c>
    </row>
    <row r="1008" spans="1:2" ht="15.75" customHeight="1">
      <c r="A1008" s="12" t="s">
        <v>2029</v>
      </c>
      <c r="B1008" s="12" t="s">
        <v>2030</v>
      </c>
    </row>
    <row r="1009" spans="1:2" ht="15.75" customHeight="1">
      <c r="A1009" s="12" t="s">
        <v>2031</v>
      </c>
      <c r="B1009" s="12" t="s">
        <v>627</v>
      </c>
    </row>
    <row r="1010" spans="1:2" ht="15.75" customHeight="1">
      <c r="A1010" s="12" t="s">
        <v>2032</v>
      </c>
      <c r="B1010" s="12" t="s">
        <v>2033</v>
      </c>
    </row>
    <row r="1011" spans="1:2" ht="15.75" customHeight="1">
      <c r="A1011" s="12" t="s">
        <v>2034</v>
      </c>
      <c r="B1011" s="12" t="s">
        <v>2035</v>
      </c>
    </row>
    <row r="1012" spans="1:2" ht="15.75" customHeight="1">
      <c r="A1012" s="12" t="s">
        <v>2036</v>
      </c>
      <c r="B1012" s="12" t="s">
        <v>2037</v>
      </c>
    </row>
    <row r="1013" spans="1:2" ht="15.75" customHeight="1">
      <c r="A1013" s="12" t="s">
        <v>2038</v>
      </c>
      <c r="B1013" s="12" t="s">
        <v>2039</v>
      </c>
    </row>
    <row r="1014" spans="1:2" ht="15.75" customHeight="1">
      <c r="A1014" s="12" t="s">
        <v>2040</v>
      </c>
      <c r="B1014" s="12" t="s">
        <v>2041</v>
      </c>
    </row>
    <row r="1015" spans="1:2" ht="15.75" customHeight="1">
      <c r="A1015" s="12" t="s">
        <v>2042</v>
      </c>
      <c r="B1015" s="12" t="s">
        <v>2043</v>
      </c>
    </row>
    <row r="1016" spans="1:2" ht="15.75" customHeight="1">
      <c r="A1016" s="12" t="s">
        <v>2044</v>
      </c>
      <c r="B1016" s="12" t="s">
        <v>175</v>
      </c>
    </row>
    <row r="1017" spans="1:2" ht="15.75" customHeight="1">
      <c r="A1017" s="12" t="s">
        <v>2045</v>
      </c>
      <c r="B1017" s="12" t="s">
        <v>2046</v>
      </c>
    </row>
    <row r="1018" spans="1:2" ht="15.75" customHeight="1">
      <c r="A1018" s="12" t="s">
        <v>2047</v>
      </c>
      <c r="B1018" s="12" t="s">
        <v>2048</v>
      </c>
    </row>
    <row r="1019" spans="1:2" ht="15.75" customHeight="1">
      <c r="A1019" s="12" t="s">
        <v>2049</v>
      </c>
      <c r="B1019" s="12" t="s">
        <v>241</v>
      </c>
    </row>
    <row r="1020" spans="1:2" ht="15.75" customHeight="1">
      <c r="A1020" s="12" t="s">
        <v>2050</v>
      </c>
      <c r="B1020" s="12" t="s">
        <v>2051</v>
      </c>
    </row>
    <row r="1021" spans="1:2" ht="15.75" customHeight="1">
      <c r="A1021" s="12" t="s">
        <v>2052</v>
      </c>
      <c r="B1021" s="12" t="s">
        <v>2053</v>
      </c>
    </row>
    <row r="1022" spans="1:2" ht="15.75" customHeight="1">
      <c r="A1022" s="12" t="s">
        <v>2054</v>
      </c>
      <c r="B1022" s="12" t="s">
        <v>2055</v>
      </c>
    </row>
    <row r="1023" spans="1:2" ht="15.75" customHeight="1">
      <c r="A1023" s="12" t="s">
        <v>2056</v>
      </c>
      <c r="B1023" s="12" t="s">
        <v>2057</v>
      </c>
    </row>
    <row r="1024" spans="1:2" ht="15.75" customHeight="1">
      <c r="A1024" s="12" t="s">
        <v>2058</v>
      </c>
      <c r="B1024" s="12" t="s">
        <v>2059</v>
      </c>
    </row>
    <row r="1025" spans="1:2" ht="15.75" customHeight="1">
      <c r="A1025" s="12" t="s">
        <v>2060</v>
      </c>
      <c r="B1025" s="12" t="s">
        <v>2061</v>
      </c>
    </row>
    <row r="1026" spans="1:2" ht="15.75" customHeight="1">
      <c r="A1026" s="12" t="s">
        <v>2062</v>
      </c>
      <c r="B1026" s="12" t="s">
        <v>2063</v>
      </c>
    </row>
    <row r="1027" spans="1:2" ht="15.75" customHeight="1">
      <c r="A1027" s="12" t="s">
        <v>2064</v>
      </c>
      <c r="B1027" s="12" t="s">
        <v>2065</v>
      </c>
    </row>
    <row r="1028" spans="1:2" ht="15.75" customHeight="1">
      <c r="A1028" s="12" t="s">
        <v>2066</v>
      </c>
      <c r="B1028" s="12" t="s">
        <v>2067</v>
      </c>
    </row>
    <row r="1029" spans="1:2" ht="15.75" customHeight="1">
      <c r="A1029" s="12" t="s">
        <v>2068</v>
      </c>
      <c r="B1029" s="12" t="s">
        <v>2069</v>
      </c>
    </row>
    <row r="1030" spans="1:2" ht="15.75" customHeight="1">
      <c r="A1030" s="12" t="s">
        <v>2070</v>
      </c>
      <c r="B1030" s="12" t="s">
        <v>2071</v>
      </c>
    </row>
    <row r="1031" spans="1:2" ht="15.75" customHeight="1">
      <c r="A1031" s="12" t="s">
        <v>2072</v>
      </c>
      <c r="B1031" s="12" t="s">
        <v>2073</v>
      </c>
    </row>
    <row r="1032" spans="1:2" ht="15.75" customHeight="1">
      <c r="A1032" s="12" t="s">
        <v>2074</v>
      </c>
      <c r="B1032" s="12" t="s">
        <v>2075</v>
      </c>
    </row>
    <row r="1033" spans="1:2" ht="15.75" customHeight="1">
      <c r="A1033" s="12" t="s">
        <v>2076</v>
      </c>
      <c r="B1033" s="12" t="s">
        <v>2077</v>
      </c>
    </row>
    <row r="1034" spans="1:2" ht="15.75" customHeight="1">
      <c r="A1034" s="12" t="s">
        <v>2078</v>
      </c>
      <c r="B1034" s="12" t="s">
        <v>2079</v>
      </c>
    </row>
    <row r="1035" spans="1:2" ht="15.75" customHeight="1">
      <c r="A1035" s="12" t="s">
        <v>2080</v>
      </c>
      <c r="B1035" s="12" t="s">
        <v>2081</v>
      </c>
    </row>
    <row r="1036" spans="1:2" ht="15.75" customHeight="1">
      <c r="A1036" s="12" t="s">
        <v>2082</v>
      </c>
      <c r="B1036" s="12" t="s">
        <v>2083</v>
      </c>
    </row>
    <row r="1037" spans="1:2" ht="15.75" customHeight="1">
      <c r="A1037" s="12" t="s">
        <v>2084</v>
      </c>
      <c r="B1037" s="12" t="s">
        <v>2085</v>
      </c>
    </row>
    <row r="1038" spans="1:2" ht="15.75" customHeight="1">
      <c r="A1038" s="12" t="s">
        <v>2086</v>
      </c>
      <c r="B1038" s="12" t="s">
        <v>2087</v>
      </c>
    </row>
    <row r="1039" spans="1:2" ht="15.75" customHeight="1">
      <c r="A1039" s="12" t="s">
        <v>2088</v>
      </c>
      <c r="B1039" s="12" t="s">
        <v>2089</v>
      </c>
    </row>
    <row r="1040" spans="1:2" ht="15.75" customHeight="1">
      <c r="A1040" s="12" t="s">
        <v>2090</v>
      </c>
      <c r="B1040" s="12" t="s">
        <v>2091</v>
      </c>
    </row>
    <row r="1041" spans="1:2" ht="15.75" customHeight="1">
      <c r="A1041" s="12" t="s">
        <v>2092</v>
      </c>
      <c r="B1041" s="12" t="s">
        <v>2093</v>
      </c>
    </row>
    <row r="1042" spans="1:2" ht="15.75" customHeight="1">
      <c r="A1042" s="12" t="s">
        <v>2094</v>
      </c>
      <c r="B1042" s="12" t="s">
        <v>2095</v>
      </c>
    </row>
    <row r="1043" spans="1:2" ht="15.75" customHeight="1">
      <c r="A1043" s="12" t="s">
        <v>2096</v>
      </c>
      <c r="B1043" s="12" t="s">
        <v>2097</v>
      </c>
    </row>
    <row r="1044" spans="1:2" ht="15.75" customHeight="1">
      <c r="A1044" s="12" t="s">
        <v>2098</v>
      </c>
      <c r="B1044" s="12" t="s">
        <v>2099</v>
      </c>
    </row>
    <row r="1045" spans="1:2" ht="15.75" customHeight="1">
      <c r="A1045" s="12" t="s">
        <v>2100</v>
      </c>
      <c r="B1045" s="12" t="s">
        <v>2101</v>
      </c>
    </row>
    <row r="1046" spans="1:2" ht="15.75" customHeight="1">
      <c r="A1046" s="12" t="s">
        <v>2102</v>
      </c>
      <c r="B1046" s="12" t="s">
        <v>2103</v>
      </c>
    </row>
    <row r="1047" spans="1:2" ht="15.75" customHeight="1">
      <c r="A1047" s="12" t="s">
        <v>2104</v>
      </c>
      <c r="B1047" s="12" t="s">
        <v>2105</v>
      </c>
    </row>
    <row r="1048" spans="1:2" ht="15.75" customHeight="1">
      <c r="A1048" s="12" t="s">
        <v>2106</v>
      </c>
      <c r="B1048" s="12" t="s">
        <v>2107</v>
      </c>
    </row>
    <row r="1049" spans="1:2" ht="15.75" customHeight="1">
      <c r="A1049" s="12" t="s">
        <v>2108</v>
      </c>
      <c r="B1049" s="12" t="s">
        <v>2109</v>
      </c>
    </row>
    <row r="1050" spans="1:2" ht="15.75" customHeight="1">
      <c r="A1050" s="12" t="s">
        <v>2110</v>
      </c>
      <c r="B1050" s="12" t="s">
        <v>2111</v>
      </c>
    </row>
    <row r="1051" spans="1:2" ht="15.75" customHeight="1">
      <c r="A1051" s="12" t="s">
        <v>2112</v>
      </c>
      <c r="B1051" s="12" t="s">
        <v>2113</v>
      </c>
    </row>
    <row r="1052" spans="1:2" ht="15.75" customHeight="1">
      <c r="A1052" s="12" t="s">
        <v>2114</v>
      </c>
      <c r="B1052" s="12" t="s">
        <v>257</v>
      </c>
    </row>
    <row r="1053" spans="1:2" ht="15.75" customHeight="1">
      <c r="A1053" s="12" t="s">
        <v>2115</v>
      </c>
      <c r="B1053" s="12" t="s">
        <v>2116</v>
      </c>
    </row>
    <row r="1054" spans="1:2" ht="15.75" customHeight="1">
      <c r="A1054" s="12" t="s">
        <v>2117</v>
      </c>
      <c r="B1054" s="12" t="s">
        <v>2118</v>
      </c>
    </row>
    <row r="1055" spans="1:2" ht="15.75" customHeight="1">
      <c r="A1055" s="12" t="s">
        <v>2119</v>
      </c>
      <c r="B1055" s="12" t="s">
        <v>2120</v>
      </c>
    </row>
    <row r="1056" spans="1:2" ht="15.75" customHeight="1">
      <c r="A1056" s="12" t="s">
        <v>2121</v>
      </c>
      <c r="B1056" s="12" t="s">
        <v>2122</v>
      </c>
    </row>
    <row r="1057" spans="1:2" ht="15.75" customHeight="1">
      <c r="A1057" s="12" t="s">
        <v>2123</v>
      </c>
      <c r="B1057" s="12" t="s">
        <v>2124</v>
      </c>
    </row>
    <row r="1058" spans="1:2" ht="15.75" customHeight="1">
      <c r="A1058" s="12" t="s">
        <v>2125</v>
      </c>
      <c r="B1058" s="12" t="s">
        <v>2126</v>
      </c>
    </row>
    <row r="1059" spans="1:2" ht="15.75" customHeight="1">
      <c r="A1059" s="12" t="s">
        <v>2127</v>
      </c>
      <c r="B1059" s="12" t="s">
        <v>2128</v>
      </c>
    </row>
    <row r="1060" spans="1:2" ht="15.75" customHeight="1">
      <c r="A1060" s="12" t="s">
        <v>2129</v>
      </c>
      <c r="B1060" s="12" t="s">
        <v>2130</v>
      </c>
    </row>
    <row r="1061" spans="1:2" ht="15.75" customHeight="1">
      <c r="A1061" s="12" t="s">
        <v>2131</v>
      </c>
      <c r="B1061" s="12" t="s">
        <v>2132</v>
      </c>
    </row>
    <row r="1062" spans="1:2" ht="15.75" customHeight="1">
      <c r="A1062" s="12" t="s">
        <v>2133</v>
      </c>
      <c r="B1062" s="12" t="s">
        <v>2134</v>
      </c>
    </row>
    <row r="1063" spans="1:2" ht="15.75" customHeight="1">
      <c r="A1063" s="12" t="s">
        <v>2135</v>
      </c>
      <c r="B1063" s="12" t="s">
        <v>2136</v>
      </c>
    </row>
    <row r="1064" spans="1:2" ht="15.75" customHeight="1">
      <c r="A1064" s="12" t="s">
        <v>2137</v>
      </c>
      <c r="B1064" s="12" t="s">
        <v>2138</v>
      </c>
    </row>
    <row r="1065" spans="1:2" ht="15.75" customHeight="1">
      <c r="A1065" s="12" t="s">
        <v>2139</v>
      </c>
      <c r="B1065" s="12" t="s">
        <v>2140</v>
      </c>
    </row>
    <row r="1066" spans="1:2" ht="15.75" customHeight="1">
      <c r="A1066" s="12" t="s">
        <v>2141</v>
      </c>
      <c r="B1066" s="12" t="s">
        <v>2142</v>
      </c>
    </row>
    <row r="1067" spans="1:2" ht="15.75" customHeight="1">
      <c r="A1067" s="12" t="s">
        <v>2143</v>
      </c>
      <c r="B1067" s="12" t="s">
        <v>2144</v>
      </c>
    </row>
    <row r="1068" spans="1:2" ht="15.75" customHeight="1">
      <c r="A1068" s="12" t="s">
        <v>2145</v>
      </c>
      <c r="B1068" s="12" t="s">
        <v>2146</v>
      </c>
    </row>
    <row r="1069" spans="1:2" ht="15.75" customHeight="1">
      <c r="A1069" s="12" t="s">
        <v>2147</v>
      </c>
      <c r="B1069" s="12" t="s">
        <v>2148</v>
      </c>
    </row>
    <row r="1070" spans="1:2" ht="15.75" customHeight="1">
      <c r="A1070" s="12" t="s">
        <v>2149</v>
      </c>
      <c r="B1070" s="12" t="s">
        <v>2150</v>
      </c>
    </row>
    <row r="1071" spans="1:2" ht="15.75" customHeight="1">
      <c r="A1071" s="12" t="s">
        <v>2151</v>
      </c>
      <c r="B1071" s="12" t="s">
        <v>2152</v>
      </c>
    </row>
    <row r="1072" spans="1:2" ht="15.75" customHeight="1">
      <c r="A1072" s="12" t="s">
        <v>2153</v>
      </c>
      <c r="B1072" s="12" t="s">
        <v>2154</v>
      </c>
    </row>
    <row r="1073" spans="1:2" ht="15.75" customHeight="1">
      <c r="A1073" s="12" t="s">
        <v>2155</v>
      </c>
      <c r="B1073" s="12" t="s">
        <v>2156</v>
      </c>
    </row>
    <row r="1074" spans="1:2" ht="15.75" customHeight="1">
      <c r="A1074" s="12" t="s">
        <v>2157</v>
      </c>
      <c r="B1074" s="12" t="s">
        <v>2158</v>
      </c>
    </row>
    <row r="1075" spans="1:2" ht="15.75" customHeight="1">
      <c r="A1075" s="12" t="s">
        <v>2159</v>
      </c>
      <c r="B1075" s="12" t="s">
        <v>2160</v>
      </c>
    </row>
    <row r="1076" spans="1:2" ht="15.75" customHeight="1">
      <c r="A1076" s="12" t="s">
        <v>2161</v>
      </c>
      <c r="B1076" s="12" t="s">
        <v>1563</v>
      </c>
    </row>
    <row r="1077" spans="1:2" ht="15.75" customHeight="1">
      <c r="A1077" s="12" t="s">
        <v>2162</v>
      </c>
      <c r="B1077" s="12" t="s">
        <v>2163</v>
      </c>
    </row>
    <row r="1078" spans="1:2" ht="15.75" customHeight="1">
      <c r="A1078" s="12" t="s">
        <v>2164</v>
      </c>
      <c r="B1078" s="12" t="s">
        <v>175</v>
      </c>
    </row>
    <row r="1079" spans="1:2" ht="15.75" customHeight="1">
      <c r="A1079" s="12" t="s">
        <v>2165</v>
      </c>
      <c r="B1079" s="12" t="s">
        <v>2166</v>
      </c>
    </row>
    <row r="1080" spans="1:2" ht="15.75" customHeight="1">
      <c r="A1080" s="12" t="s">
        <v>2167</v>
      </c>
      <c r="B1080" s="12" t="s">
        <v>2168</v>
      </c>
    </row>
    <row r="1081" spans="1:2" ht="15.75" customHeight="1">
      <c r="A1081" s="12" t="s">
        <v>2169</v>
      </c>
      <c r="B1081" s="12" t="s">
        <v>2170</v>
      </c>
    </row>
    <row r="1082" spans="1:2" ht="15.75" customHeight="1">
      <c r="A1082" s="12" t="s">
        <v>2171</v>
      </c>
      <c r="B1082" s="12" t="s">
        <v>2172</v>
      </c>
    </row>
    <row r="1083" spans="1:2" ht="15.75" customHeight="1">
      <c r="A1083" s="12" t="s">
        <v>2173</v>
      </c>
      <c r="B1083" s="12" t="s">
        <v>2174</v>
      </c>
    </row>
    <row r="1084" spans="1:2" ht="15.75" customHeight="1">
      <c r="A1084" s="12" t="s">
        <v>2175</v>
      </c>
      <c r="B1084" s="12" t="s">
        <v>225</v>
      </c>
    </row>
    <row r="1085" spans="1:2" ht="15.75" customHeight="1">
      <c r="A1085" s="12" t="s">
        <v>2176</v>
      </c>
      <c r="B1085" s="12" t="s">
        <v>937</v>
      </c>
    </row>
    <row r="1086" spans="1:2" ht="15.75" customHeight="1">
      <c r="A1086" s="12" t="s">
        <v>2177</v>
      </c>
      <c r="B1086" s="12" t="s">
        <v>2178</v>
      </c>
    </row>
    <row r="1087" spans="1:2" ht="15.75" customHeight="1">
      <c r="A1087" s="12" t="s">
        <v>2179</v>
      </c>
      <c r="B1087" s="12" t="s">
        <v>2180</v>
      </c>
    </row>
    <row r="1088" spans="1:2" ht="15.75" customHeight="1">
      <c r="A1088" s="12" t="s">
        <v>2181</v>
      </c>
      <c r="B1088" s="12" t="s">
        <v>2182</v>
      </c>
    </row>
    <row r="1089" spans="1:2" ht="15.75" customHeight="1">
      <c r="A1089" s="12" t="s">
        <v>2183</v>
      </c>
      <c r="B1089" s="12" t="s">
        <v>2184</v>
      </c>
    </row>
    <row r="1090" spans="1:2" ht="15.75" customHeight="1">
      <c r="A1090" s="12" t="s">
        <v>2185</v>
      </c>
      <c r="B1090" s="12" t="s">
        <v>241</v>
      </c>
    </row>
    <row r="1091" spans="1:2" ht="15.75" customHeight="1">
      <c r="A1091" s="12" t="s">
        <v>2186</v>
      </c>
      <c r="B1091" s="12" t="s">
        <v>91</v>
      </c>
    </row>
    <row r="1092" spans="1:2" ht="15.75" customHeight="1">
      <c r="A1092" s="12" t="s">
        <v>2187</v>
      </c>
      <c r="B1092" s="12" t="s">
        <v>2188</v>
      </c>
    </row>
    <row r="1093" spans="1:2" ht="15.75" customHeight="1">
      <c r="A1093" s="12" t="s">
        <v>2189</v>
      </c>
      <c r="B1093" s="12" t="s">
        <v>2190</v>
      </c>
    </row>
    <row r="1094" spans="1:2" ht="15.75" customHeight="1">
      <c r="A1094" s="12" t="s">
        <v>2191</v>
      </c>
      <c r="B1094" s="12" t="s">
        <v>2192</v>
      </c>
    </row>
    <row r="1095" spans="1:2" ht="15.75" customHeight="1">
      <c r="A1095" s="12" t="s">
        <v>2193</v>
      </c>
      <c r="B1095" s="12" t="s">
        <v>2194</v>
      </c>
    </row>
    <row r="1096" spans="1:2" ht="15.75" customHeight="1">
      <c r="A1096" s="12" t="s">
        <v>2195</v>
      </c>
      <c r="B1096" s="12" t="s">
        <v>2196</v>
      </c>
    </row>
    <row r="1097" spans="1:2" ht="15.75" customHeight="1">
      <c r="A1097" s="12" t="s">
        <v>2197</v>
      </c>
      <c r="B1097" s="12" t="s">
        <v>2198</v>
      </c>
    </row>
    <row r="1098" spans="1:2" ht="15.75" customHeight="1">
      <c r="A1098" s="12" t="s">
        <v>2199</v>
      </c>
      <c r="B1098" s="12" t="s">
        <v>2200</v>
      </c>
    </row>
    <row r="1099" spans="1:2" ht="15.75" customHeight="1">
      <c r="A1099" s="12" t="s">
        <v>2201</v>
      </c>
      <c r="B1099" s="12" t="s">
        <v>2202</v>
      </c>
    </row>
    <row r="1100" spans="1:2" ht="15.75" customHeight="1">
      <c r="A1100" s="12" t="s">
        <v>2203</v>
      </c>
      <c r="B1100" s="12" t="s">
        <v>2204</v>
      </c>
    </row>
    <row r="1101" spans="1:2" ht="15.75" customHeight="1">
      <c r="A1101" s="12" t="s">
        <v>2205</v>
      </c>
      <c r="B1101" s="12" t="s">
        <v>2206</v>
      </c>
    </row>
    <row r="1102" spans="1:2" ht="15.75" customHeight="1">
      <c r="A1102" s="12" t="s">
        <v>2207</v>
      </c>
      <c r="B1102" s="12" t="s">
        <v>387</v>
      </c>
    </row>
    <row r="1103" spans="1:2" ht="15.75" customHeight="1">
      <c r="A1103" s="12" t="s">
        <v>2208</v>
      </c>
      <c r="B1103" s="12" t="s">
        <v>2209</v>
      </c>
    </row>
    <row r="1104" spans="1:2" ht="15.75" customHeight="1">
      <c r="A1104" s="12" t="s">
        <v>2210</v>
      </c>
      <c r="B1104" s="12" t="s">
        <v>2211</v>
      </c>
    </row>
    <row r="1105" spans="1:2" ht="15.75" customHeight="1">
      <c r="A1105" s="12" t="s">
        <v>2212</v>
      </c>
      <c r="B1105" s="12" t="s">
        <v>2213</v>
      </c>
    </row>
    <row r="1106" spans="1:2" ht="15.75" customHeight="1">
      <c r="A1106" s="12" t="s">
        <v>2214</v>
      </c>
      <c r="B1106" s="12" t="s">
        <v>2215</v>
      </c>
    </row>
    <row r="1107" spans="1:2" ht="15.75" customHeight="1">
      <c r="A1107" s="12" t="s">
        <v>2216</v>
      </c>
      <c r="B1107" s="12" t="s">
        <v>2217</v>
      </c>
    </row>
    <row r="1108" spans="1:2" ht="15.75" customHeight="1">
      <c r="A1108" s="12" t="s">
        <v>2218</v>
      </c>
      <c r="B1108" s="12" t="s">
        <v>2219</v>
      </c>
    </row>
    <row r="1109" spans="1:2" ht="15.75" customHeight="1">
      <c r="A1109" s="12" t="s">
        <v>2220</v>
      </c>
      <c r="B1109" s="12" t="s">
        <v>2221</v>
      </c>
    </row>
    <row r="1110" spans="1:2" ht="15.75" customHeight="1">
      <c r="A1110" s="12" t="s">
        <v>2222</v>
      </c>
      <c r="B1110" s="12" t="s">
        <v>2223</v>
      </c>
    </row>
    <row r="1111" spans="1:2" ht="15.75" customHeight="1">
      <c r="A1111" s="12" t="s">
        <v>2224</v>
      </c>
      <c r="B1111" s="12" t="s">
        <v>2225</v>
      </c>
    </row>
    <row r="1112" spans="1:2" ht="15.75" customHeight="1">
      <c r="A1112" s="12" t="s">
        <v>2226</v>
      </c>
      <c r="B1112" s="12" t="s">
        <v>2227</v>
      </c>
    </row>
    <row r="1113" spans="1:2" ht="15.75" customHeight="1">
      <c r="A1113" s="12" t="s">
        <v>2228</v>
      </c>
      <c r="B1113" s="12" t="s">
        <v>2229</v>
      </c>
    </row>
    <row r="1114" spans="1:2" ht="15.75" customHeight="1">
      <c r="A1114" s="12" t="s">
        <v>2230</v>
      </c>
      <c r="B1114" s="12" t="s">
        <v>2231</v>
      </c>
    </row>
    <row r="1115" spans="1:2" ht="15.75" customHeight="1">
      <c r="A1115" s="12" t="s">
        <v>2232</v>
      </c>
      <c r="B1115" s="12" t="s">
        <v>2233</v>
      </c>
    </row>
    <row r="1116" spans="1:2" ht="15.75" customHeight="1">
      <c r="A1116" s="12" t="s">
        <v>2234</v>
      </c>
      <c r="B1116" s="12" t="s">
        <v>2235</v>
      </c>
    </row>
    <row r="1117" spans="1:2" ht="15.75" customHeight="1">
      <c r="A1117" s="12" t="s">
        <v>2236</v>
      </c>
      <c r="B1117" s="12" t="s">
        <v>2237</v>
      </c>
    </row>
    <row r="1118" spans="1:2" ht="15.75" customHeight="1">
      <c r="A1118" s="12" t="s">
        <v>2238</v>
      </c>
      <c r="B1118" s="12" t="s">
        <v>2239</v>
      </c>
    </row>
    <row r="1119" spans="1:2" ht="15.75" customHeight="1">
      <c r="A1119" s="12" t="s">
        <v>2240</v>
      </c>
      <c r="B1119" s="12" t="s">
        <v>2241</v>
      </c>
    </row>
    <row r="1120" spans="1:2" ht="15.75" customHeight="1">
      <c r="A1120" s="12" t="s">
        <v>2242</v>
      </c>
      <c r="B1120" s="12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CONTA SEIS</cp:lastModifiedBy>
  <dcterms:created xsi:type="dcterms:W3CDTF">2026-04-09T15:30:19Z</dcterms:created>
  <dcterms:modified xsi:type="dcterms:W3CDTF">2026-06-27T14:32:26Z</dcterms:modified>
</cp:coreProperties>
</file>